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filterPrivacy="1"/>
  <xr:revisionPtr revIDLastSave="20" documentId="8_{C38D9FB2-CB25-3343-A84F-2DFD72AD624C}" xr6:coauthVersionLast="47" xr6:coauthVersionMax="47" xr10:uidLastSave="{A0194F80-A83D-7743-8BFD-6A319F82B4C8}"/>
  <bookViews>
    <workbookView xWindow="-38400" yWindow="-3260" windowWidth="38400" windowHeight="19700" activeTab="2" xr2:uid="{00000000-000D-0000-FFFF-FFFF00000000}"/>
  </bookViews>
  <sheets>
    <sheet name="ID3" sheetId="2" r:id="rId1"/>
    <sheet name="Gini" sheetId="3" r:id="rId2"/>
    <sheet name="Entrop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4" l="1"/>
  <c r="P14" i="4"/>
  <c r="R14" i="3"/>
  <c r="R40" i="4"/>
  <c r="R14" i="4"/>
  <c r="L14" i="4"/>
  <c r="R10" i="4"/>
  <c r="O40" i="4"/>
  <c r="R15" i="4"/>
  <c r="Q15" i="3"/>
  <c r="P15" i="3"/>
  <c r="Q14" i="3"/>
  <c r="P14" i="3"/>
  <c r="N14" i="3"/>
  <c r="M15" i="3"/>
  <c r="M14" i="3"/>
  <c r="R10" i="3"/>
  <c r="O132" i="2"/>
  <c r="O131" i="2"/>
  <c r="N132" i="2"/>
  <c r="N131" i="2"/>
  <c r="L132" i="2"/>
  <c r="M132" i="2" s="1"/>
  <c r="L131" i="2"/>
  <c r="M131" i="2" s="1"/>
  <c r="O125" i="2"/>
  <c r="O124" i="2"/>
  <c r="N125" i="2"/>
  <c r="N124" i="2"/>
  <c r="L125" i="2"/>
  <c r="M125" i="2" s="1"/>
  <c r="L124" i="2"/>
  <c r="M124" i="2" s="1"/>
  <c r="L74" i="2"/>
  <c r="M74" i="2" s="1"/>
  <c r="L73" i="2"/>
  <c r="M73" i="2" s="1"/>
  <c r="O74" i="2"/>
  <c r="O73" i="2"/>
  <c r="N74" i="2"/>
  <c r="N73" i="2"/>
  <c r="O67" i="2"/>
  <c r="O66" i="2"/>
  <c r="N66" i="2"/>
  <c r="N67" i="2"/>
  <c r="N27" i="2"/>
  <c r="L67" i="2"/>
  <c r="L66" i="2"/>
  <c r="O43" i="2"/>
  <c r="Q43" i="2" s="1"/>
  <c r="R43" i="2" s="1"/>
  <c r="N43" i="2"/>
  <c r="P43" i="2" s="1"/>
  <c r="O28" i="2"/>
  <c r="O27" i="2"/>
  <c r="N28" i="2"/>
  <c r="L28" i="2"/>
  <c r="L27" i="2"/>
  <c r="M27" i="2" s="1"/>
  <c r="O22" i="2"/>
  <c r="O21" i="2"/>
  <c r="O20" i="2"/>
  <c r="N22" i="2"/>
  <c r="N21" i="2"/>
  <c r="N20" i="2"/>
  <c r="P20" i="2" s="1"/>
  <c r="O14" i="2"/>
  <c r="L22" i="2"/>
  <c r="M22" i="2" s="1"/>
  <c r="L21" i="2"/>
  <c r="L20" i="2"/>
  <c r="Q20" i="2" s="1"/>
  <c r="R20" i="2" s="1"/>
  <c r="O15" i="2"/>
  <c r="N15" i="2"/>
  <c r="N14" i="2"/>
  <c r="L15" i="2"/>
  <c r="L14" i="2"/>
  <c r="O10" i="2"/>
  <c r="N10" i="2"/>
  <c r="P28" i="2" l="1"/>
  <c r="Q28" i="2"/>
  <c r="P132" i="2"/>
  <c r="Q132" i="2"/>
  <c r="Q131" i="2"/>
  <c r="P131" i="2"/>
  <c r="R131" i="2" s="1"/>
  <c r="P124" i="2"/>
  <c r="Q124" i="2"/>
  <c r="Q125" i="2"/>
  <c r="P125" i="2"/>
  <c r="R125" i="2" s="1"/>
  <c r="Q27" i="2"/>
  <c r="P27" i="2"/>
  <c r="R27" i="2" s="1"/>
  <c r="Q74" i="2"/>
  <c r="P74" i="2"/>
  <c r="R74" i="2" s="1"/>
  <c r="P73" i="2"/>
  <c r="Q73" i="2"/>
  <c r="R73" i="2" s="1"/>
  <c r="Q22" i="2"/>
  <c r="P22" i="2"/>
  <c r="R22" i="2" s="1"/>
  <c r="Q10" i="2"/>
  <c r="P10" i="2"/>
  <c r="R10" i="2" s="1"/>
  <c r="S131" i="2" l="1"/>
  <c r="R124" i="2"/>
  <c r="S124" i="2" s="1"/>
  <c r="R132" i="2"/>
  <c r="R28" i="2"/>
  <c r="O87" i="4"/>
  <c r="O99" i="4"/>
  <c r="O100" i="4"/>
  <c r="Q100" i="4" s="1"/>
  <c r="O105" i="4"/>
  <c r="L104" i="4"/>
  <c r="L99" i="4"/>
  <c r="K105" i="4"/>
  <c r="K104" i="4"/>
  <c r="K100" i="4"/>
  <c r="K99" i="4"/>
  <c r="N105" i="4"/>
  <c r="L105" i="4"/>
  <c r="O104" i="4"/>
  <c r="N104" i="4"/>
  <c r="N100" i="4"/>
  <c r="L100" i="4"/>
  <c r="N99" i="4"/>
  <c r="O92" i="4"/>
  <c r="O91" i="4"/>
  <c r="N92" i="4"/>
  <c r="N91" i="4"/>
  <c r="L92" i="4"/>
  <c r="L91" i="4"/>
  <c r="K92" i="4"/>
  <c r="K91" i="4"/>
  <c r="O86" i="4"/>
  <c r="N87" i="4"/>
  <c r="N86" i="4"/>
  <c r="L87" i="4"/>
  <c r="L86" i="4"/>
  <c r="K87" i="4"/>
  <c r="K86" i="4"/>
  <c r="O70" i="4"/>
  <c r="N70" i="4"/>
  <c r="L70" i="4"/>
  <c r="K70" i="4"/>
  <c r="O76" i="4"/>
  <c r="O75" i="4"/>
  <c r="N76" i="4"/>
  <c r="N75" i="4"/>
  <c r="O69" i="4"/>
  <c r="N69" i="4"/>
  <c r="L76" i="4"/>
  <c r="L75" i="4"/>
  <c r="L69" i="4"/>
  <c r="K76" i="4"/>
  <c r="K75" i="4"/>
  <c r="K69" i="4"/>
  <c r="K65" i="4"/>
  <c r="K64" i="4"/>
  <c r="L65" i="4"/>
  <c r="O65" i="4"/>
  <c r="O64" i="4"/>
  <c r="N65" i="4"/>
  <c r="N64" i="4"/>
  <c r="L64" i="4"/>
  <c r="N50" i="4"/>
  <c r="N49" i="4"/>
  <c r="O45" i="4"/>
  <c r="N45" i="4"/>
  <c r="K45" i="4"/>
  <c r="L45" i="4"/>
  <c r="O50" i="4"/>
  <c r="O49" i="4"/>
  <c r="L50" i="4"/>
  <c r="L49" i="4"/>
  <c r="K50" i="4"/>
  <c r="K49" i="4"/>
  <c r="O41" i="4"/>
  <c r="N41" i="4"/>
  <c r="L41" i="4"/>
  <c r="K41" i="4"/>
  <c r="N40" i="4"/>
  <c r="L40" i="4"/>
  <c r="K40" i="4"/>
  <c r="O33" i="4"/>
  <c r="O32" i="4"/>
  <c r="N33" i="4"/>
  <c r="N32" i="4"/>
  <c r="L33" i="4"/>
  <c r="L32" i="4"/>
  <c r="O27" i="4"/>
  <c r="O26" i="4"/>
  <c r="Q26" i="4" s="1"/>
  <c r="N27" i="4"/>
  <c r="N26" i="4"/>
  <c r="L27" i="4"/>
  <c r="L26" i="4"/>
  <c r="O21" i="4"/>
  <c r="O20" i="4"/>
  <c r="N21" i="4"/>
  <c r="N20" i="4"/>
  <c r="L21" i="4"/>
  <c r="L20" i="4"/>
  <c r="O14" i="4"/>
  <c r="N15" i="4"/>
  <c r="N14" i="4"/>
  <c r="L15" i="4"/>
  <c r="O10" i="4"/>
  <c r="N10" i="4"/>
  <c r="L10" i="4"/>
  <c r="K10" i="4"/>
  <c r="K20" i="4" s="1"/>
  <c r="O15" i="4"/>
  <c r="M70" i="4" l="1"/>
  <c r="K32" i="4"/>
  <c r="M40" i="4"/>
  <c r="P40" i="4"/>
  <c r="K26" i="4"/>
  <c r="M41" i="4"/>
  <c r="P105" i="4"/>
  <c r="R105" i="4" s="1"/>
  <c r="P41" i="4"/>
  <c r="M86" i="4"/>
  <c r="K33" i="4"/>
  <c r="M33" i="4" s="1"/>
  <c r="Q41" i="4"/>
  <c r="R41" i="4" s="1"/>
  <c r="P100" i="4"/>
  <c r="R100" i="4" s="1"/>
  <c r="P10" i="4"/>
  <c r="M32" i="4"/>
  <c r="M69" i="4"/>
  <c r="K27" i="4"/>
  <c r="M27" i="4" s="1"/>
  <c r="M105" i="4"/>
  <c r="Q105" i="4"/>
  <c r="P104" i="4"/>
  <c r="R104" i="4" s="1"/>
  <c r="Q104" i="4"/>
  <c r="P99" i="4"/>
  <c r="R99" i="4" s="1"/>
  <c r="Q99" i="4"/>
  <c r="M99" i="4"/>
  <c r="M104" i="4"/>
  <c r="M100" i="4"/>
  <c r="P91" i="4"/>
  <c r="P92" i="4"/>
  <c r="Q92" i="4"/>
  <c r="Q91" i="4"/>
  <c r="R91" i="4" s="1"/>
  <c r="M92" i="4"/>
  <c r="Q87" i="4"/>
  <c r="R87" i="4" s="1"/>
  <c r="P87" i="4"/>
  <c r="P86" i="4"/>
  <c r="R86" i="4" s="1"/>
  <c r="Q86" i="4"/>
  <c r="M87" i="4"/>
  <c r="M91" i="4"/>
  <c r="P70" i="4"/>
  <c r="Q70" i="4"/>
  <c r="Q75" i="4"/>
  <c r="P76" i="4"/>
  <c r="Q76" i="4"/>
  <c r="P75" i="4"/>
  <c r="R75" i="4" s="1"/>
  <c r="P69" i="4"/>
  <c r="Q69" i="4"/>
  <c r="M65" i="4"/>
  <c r="Q65" i="4"/>
  <c r="P65" i="4"/>
  <c r="M64" i="4"/>
  <c r="P64" i="4"/>
  <c r="R64" i="4" s="1"/>
  <c r="Q64" i="4"/>
  <c r="M45" i="4"/>
  <c r="M76" i="4"/>
  <c r="M75" i="4"/>
  <c r="P50" i="4"/>
  <c r="Q50" i="4"/>
  <c r="R50" i="4" s="1"/>
  <c r="P49" i="4"/>
  <c r="M50" i="4"/>
  <c r="M49" i="4"/>
  <c r="Q49" i="4"/>
  <c r="R49" i="4" s="1"/>
  <c r="P45" i="4"/>
  <c r="Q45" i="4"/>
  <c r="R45" i="4" s="1"/>
  <c r="M26" i="4"/>
  <c r="Q14" i="4"/>
  <c r="K14" i="4"/>
  <c r="M14" i="4" s="1"/>
  <c r="K21" i="4"/>
  <c r="M21" i="4" s="1"/>
  <c r="K15" i="4"/>
  <c r="M15" i="4" s="1"/>
  <c r="M20" i="4"/>
  <c r="Q10" i="4"/>
  <c r="Q27" i="4"/>
  <c r="P21" i="4"/>
  <c r="P26" i="4"/>
  <c r="Q21" i="4"/>
  <c r="P32" i="4"/>
  <c r="Q32" i="4"/>
  <c r="R32" i="4" s="1"/>
  <c r="P20" i="4"/>
  <c r="Q20" i="4"/>
  <c r="Q33" i="4"/>
  <c r="Q15" i="4"/>
  <c r="P33" i="4"/>
  <c r="P15" i="4"/>
  <c r="P27" i="4"/>
  <c r="Q40" i="4"/>
  <c r="Q20" i="3"/>
  <c r="O138" i="3"/>
  <c r="N138" i="3"/>
  <c r="L138" i="3"/>
  <c r="M138" i="3" s="1"/>
  <c r="O137" i="3"/>
  <c r="N137" i="3"/>
  <c r="L137" i="3"/>
  <c r="M137" i="3" s="1"/>
  <c r="O132" i="3"/>
  <c r="N132" i="3"/>
  <c r="L132" i="3"/>
  <c r="M132" i="3" s="1"/>
  <c r="O131" i="3"/>
  <c r="N131" i="3"/>
  <c r="M131" i="3"/>
  <c r="L131" i="3"/>
  <c r="O126" i="3"/>
  <c r="N126" i="3"/>
  <c r="L126" i="3"/>
  <c r="M126" i="3" s="1"/>
  <c r="O125" i="3"/>
  <c r="N125" i="3"/>
  <c r="L125" i="3"/>
  <c r="M125" i="3" s="1"/>
  <c r="O124" i="3"/>
  <c r="N124" i="3"/>
  <c r="L124" i="3"/>
  <c r="M124" i="3" s="1"/>
  <c r="O80" i="3"/>
  <c r="N80" i="3"/>
  <c r="L80" i="3"/>
  <c r="Q80" i="3" s="1"/>
  <c r="O79" i="3"/>
  <c r="N79" i="3"/>
  <c r="L79" i="3"/>
  <c r="M79" i="3" s="1"/>
  <c r="O74" i="3"/>
  <c r="Q74" i="3" s="1"/>
  <c r="N74" i="3"/>
  <c r="L74" i="3"/>
  <c r="M74" i="3" s="1"/>
  <c r="O73" i="3"/>
  <c r="N73" i="3"/>
  <c r="L73" i="3"/>
  <c r="M73" i="3" s="1"/>
  <c r="O68" i="3"/>
  <c r="Q68" i="3" s="1"/>
  <c r="N68" i="3"/>
  <c r="P68" i="3" s="1"/>
  <c r="L68" i="3"/>
  <c r="M68" i="3" s="1"/>
  <c r="O67" i="3"/>
  <c r="Q67" i="3" s="1"/>
  <c r="N67" i="3"/>
  <c r="L67" i="3"/>
  <c r="P67" i="3" s="1"/>
  <c r="R67" i="3" s="1"/>
  <c r="P66" i="3"/>
  <c r="O66" i="3"/>
  <c r="Q66" i="3" s="1"/>
  <c r="N66" i="3"/>
  <c r="L66" i="3"/>
  <c r="M66" i="3" s="1"/>
  <c r="O42" i="3"/>
  <c r="N42" i="3"/>
  <c r="L42" i="3"/>
  <c r="M42" i="3" s="1"/>
  <c r="O35" i="3"/>
  <c r="Q35" i="3" s="1"/>
  <c r="N35" i="3"/>
  <c r="L35" i="3"/>
  <c r="M35" i="3" s="1"/>
  <c r="O34" i="3"/>
  <c r="Q34" i="3" s="1"/>
  <c r="N34" i="3"/>
  <c r="P34" i="3" s="1"/>
  <c r="R34" i="3" s="1"/>
  <c r="L34" i="3"/>
  <c r="M34" i="3" s="1"/>
  <c r="O29" i="3"/>
  <c r="N29" i="3"/>
  <c r="P29" i="3" s="1"/>
  <c r="R29" i="3" s="1"/>
  <c r="L29" i="3"/>
  <c r="Q29" i="3" s="1"/>
  <c r="O28" i="3"/>
  <c r="Q28" i="3" s="1"/>
  <c r="N28" i="3"/>
  <c r="L28" i="3"/>
  <c r="P28" i="3" s="1"/>
  <c r="R28" i="3" s="1"/>
  <c r="O27" i="3"/>
  <c r="Q27" i="3" s="1"/>
  <c r="N27" i="3"/>
  <c r="L27" i="3"/>
  <c r="O22" i="3"/>
  <c r="N22" i="3"/>
  <c r="L22" i="3"/>
  <c r="Q22" i="3" s="1"/>
  <c r="O21" i="3"/>
  <c r="Q21" i="3" s="1"/>
  <c r="N21" i="3"/>
  <c r="P21" i="3" s="1"/>
  <c r="R21" i="3" s="1"/>
  <c r="L21" i="3"/>
  <c r="M21" i="3" s="1"/>
  <c r="O20" i="3"/>
  <c r="N20" i="3"/>
  <c r="L20" i="3"/>
  <c r="M20" i="3" s="1"/>
  <c r="O15" i="3"/>
  <c r="N15" i="3"/>
  <c r="L15" i="3"/>
  <c r="O14" i="3"/>
  <c r="L14" i="3"/>
  <c r="O10" i="3"/>
  <c r="Q10" i="3" s="1"/>
  <c r="N10" i="3"/>
  <c r="P10" i="3" s="1"/>
  <c r="R66" i="3" l="1"/>
  <c r="R68" i="3"/>
  <c r="R65" i="4"/>
  <c r="M29" i="3"/>
  <c r="P79" i="3"/>
  <c r="R79" i="3" s="1"/>
  <c r="S79" i="3" s="1"/>
  <c r="Q125" i="3"/>
  <c r="P132" i="3"/>
  <c r="R132" i="3" s="1"/>
  <c r="P125" i="3"/>
  <c r="R125" i="3" s="1"/>
  <c r="P35" i="3"/>
  <c r="R35" i="3" s="1"/>
  <c r="S34" i="3" s="1"/>
  <c r="P27" i="3"/>
  <c r="R27" i="3" s="1"/>
  <c r="P73" i="3"/>
  <c r="R73" i="3" s="1"/>
  <c r="P80" i="3"/>
  <c r="R80" i="3" s="1"/>
  <c r="Q126" i="3"/>
  <c r="P137" i="3"/>
  <c r="R15" i="3"/>
  <c r="S14" i="3" s="1"/>
  <c r="Q132" i="3"/>
  <c r="P20" i="3"/>
  <c r="R20" i="3" s="1"/>
  <c r="S20" i="3" s="1"/>
  <c r="Q42" i="3"/>
  <c r="Q73" i="3"/>
  <c r="Q137" i="3"/>
  <c r="R137" i="3" s="1"/>
  <c r="P22" i="3"/>
  <c r="R22" i="3" s="1"/>
  <c r="Q79" i="3"/>
  <c r="P131" i="3"/>
  <c r="R131" i="3" s="1"/>
  <c r="P138" i="3"/>
  <c r="R138" i="3" s="1"/>
  <c r="R76" i="4"/>
  <c r="M67" i="3"/>
  <c r="P126" i="3"/>
  <c r="P74" i="3"/>
  <c r="R74" i="3" s="1"/>
  <c r="Q131" i="3"/>
  <c r="Q138" i="3"/>
  <c r="S86" i="4"/>
  <c r="R70" i="4"/>
  <c r="S104" i="4"/>
  <c r="S99" i="4"/>
  <c r="S91" i="4"/>
  <c r="S45" i="4"/>
  <c r="S40" i="4"/>
  <c r="S49" i="4"/>
  <c r="R69" i="4"/>
  <c r="R92" i="4"/>
  <c r="R20" i="4"/>
  <c r="R33" i="4"/>
  <c r="S69" i="4" s="1"/>
  <c r="R26" i="4"/>
  <c r="R27" i="4"/>
  <c r="R21" i="4"/>
  <c r="V121" i="3"/>
  <c r="M27" i="3"/>
  <c r="M28" i="3"/>
  <c r="P42" i="3"/>
  <c r="M22" i="3"/>
  <c r="M80" i="3"/>
  <c r="P66" i="2"/>
  <c r="M67" i="2"/>
  <c r="M66" i="2"/>
  <c r="M28" i="2"/>
  <c r="S27" i="2" s="1"/>
  <c r="M15" i="2"/>
  <c r="M14" i="2"/>
  <c r="M20" i="2"/>
  <c r="M21" i="2"/>
  <c r="R126" i="3" l="1"/>
  <c r="S20" i="4"/>
  <c r="R42" i="3"/>
  <c r="S73" i="3"/>
  <c r="S66" i="3"/>
  <c r="S27" i="3"/>
  <c r="Q21" i="2"/>
  <c r="S64" i="4"/>
  <c r="S75" i="4"/>
  <c r="S26" i="4"/>
  <c r="S32" i="4"/>
  <c r="S124" i="3"/>
  <c r="S131" i="3"/>
  <c r="S137" i="3"/>
  <c r="P21" i="2"/>
  <c r="P67" i="2"/>
  <c r="R67" i="2" s="1"/>
  <c r="Q67" i="2"/>
  <c r="Q66" i="2"/>
  <c r="R66" i="2" s="1"/>
  <c r="Q15" i="2"/>
  <c r="P15" i="2"/>
  <c r="R15" i="2" s="1"/>
  <c r="Q14" i="2"/>
  <c r="P14" i="2"/>
  <c r="R14" i="2" l="1"/>
  <c r="R21" i="2"/>
  <c r="S14" i="2"/>
  <c r="S66" i="2" l="1"/>
  <c r="S73" i="2"/>
  <c r="S20" i="2"/>
</calcChain>
</file>

<file path=xl/sharedStrings.xml><?xml version="1.0" encoding="utf-8"?>
<sst xmlns="http://schemas.openxmlformats.org/spreadsheetml/2006/main" count="980" uniqueCount="79">
  <si>
    <t>Outlook</t>
  </si>
  <si>
    <t>Temperature</t>
  </si>
  <si>
    <t>Humidity</t>
  </si>
  <si>
    <t>Windy</t>
  </si>
  <si>
    <t>Play</t>
  </si>
  <si>
    <t>Sunny</t>
  </si>
  <si>
    <t>Overcast</t>
  </si>
  <si>
    <t>Rain</t>
  </si>
  <si>
    <t>no</t>
  </si>
  <si>
    <t>yes</t>
  </si>
  <si>
    <t>Hot</t>
  </si>
  <si>
    <t>High</t>
  </si>
  <si>
    <t>Mild</t>
  </si>
  <si>
    <t>Cool</t>
  </si>
  <si>
    <t>Normal</t>
  </si>
  <si>
    <t>Day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</si>
  <si>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</si>
  <si>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</si>
  <si>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</si>
  <si>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</si>
  <si>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</si>
  <si>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</si>
  <si>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</si>
  <si>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</si>
  <si>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</si>
  <si>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</si>
  <si>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</si>
  <si>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</si>
  <si>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D14</t>
  </si>
  <si>
    <t>D13</t>
  </si>
  <si>
    <t>D15</t>
  </si>
  <si>
    <t>?</t>
  </si>
  <si>
    <t>Temp&gt;=80=Hot</t>
  </si>
  <si>
    <t>Temp [70-79]=Mild</t>
  </si>
  <si>
    <t>Temp&lt;70=Cool</t>
  </si>
  <si>
    <t>Play(yes)</t>
  </si>
  <si>
    <t>Play(no)</t>
  </si>
  <si>
    <t>Count</t>
  </si>
  <si>
    <t>p(yes)</t>
  </si>
  <si>
    <t>p(no)</t>
  </si>
  <si>
    <t>Attribute</t>
  </si>
  <si>
    <t>Wind</t>
  </si>
  <si>
    <t>Gain</t>
  </si>
  <si>
    <t># Instances</t>
  </si>
  <si>
    <t>Decisions</t>
  </si>
  <si>
    <t>Entropy(D)</t>
  </si>
  <si>
    <t>Decision</t>
  </si>
  <si>
    <t>Entropy(D,W)</t>
  </si>
  <si>
    <t>P(D|W)</t>
  </si>
  <si>
    <t>Humid&gt;80=High</t>
  </si>
  <si>
    <t>Humid&lt;=80=Normal</t>
  </si>
  <si>
    <t>Highest score</t>
  </si>
  <si>
    <t>root node of the tree</t>
  </si>
  <si>
    <t>add to the tree as child of sunny</t>
  </si>
  <si>
    <t>Gini(D,W)</t>
  </si>
  <si>
    <t>Lowest cost</t>
  </si>
  <si>
    <t>add as a root node of the tree</t>
  </si>
  <si>
    <t>Color</t>
  </si>
  <si>
    <t>black</t>
  </si>
  <si>
    <t>big</t>
  </si>
  <si>
    <t>poodle</t>
  </si>
  <si>
    <t>danger</t>
  </si>
  <si>
    <t>brown</t>
  </si>
  <si>
    <t>smooth</t>
  </si>
  <si>
    <t>small</t>
  </si>
  <si>
    <t>safe</t>
  </si>
  <si>
    <t>medium</t>
  </si>
  <si>
    <t>Number</t>
  </si>
  <si>
    <t>Body Shape</t>
  </si>
  <si>
    <t>Hair Type</t>
  </si>
  <si>
    <t>Characteristic</t>
  </si>
  <si>
    <t>hair type</t>
  </si>
  <si>
    <t>Play(safe)</t>
  </si>
  <si>
    <t>Play(danger)</t>
  </si>
  <si>
    <t>p(safe)</t>
  </si>
  <si>
    <t>p(danger)</t>
  </si>
  <si>
    <t>body shape</t>
  </si>
  <si>
    <t>color</t>
  </si>
  <si>
    <t>hair 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</si>
</sst>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3" fillId="2" borderId="0" xfId="0" applyFont="1" applyFill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4" fillId="2" borderId="0" xfId="0" applyNumberFormat="1" applyFont="1" applyFill="1" applyAlignment="1">
      <alignment vertical="center"/>
    </xf>
    <xf numFmtId="165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7" borderId="2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4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D23841-D462-4D34-937A-846F1797CB88}"/>
            </a:ext>
          </a:extLst>
        </xdr:cNvPr>
        <xdr:cNvSpPr txBox="1"/>
      </xdr:nvSpPr>
      <xdr:spPr>
        <a:xfrm>
          <a:off x="9353550" y="4029075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B6FDAE8-2620-4995-B0DB-30CE73763FA5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1">
              <a:extLst>
                <a:ext uri="{FF2B5EF4-FFF2-40B4-BE49-F238E27FC236}">
                  <a16:creationId xmlns:a16="http://schemas.microsoft.com/office/drawing/2014/main" id="{085E0D60-4C23-4EFF-A8E9-DACCDE1CCAFF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361950</xdr:colOff>
      <xdr:row>9</xdr:row>
      <xdr:rowOff>0</xdr:rowOff>
    </xdr:from>
    <xdr:to>
      <xdr:col>32</xdr:col>
      <xdr:colOff>416719</xdr:colOff>
      <xdr:row>11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A341537-600D-4B64-A430-FFA848B6E5B9}"/>
            </a:ext>
          </a:extLst>
        </xdr:cNvPr>
        <xdr:cNvSpPr/>
      </xdr:nvSpPr>
      <xdr:spPr>
        <a:xfrm>
          <a:off x="21793200" y="1666875"/>
          <a:ext cx="1876425" cy="585788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Body shape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91DE3AF-8E28-43F1-B788-7A73F0CC194A}"/>
            </a:ext>
          </a:extLst>
        </xdr:cNvPr>
        <xdr:cNvSpPr/>
      </xdr:nvSpPr>
      <xdr:spPr>
        <a:xfrm>
          <a:off x="19847719" y="3052763"/>
          <a:ext cx="1602581" cy="588168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big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B29C0D4-F615-4B34-B07E-8A7DA54D46F6}"/>
            </a:ext>
          </a:extLst>
        </xdr:cNvPr>
        <xdr:cNvSpPr/>
      </xdr:nvSpPr>
      <xdr:spPr>
        <a:xfrm>
          <a:off x="21917025" y="3062288"/>
          <a:ext cx="1602581" cy="588168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medium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D541797-A487-4CBB-8FEA-C3C9B2C817B9}"/>
            </a:ext>
          </a:extLst>
        </xdr:cNvPr>
        <xdr:cNvSpPr/>
      </xdr:nvSpPr>
      <xdr:spPr>
        <a:xfrm>
          <a:off x="226314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small</a:t>
          </a:r>
        </a:p>
      </xdr:txBody>
    </xdr:sp>
    <xdr:clientData/>
  </xdr:twoCellAnchor>
  <xdr:twoCellAnchor>
    <xdr:from>
      <xdr:col>27</xdr:col>
      <xdr:colOff>432197</xdr:colOff>
      <xdr:row>11</xdr:row>
      <xdr:rowOff>180975</xdr:rowOff>
    </xdr:from>
    <xdr:to>
      <xdr:col>31</xdr:col>
      <xdr:colOff>85725</xdr:colOff>
      <xdr:row>15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254DB46-BA6A-43E5-A1A8-0B011B6EF6CE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20649010" y="2252663"/>
          <a:ext cx="2082403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72628</xdr:colOff>
      <xdr:row>11</xdr:row>
      <xdr:rowOff>180975</xdr:rowOff>
    </xdr:from>
    <xdr:to>
      <xdr:col>31</xdr:col>
      <xdr:colOff>85725</xdr:colOff>
      <xdr:row>15</xdr:row>
      <xdr:rowOff>180975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830B32-E760-450A-975A-5174A22EFEDF}"/>
            </a:ext>
          </a:extLst>
        </xdr:cNvPr>
        <xdr:cNvCxnSpPr>
          <a:stCxn id="7" idx="2"/>
          <a:endCxn id="9" idx="0"/>
        </xdr:cNvCxnSpPr>
      </xdr:nvCxnSpPr>
      <xdr:spPr>
        <a:xfrm flipH="1">
          <a:off x="22718316" y="2252663"/>
          <a:ext cx="13097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85725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34C5EE8-062D-42F9-91EC-E20226BCAE0C}"/>
            </a:ext>
          </a:extLst>
        </xdr:cNvPr>
        <xdr:cNvCxnSpPr>
          <a:cxnSpLocks/>
          <a:stCxn id="7" idx="2"/>
          <a:endCxn id="10" idx="0"/>
        </xdr:cNvCxnSpPr>
      </xdr:nvCxnSpPr>
      <xdr:spPr>
        <a:xfrm>
          <a:off x="22731413" y="2252663"/>
          <a:ext cx="2102644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962473F4-1A26-4E16-9900-0E6A4E882C5E}"/>
            </a:ext>
          </a:extLst>
        </xdr:cNvPr>
        <xdr:cNvSpPr/>
      </xdr:nvSpPr>
      <xdr:spPr>
        <a:xfrm>
          <a:off x="20974050" y="95345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body type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33986304-0DE6-4CDF-A1A6-FDFAE20FCA45}"/>
            </a:ext>
          </a:extLst>
        </xdr:cNvPr>
        <xdr:cNvSpPr/>
      </xdr:nvSpPr>
      <xdr:spPr>
        <a:xfrm>
          <a:off x="18926175" y="109061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medium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8EF8638-8272-498B-B404-562ACD848736}"/>
            </a:ext>
          </a:extLst>
        </xdr:cNvPr>
        <xdr:cNvSpPr/>
      </xdr:nvSpPr>
      <xdr:spPr>
        <a:xfrm>
          <a:off x="21002625" y="10915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big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145218D9-20FC-4C07-BAFE-8B6563048B93}"/>
            </a:ext>
          </a:extLst>
        </xdr:cNvPr>
        <xdr:cNvSpPr/>
      </xdr:nvSpPr>
      <xdr:spPr>
        <a:xfrm>
          <a:off x="23126700" y="109061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small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8A1917E-06E5-469C-B355-213E0BEE8E04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31038" y="101155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EFC5145A-06A6-473A-BCBA-3C176ECD16B4}"/>
            </a:ext>
          </a:extLst>
        </xdr:cNvPr>
        <xdr:cNvCxnSpPr>
          <a:stCxn id="32" idx="2"/>
          <a:endCxn id="34" idx="0"/>
        </xdr:cNvCxnSpPr>
      </xdr:nvCxnSpPr>
      <xdr:spPr>
        <a:xfrm>
          <a:off x="21778913" y="101155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2667A17-4980-4467-96F7-657E55FFD2A7}"/>
            </a:ext>
          </a:extLst>
        </xdr:cNvPr>
        <xdr:cNvCxnSpPr>
          <a:stCxn id="32" idx="2"/>
          <a:endCxn id="35" idx="0"/>
        </xdr:cNvCxnSpPr>
      </xdr:nvCxnSpPr>
      <xdr:spPr>
        <a:xfrm>
          <a:off x="21778913" y="101155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111919</xdr:colOff>
      <xdr:row>77</xdr:row>
      <xdr:rowOff>104775</xdr:rowOff>
    </xdr:from>
    <xdr:to>
      <xdr:col>27</xdr:col>
      <xdr:colOff>500062</xdr:colOff>
      <xdr:row>80</xdr:row>
      <xdr:rowOff>83344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C7AA0942-0DE4-4D8B-B282-AC10E26EB7C6}"/>
            </a:ext>
          </a:extLst>
        </xdr:cNvPr>
        <xdr:cNvSpPr/>
      </xdr:nvSpPr>
      <xdr:spPr>
        <a:xfrm>
          <a:off x="19114294" y="15332869"/>
          <a:ext cx="1602581" cy="585788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color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18399C6-4FD2-4F97-9208-215F182AB70C}"/>
            </a:ext>
          </a:extLst>
        </xdr:cNvPr>
        <xdr:cNvSpPr/>
      </xdr:nvSpPr>
      <xdr:spPr>
        <a:xfrm>
          <a:off x="21002625" y="122682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small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F356FF1-26C9-4C05-B65C-25E006D64264}"/>
            </a:ext>
          </a:extLst>
        </xdr:cNvPr>
        <xdr:cNvCxnSpPr>
          <a:stCxn id="34" idx="2"/>
          <a:endCxn id="40" idx="0"/>
        </xdr:cNvCxnSpPr>
      </xdr:nvCxnSpPr>
      <xdr:spPr>
        <a:xfrm>
          <a:off x="21807488" y="114966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305991</xdr:colOff>
      <xdr:row>73</xdr:row>
      <xdr:rowOff>161925</xdr:rowOff>
    </xdr:from>
    <xdr:to>
      <xdr:col>28</xdr:col>
      <xdr:colOff>319088</xdr:colOff>
      <xdr:row>77</xdr:row>
      <xdr:rowOff>104775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9F5C95E-1687-4205-BA33-7E03E0F6DA7A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9915585" y="14604206"/>
          <a:ext cx="1227534" cy="728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29E2F828-712E-4086-977F-67F87D8687B8}"/>
            </a:ext>
          </a:extLst>
        </xdr:cNvPr>
        <xdr:cNvSpPr/>
      </xdr:nvSpPr>
      <xdr:spPr>
        <a:xfrm>
          <a:off x="20945475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Body Type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A7BF9CDF-FD11-4E9B-9024-25E2A50082F3}"/>
            </a:ext>
          </a:extLst>
        </xdr:cNvPr>
        <xdr:cNvSpPr/>
      </xdr:nvSpPr>
      <xdr:spPr>
        <a:xfrm>
          <a:off x="1889760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medium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08A841-7C5F-4526-8B55-54F3189B074D}"/>
            </a:ext>
          </a:extLst>
        </xdr:cNvPr>
        <xdr:cNvSpPr/>
      </xdr:nvSpPr>
      <xdr:spPr>
        <a:xfrm>
          <a:off x="20974050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Big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DE9B790B-4E31-4F98-9B24-4D9B06DD78AC}"/>
            </a:ext>
          </a:extLst>
        </xdr:cNvPr>
        <xdr:cNvSpPr/>
      </xdr:nvSpPr>
      <xdr:spPr>
        <a:xfrm>
          <a:off x="230981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small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B8C53275-5129-4612-82B6-ED4AA41647D2}"/>
            </a:ext>
          </a:extLst>
        </xdr:cNvPr>
        <xdr:cNvCxnSpPr>
          <a:stCxn id="44" idx="2"/>
          <a:endCxn id="45" idx="0"/>
        </xdr:cNvCxnSpPr>
      </xdr:nvCxnSpPr>
      <xdr:spPr>
        <a:xfrm flipH="1">
          <a:off x="19702463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C92A4FA-3715-46A9-9169-8F633BF3C5D9}"/>
            </a:ext>
          </a:extLst>
        </xdr:cNvPr>
        <xdr:cNvCxnSpPr>
          <a:stCxn id="44" idx="2"/>
          <a:endCxn id="46" idx="0"/>
        </xdr:cNvCxnSpPr>
      </xdr:nvCxnSpPr>
      <xdr:spPr>
        <a:xfrm>
          <a:off x="21750338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9C9BB6E-3F99-4BC1-B180-179FC94E30E1}"/>
            </a:ext>
          </a:extLst>
        </xdr:cNvPr>
        <xdr:cNvCxnSpPr>
          <a:stCxn id="44" idx="2"/>
          <a:endCxn id="47" idx="0"/>
        </xdr:cNvCxnSpPr>
      </xdr:nvCxnSpPr>
      <xdr:spPr>
        <a:xfrm>
          <a:off x="21750338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572063A-91B6-4B18-A973-CA0E4DB1671B}"/>
            </a:ext>
          </a:extLst>
        </xdr:cNvPr>
        <xdr:cNvSpPr/>
      </xdr:nvSpPr>
      <xdr:spPr>
        <a:xfrm>
          <a:off x="20974050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083EE01-D616-4C68-90C1-122E5A7FCDC7}"/>
            </a:ext>
          </a:extLst>
        </xdr:cNvPr>
        <xdr:cNvCxnSpPr>
          <a:stCxn id="46" idx="2"/>
          <a:endCxn id="51" idx="0"/>
        </xdr:cNvCxnSpPr>
      </xdr:nvCxnSpPr>
      <xdr:spPr>
        <a:xfrm>
          <a:off x="21778913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1E860638-FA58-47BE-8D3F-B2105935C7C7}"/>
            </a:ext>
          </a:extLst>
        </xdr:cNvPr>
        <xdr:cNvSpPr/>
      </xdr:nvSpPr>
      <xdr:spPr>
        <a:xfrm>
          <a:off x="20859750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body type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BB5D975-11D3-4E02-AE0F-1E75677F2E89}"/>
            </a:ext>
          </a:extLst>
        </xdr:cNvPr>
        <xdr:cNvSpPr/>
      </xdr:nvSpPr>
      <xdr:spPr>
        <a:xfrm>
          <a:off x="1881187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medium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EC716849-B1A6-4AEA-A1E5-62239FEC59BB}"/>
            </a:ext>
          </a:extLst>
        </xdr:cNvPr>
        <xdr:cNvSpPr/>
      </xdr:nvSpPr>
      <xdr:spPr>
        <a:xfrm>
          <a:off x="20888325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big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CC94419-5F0D-48DF-B79D-47AF6E58F6CD}"/>
            </a:ext>
          </a:extLst>
        </xdr:cNvPr>
        <xdr:cNvSpPr/>
      </xdr:nvSpPr>
      <xdr:spPr>
        <a:xfrm>
          <a:off x="230124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small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164E7468-4F0B-4A3D-993D-E2CAC4EF15C5}"/>
            </a:ext>
          </a:extLst>
        </xdr:cNvPr>
        <xdr:cNvCxnSpPr>
          <a:stCxn id="55" idx="2"/>
          <a:endCxn id="56" idx="0"/>
        </xdr:cNvCxnSpPr>
      </xdr:nvCxnSpPr>
      <xdr:spPr>
        <a:xfrm flipH="1">
          <a:off x="19616738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CB03A7D6-DEEE-423B-B892-99D02F700097}"/>
            </a:ext>
          </a:extLst>
        </xdr:cNvPr>
        <xdr:cNvCxnSpPr>
          <a:stCxn id="55" idx="2"/>
          <a:endCxn id="57" idx="0"/>
        </xdr:cNvCxnSpPr>
      </xdr:nvCxnSpPr>
      <xdr:spPr>
        <a:xfrm>
          <a:off x="21664613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F0AB57BE-1CC1-4BA4-A16E-14BD784F89DD}"/>
            </a:ext>
          </a:extLst>
        </xdr:cNvPr>
        <xdr:cNvCxnSpPr>
          <a:stCxn id="55" idx="2"/>
          <a:endCxn id="58" idx="0"/>
        </xdr:cNvCxnSpPr>
      </xdr:nvCxnSpPr>
      <xdr:spPr>
        <a:xfrm>
          <a:off x="21664613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93F20EA7-6526-4F02-BEB1-EB07D02DCA32}"/>
            </a:ext>
          </a:extLst>
        </xdr:cNvPr>
        <xdr:cNvSpPr/>
      </xdr:nvSpPr>
      <xdr:spPr>
        <a:xfrm>
          <a:off x="18021300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color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9F4FB522-918E-467B-9D03-F22AA8D317F0}"/>
            </a:ext>
          </a:extLst>
        </xdr:cNvPr>
        <xdr:cNvSpPr/>
      </xdr:nvSpPr>
      <xdr:spPr>
        <a:xfrm>
          <a:off x="20888325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BBB4FD6-5402-4B3E-A809-E00B985FA81E}"/>
            </a:ext>
          </a:extLst>
        </xdr:cNvPr>
        <xdr:cNvCxnSpPr>
          <a:stCxn id="57" idx="2"/>
          <a:endCxn id="63" idx="0"/>
        </xdr:cNvCxnSpPr>
      </xdr:nvCxnSpPr>
      <xdr:spPr>
        <a:xfrm>
          <a:off x="21693188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EDD2883B-97F2-41A8-97B6-B234FA792FDD}"/>
            </a:ext>
          </a:extLst>
        </xdr:cNvPr>
        <xdr:cNvCxnSpPr>
          <a:stCxn id="56" idx="2"/>
          <a:endCxn id="62" idx="0"/>
        </xdr:cNvCxnSpPr>
      </xdr:nvCxnSpPr>
      <xdr:spPr>
        <a:xfrm flipH="1">
          <a:off x="18826163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D6FE03F-3B8F-4831-9484-28D422490DBE}"/>
            </a:ext>
          </a:extLst>
        </xdr:cNvPr>
        <xdr:cNvSpPr/>
      </xdr:nvSpPr>
      <xdr:spPr>
        <a:xfrm>
          <a:off x="17211675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black</a:t>
          </a:r>
        </a:p>
      </xdr:txBody>
    </xdr:sp>
    <xdr:clientData/>
  </xdr:twoCellAnchor>
  <xdr:twoCellAnchor>
    <xdr:from>
      <xdr:col>27</xdr:col>
      <xdr:colOff>385511</xdr:colOff>
      <xdr:row>107</xdr:row>
      <xdr:rowOff>53641</xdr:rowOff>
    </xdr:from>
    <xdr:to>
      <xdr:col>30</xdr:col>
      <xdr:colOff>166436</xdr:colOff>
      <xdr:row>110</xdr:row>
      <xdr:rowOff>63166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8D83870-6600-4F37-B3BD-8A47BADD7014}"/>
            </a:ext>
          </a:extLst>
        </xdr:cNvPr>
        <xdr:cNvSpPr/>
      </xdr:nvSpPr>
      <xdr:spPr>
        <a:xfrm>
          <a:off x="20613603" y="20920911"/>
          <a:ext cx="1623261" cy="57350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brown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338518FB-64E5-43A8-A304-7AC9952DA701}"/>
            </a:ext>
          </a:extLst>
        </xdr:cNvPr>
        <xdr:cNvCxnSpPr>
          <a:stCxn id="62" idx="2"/>
          <a:endCxn id="66" idx="0"/>
        </xdr:cNvCxnSpPr>
      </xdr:nvCxnSpPr>
      <xdr:spPr>
        <a:xfrm flipH="1">
          <a:off x="18016538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21557</xdr:colOff>
      <xdr:row>102</xdr:row>
      <xdr:rowOff>180975</xdr:rowOff>
    </xdr:from>
    <xdr:to>
      <xdr:col>28</xdr:col>
      <xdr:colOff>583030</xdr:colOff>
      <xdr:row>107</xdr:row>
      <xdr:rowOff>53641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247385E-2AFC-4BB7-8229-8B5FEEBFF0EE}"/>
            </a:ext>
          </a:extLst>
        </xdr:cNvPr>
        <xdr:cNvCxnSpPr>
          <a:stCxn id="62" idx="2"/>
          <a:endCxn id="67" idx="0"/>
        </xdr:cNvCxnSpPr>
      </xdr:nvCxnSpPr>
      <xdr:spPr>
        <a:xfrm>
          <a:off x="20249649" y="20108278"/>
          <a:ext cx="1175585" cy="8126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5CD811DE-7637-44FE-81C4-198AC4B31416}"/>
            </a:ext>
          </a:extLst>
        </xdr:cNvPr>
        <xdr:cNvSpPr/>
      </xdr:nvSpPr>
      <xdr:spPr>
        <a:xfrm>
          <a:off x="17221200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safe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93AC2C06-71A2-41C0-97D8-1530987B4718}"/>
            </a:ext>
          </a:extLst>
        </xdr:cNvPr>
        <xdr:cNvSpPr/>
      </xdr:nvSpPr>
      <xdr:spPr>
        <a:xfrm>
          <a:off x="19202400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319C15D-B20B-4BCA-B333-945BC9BDB9F2}"/>
            </a:ext>
          </a:extLst>
        </xdr:cNvPr>
        <xdr:cNvCxnSpPr>
          <a:stCxn id="66" idx="2"/>
          <a:endCxn id="74" idx="0"/>
        </xdr:cNvCxnSpPr>
      </xdr:nvCxnSpPr>
      <xdr:spPr>
        <a:xfrm>
          <a:off x="18016538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583030</xdr:colOff>
      <xdr:row>110</xdr:row>
      <xdr:rowOff>63166</xdr:rowOff>
    </xdr:from>
    <xdr:to>
      <xdr:col>28</xdr:col>
      <xdr:colOff>597569</xdr:colOff>
      <xdr:row>113</xdr:row>
      <xdr:rowOff>9525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61910677-B347-46DE-ADB2-EB4D5307906E}"/>
            </a:ext>
          </a:extLst>
        </xdr:cNvPr>
        <xdr:cNvCxnSpPr>
          <a:stCxn id="67" idx="2"/>
          <a:endCxn id="75" idx="0"/>
        </xdr:cNvCxnSpPr>
      </xdr:nvCxnSpPr>
      <xdr:spPr>
        <a:xfrm>
          <a:off x="21425234" y="21494416"/>
          <a:ext cx="14539" cy="51033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1EDF3A02-411A-41E1-AEA8-00AE4E4127CB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body type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B78DB825-E992-4975-A151-703CE45F922A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medium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2405BB2E-0E08-443B-BE5D-ACD68F1D0F84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big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73F7C853-6B7E-4A36-A7D8-0E584877595F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small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60BFB69-5E47-4E65-BBFE-E59B5DC941FB}"/>
            </a:ext>
          </a:extLst>
        </xdr:cNvPr>
        <xdr:cNvCxnSpPr>
          <a:stCxn id="82" idx="2"/>
          <a:endCxn id="83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E598778-5E92-45DC-B3D4-F673DBB6D501}"/>
            </a:ext>
          </a:extLst>
        </xdr:cNvPr>
        <xdr:cNvCxnSpPr>
          <a:stCxn id="82" idx="2"/>
          <a:endCxn id="84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4AA5DE29-E8A3-4F8D-86C4-31BD49093294}"/>
            </a:ext>
          </a:extLst>
        </xdr:cNvPr>
        <xdr:cNvCxnSpPr>
          <a:stCxn id="82" idx="2"/>
          <a:endCxn id="85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340F29F3-9DDC-4C04-BCBA-E5D05DAEEE24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color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802C6EC0-FE29-4C4F-9431-12D9389E0DB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E7E487DE-925A-4C32-8642-AE447624E9D5}"/>
            </a:ext>
          </a:extLst>
        </xdr:cNvPr>
        <xdr:cNvCxnSpPr>
          <a:stCxn id="84" idx="2"/>
          <a:endCxn id="90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ADFA79A0-80DA-4A8D-B908-163A17038619}"/>
            </a:ext>
          </a:extLst>
        </xdr:cNvPr>
        <xdr:cNvCxnSpPr>
          <a:stCxn id="83" idx="2"/>
          <a:endCxn id="89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42C949FA-28CE-4410-9E0C-A3EE20952AC3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black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AF0EC5E2-FE23-4D92-A408-F506F0547C53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brown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9282529-DD4D-410E-B814-A5483EDEBBCA}"/>
            </a:ext>
          </a:extLst>
        </xdr:cNvPr>
        <xdr:cNvCxnSpPr>
          <a:stCxn id="89" idx="2"/>
          <a:endCxn id="93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30EFBED-CEDC-4251-91C5-046B07A5DCD5}"/>
            </a:ext>
          </a:extLst>
        </xdr:cNvPr>
        <xdr:cNvCxnSpPr>
          <a:stCxn id="89" idx="2"/>
          <a:endCxn id="94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57E0C7B4-8D17-42C9-85F8-DA7E8A8512A3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safe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8052ABD4-13E8-49B1-82D7-A205E5B344CD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9FF46860-BA05-4ACB-B89D-77410741D279}"/>
            </a:ext>
          </a:extLst>
        </xdr:cNvPr>
        <xdr:cNvCxnSpPr>
          <a:stCxn id="93" idx="2"/>
          <a:endCxn id="97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8E680A1-4B70-4BDA-A18C-A4B9D0BA979A}"/>
            </a:ext>
          </a:extLst>
        </xdr:cNvPr>
        <xdr:cNvCxnSpPr>
          <a:stCxn id="94" idx="2"/>
          <a:endCxn id="98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52FB9CFF-E587-4AF1-9157-0C903249FCB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color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762DC4C-D1CE-4204-8A41-256EE75B7504}"/>
            </a:ext>
          </a:extLst>
        </xdr:cNvPr>
        <xdr:cNvCxnSpPr>
          <a:stCxn id="85" idx="2"/>
          <a:endCxn id="101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59E2DFC2-3AFD-4709-9DBF-5B795319760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black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99D0D62E-FE88-49A3-84BA-3827E1352C88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brown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4964BF5F-C1FE-43E4-85EE-ADF1D23779B1}"/>
            </a:ext>
          </a:extLst>
        </xdr:cNvPr>
        <xdr:cNvCxnSpPr>
          <a:stCxn id="101" idx="2"/>
          <a:endCxn id="105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EB0F690D-21CA-4BA0-871D-3A4A9B1482DB}"/>
            </a:ext>
          </a:extLst>
        </xdr:cNvPr>
        <xdr:cNvCxnSpPr>
          <a:stCxn id="101" idx="2"/>
          <a:endCxn id="106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5EB19FE3-C1E2-4CB0-8F5C-E0C80A799B4C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safe</a:t>
          </a:r>
        </a:p>
      </xdr:txBody>
    </xdr:sp>
    <xdr:clientData/>
  </xdr:twoCellAnchor>
  <xdr:twoCellAnchor>
    <xdr:from>
      <xdr:col>36</xdr:col>
      <xdr:colOff>38602</xdr:colOff>
      <xdr:row>147</xdr:row>
      <xdr:rowOff>101266</xdr:rowOff>
    </xdr:from>
    <xdr:to>
      <xdr:col>38</xdr:col>
      <xdr:colOff>429127</xdr:colOff>
      <xdr:row>150</xdr:row>
      <xdr:rowOff>110791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3FF5AF92-24FB-4240-B6BE-340C67866401}"/>
            </a:ext>
          </a:extLst>
        </xdr:cNvPr>
        <xdr:cNvSpPr/>
      </xdr:nvSpPr>
      <xdr:spPr>
        <a:xfrm>
          <a:off x="25793701" y="28651200"/>
          <a:ext cx="1618748" cy="57350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bg1"/>
              </a:solidFill>
            </a:rPr>
            <a:t>hair</a:t>
          </a:r>
          <a:r>
            <a:rPr lang="en-US" sz="2400" baseline="0">
              <a:solidFill>
                <a:schemeClr val="bg1"/>
              </a:solidFill>
            </a:rPr>
            <a:t> type</a:t>
          </a:r>
          <a:endParaRPr lang="en-US" sz="2400">
            <a:solidFill>
              <a:schemeClr val="bg1"/>
            </a:solidFill>
          </a:endParaRP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B0731C0-28AC-4B4A-8CD7-8E375A083D7F}"/>
            </a:ext>
          </a:extLst>
        </xdr:cNvPr>
        <xdr:cNvCxnSpPr>
          <a:stCxn id="105" idx="2"/>
          <a:endCxn id="111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233362</xdr:colOff>
      <xdr:row>144</xdr:row>
      <xdr:rowOff>114300</xdr:rowOff>
    </xdr:from>
    <xdr:to>
      <xdr:col>37</xdr:col>
      <xdr:colOff>233864</xdr:colOff>
      <xdr:row>147</xdr:row>
      <xdr:rowOff>101266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5F12F17-C359-4C9A-9CEF-DCBE6A0830E5}"/>
            </a:ext>
          </a:extLst>
        </xdr:cNvPr>
        <xdr:cNvCxnSpPr>
          <a:stCxn id="106" idx="2"/>
        </xdr:cNvCxnSpPr>
      </xdr:nvCxnSpPr>
      <xdr:spPr>
        <a:xfrm>
          <a:off x="26602573" y="28100254"/>
          <a:ext cx="502" cy="5509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78206</xdr:colOff>
      <xdr:row>153</xdr:row>
      <xdr:rowOff>140870</xdr:rowOff>
    </xdr:from>
    <xdr:to>
      <xdr:col>36</xdr:col>
      <xdr:colOff>468730</xdr:colOff>
      <xdr:row>156</xdr:row>
      <xdr:rowOff>150395</xdr:rowOff>
    </xdr:to>
    <xdr:sp macro="" textlink="">
      <xdr:nvSpPr>
        <xdr:cNvPr id="103" name="Rectangle 111">
          <a:extLst>
            <a:ext uri="{FF2B5EF4-FFF2-40B4-BE49-F238E27FC236}">
              <a16:creationId xmlns:a16="http://schemas.microsoft.com/office/drawing/2014/main" id="{03C2152A-92FD-48CF-920D-CE8FAE1D1D7B}"/>
            </a:ext>
          </a:extLst>
        </xdr:cNvPr>
        <xdr:cNvSpPr/>
      </xdr:nvSpPr>
      <xdr:spPr>
        <a:xfrm>
          <a:off x="24605081" y="29818765"/>
          <a:ext cx="1618748" cy="57350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bg1"/>
              </a:solidFill>
            </a:rPr>
            <a:t>poodle</a:t>
          </a:r>
        </a:p>
      </xdr:txBody>
    </xdr:sp>
    <xdr:clientData/>
  </xdr:twoCellAnchor>
  <xdr:twoCellAnchor>
    <xdr:from>
      <xdr:col>35</xdr:col>
      <xdr:colOff>273468</xdr:colOff>
      <xdr:row>150</xdr:row>
      <xdr:rowOff>110791</xdr:rowOff>
    </xdr:from>
    <xdr:to>
      <xdr:col>37</xdr:col>
      <xdr:colOff>233864</xdr:colOff>
      <xdr:row>153</xdr:row>
      <xdr:rowOff>140870</xdr:rowOff>
    </xdr:to>
    <xdr:cxnSp macro="">
      <xdr:nvCxnSpPr>
        <xdr:cNvPr id="104" name="Straight Arrow Connector 113">
          <a:extLst>
            <a:ext uri="{FF2B5EF4-FFF2-40B4-BE49-F238E27FC236}">
              <a16:creationId xmlns:a16="http://schemas.microsoft.com/office/drawing/2014/main" id="{0D6E47EE-E054-4E6E-9282-9EBBB9014512}"/>
            </a:ext>
          </a:extLst>
        </xdr:cNvPr>
        <xdr:cNvCxnSpPr>
          <a:stCxn id="112" idx="2"/>
          <a:endCxn id="103" idx="0"/>
        </xdr:cNvCxnSpPr>
      </xdr:nvCxnSpPr>
      <xdr:spPr>
        <a:xfrm flipH="1">
          <a:off x="25414455" y="29224705"/>
          <a:ext cx="1188620" cy="594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391528</xdr:colOff>
      <xdr:row>153</xdr:row>
      <xdr:rowOff>153403</xdr:rowOff>
    </xdr:from>
    <xdr:to>
      <xdr:col>40</xdr:col>
      <xdr:colOff>167941</xdr:colOff>
      <xdr:row>156</xdr:row>
      <xdr:rowOff>162928</xdr:rowOff>
    </xdr:to>
    <xdr:sp macro="" textlink="">
      <xdr:nvSpPr>
        <xdr:cNvPr id="109" name="Rectangle 111">
          <a:extLst>
            <a:ext uri="{FF2B5EF4-FFF2-40B4-BE49-F238E27FC236}">
              <a16:creationId xmlns:a16="http://schemas.microsoft.com/office/drawing/2014/main" id="{D123C244-7714-4B2A-AFA3-12C839833806}"/>
            </a:ext>
          </a:extLst>
        </xdr:cNvPr>
        <xdr:cNvSpPr/>
      </xdr:nvSpPr>
      <xdr:spPr>
        <a:xfrm>
          <a:off x="26760739" y="29831298"/>
          <a:ext cx="1618748" cy="573505"/>
        </a:xfrm>
        <a:prstGeom prst="rect">
          <a:avLst/>
        </a:prstGeom>
        <a:solidFill>
          <a:schemeClr val="accent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chemeClr val="bg1"/>
              </a:solidFill>
            </a:rPr>
            <a:t>smooth</a:t>
          </a:r>
        </a:p>
      </xdr:txBody>
    </xdr:sp>
    <xdr:clientData/>
  </xdr:twoCellAnchor>
  <xdr:twoCellAnchor>
    <xdr:from>
      <xdr:col>37</xdr:col>
      <xdr:colOff>233864</xdr:colOff>
      <xdr:row>150</xdr:row>
      <xdr:rowOff>110791</xdr:rowOff>
    </xdr:from>
    <xdr:to>
      <xdr:col>38</xdr:col>
      <xdr:colOff>586791</xdr:colOff>
      <xdr:row>153</xdr:row>
      <xdr:rowOff>153403</xdr:rowOff>
    </xdr:to>
    <xdr:cxnSp macro="">
      <xdr:nvCxnSpPr>
        <xdr:cNvPr id="110" name="Straight Arrow Connector 113">
          <a:extLst>
            <a:ext uri="{FF2B5EF4-FFF2-40B4-BE49-F238E27FC236}">
              <a16:creationId xmlns:a16="http://schemas.microsoft.com/office/drawing/2014/main" id="{7F53E291-C9B9-4CDF-8F1A-9940CC9645CB}"/>
            </a:ext>
          </a:extLst>
        </xdr:cNvPr>
        <xdr:cNvCxnSpPr>
          <a:stCxn id="112" idx="2"/>
          <a:endCxn id="109" idx="0"/>
        </xdr:cNvCxnSpPr>
      </xdr:nvCxnSpPr>
      <xdr:spPr>
        <a:xfrm>
          <a:off x="26603075" y="29224705"/>
          <a:ext cx="967038" cy="606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78204</xdr:colOff>
      <xdr:row>160</xdr:row>
      <xdr:rowOff>186991</xdr:rowOff>
    </xdr:from>
    <xdr:to>
      <xdr:col>36</xdr:col>
      <xdr:colOff>468729</xdr:colOff>
      <xdr:row>164</xdr:row>
      <xdr:rowOff>8523</xdr:rowOff>
    </xdr:to>
    <xdr:sp macro="" textlink="">
      <xdr:nvSpPr>
        <xdr:cNvPr id="115" name="Rectangle 110">
          <a:extLst>
            <a:ext uri="{FF2B5EF4-FFF2-40B4-BE49-F238E27FC236}">
              <a16:creationId xmlns:a16="http://schemas.microsoft.com/office/drawing/2014/main" id="{BD840F5D-0E74-4710-AE01-63E4F7C10C8E}"/>
            </a:ext>
          </a:extLst>
        </xdr:cNvPr>
        <xdr:cNvSpPr/>
      </xdr:nvSpPr>
      <xdr:spPr>
        <a:xfrm>
          <a:off x="24605079" y="31180840"/>
          <a:ext cx="1618749" cy="5735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37</xdr:col>
      <xdr:colOff>410577</xdr:colOff>
      <xdr:row>161</xdr:row>
      <xdr:rowOff>15040</xdr:rowOff>
    </xdr:from>
    <xdr:to>
      <xdr:col>40</xdr:col>
      <xdr:colOff>191503</xdr:colOff>
      <xdr:row>164</xdr:row>
      <xdr:rowOff>24565</xdr:rowOff>
    </xdr:to>
    <xdr:sp macro="" textlink="">
      <xdr:nvSpPr>
        <xdr:cNvPr id="116" name="Rectangle 97">
          <a:extLst>
            <a:ext uri="{FF2B5EF4-FFF2-40B4-BE49-F238E27FC236}">
              <a16:creationId xmlns:a16="http://schemas.microsoft.com/office/drawing/2014/main" id="{468C04F9-2336-446C-A89E-4CDDBDC3396F}"/>
            </a:ext>
          </a:extLst>
        </xdr:cNvPr>
        <xdr:cNvSpPr/>
      </xdr:nvSpPr>
      <xdr:spPr>
        <a:xfrm>
          <a:off x="26779788" y="31196882"/>
          <a:ext cx="1623261" cy="57350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danger</a:t>
          </a:r>
        </a:p>
      </xdr:txBody>
    </xdr:sp>
    <xdr:clientData/>
  </xdr:twoCellAnchor>
  <xdr:twoCellAnchor>
    <xdr:from>
      <xdr:col>35</xdr:col>
      <xdr:colOff>273467</xdr:colOff>
      <xdr:row>156</xdr:row>
      <xdr:rowOff>150395</xdr:rowOff>
    </xdr:from>
    <xdr:to>
      <xdr:col>35</xdr:col>
      <xdr:colOff>273468</xdr:colOff>
      <xdr:row>160</xdr:row>
      <xdr:rowOff>186991</xdr:rowOff>
    </xdr:to>
    <xdr:cxnSp macro="">
      <xdr:nvCxnSpPr>
        <xdr:cNvPr id="117" name="Straight Arrow Connector 113">
          <a:extLst>
            <a:ext uri="{FF2B5EF4-FFF2-40B4-BE49-F238E27FC236}">
              <a16:creationId xmlns:a16="http://schemas.microsoft.com/office/drawing/2014/main" id="{DD6D625C-B38E-46AD-9103-E24C6C6772E7}"/>
            </a:ext>
          </a:extLst>
        </xdr:cNvPr>
        <xdr:cNvCxnSpPr>
          <a:stCxn id="103" idx="2"/>
          <a:endCxn id="115" idx="0"/>
        </xdr:cNvCxnSpPr>
      </xdr:nvCxnSpPr>
      <xdr:spPr>
        <a:xfrm flipH="1">
          <a:off x="25414454" y="30392270"/>
          <a:ext cx="1" cy="7885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586791</xdr:colOff>
      <xdr:row>156</xdr:row>
      <xdr:rowOff>162928</xdr:rowOff>
    </xdr:from>
    <xdr:to>
      <xdr:col>38</xdr:col>
      <xdr:colOff>608097</xdr:colOff>
      <xdr:row>161</xdr:row>
      <xdr:rowOff>15040</xdr:rowOff>
    </xdr:to>
    <xdr:cxnSp macro="">
      <xdr:nvCxnSpPr>
        <xdr:cNvPr id="118" name="Straight Arrow Connector 113">
          <a:extLst>
            <a:ext uri="{FF2B5EF4-FFF2-40B4-BE49-F238E27FC236}">
              <a16:creationId xmlns:a16="http://schemas.microsoft.com/office/drawing/2014/main" id="{356D0CFA-B2D6-4E2C-B758-4D1849F72134}"/>
            </a:ext>
          </a:extLst>
        </xdr:cNvPr>
        <xdr:cNvCxnSpPr>
          <a:stCxn id="109" idx="2"/>
          <a:endCxn id="116" idx="0"/>
        </xdr:cNvCxnSpPr>
      </xdr:nvCxnSpPr>
      <xdr:spPr>
        <a:xfrm>
          <a:off x="27570113" y="30404803"/>
          <a:ext cx="21306" cy="7920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28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4DA68E-6650-4315-94AD-5907246446A9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209550</xdr:colOff>
      <xdr:row>0</xdr:row>
      <xdr:rowOff>47624</xdr:rowOff>
    </xdr:from>
    <xdr:ext cx="2543175" cy="844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en-US" sz="18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nary>
                      <m:naryPr>
                        <m:chr m:val="∑"/>
                        <m:ctrlPr>
                          <a:rPr lang="en-US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8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Sup>
                          <m:sSubSupPr>
                            <m:ctrlPr>
                              <a:rPr lang="en-US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  <m:sup>
                            <m:r>
                              <a:rPr lang="en-US" sz="18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209778E-F9E2-4086-8725-EFE624AFE699}"/>
                </a:ext>
              </a:extLst>
            </xdr:cNvPr>
            <xdr:cNvSpPr txBox="1"/>
          </xdr:nvSpPr>
          <xdr:spPr>
            <a:xfrm>
              <a:off x="6848475" y="47624"/>
              <a:ext cx="2543175" cy="844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8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𝐺=1−∑_(𝑘=1)^𝑚▒𝑝_𝑘^2 </a:t>
              </a:r>
              <a:endParaRPr lang="en-US" sz="2800"/>
            </a:p>
          </xdr:txBody>
        </xdr:sp>
      </mc:Fallback>
    </mc:AlternateContent>
    <xdr:clientData/>
  </xdr:one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1F4B8A7-1453-4D94-8784-1B736C861F8E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E3A616D-178F-4ED8-9983-134AB465BA58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29</xdr:col>
      <xdr:colOff>485775</xdr:colOff>
      <xdr:row>15</xdr:row>
      <xdr:rowOff>180975</xdr:rowOff>
    </xdr:from>
    <xdr:to>
      <xdr:col>32</xdr:col>
      <xdr:colOff>266700</xdr:colOff>
      <xdr:row>18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D6D9BD4-301C-4B23-B224-1618DEC08AF1}"/>
            </a:ext>
          </a:extLst>
        </xdr:cNvPr>
        <xdr:cNvSpPr/>
      </xdr:nvSpPr>
      <xdr:spPr>
        <a:xfrm>
          <a:off x="20631150" y="30480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7757E5-8BC5-400F-A3F2-1F458AA23D98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5B8216F-D2A6-45A5-94A8-177B929272D3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31</xdr:col>
      <xdr:colOff>71438</xdr:colOff>
      <xdr:row>15</xdr:row>
      <xdr:rowOff>180975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86AE851-BBB2-46B0-8062-A49878037E62}"/>
            </a:ext>
          </a:extLst>
        </xdr:cNvPr>
        <xdr:cNvCxnSpPr>
          <a:stCxn id="5" idx="2"/>
          <a:endCxn id="7" idx="0"/>
        </xdr:cNvCxnSpPr>
      </xdr:nvCxnSpPr>
      <xdr:spPr>
        <a:xfrm>
          <a:off x="21407438" y="224790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E896CE7-0A82-4A18-8361-E26CBBAC7A6B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63</xdr:row>
      <xdr:rowOff>190500</xdr:rowOff>
    </xdr:from>
    <xdr:to>
      <xdr:col>33</xdr:col>
      <xdr:colOff>123825</xdr:colOff>
      <xdr:row>66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5F9ADCC-F5E9-49C8-85AC-73F870604BFA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123825</xdr:colOff>
      <xdr:row>70</xdr:row>
      <xdr:rowOff>171450</xdr:rowOff>
    </xdr:from>
    <xdr:to>
      <xdr:col>29</xdr:col>
      <xdr:colOff>514350</xdr:colOff>
      <xdr:row>73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4920E-EE0B-4EA7-8A14-FFE91E4C3AFD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371475</xdr:colOff>
      <xdr:row>70</xdr:row>
      <xdr:rowOff>180975</xdr:rowOff>
    </xdr:from>
    <xdr:to>
      <xdr:col>33</xdr:col>
      <xdr:colOff>152400</xdr:colOff>
      <xdr:row>73</xdr:row>
      <xdr:rowOff>171450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BEF58BF-1F21-4D3A-89B5-F4AAABA2FB51}"/>
            </a:ext>
          </a:extLst>
        </xdr:cNvPr>
        <xdr:cNvSpPr/>
      </xdr:nvSpPr>
      <xdr:spPr>
        <a:xfrm>
          <a:off x="21126450" y="139160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57150</xdr:colOff>
      <xdr:row>70</xdr:row>
      <xdr:rowOff>171450</xdr:rowOff>
    </xdr:from>
    <xdr:to>
      <xdr:col>36</xdr:col>
      <xdr:colOff>447675</xdr:colOff>
      <xdr:row>73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B091C41-12B3-4EE3-9F03-19229C0C6FD2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319088</xdr:colOff>
      <xdr:row>66</xdr:row>
      <xdr:rowOff>171450</xdr:rowOff>
    </xdr:from>
    <xdr:to>
      <xdr:col>31</xdr:col>
      <xdr:colOff>538163</xdr:colOff>
      <xdr:row>70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977D444-93A1-407F-803E-95BD70AEFC29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31</xdr:col>
      <xdr:colOff>566738</xdr:colOff>
      <xdr:row>70</xdr:row>
      <xdr:rowOff>180975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3F65E2D-05B1-4C1D-8D67-04CC1558EA68}"/>
            </a:ext>
          </a:extLst>
        </xdr:cNvPr>
        <xdr:cNvCxnSpPr>
          <a:stCxn id="12" idx="2"/>
          <a:endCxn id="14" idx="0"/>
        </xdr:cNvCxnSpPr>
      </xdr:nvCxnSpPr>
      <xdr:spPr>
        <a:xfrm>
          <a:off x="21902738" y="131159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66</xdr:row>
      <xdr:rowOff>171450</xdr:rowOff>
    </xdr:from>
    <xdr:to>
      <xdr:col>35</xdr:col>
      <xdr:colOff>252413</xdr:colOff>
      <xdr:row>70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81CB596-6073-4498-8A07-EDE85A3E3F40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552450</xdr:colOff>
      <xdr:row>78</xdr:row>
      <xdr:rowOff>9525</xdr:rowOff>
    </xdr:from>
    <xdr:to>
      <xdr:col>28</xdr:col>
      <xdr:colOff>333375</xdr:colOff>
      <xdr:row>81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1F1125A-8DE3-40A6-B08B-9AD8CA0CEB30}"/>
            </a:ext>
          </a:extLst>
        </xdr:cNvPr>
        <xdr:cNvSpPr/>
      </xdr:nvSpPr>
      <xdr:spPr>
        <a:xfrm>
          <a:off x="18259425" y="153162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371475</xdr:colOff>
      <xdr:row>77</xdr:row>
      <xdr:rowOff>161925</xdr:rowOff>
    </xdr:from>
    <xdr:to>
      <xdr:col>33</xdr:col>
      <xdr:colOff>152400</xdr:colOff>
      <xdr:row>80</xdr:row>
      <xdr:rowOff>142875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339411D-DAE6-4874-ADF5-A13573C4F2B6}"/>
            </a:ext>
          </a:extLst>
        </xdr:cNvPr>
        <xdr:cNvSpPr/>
      </xdr:nvSpPr>
      <xdr:spPr>
        <a:xfrm>
          <a:off x="21126450" y="152685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566738</xdr:colOff>
      <xdr:row>73</xdr:row>
      <xdr:rowOff>171450</xdr:rowOff>
    </xdr:from>
    <xdr:to>
      <xdr:col>31</xdr:col>
      <xdr:colOff>566738</xdr:colOff>
      <xdr:row>77</xdr:row>
      <xdr:rowOff>161925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F2ED246-4858-4FC5-965A-B5574EDF7A83}"/>
            </a:ext>
          </a:extLst>
        </xdr:cNvPr>
        <xdr:cNvCxnSpPr>
          <a:stCxn id="14" idx="2"/>
          <a:endCxn id="20" idx="0"/>
        </xdr:cNvCxnSpPr>
      </xdr:nvCxnSpPr>
      <xdr:spPr>
        <a:xfrm>
          <a:off x="21931313" y="144970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138113</xdr:colOff>
      <xdr:row>73</xdr:row>
      <xdr:rowOff>161925</xdr:rowOff>
    </xdr:from>
    <xdr:to>
      <xdr:col>28</xdr:col>
      <xdr:colOff>319088</xdr:colOff>
      <xdr:row>78</xdr:row>
      <xdr:rowOff>9525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A04A7BE4-361D-4CD3-BBBE-58C44E22CBB7}"/>
            </a:ext>
          </a:extLst>
        </xdr:cNvPr>
        <xdr:cNvCxnSpPr>
          <a:stCxn id="13" idx="2"/>
          <a:endCxn id="19" idx="0"/>
        </xdr:cNvCxnSpPr>
      </xdr:nvCxnSpPr>
      <xdr:spPr>
        <a:xfrm flipH="1">
          <a:off x="19064288" y="1448752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39</xdr:row>
      <xdr:rowOff>152400</xdr:rowOff>
    </xdr:from>
    <xdr:to>
      <xdr:col>33</xdr:col>
      <xdr:colOff>95250</xdr:colOff>
      <xdr:row>42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8ADA08D-A484-4A9D-B936-E4F30B50D9D3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95250</xdr:colOff>
      <xdr:row>46</xdr:row>
      <xdr:rowOff>123825</xdr:rowOff>
    </xdr:from>
    <xdr:to>
      <xdr:col>29</xdr:col>
      <xdr:colOff>485775</xdr:colOff>
      <xdr:row>49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A6C05FA-31A9-44FA-A8E8-95807E3E223D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342900</xdr:colOff>
      <xdr:row>46</xdr:row>
      <xdr:rowOff>133350</xdr:rowOff>
    </xdr:from>
    <xdr:to>
      <xdr:col>33</xdr:col>
      <xdr:colOff>123825</xdr:colOff>
      <xdr:row>49</xdr:row>
      <xdr:rowOff>114300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B7F3FB57-8E70-4D71-8FFE-7D439348B3B2}"/>
            </a:ext>
          </a:extLst>
        </xdr:cNvPr>
        <xdr:cNvSpPr/>
      </xdr:nvSpPr>
      <xdr:spPr>
        <a:xfrm>
          <a:off x="21097875" y="91154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34</xdr:col>
      <xdr:colOff>28575</xdr:colOff>
      <xdr:row>46</xdr:row>
      <xdr:rowOff>123825</xdr:rowOff>
    </xdr:from>
    <xdr:to>
      <xdr:col>36</xdr:col>
      <xdr:colOff>419100</xdr:colOff>
      <xdr:row>49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6EEE79A-8F4A-4B87-BD8C-34CC3665B3FC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290513</xdr:colOff>
      <xdr:row>42</xdr:row>
      <xdr:rowOff>133350</xdr:rowOff>
    </xdr:from>
    <xdr:to>
      <xdr:col>31</xdr:col>
      <xdr:colOff>509588</xdr:colOff>
      <xdr:row>46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286AF1D-06EB-4FBC-83FE-3CF2A24B1F8A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31</xdr:col>
      <xdr:colOff>538163</xdr:colOff>
      <xdr:row>46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4C2B9BD-B464-46D4-8B05-54F6251A9524}"/>
            </a:ext>
          </a:extLst>
        </xdr:cNvPr>
        <xdr:cNvCxnSpPr>
          <a:stCxn id="23" idx="2"/>
          <a:endCxn id="25" idx="0"/>
        </xdr:cNvCxnSpPr>
      </xdr:nvCxnSpPr>
      <xdr:spPr>
        <a:xfrm>
          <a:off x="21874163" y="831532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42</xdr:row>
      <xdr:rowOff>133350</xdr:rowOff>
    </xdr:from>
    <xdr:to>
      <xdr:col>35</xdr:col>
      <xdr:colOff>223838</xdr:colOff>
      <xdr:row>46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C1F0402-0253-449E-A8C3-65578EFAAEA7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53</xdr:row>
      <xdr:rowOff>85725</xdr:rowOff>
    </xdr:from>
    <xdr:to>
      <xdr:col>33</xdr:col>
      <xdr:colOff>123825</xdr:colOff>
      <xdr:row>56</xdr:row>
      <xdr:rowOff>66675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3E35A4D-CEBF-444B-A399-77F70C8FC1D2}"/>
            </a:ext>
          </a:extLst>
        </xdr:cNvPr>
        <xdr:cNvSpPr/>
      </xdr:nvSpPr>
      <xdr:spPr>
        <a:xfrm>
          <a:off x="21097875" y="104679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538163</xdr:colOff>
      <xdr:row>49</xdr:row>
      <xdr:rowOff>114300</xdr:rowOff>
    </xdr:from>
    <xdr:to>
      <xdr:col>31</xdr:col>
      <xdr:colOff>538163</xdr:colOff>
      <xdr:row>53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21FB0D2-9B8D-46F0-B2E3-5D998959FC8B}"/>
            </a:ext>
          </a:extLst>
        </xdr:cNvPr>
        <xdr:cNvCxnSpPr>
          <a:stCxn id="25" idx="2"/>
          <a:endCxn id="30" idx="0"/>
        </xdr:cNvCxnSpPr>
      </xdr:nvCxnSpPr>
      <xdr:spPr>
        <a:xfrm>
          <a:off x="21902738" y="969645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228600</xdr:colOff>
      <xdr:row>85</xdr:row>
      <xdr:rowOff>123825</xdr:rowOff>
    </xdr:from>
    <xdr:to>
      <xdr:col>33</xdr:col>
      <xdr:colOff>9525</xdr:colOff>
      <xdr:row>88</xdr:row>
      <xdr:rowOff>104775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064A634-E723-4550-9020-5504E284A92C}"/>
            </a:ext>
          </a:extLst>
        </xdr:cNvPr>
        <xdr:cNvSpPr/>
      </xdr:nvSpPr>
      <xdr:spPr>
        <a:xfrm>
          <a:off x="20983575" y="167830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27</xdr:col>
      <xdr:colOff>9525</xdr:colOff>
      <xdr:row>92</xdr:row>
      <xdr:rowOff>123825</xdr:rowOff>
    </xdr:from>
    <xdr:to>
      <xdr:col>29</xdr:col>
      <xdr:colOff>400050</xdr:colOff>
      <xdr:row>95</xdr:row>
      <xdr:rowOff>104775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0291030-B1DB-4B0A-9CB1-57716FEEADF4}"/>
            </a:ext>
          </a:extLst>
        </xdr:cNvPr>
        <xdr:cNvSpPr/>
      </xdr:nvSpPr>
      <xdr:spPr>
        <a:xfrm>
          <a:off x="18935700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257175</xdr:colOff>
      <xdr:row>92</xdr:row>
      <xdr:rowOff>133350</xdr:rowOff>
    </xdr:from>
    <xdr:to>
      <xdr:col>33</xdr:col>
      <xdr:colOff>38100</xdr:colOff>
      <xdr:row>95</xdr:row>
      <xdr:rowOff>114300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9B63B5F-F2A2-439E-9B7F-ECDDB346912E}"/>
            </a:ext>
          </a:extLst>
        </xdr:cNvPr>
        <xdr:cNvSpPr/>
      </xdr:nvSpPr>
      <xdr:spPr>
        <a:xfrm>
          <a:off x="21012150" y="181641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552450</xdr:colOff>
      <xdr:row>92</xdr:row>
      <xdr:rowOff>123825</xdr:rowOff>
    </xdr:from>
    <xdr:to>
      <xdr:col>36</xdr:col>
      <xdr:colOff>333375</xdr:colOff>
      <xdr:row>95</xdr:row>
      <xdr:rowOff>104775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6F6A61-0C5D-439F-8B07-C19FF76631CA}"/>
            </a:ext>
          </a:extLst>
        </xdr:cNvPr>
        <xdr:cNvSpPr/>
      </xdr:nvSpPr>
      <xdr:spPr>
        <a:xfrm>
          <a:off x="23136225" y="181546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204788</xdr:colOff>
      <xdr:row>88</xdr:row>
      <xdr:rowOff>104775</xdr:rowOff>
    </xdr:from>
    <xdr:to>
      <xdr:col>31</xdr:col>
      <xdr:colOff>423863</xdr:colOff>
      <xdr:row>92</xdr:row>
      <xdr:rowOff>123825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6508E405-5AEA-4AD4-966C-97F66393B14D}"/>
            </a:ext>
          </a:extLst>
        </xdr:cNvPr>
        <xdr:cNvCxnSpPr>
          <a:stCxn id="32" idx="2"/>
          <a:endCxn id="33" idx="0"/>
        </xdr:cNvCxnSpPr>
      </xdr:nvCxnSpPr>
      <xdr:spPr>
        <a:xfrm flipH="1">
          <a:off x="19740563" y="1736407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31</xdr:col>
      <xdr:colOff>452438</xdr:colOff>
      <xdr:row>92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F98A41C-F71F-425C-92EB-038FBDE2CE41}"/>
            </a:ext>
          </a:extLst>
        </xdr:cNvPr>
        <xdr:cNvCxnSpPr>
          <a:stCxn id="32" idx="2"/>
          <a:endCxn id="34" idx="0"/>
        </xdr:cNvCxnSpPr>
      </xdr:nvCxnSpPr>
      <xdr:spPr>
        <a:xfrm>
          <a:off x="21788438" y="17364075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423863</xdr:colOff>
      <xdr:row>88</xdr:row>
      <xdr:rowOff>104775</xdr:rowOff>
    </xdr:from>
    <xdr:to>
      <xdr:col>35</xdr:col>
      <xdr:colOff>138113</xdr:colOff>
      <xdr:row>92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A34F700-FFCF-4AD2-BBE3-68C1B39393B8}"/>
            </a:ext>
          </a:extLst>
        </xdr:cNvPr>
        <xdr:cNvCxnSpPr>
          <a:stCxn id="32" idx="2"/>
          <a:endCxn id="35" idx="0"/>
        </xdr:cNvCxnSpPr>
      </xdr:nvCxnSpPr>
      <xdr:spPr>
        <a:xfrm>
          <a:off x="21788438" y="1736407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438150</xdr:colOff>
      <xdr:row>99</xdr:row>
      <xdr:rowOff>171450</xdr:rowOff>
    </xdr:from>
    <xdr:to>
      <xdr:col>28</xdr:col>
      <xdr:colOff>219075</xdr:colOff>
      <xdr:row>102</xdr:row>
      <xdr:rowOff>180975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12AB8E-D887-4362-8046-6CD10CBF771E}"/>
            </a:ext>
          </a:extLst>
        </xdr:cNvPr>
        <xdr:cNvSpPr/>
      </xdr:nvSpPr>
      <xdr:spPr>
        <a:xfrm>
          <a:off x="18145125" y="1956435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257175</xdr:colOff>
      <xdr:row>99</xdr:row>
      <xdr:rowOff>123825</xdr:rowOff>
    </xdr:from>
    <xdr:to>
      <xdr:col>33</xdr:col>
      <xdr:colOff>38100</xdr:colOff>
      <xdr:row>102</xdr:row>
      <xdr:rowOff>133350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65BAA443-B981-474D-A49D-2E89DA54543B}"/>
            </a:ext>
          </a:extLst>
        </xdr:cNvPr>
        <xdr:cNvSpPr/>
      </xdr:nvSpPr>
      <xdr:spPr>
        <a:xfrm>
          <a:off x="21012150" y="195167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452438</xdr:colOff>
      <xdr:row>95</xdr:row>
      <xdr:rowOff>114300</xdr:rowOff>
    </xdr:from>
    <xdr:to>
      <xdr:col>31</xdr:col>
      <xdr:colOff>452438</xdr:colOff>
      <xdr:row>99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50F8DA9-4182-4A6C-A953-0F2F85703EF0}"/>
            </a:ext>
          </a:extLst>
        </xdr:cNvPr>
        <xdr:cNvCxnSpPr>
          <a:stCxn id="34" idx="2"/>
          <a:endCxn id="40" idx="0"/>
        </xdr:cNvCxnSpPr>
      </xdr:nvCxnSpPr>
      <xdr:spPr>
        <a:xfrm>
          <a:off x="21817013" y="18745200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95</xdr:row>
      <xdr:rowOff>104775</xdr:rowOff>
    </xdr:from>
    <xdr:to>
      <xdr:col>28</xdr:col>
      <xdr:colOff>204788</xdr:colOff>
      <xdr:row>99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43D6B94-7CB2-484E-99B5-F5740E4A6FC4}"/>
            </a:ext>
          </a:extLst>
        </xdr:cNvPr>
        <xdr:cNvCxnSpPr>
          <a:stCxn id="33" idx="2"/>
          <a:endCxn id="39" idx="0"/>
        </xdr:cNvCxnSpPr>
      </xdr:nvCxnSpPr>
      <xdr:spPr>
        <a:xfrm flipH="1">
          <a:off x="18949988" y="18735675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107</xdr:row>
      <xdr:rowOff>47625</xdr:rowOff>
    </xdr:from>
    <xdr:to>
      <xdr:col>27</xdr:col>
      <xdr:colOff>19050</xdr:colOff>
      <xdr:row>110</xdr:row>
      <xdr:rowOff>57150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1002DBA5-7B50-441F-A640-3F9FE151CC81}"/>
            </a:ext>
          </a:extLst>
        </xdr:cNvPr>
        <xdr:cNvSpPr/>
      </xdr:nvSpPr>
      <xdr:spPr>
        <a:xfrm>
          <a:off x="17335500" y="209645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247650</xdr:colOff>
      <xdr:row>107</xdr:row>
      <xdr:rowOff>28575</xdr:rowOff>
    </xdr:from>
    <xdr:to>
      <xdr:col>30</xdr:col>
      <xdr:colOff>28575</xdr:colOff>
      <xdr:row>110</xdr:row>
      <xdr:rowOff>38100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2019416-D345-4526-8357-CD869CFE9EE6}"/>
            </a:ext>
          </a:extLst>
        </xdr:cNvPr>
        <xdr:cNvSpPr/>
      </xdr:nvSpPr>
      <xdr:spPr>
        <a:xfrm>
          <a:off x="19173825" y="20945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433388</xdr:colOff>
      <xdr:row>102</xdr:row>
      <xdr:rowOff>180975</xdr:rowOff>
    </xdr:from>
    <xdr:to>
      <xdr:col>27</xdr:col>
      <xdr:colOff>23813</xdr:colOff>
      <xdr:row>107</xdr:row>
      <xdr:rowOff>47625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A0F7341-BA92-44CE-BD01-62EDAA6D87AD}"/>
            </a:ext>
          </a:extLst>
        </xdr:cNvPr>
        <xdr:cNvCxnSpPr>
          <a:stCxn id="39" idx="2"/>
          <a:endCxn id="43" idx="0"/>
        </xdr:cNvCxnSpPr>
      </xdr:nvCxnSpPr>
      <xdr:spPr>
        <a:xfrm flipH="1">
          <a:off x="18140363" y="20145375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23813</xdr:colOff>
      <xdr:row>102</xdr:row>
      <xdr:rowOff>180975</xdr:rowOff>
    </xdr:from>
    <xdr:to>
      <xdr:col>28</xdr:col>
      <xdr:colOff>442913</xdr:colOff>
      <xdr:row>107</xdr:row>
      <xdr:rowOff>28575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C6BBE9A-7979-4016-9676-45B02E62C511}"/>
            </a:ext>
          </a:extLst>
        </xdr:cNvPr>
        <xdr:cNvCxnSpPr>
          <a:stCxn id="39" idx="2"/>
          <a:endCxn id="44" idx="0"/>
        </xdr:cNvCxnSpPr>
      </xdr:nvCxnSpPr>
      <xdr:spPr>
        <a:xfrm>
          <a:off x="18949988" y="20145375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247650</xdr:colOff>
      <xdr:row>113</xdr:row>
      <xdr:rowOff>9525</xdr:rowOff>
    </xdr:from>
    <xdr:to>
      <xdr:col>27</xdr:col>
      <xdr:colOff>28575</xdr:colOff>
      <xdr:row>116</xdr:row>
      <xdr:rowOff>19050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DB93998-5BC9-4461-8242-F175ED983404}"/>
            </a:ext>
          </a:extLst>
        </xdr:cNvPr>
        <xdr:cNvSpPr/>
      </xdr:nvSpPr>
      <xdr:spPr>
        <a:xfrm>
          <a:off x="173450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400050</xdr:colOff>
      <xdr:row>113</xdr:row>
      <xdr:rowOff>9525</xdr:rowOff>
    </xdr:from>
    <xdr:to>
      <xdr:col>30</xdr:col>
      <xdr:colOff>180975</xdr:colOff>
      <xdr:row>116</xdr:row>
      <xdr:rowOff>19050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06F820-572B-4E75-865E-A56ED6704819}"/>
            </a:ext>
          </a:extLst>
        </xdr:cNvPr>
        <xdr:cNvSpPr/>
      </xdr:nvSpPr>
      <xdr:spPr>
        <a:xfrm>
          <a:off x="19326225" y="220694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433388</xdr:colOff>
      <xdr:row>110</xdr:row>
      <xdr:rowOff>57150</xdr:rowOff>
    </xdr:from>
    <xdr:to>
      <xdr:col>25</xdr:col>
      <xdr:colOff>442913</xdr:colOff>
      <xdr:row>113</xdr:row>
      <xdr:rowOff>9525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7E1ACAC-5700-44DB-9E0E-911AB2FDBBA8}"/>
            </a:ext>
          </a:extLst>
        </xdr:cNvPr>
        <xdr:cNvCxnSpPr>
          <a:stCxn id="43" idx="2"/>
          <a:endCxn id="47" idx="0"/>
        </xdr:cNvCxnSpPr>
      </xdr:nvCxnSpPr>
      <xdr:spPr>
        <a:xfrm>
          <a:off x="18140363" y="21545550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442913</xdr:colOff>
      <xdr:row>110</xdr:row>
      <xdr:rowOff>38100</xdr:rowOff>
    </xdr:from>
    <xdr:to>
      <xdr:col>28</xdr:col>
      <xdr:colOff>595313</xdr:colOff>
      <xdr:row>113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F4076001-CD42-40D8-8F9C-D9FE4989F786}"/>
            </a:ext>
          </a:extLst>
        </xdr:cNvPr>
        <xdr:cNvCxnSpPr>
          <a:stCxn id="44" idx="2"/>
          <a:endCxn id="48" idx="0"/>
        </xdr:cNvCxnSpPr>
      </xdr:nvCxnSpPr>
      <xdr:spPr>
        <a:xfrm>
          <a:off x="19978688" y="21526500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200025</xdr:colOff>
      <xdr:row>120</xdr:row>
      <xdr:rowOff>85725</xdr:rowOff>
    </xdr:from>
    <xdr:to>
      <xdr:col>32</xdr:col>
      <xdr:colOff>590550</xdr:colOff>
      <xdr:row>123</xdr:row>
      <xdr:rowOff>66675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BC3C24F-CD98-4573-8460-7EB1F7B4A8CC}"/>
            </a:ext>
          </a:extLst>
        </xdr:cNvPr>
        <xdr:cNvSpPr/>
      </xdr:nvSpPr>
      <xdr:spPr>
        <a:xfrm>
          <a:off x="20955000" y="234791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26</xdr:col>
      <xdr:colOff>590550</xdr:colOff>
      <xdr:row>127</xdr:row>
      <xdr:rowOff>57150</xdr:rowOff>
    </xdr:from>
    <xdr:to>
      <xdr:col>29</xdr:col>
      <xdr:colOff>371475</xdr:colOff>
      <xdr:row>130</xdr:row>
      <xdr:rowOff>57150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E9902E4C-0F7C-446B-9414-A7A03F0073AF}"/>
            </a:ext>
          </a:extLst>
        </xdr:cNvPr>
        <xdr:cNvSpPr/>
      </xdr:nvSpPr>
      <xdr:spPr>
        <a:xfrm>
          <a:off x="18907125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228600</xdr:colOff>
      <xdr:row>127</xdr:row>
      <xdr:rowOff>66675</xdr:rowOff>
    </xdr:from>
    <xdr:to>
      <xdr:col>33</xdr:col>
      <xdr:colOff>9525</xdr:colOff>
      <xdr:row>130</xdr:row>
      <xdr:rowOff>66675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19E091D4-D190-4C5C-86E8-4D9223B69B43}"/>
            </a:ext>
          </a:extLst>
        </xdr:cNvPr>
        <xdr:cNvSpPr/>
      </xdr:nvSpPr>
      <xdr:spPr>
        <a:xfrm>
          <a:off x="20983575" y="248602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Overcast</a:t>
          </a:r>
        </a:p>
      </xdr:txBody>
    </xdr:sp>
    <xdr:clientData/>
  </xdr:twoCellAnchor>
  <xdr:twoCellAnchor>
    <xdr:from>
      <xdr:col>33</xdr:col>
      <xdr:colOff>523875</xdr:colOff>
      <xdr:row>127</xdr:row>
      <xdr:rowOff>57150</xdr:rowOff>
    </xdr:from>
    <xdr:to>
      <xdr:col>36</xdr:col>
      <xdr:colOff>304800</xdr:colOff>
      <xdr:row>130</xdr:row>
      <xdr:rowOff>57150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9D127FC-E8F0-4C48-A485-C25801F82CE9}"/>
            </a:ext>
          </a:extLst>
        </xdr:cNvPr>
        <xdr:cNvSpPr/>
      </xdr:nvSpPr>
      <xdr:spPr>
        <a:xfrm>
          <a:off x="23107650" y="2485072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Rainy</a:t>
          </a:r>
        </a:p>
      </xdr:txBody>
    </xdr:sp>
    <xdr:clientData/>
  </xdr:twoCellAnchor>
  <xdr:twoCellAnchor>
    <xdr:from>
      <xdr:col>28</xdr:col>
      <xdr:colOff>176213</xdr:colOff>
      <xdr:row>123</xdr:row>
      <xdr:rowOff>66675</xdr:rowOff>
    </xdr:from>
    <xdr:to>
      <xdr:col>31</xdr:col>
      <xdr:colOff>395288</xdr:colOff>
      <xdr:row>127</xdr:row>
      <xdr:rowOff>57150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83513A70-FF54-452C-989A-21FAB17FC012}"/>
            </a:ext>
          </a:extLst>
        </xdr:cNvPr>
        <xdr:cNvCxnSpPr>
          <a:stCxn id="51" idx="2"/>
          <a:endCxn id="52" idx="0"/>
        </xdr:cNvCxnSpPr>
      </xdr:nvCxnSpPr>
      <xdr:spPr>
        <a:xfrm flipH="1">
          <a:off x="19711988" y="2406015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31</xdr:col>
      <xdr:colOff>423863</xdr:colOff>
      <xdr:row>127</xdr:row>
      <xdr:rowOff>66675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597E1FB-38DC-4DC0-8183-C5EC63876252}"/>
            </a:ext>
          </a:extLst>
        </xdr:cNvPr>
        <xdr:cNvCxnSpPr>
          <a:stCxn id="51" idx="2"/>
          <a:endCxn id="53" idx="0"/>
        </xdr:cNvCxnSpPr>
      </xdr:nvCxnSpPr>
      <xdr:spPr>
        <a:xfrm>
          <a:off x="21759863" y="24060150"/>
          <a:ext cx="285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395288</xdr:colOff>
      <xdr:row>123</xdr:row>
      <xdr:rowOff>66675</xdr:rowOff>
    </xdr:from>
    <xdr:to>
      <xdr:col>35</xdr:col>
      <xdr:colOff>109538</xdr:colOff>
      <xdr:row>127</xdr:row>
      <xdr:rowOff>57150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7B1A0F0-4FFC-45FE-A093-7AB8A29565FA}"/>
            </a:ext>
          </a:extLst>
        </xdr:cNvPr>
        <xdr:cNvCxnSpPr>
          <a:stCxn id="51" idx="2"/>
          <a:endCxn id="54" idx="0"/>
        </xdr:cNvCxnSpPr>
      </xdr:nvCxnSpPr>
      <xdr:spPr>
        <a:xfrm>
          <a:off x="21759863" y="2406015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409575</xdr:colOff>
      <xdr:row>134</xdr:row>
      <xdr:rowOff>104775</xdr:rowOff>
    </xdr:from>
    <xdr:to>
      <xdr:col>28</xdr:col>
      <xdr:colOff>190500</xdr:colOff>
      <xdr:row>137</xdr:row>
      <xdr:rowOff>95250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7AC299E-CD63-4039-B3FC-1661CC657118}"/>
            </a:ext>
          </a:extLst>
        </xdr:cNvPr>
        <xdr:cNvSpPr/>
      </xdr:nvSpPr>
      <xdr:spPr>
        <a:xfrm>
          <a:off x="18116550" y="262604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30</xdr:col>
      <xdr:colOff>228600</xdr:colOff>
      <xdr:row>134</xdr:row>
      <xdr:rowOff>57150</xdr:rowOff>
    </xdr:from>
    <xdr:to>
      <xdr:col>33</xdr:col>
      <xdr:colOff>9525</xdr:colOff>
      <xdr:row>137</xdr:row>
      <xdr:rowOff>47625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BE89F587-CE8A-45E0-98C3-DBF51059113E}"/>
            </a:ext>
          </a:extLst>
        </xdr:cNvPr>
        <xdr:cNvSpPr/>
      </xdr:nvSpPr>
      <xdr:spPr>
        <a:xfrm>
          <a:off x="20983575" y="262128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31</xdr:col>
      <xdr:colOff>423863</xdr:colOff>
      <xdr:row>130</xdr:row>
      <xdr:rowOff>66675</xdr:rowOff>
    </xdr:from>
    <xdr:to>
      <xdr:col>31</xdr:col>
      <xdr:colOff>423863</xdr:colOff>
      <xdr:row>134</xdr:row>
      <xdr:rowOff>57150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AFC0158-E3C9-463C-83AB-8EC1A4BD6E25}"/>
            </a:ext>
          </a:extLst>
        </xdr:cNvPr>
        <xdr:cNvCxnSpPr>
          <a:stCxn id="53" idx="2"/>
          <a:endCxn id="59" idx="0"/>
        </xdr:cNvCxnSpPr>
      </xdr:nvCxnSpPr>
      <xdr:spPr>
        <a:xfrm>
          <a:off x="21788438" y="25441275"/>
          <a:ext cx="0" cy="771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130</xdr:row>
      <xdr:rowOff>57150</xdr:rowOff>
    </xdr:from>
    <xdr:to>
      <xdr:col>28</xdr:col>
      <xdr:colOff>176213</xdr:colOff>
      <xdr:row>134</xdr:row>
      <xdr:rowOff>104775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2EF83931-2E18-44AC-911F-9821B2E40B5C}"/>
            </a:ext>
          </a:extLst>
        </xdr:cNvPr>
        <xdr:cNvCxnSpPr>
          <a:stCxn id="52" idx="2"/>
          <a:endCxn id="58" idx="0"/>
        </xdr:cNvCxnSpPr>
      </xdr:nvCxnSpPr>
      <xdr:spPr>
        <a:xfrm flipH="1">
          <a:off x="18921413" y="25431750"/>
          <a:ext cx="790575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209550</xdr:colOff>
      <xdr:row>141</xdr:row>
      <xdr:rowOff>142875</xdr:rowOff>
    </xdr:from>
    <xdr:to>
      <xdr:col>26</xdr:col>
      <xdr:colOff>600075</xdr:colOff>
      <xdr:row>144</xdr:row>
      <xdr:rowOff>152400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660E25-19CA-451D-BDA0-C49A592FF5EB}"/>
            </a:ext>
          </a:extLst>
        </xdr:cNvPr>
        <xdr:cNvSpPr/>
      </xdr:nvSpPr>
      <xdr:spPr>
        <a:xfrm>
          <a:off x="17306925" y="276606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27</xdr:col>
      <xdr:colOff>219075</xdr:colOff>
      <xdr:row>141</xdr:row>
      <xdr:rowOff>123825</xdr:rowOff>
    </xdr:from>
    <xdr:to>
      <xdr:col>30</xdr:col>
      <xdr:colOff>0</xdr:colOff>
      <xdr:row>144</xdr:row>
      <xdr:rowOff>133350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B4B64310-8E97-436E-9065-DFFC3301269A}"/>
            </a:ext>
          </a:extLst>
        </xdr:cNvPr>
        <xdr:cNvSpPr/>
      </xdr:nvSpPr>
      <xdr:spPr>
        <a:xfrm>
          <a:off x="191452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25</xdr:col>
      <xdr:colOff>404813</xdr:colOff>
      <xdr:row>137</xdr:row>
      <xdr:rowOff>95250</xdr:rowOff>
    </xdr:from>
    <xdr:to>
      <xdr:col>26</xdr:col>
      <xdr:colOff>604838</xdr:colOff>
      <xdr:row>141</xdr:row>
      <xdr:rowOff>142875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C6CF9F82-9A3D-43BF-BF28-CFD8BC27FE1D}"/>
            </a:ext>
          </a:extLst>
        </xdr:cNvPr>
        <xdr:cNvCxnSpPr>
          <a:stCxn id="58" idx="2"/>
          <a:endCxn id="62" idx="0"/>
        </xdr:cNvCxnSpPr>
      </xdr:nvCxnSpPr>
      <xdr:spPr>
        <a:xfrm flipH="1">
          <a:off x="18111788" y="26841450"/>
          <a:ext cx="80962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604838</xdr:colOff>
      <xdr:row>137</xdr:row>
      <xdr:rowOff>95250</xdr:rowOff>
    </xdr:from>
    <xdr:to>
      <xdr:col>28</xdr:col>
      <xdr:colOff>414338</xdr:colOff>
      <xdr:row>141</xdr:row>
      <xdr:rowOff>123825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91EE838-A713-42D5-AD9A-1B57C741AC9A}"/>
            </a:ext>
          </a:extLst>
        </xdr:cNvPr>
        <xdr:cNvCxnSpPr>
          <a:stCxn id="58" idx="2"/>
          <a:endCxn id="63" idx="0"/>
        </xdr:cNvCxnSpPr>
      </xdr:nvCxnSpPr>
      <xdr:spPr>
        <a:xfrm>
          <a:off x="18921413" y="26841450"/>
          <a:ext cx="10287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147</xdr:row>
      <xdr:rowOff>104775</xdr:rowOff>
    </xdr:from>
    <xdr:to>
      <xdr:col>27</xdr:col>
      <xdr:colOff>0</xdr:colOff>
      <xdr:row>150</xdr:row>
      <xdr:rowOff>114300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91802B1-B92C-4361-842A-CE5FE19628A0}"/>
            </a:ext>
          </a:extLst>
        </xdr:cNvPr>
        <xdr:cNvSpPr/>
      </xdr:nvSpPr>
      <xdr:spPr>
        <a:xfrm>
          <a:off x="173164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27</xdr:col>
      <xdr:colOff>371475</xdr:colOff>
      <xdr:row>147</xdr:row>
      <xdr:rowOff>104775</xdr:rowOff>
    </xdr:from>
    <xdr:to>
      <xdr:col>30</xdr:col>
      <xdr:colOff>152400</xdr:colOff>
      <xdr:row>150</xdr:row>
      <xdr:rowOff>114300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E64D5325-5D4E-4E79-B80D-A2AB4795D950}"/>
            </a:ext>
          </a:extLst>
        </xdr:cNvPr>
        <xdr:cNvSpPr/>
      </xdr:nvSpPr>
      <xdr:spPr>
        <a:xfrm>
          <a:off x="19297650" y="28765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25</xdr:col>
      <xdr:colOff>404813</xdr:colOff>
      <xdr:row>144</xdr:row>
      <xdr:rowOff>152400</xdr:rowOff>
    </xdr:from>
    <xdr:to>
      <xdr:col>25</xdr:col>
      <xdr:colOff>414338</xdr:colOff>
      <xdr:row>147</xdr:row>
      <xdr:rowOff>104775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222C2360-59C6-4AC3-B8C8-F193EDC64E2C}"/>
            </a:ext>
          </a:extLst>
        </xdr:cNvPr>
        <xdr:cNvCxnSpPr>
          <a:stCxn id="62" idx="2"/>
          <a:endCxn id="66" idx="0"/>
        </xdr:cNvCxnSpPr>
      </xdr:nvCxnSpPr>
      <xdr:spPr>
        <a:xfrm>
          <a:off x="18111788" y="28241625"/>
          <a:ext cx="9525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414338</xdr:colOff>
      <xdr:row>144</xdr:row>
      <xdr:rowOff>133350</xdr:rowOff>
    </xdr:from>
    <xdr:to>
      <xdr:col>28</xdr:col>
      <xdr:colOff>566738</xdr:colOff>
      <xdr:row>147</xdr:row>
      <xdr:rowOff>104775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1E14240-DDAF-45A2-BA37-B23BAFBF1266}"/>
            </a:ext>
          </a:extLst>
        </xdr:cNvPr>
        <xdr:cNvCxnSpPr>
          <a:stCxn id="63" idx="2"/>
          <a:endCxn id="67" idx="0"/>
        </xdr:cNvCxnSpPr>
      </xdr:nvCxnSpPr>
      <xdr:spPr>
        <a:xfrm>
          <a:off x="19950113" y="28222575"/>
          <a:ext cx="152400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209550</xdr:colOff>
      <xdr:row>134</xdr:row>
      <xdr:rowOff>57150</xdr:rowOff>
    </xdr:from>
    <xdr:to>
      <xdr:col>36</xdr:col>
      <xdr:colOff>600075</xdr:colOff>
      <xdr:row>137</xdr:row>
      <xdr:rowOff>47625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FF412E6-E4A5-426E-BD99-AD84CC10027B}"/>
            </a:ext>
          </a:extLst>
        </xdr:cNvPr>
        <xdr:cNvSpPr/>
      </xdr:nvSpPr>
      <xdr:spPr>
        <a:xfrm>
          <a:off x="23402925" y="262128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</a:t>
          </a:r>
        </a:p>
      </xdr:txBody>
    </xdr:sp>
    <xdr:clientData/>
  </xdr:twoCellAnchor>
  <xdr:twoCellAnchor>
    <xdr:from>
      <xdr:col>35</xdr:col>
      <xdr:colOff>109538</xdr:colOff>
      <xdr:row>130</xdr:row>
      <xdr:rowOff>57150</xdr:rowOff>
    </xdr:from>
    <xdr:to>
      <xdr:col>35</xdr:col>
      <xdr:colOff>404813</xdr:colOff>
      <xdr:row>134</xdr:row>
      <xdr:rowOff>57150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5ED151F-981D-440C-9698-58341CB787C8}"/>
            </a:ext>
          </a:extLst>
        </xdr:cNvPr>
        <xdr:cNvCxnSpPr>
          <a:stCxn id="54" idx="2"/>
          <a:endCxn id="70" idx="0"/>
        </xdr:cNvCxnSpPr>
      </xdr:nvCxnSpPr>
      <xdr:spPr>
        <a:xfrm>
          <a:off x="23912513" y="25431750"/>
          <a:ext cx="2952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141</xdr:row>
      <xdr:rowOff>123825</xdr:rowOff>
    </xdr:from>
    <xdr:to>
      <xdr:col>35</xdr:col>
      <xdr:colOff>419100</xdr:colOff>
      <xdr:row>144</xdr:row>
      <xdr:rowOff>133350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BBE11F4F-2806-435D-A416-3FF12072D77D}"/>
            </a:ext>
          </a:extLst>
        </xdr:cNvPr>
        <xdr:cNvSpPr/>
      </xdr:nvSpPr>
      <xdr:spPr>
        <a:xfrm>
          <a:off x="22612350" y="2764155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38100</xdr:colOff>
      <xdr:row>141</xdr:row>
      <xdr:rowOff>104775</xdr:rowOff>
    </xdr:from>
    <xdr:to>
      <xdr:col>38</xdr:col>
      <xdr:colOff>428625</xdr:colOff>
      <xdr:row>144</xdr:row>
      <xdr:rowOff>114300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54BA939B-9BF2-47B4-82B7-B735331BAA19}"/>
            </a:ext>
          </a:extLst>
        </xdr:cNvPr>
        <xdr:cNvSpPr/>
      </xdr:nvSpPr>
      <xdr:spPr>
        <a:xfrm>
          <a:off x="24450675" y="27622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34</xdr:col>
      <xdr:colOff>223838</xdr:colOff>
      <xdr:row>137</xdr:row>
      <xdr:rowOff>47625</xdr:rowOff>
    </xdr:from>
    <xdr:to>
      <xdr:col>35</xdr:col>
      <xdr:colOff>404813</xdr:colOff>
      <xdr:row>141</xdr:row>
      <xdr:rowOff>123825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83C471D-0CD0-442E-B0DC-B13C9A81B5E7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23417213" y="26793825"/>
          <a:ext cx="79057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404813</xdr:colOff>
      <xdr:row>137</xdr:row>
      <xdr:rowOff>47625</xdr:rowOff>
    </xdr:from>
    <xdr:to>
      <xdr:col>37</xdr:col>
      <xdr:colOff>233363</xdr:colOff>
      <xdr:row>141</xdr:row>
      <xdr:rowOff>104775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DCEF073-5616-4466-BE8B-38D22178601F}"/>
            </a:ext>
          </a:extLst>
        </xdr:cNvPr>
        <xdr:cNvCxnSpPr>
          <a:stCxn id="70" idx="2"/>
          <a:endCxn id="73" idx="0"/>
        </xdr:cNvCxnSpPr>
      </xdr:nvCxnSpPr>
      <xdr:spPr>
        <a:xfrm>
          <a:off x="24207788" y="26793825"/>
          <a:ext cx="104775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28575</xdr:colOff>
      <xdr:row>147</xdr:row>
      <xdr:rowOff>76200</xdr:rowOff>
    </xdr:from>
    <xdr:to>
      <xdr:col>35</xdr:col>
      <xdr:colOff>419100</xdr:colOff>
      <xdr:row>150</xdr:row>
      <xdr:rowOff>85725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A1DD8869-0B68-4B9D-A478-189018AB63AF}"/>
            </a:ext>
          </a:extLst>
        </xdr:cNvPr>
        <xdr:cNvSpPr/>
      </xdr:nvSpPr>
      <xdr:spPr>
        <a:xfrm>
          <a:off x="22612350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36</xdr:col>
      <xdr:colOff>76200</xdr:colOff>
      <xdr:row>147</xdr:row>
      <xdr:rowOff>76200</xdr:rowOff>
    </xdr:from>
    <xdr:to>
      <xdr:col>38</xdr:col>
      <xdr:colOff>466725</xdr:colOff>
      <xdr:row>150</xdr:row>
      <xdr:rowOff>85725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DFBDD425-CD55-43FF-8FE9-9EE14EB468DD}"/>
            </a:ext>
          </a:extLst>
        </xdr:cNvPr>
        <xdr:cNvSpPr/>
      </xdr:nvSpPr>
      <xdr:spPr>
        <a:xfrm>
          <a:off x="24488775" y="287369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34</xdr:col>
      <xdr:colOff>223838</xdr:colOff>
      <xdr:row>144</xdr:row>
      <xdr:rowOff>133350</xdr:rowOff>
    </xdr:from>
    <xdr:to>
      <xdr:col>34</xdr:col>
      <xdr:colOff>223838</xdr:colOff>
      <xdr:row>147</xdr:row>
      <xdr:rowOff>76200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F492212-4EC3-45F5-B471-D606F0BA370F}"/>
            </a:ext>
          </a:extLst>
        </xdr:cNvPr>
        <xdr:cNvCxnSpPr>
          <a:stCxn id="72" idx="2"/>
          <a:endCxn id="76" idx="0"/>
        </xdr:cNvCxnSpPr>
      </xdr:nvCxnSpPr>
      <xdr:spPr>
        <a:xfrm>
          <a:off x="23417213" y="2822257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233363</xdr:colOff>
      <xdr:row>144</xdr:row>
      <xdr:rowOff>114300</xdr:rowOff>
    </xdr:from>
    <xdr:to>
      <xdr:col>37</xdr:col>
      <xdr:colOff>271463</xdr:colOff>
      <xdr:row>147</xdr:row>
      <xdr:rowOff>76200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D55D53D-BEE1-4985-9A42-30A3D774C0AE}"/>
            </a:ext>
          </a:extLst>
        </xdr:cNvPr>
        <xdr:cNvCxnSpPr>
          <a:stCxn id="73" idx="2"/>
          <a:endCxn id="77" idx="0"/>
        </xdr:cNvCxnSpPr>
      </xdr:nvCxnSpPr>
      <xdr:spPr>
        <a:xfrm>
          <a:off x="25255538" y="28203525"/>
          <a:ext cx="381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438150</xdr:colOff>
      <xdr:row>26</xdr:row>
      <xdr:rowOff>76200</xdr:rowOff>
    </xdr:from>
    <xdr:ext cx="990600" cy="4381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5B1EFA-9B07-4821-88C3-2DB274F798EB}"/>
            </a:ext>
          </a:extLst>
        </xdr:cNvPr>
        <xdr:cNvSpPr txBox="1"/>
      </xdr:nvSpPr>
      <xdr:spPr>
        <a:xfrm>
          <a:off x="15020925" y="5524500"/>
          <a:ext cx="99060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57150</xdr:colOff>
      <xdr:row>0</xdr:row>
      <xdr:rowOff>114299</xdr:rowOff>
    </xdr:from>
    <xdr:ext cx="2543175" cy="7608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sty m:val="p"/>
                      </m:rP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)=−</m:t>
                    </m:r>
                    <m:nary>
                      <m:naryPr>
                        <m:chr m:val="∑"/>
                        <m:ctrlP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𝑙𝑜𝑔</m:t>
                            </m:r>
                          </m:e>
                          <m:sub>
                            <m:r>
                              <a:rPr lang="en-US" sz="16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d>
                          <m:dPr>
                            <m:ctrlPr>
                              <a:rPr lang="en-US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6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0B7602-82C6-4520-AEC7-159DD4AEA43B}"/>
                </a:ext>
              </a:extLst>
            </xdr:cNvPr>
            <xdr:cNvSpPr txBox="1"/>
          </xdr:nvSpPr>
          <xdr:spPr>
            <a:xfrm>
              <a:off x="6696075" y="114299"/>
              <a:ext cx="2543175" cy="7608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(S)=−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∑_(𝑘=1)^𝑚▒〖〖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𝑝_𝑘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𝑙𝑜𝑔〗_2 (𝑝_𝑘 ) 〗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12</xdr:col>
      <xdr:colOff>771525</xdr:colOff>
      <xdr:row>1</xdr:row>
      <xdr:rowOff>9525</xdr:rowOff>
    </xdr:from>
    <xdr:to>
      <xdr:col>17</xdr:col>
      <xdr:colOff>163483</xdr:colOff>
      <xdr:row>3</xdr:row>
      <xdr:rowOff>168096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𝐼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𝐻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d>
                          <m:dPr>
                            <m:begChr m:val="["/>
                            <m:endChr m:val="]"/>
                            <m:ctrlPr>
                              <a:rPr lang="en-US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d>
                              <m:dPr>
                                <m:ctrlPr>
                                  <a:rPr lang="en-US" sz="12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e>
                              <m:e>
                                <m:r>
                                  <a:rPr lang="en-US" sz="120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</m:d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|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20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9A4F54E-0C3E-47EF-80C3-AAD8880AAA03}"/>
                </a:ext>
              </a:extLst>
            </xdr:cNvPr>
            <xdr:cNvSpPr txBox="1"/>
          </xdr:nvSpPr>
          <xdr:spPr>
            <a:xfrm>
              <a:off x="9982200" y="200025"/>
              <a:ext cx="3135283" cy="53957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𝐼(𝐷,𝐹)=𝐻(𝐷)−∑▒[</a:t>
              </a:r>
              <a:r>
                <a:rPr lang="en-US" sz="1200" i="0">
                  <a:latin typeface="Cambria Math" panose="02040503050406030204" pitchFamily="18" charset="0"/>
                </a:rPr>
                <a:t>𝑝(𝐷│𝐹)∗𝐻(𝐷|𝐹)] 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29</xdr:col>
      <xdr:colOff>457200</xdr:colOff>
      <xdr:row>9</xdr:row>
      <xdr:rowOff>0</xdr:rowOff>
    </xdr:from>
    <xdr:to>
      <xdr:col>32</xdr:col>
      <xdr:colOff>238125</xdr:colOff>
      <xdr:row>11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C2A7D07-DB05-4883-BAF5-D564F34ADB7B}"/>
            </a:ext>
          </a:extLst>
        </xdr:cNvPr>
        <xdr:cNvSpPr/>
      </xdr:nvSpPr>
      <xdr:spPr>
        <a:xfrm>
          <a:off x="20602575" y="166687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26</xdr:col>
      <xdr:colOff>238125</xdr:colOff>
      <xdr:row>15</xdr:row>
      <xdr:rowOff>171450</xdr:rowOff>
    </xdr:from>
    <xdr:to>
      <xdr:col>29</xdr:col>
      <xdr:colOff>19050</xdr:colOff>
      <xdr:row>18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FC833A-39E4-4E5B-BB3F-CD808ABBA194}"/>
            </a:ext>
          </a:extLst>
        </xdr:cNvPr>
        <xdr:cNvSpPr/>
      </xdr:nvSpPr>
      <xdr:spPr>
        <a:xfrm>
          <a:off x="18554700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33</xdr:col>
      <xdr:colOff>171450</xdr:colOff>
      <xdr:row>15</xdr:row>
      <xdr:rowOff>171450</xdr:rowOff>
    </xdr:from>
    <xdr:to>
      <xdr:col>35</xdr:col>
      <xdr:colOff>561975</xdr:colOff>
      <xdr:row>18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4101187-8CB6-4D18-BB66-EB15041E6223}"/>
            </a:ext>
          </a:extLst>
        </xdr:cNvPr>
        <xdr:cNvSpPr/>
      </xdr:nvSpPr>
      <xdr:spPr>
        <a:xfrm>
          <a:off x="22755225" y="3038475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27</xdr:col>
      <xdr:colOff>433388</xdr:colOff>
      <xdr:row>11</xdr:row>
      <xdr:rowOff>180975</xdr:rowOff>
    </xdr:from>
    <xdr:to>
      <xdr:col>31</xdr:col>
      <xdr:colOff>42863</xdr:colOff>
      <xdr:row>15</xdr:row>
      <xdr:rowOff>171450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A17F3C5-5A85-4E47-A485-1206AA9E7AB7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19359563" y="2247900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42863</xdr:colOff>
      <xdr:row>11</xdr:row>
      <xdr:rowOff>180975</xdr:rowOff>
    </xdr:from>
    <xdr:to>
      <xdr:col>34</xdr:col>
      <xdr:colOff>366713</xdr:colOff>
      <xdr:row>15</xdr:row>
      <xdr:rowOff>171450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B0AF4ABB-0CF5-4D35-82B6-AD1DEC2AD618}"/>
            </a:ext>
          </a:extLst>
        </xdr:cNvPr>
        <xdr:cNvCxnSpPr>
          <a:stCxn id="5" idx="2"/>
          <a:endCxn id="8" idx="0"/>
        </xdr:cNvCxnSpPr>
      </xdr:nvCxnSpPr>
      <xdr:spPr>
        <a:xfrm>
          <a:off x="21407438" y="2247900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342900</xdr:colOff>
      <xdr:row>61</xdr:row>
      <xdr:rowOff>190500</xdr:rowOff>
    </xdr:from>
    <xdr:to>
      <xdr:col>33</xdr:col>
      <xdr:colOff>123825</xdr:colOff>
      <xdr:row>64</xdr:row>
      <xdr:rowOff>171450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9803811-5547-4A87-A974-A2D31B91A7E6}"/>
            </a:ext>
          </a:extLst>
        </xdr:cNvPr>
        <xdr:cNvSpPr/>
      </xdr:nvSpPr>
      <xdr:spPr>
        <a:xfrm>
          <a:off x="21097875" y="125349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123825</xdr:colOff>
      <xdr:row>68</xdr:row>
      <xdr:rowOff>171450</xdr:rowOff>
    </xdr:from>
    <xdr:to>
      <xdr:col>29</xdr:col>
      <xdr:colOff>514350</xdr:colOff>
      <xdr:row>71</xdr:row>
      <xdr:rowOff>161925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7BF07AF-DDD6-4353-832E-942C3B7DCF19}"/>
            </a:ext>
          </a:extLst>
        </xdr:cNvPr>
        <xdr:cNvSpPr/>
      </xdr:nvSpPr>
      <xdr:spPr>
        <a:xfrm>
          <a:off x="19050000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57150</xdr:colOff>
      <xdr:row>68</xdr:row>
      <xdr:rowOff>171450</xdr:rowOff>
    </xdr:from>
    <xdr:to>
      <xdr:col>36</xdr:col>
      <xdr:colOff>447675</xdr:colOff>
      <xdr:row>71</xdr:row>
      <xdr:rowOff>161925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368FC6E-7C85-489B-B442-49E2930E1C51}"/>
            </a:ext>
          </a:extLst>
        </xdr:cNvPr>
        <xdr:cNvSpPr/>
      </xdr:nvSpPr>
      <xdr:spPr>
        <a:xfrm>
          <a:off x="23250525" y="139065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319088</xdr:colOff>
      <xdr:row>64</xdr:row>
      <xdr:rowOff>171450</xdr:rowOff>
    </xdr:from>
    <xdr:to>
      <xdr:col>31</xdr:col>
      <xdr:colOff>538163</xdr:colOff>
      <xdr:row>68</xdr:row>
      <xdr:rowOff>171450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1FC18D3-8EAE-4151-A3F9-64876E5E16FA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19854863" y="131159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538163</xdr:colOff>
      <xdr:row>64</xdr:row>
      <xdr:rowOff>171450</xdr:rowOff>
    </xdr:from>
    <xdr:to>
      <xdr:col>35</xdr:col>
      <xdr:colOff>252413</xdr:colOff>
      <xdr:row>68</xdr:row>
      <xdr:rowOff>171450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7E315AD-A272-47A4-9B2D-A91E9724D61B}"/>
            </a:ext>
          </a:extLst>
        </xdr:cNvPr>
        <xdr:cNvCxnSpPr>
          <a:stCxn id="12" idx="2"/>
          <a:endCxn id="15" idx="0"/>
        </xdr:cNvCxnSpPr>
      </xdr:nvCxnSpPr>
      <xdr:spPr>
        <a:xfrm>
          <a:off x="21902738" y="131159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314325</xdr:colOff>
      <xdr:row>37</xdr:row>
      <xdr:rowOff>152400</xdr:rowOff>
    </xdr:from>
    <xdr:to>
      <xdr:col>33</xdr:col>
      <xdr:colOff>95250</xdr:colOff>
      <xdr:row>40</xdr:row>
      <xdr:rowOff>133350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CA95FE4-CC90-444E-ABA5-B340B783EDFA}"/>
            </a:ext>
          </a:extLst>
        </xdr:cNvPr>
        <xdr:cNvSpPr/>
      </xdr:nvSpPr>
      <xdr:spPr>
        <a:xfrm>
          <a:off x="21069300" y="7734300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95250</xdr:colOff>
      <xdr:row>44</xdr:row>
      <xdr:rowOff>123825</xdr:rowOff>
    </xdr:from>
    <xdr:to>
      <xdr:col>29</xdr:col>
      <xdr:colOff>485775</xdr:colOff>
      <xdr:row>47</xdr:row>
      <xdr:rowOff>104775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32137AB-62F2-45D2-BC9E-4789F0283B8A}"/>
            </a:ext>
          </a:extLst>
        </xdr:cNvPr>
        <xdr:cNvSpPr/>
      </xdr:nvSpPr>
      <xdr:spPr>
        <a:xfrm>
          <a:off x="19021425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28575</xdr:colOff>
      <xdr:row>44</xdr:row>
      <xdr:rowOff>123825</xdr:rowOff>
    </xdr:from>
    <xdr:to>
      <xdr:col>36</xdr:col>
      <xdr:colOff>419100</xdr:colOff>
      <xdr:row>47</xdr:row>
      <xdr:rowOff>104775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DA3F74F0-FFE8-44C9-A11E-F3C41DA5D796}"/>
            </a:ext>
          </a:extLst>
        </xdr:cNvPr>
        <xdr:cNvSpPr/>
      </xdr:nvSpPr>
      <xdr:spPr>
        <a:xfrm>
          <a:off x="23221950" y="9105900"/>
          <a:ext cx="1609725" cy="581025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290513</xdr:colOff>
      <xdr:row>40</xdr:row>
      <xdr:rowOff>133350</xdr:rowOff>
    </xdr:from>
    <xdr:to>
      <xdr:col>31</xdr:col>
      <xdr:colOff>509588</xdr:colOff>
      <xdr:row>44</xdr:row>
      <xdr:rowOff>123825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7AF7673-CE21-4595-9CEE-812CC85C0F28}"/>
            </a:ext>
          </a:extLst>
        </xdr:cNvPr>
        <xdr:cNvCxnSpPr>
          <a:stCxn id="23" idx="2"/>
          <a:endCxn id="24" idx="0"/>
        </xdr:cNvCxnSpPr>
      </xdr:nvCxnSpPr>
      <xdr:spPr>
        <a:xfrm flipH="1">
          <a:off x="19826288" y="8315325"/>
          <a:ext cx="2047875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509588</xdr:colOff>
      <xdr:row>40</xdr:row>
      <xdr:rowOff>133350</xdr:rowOff>
    </xdr:from>
    <xdr:to>
      <xdr:col>35</xdr:col>
      <xdr:colOff>223838</xdr:colOff>
      <xdr:row>44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15A45B7-185D-4CF0-B101-5BE484433534}"/>
            </a:ext>
          </a:extLst>
        </xdr:cNvPr>
        <xdr:cNvCxnSpPr>
          <a:stCxn id="23" idx="2"/>
          <a:endCxn id="26" idx="0"/>
        </xdr:cNvCxnSpPr>
      </xdr:nvCxnSpPr>
      <xdr:spPr>
        <a:xfrm>
          <a:off x="21874163" y="8315325"/>
          <a:ext cx="2152650" cy="790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49</xdr:row>
      <xdr:rowOff>142875</xdr:rowOff>
    </xdr:from>
    <xdr:to>
      <xdr:col>29</xdr:col>
      <xdr:colOff>504825</xdr:colOff>
      <xdr:row>52</xdr:row>
      <xdr:rowOff>142875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F539648-7D70-4FE1-9CB4-78B263BCD7D6}"/>
            </a:ext>
          </a:extLst>
        </xdr:cNvPr>
        <xdr:cNvSpPr/>
      </xdr:nvSpPr>
      <xdr:spPr>
        <a:xfrm>
          <a:off x="19040475" y="9696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290513</xdr:colOff>
      <xdr:row>47</xdr:row>
      <xdr:rowOff>104775</xdr:rowOff>
    </xdr:from>
    <xdr:to>
      <xdr:col>28</xdr:col>
      <xdr:colOff>309563</xdr:colOff>
      <xdr:row>49</xdr:row>
      <xdr:rowOff>142875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69503D2-2E75-4CE3-BD81-ACF3CFB19663}"/>
            </a:ext>
          </a:extLst>
        </xdr:cNvPr>
        <xdr:cNvCxnSpPr>
          <a:stCxn id="24" idx="2"/>
          <a:endCxn id="80" idx="0"/>
        </xdr:cNvCxnSpPr>
      </xdr:nvCxnSpPr>
      <xdr:spPr>
        <a:xfrm>
          <a:off x="19826288" y="9258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74</xdr:row>
      <xdr:rowOff>0</xdr:rowOff>
    </xdr:from>
    <xdr:to>
      <xdr:col>29</xdr:col>
      <xdr:colOff>504825</xdr:colOff>
      <xdr:row>76</xdr:row>
      <xdr:rowOff>142875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91E79A0-BF17-410A-9546-58D6ECCB76B3}"/>
            </a:ext>
          </a:extLst>
        </xdr:cNvPr>
        <xdr:cNvSpPr/>
      </xdr:nvSpPr>
      <xdr:spPr>
        <a:xfrm>
          <a:off x="19040475" y="1446847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309563</xdr:colOff>
      <xdr:row>71</xdr:row>
      <xdr:rowOff>161925</xdr:rowOff>
    </xdr:from>
    <xdr:to>
      <xdr:col>28</xdr:col>
      <xdr:colOff>319088</xdr:colOff>
      <xdr:row>74</xdr:row>
      <xdr:rowOff>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EA613B9-E902-46BD-95E4-61D7CEE23755}"/>
            </a:ext>
          </a:extLst>
        </xdr:cNvPr>
        <xdr:cNvCxnSpPr>
          <a:stCxn id="13" idx="2"/>
          <a:endCxn id="84" idx="0"/>
        </xdr:cNvCxnSpPr>
      </xdr:nvCxnSpPr>
      <xdr:spPr>
        <a:xfrm flipH="1">
          <a:off x="19845338" y="14030325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74</xdr:row>
      <xdr:rowOff>0</xdr:rowOff>
    </xdr:from>
    <xdr:to>
      <xdr:col>36</xdr:col>
      <xdr:colOff>466725</xdr:colOff>
      <xdr:row>76</xdr:row>
      <xdr:rowOff>171450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42141836-4E11-49F6-BF48-0EDB32D8943A}"/>
            </a:ext>
          </a:extLst>
        </xdr:cNvPr>
        <xdr:cNvSpPr/>
      </xdr:nvSpPr>
      <xdr:spPr>
        <a:xfrm>
          <a:off x="23269575" y="14468475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252413</xdr:colOff>
      <xdr:row>71</xdr:row>
      <xdr:rowOff>161925</xdr:rowOff>
    </xdr:from>
    <xdr:to>
      <xdr:col>35</xdr:col>
      <xdr:colOff>271463</xdr:colOff>
      <xdr:row>74</xdr:row>
      <xdr:rowOff>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5CECA7EF-8FE5-42BB-9E84-E2E32455BC9B}"/>
            </a:ext>
          </a:extLst>
        </xdr:cNvPr>
        <xdr:cNvCxnSpPr>
          <a:stCxn id="15" idx="2"/>
          <a:endCxn id="87" idx="0"/>
        </xdr:cNvCxnSpPr>
      </xdr:nvCxnSpPr>
      <xdr:spPr>
        <a:xfrm>
          <a:off x="24055388" y="14030325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457200</xdr:colOff>
      <xdr:row>83</xdr:row>
      <xdr:rowOff>171450</xdr:rowOff>
    </xdr:from>
    <xdr:to>
      <xdr:col>33</xdr:col>
      <xdr:colOff>238125</xdr:colOff>
      <xdr:row>86</xdr:row>
      <xdr:rowOff>152400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EB5CC113-B9E1-4535-A342-06F682DC67D1}"/>
            </a:ext>
          </a:extLst>
        </xdr:cNvPr>
        <xdr:cNvSpPr/>
      </xdr:nvSpPr>
      <xdr:spPr>
        <a:xfrm>
          <a:off x="21212175" y="16430625"/>
          <a:ext cx="1609725" cy="58102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Humidity</a:t>
          </a:r>
        </a:p>
      </xdr:txBody>
    </xdr:sp>
    <xdr:clientData/>
  </xdr:twoCellAnchor>
  <xdr:twoCellAnchor>
    <xdr:from>
      <xdr:col>27</xdr:col>
      <xdr:colOff>238125</xdr:colOff>
      <xdr:row>90</xdr:row>
      <xdr:rowOff>171450</xdr:rowOff>
    </xdr:from>
    <xdr:to>
      <xdr:col>30</xdr:col>
      <xdr:colOff>19050</xdr:colOff>
      <xdr:row>93</xdr:row>
      <xdr:rowOff>171450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4BD9AB15-DDC7-4388-85FE-31E0F6169389}"/>
            </a:ext>
          </a:extLst>
        </xdr:cNvPr>
        <xdr:cNvSpPr/>
      </xdr:nvSpPr>
      <xdr:spPr>
        <a:xfrm>
          <a:off x="19164300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High</a:t>
          </a:r>
        </a:p>
      </xdr:txBody>
    </xdr:sp>
    <xdr:clientData/>
  </xdr:twoCellAnchor>
  <xdr:twoCellAnchor>
    <xdr:from>
      <xdr:col>34</xdr:col>
      <xdr:colOff>171450</xdr:colOff>
      <xdr:row>90</xdr:row>
      <xdr:rowOff>171450</xdr:rowOff>
    </xdr:from>
    <xdr:to>
      <xdr:col>36</xdr:col>
      <xdr:colOff>561975</xdr:colOff>
      <xdr:row>93</xdr:row>
      <xdr:rowOff>171450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2C322702-001F-4C12-AAA9-D3B91FA8247F}"/>
            </a:ext>
          </a:extLst>
        </xdr:cNvPr>
        <xdr:cNvSpPr/>
      </xdr:nvSpPr>
      <xdr:spPr>
        <a:xfrm>
          <a:off x="23364825" y="178117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Normal</a:t>
          </a:r>
        </a:p>
      </xdr:txBody>
    </xdr:sp>
    <xdr:clientData/>
  </xdr:twoCellAnchor>
  <xdr:twoCellAnchor>
    <xdr:from>
      <xdr:col>28</xdr:col>
      <xdr:colOff>433388</xdr:colOff>
      <xdr:row>86</xdr:row>
      <xdr:rowOff>152400</xdr:rowOff>
    </xdr:from>
    <xdr:to>
      <xdr:col>32</xdr:col>
      <xdr:colOff>42863</xdr:colOff>
      <xdr:row>90</xdr:row>
      <xdr:rowOff>171450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5C5FD-7011-4839-95E9-41A2034A0347}"/>
            </a:ext>
          </a:extLst>
        </xdr:cNvPr>
        <xdr:cNvCxnSpPr>
          <a:stCxn id="91" idx="2"/>
          <a:endCxn id="92" idx="0"/>
        </xdr:cNvCxnSpPr>
      </xdr:nvCxnSpPr>
      <xdr:spPr>
        <a:xfrm flipH="1">
          <a:off x="19969163" y="17011650"/>
          <a:ext cx="2047875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42863</xdr:colOff>
      <xdr:row>86</xdr:row>
      <xdr:rowOff>152400</xdr:rowOff>
    </xdr:from>
    <xdr:to>
      <xdr:col>35</xdr:col>
      <xdr:colOff>366713</xdr:colOff>
      <xdr:row>90</xdr:row>
      <xdr:rowOff>171450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BD11B769-3779-412B-9891-C7CB92D30B7C}"/>
            </a:ext>
          </a:extLst>
        </xdr:cNvPr>
        <xdr:cNvCxnSpPr>
          <a:stCxn id="91" idx="2"/>
          <a:endCxn id="93" idx="0"/>
        </xdr:cNvCxnSpPr>
      </xdr:nvCxnSpPr>
      <xdr:spPr>
        <a:xfrm>
          <a:off x="22017038" y="17011650"/>
          <a:ext cx="2152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96</xdr:row>
      <xdr:rowOff>38100</xdr:rowOff>
    </xdr:from>
    <xdr:to>
      <xdr:col>30</xdr:col>
      <xdr:colOff>9525</xdr:colOff>
      <xdr:row>99</xdr:row>
      <xdr:rowOff>19050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C829EDA4-AA49-4C2C-8BD6-543C98EB5EB6}"/>
            </a:ext>
          </a:extLst>
        </xdr:cNvPr>
        <xdr:cNvSpPr/>
      </xdr:nvSpPr>
      <xdr:spPr>
        <a:xfrm>
          <a:off x="19154775" y="1884045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28</xdr:col>
      <xdr:colOff>423863</xdr:colOff>
      <xdr:row>93</xdr:row>
      <xdr:rowOff>171450</xdr:rowOff>
    </xdr:from>
    <xdr:to>
      <xdr:col>28</xdr:col>
      <xdr:colOff>433388</xdr:colOff>
      <xdr:row>96</xdr:row>
      <xdr:rowOff>38100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820C392-B66F-4832-8695-33CC8365273E}"/>
            </a:ext>
          </a:extLst>
        </xdr:cNvPr>
        <xdr:cNvCxnSpPr>
          <a:stCxn id="92" idx="2"/>
          <a:endCxn id="96" idx="0"/>
        </xdr:cNvCxnSpPr>
      </xdr:nvCxnSpPr>
      <xdr:spPr>
        <a:xfrm flipH="1">
          <a:off x="19959638" y="18402300"/>
          <a:ext cx="952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96</xdr:row>
      <xdr:rowOff>38100</xdr:rowOff>
    </xdr:from>
    <xdr:to>
      <xdr:col>36</xdr:col>
      <xdr:colOff>581025</xdr:colOff>
      <xdr:row>99</xdr:row>
      <xdr:rowOff>47625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1AA10C4-57AE-4911-9775-E4B184DBF62D}"/>
            </a:ext>
          </a:extLst>
        </xdr:cNvPr>
        <xdr:cNvSpPr/>
      </xdr:nvSpPr>
      <xdr:spPr>
        <a:xfrm>
          <a:off x="23383875" y="188404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Windy</a:t>
          </a:r>
        </a:p>
      </xdr:txBody>
    </xdr:sp>
    <xdr:clientData/>
  </xdr:twoCellAnchor>
  <xdr:twoCellAnchor>
    <xdr:from>
      <xdr:col>35</xdr:col>
      <xdr:colOff>366713</xdr:colOff>
      <xdr:row>93</xdr:row>
      <xdr:rowOff>171450</xdr:rowOff>
    </xdr:from>
    <xdr:to>
      <xdr:col>35</xdr:col>
      <xdr:colOff>385763</xdr:colOff>
      <xdr:row>96</xdr:row>
      <xdr:rowOff>38100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D28A8071-EA7E-4B0D-96A7-BBF59A9FACDB}"/>
            </a:ext>
          </a:extLst>
        </xdr:cNvPr>
        <xdr:cNvCxnSpPr>
          <a:stCxn id="93" idx="2"/>
          <a:endCxn id="98" idx="0"/>
        </xdr:cNvCxnSpPr>
      </xdr:nvCxnSpPr>
      <xdr:spPr>
        <a:xfrm>
          <a:off x="24169688" y="18402300"/>
          <a:ext cx="190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438150</xdr:colOff>
      <xdr:row>101</xdr:row>
      <xdr:rowOff>123825</xdr:rowOff>
    </xdr:from>
    <xdr:to>
      <xdr:col>34</xdr:col>
      <xdr:colOff>219075</xdr:colOff>
      <xdr:row>104</xdr:row>
      <xdr:rowOff>123825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D643AC24-B59E-4113-A05E-5E0240ACE936}"/>
            </a:ext>
          </a:extLst>
        </xdr:cNvPr>
        <xdr:cNvSpPr/>
      </xdr:nvSpPr>
      <xdr:spPr>
        <a:xfrm>
          <a:off x="21802725" y="1991677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True</a:t>
          </a:r>
        </a:p>
      </xdr:txBody>
    </xdr:sp>
    <xdr:clientData/>
  </xdr:twoCellAnchor>
  <xdr:twoCellAnchor>
    <xdr:from>
      <xdr:col>36</xdr:col>
      <xdr:colOff>485775</xdr:colOff>
      <xdr:row>101</xdr:row>
      <xdr:rowOff>104775</xdr:rowOff>
    </xdr:from>
    <xdr:to>
      <xdr:col>39</xdr:col>
      <xdr:colOff>266700</xdr:colOff>
      <xdr:row>104</xdr:row>
      <xdr:rowOff>104775</xdr:rowOff>
    </xdr:to>
    <xdr:sp macro="" textlink="">
      <xdr:nvSpPr>
        <xdr:cNvPr id="101" name="Rectangle 100">
          <a:extLst>
            <a:ext uri="{FF2B5EF4-FFF2-40B4-BE49-F238E27FC236}">
              <a16:creationId xmlns:a16="http://schemas.microsoft.com/office/drawing/2014/main" id="{8DD86C88-F75F-4721-9B42-9BD299309A18}"/>
            </a:ext>
          </a:extLst>
        </xdr:cNvPr>
        <xdr:cNvSpPr/>
      </xdr:nvSpPr>
      <xdr:spPr>
        <a:xfrm>
          <a:off x="24898350" y="198977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False</a:t>
          </a:r>
        </a:p>
      </xdr:txBody>
    </xdr:sp>
    <xdr:clientData/>
  </xdr:twoCellAnchor>
  <xdr:twoCellAnchor>
    <xdr:from>
      <xdr:col>33</xdr:col>
      <xdr:colOff>23813</xdr:colOff>
      <xdr:row>99</xdr:row>
      <xdr:rowOff>47625</xdr:rowOff>
    </xdr:from>
    <xdr:to>
      <xdr:col>35</xdr:col>
      <xdr:colOff>385763</xdr:colOff>
      <xdr:row>101</xdr:row>
      <xdr:rowOff>123825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DBE52B0-72C7-4E70-BE9D-BEE6A744581E}"/>
            </a:ext>
          </a:extLst>
        </xdr:cNvPr>
        <xdr:cNvCxnSpPr>
          <a:stCxn id="98" idx="2"/>
          <a:endCxn id="100" idx="0"/>
        </xdr:cNvCxnSpPr>
      </xdr:nvCxnSpPr>
      <xdr:spPr>
        <a:xfrm flipH="1">
          <a:off x="22607588" y="19450050"/>
          <a:ext cx="1581150" cy="466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385763</xdr:colOff>
      <xdr:row>99</xdr:row>
      <xdr:rowOff>47625</xdr:rowOff>
    </xdr:from>
    <xdr:to>
      <xdr:col>38</xdr:col>
      <xdr:colOff>71438</xdr:colOff>
      <xdr:row>101</xdr:row>
      <xdr:rowOff>104775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187CB897-C9A7-419B-90D7-CF5209213B63}"/>
            </a:ext>
          </a:extLst>
        </xdr:cNvPr>
        <xdr:cNvCxnSpPr>
          <a:stCxn id="98" idx="2"/>
          <a:endCxn id="101" idx="0"/>
        </xdr:cNvCxnSpPr>
      </xdr:nvCxnSpPr>
      <xdr:spPr>
        <a:xfrm>
          <a:off x="24188738" y="19450050"/>
          <a:ext cx="151447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485775</xdr:colOff>
      <xdr:row>106</xdr:row>
      <xdr:rowOff>142875</xdr:rowOff>
    </xdr:from>
    <xdr:to>
      <xdr:col>39</xdr:col>
      <xdr:colOff>266700</xdr:colOff>
      <xdr:row>109</xdr:row>
      <xdr:rowOff>152400</xdr:rowOff>
    </xdr:to>
    <xdr:sp macro="" textlink="">
      <xdr:nvSpPr>
        <xdr:cNvPr id="108" name="Rectangle 107">
          <a:extLst>
            <a:ext uri="{FF2B5EF4-FFF2-40B4-BE49-F238E27FC236}">
              <a16:creationId xmlns:a16="http://schemas.microsoft.com/office/drawing/2014/main" id="{6427F824-7462-4364-A5C5-35DA327D3D92}"/>
            </a:ext>
          </a:extLst>
        </xdr:cNvPr>
        <xdr:cNvSpPr/>
      </xdr:nvSpPr>
      <xdr:spPr>
        <a:xfrm>
          <a:off x="24898350" y="209169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38</xdr:col>
      <xdr:colOff>71438</xdr:colOff>
      <xdr:row>104</xdr:row>
      <xdr:rowOff>104775</xdr:rowOff>
    </xdr:from>
    <xdr:to>
      <xdr:col>38</xdr:col>
      <xdr:colOff>71438</xdr:colOff>
      <xdr:row>106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58334BE-5E5F-4F7A-A82C-688EF43E733C}"/>
            </a:ext>
          </a:extLst>
        </xdr:cNvPr>
        <xdr:cNvCxnSpPr>
          <a:stCxn id="101" idx="2"/>
          <a:endCxn id="108" idx="0"/>
        </xdr:cNvCxnSpPr>
      </xdr:nvCxnSpPr>
      <xdr:spPr>
        <a:xfrm>
          <a:off x="25703213" y="20488275"/>
          <a:ext cx="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466725</xdr:colOff>
      <xdr:row>106</xdr:row>
      <xdr:rowOff>161925</xdr:rowOff>
    </xdr:from>
    <xdr:to>
      <xdr:col>34</xdr:col>
      <xdr:colOff>247650</xdr:colOff>
      <xdr:row>110</xdr:row>
      <xdr:rowOff>9525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09D41023-9002-465C-B95A-C74EC9278466}"/>
            </a:ext>
          </a:extLst>
        </xdr:cNvPr>
        <xdr:cNvSpPr/>
      </xdr:nvSpPr>
      <xdr:spPr>
        <a:xfrm>
          <a:off x="21831300" y="20935950"/>
          <a:ext cx="1609725" cy="6096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Outlook</a:t>
          </a:r>
        </a:p>
      </xdr:txBody>
    </xdr:sp>
    <xdr:clientData/>
  </xdr:twoCellAnchor>
  <xdr:twoCellAnchor>
    <xdr:from>
      <xdr:col>33</xdr:col>
      <xdr:colOff>23813</xdr:colOff>
      <xdr:row>104</xdr:row>
      <xdr:rowOff>123825</xdr:rowOff>
    </xdr:from>
    <xdr:to>
      <xdr:col>33</xdr:col>
      <xdr:colOff>52388</xdr:colOff>
      <xdr:row>106</xdr:row>
      <xdr:rowOff>161925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509D2D48-6A40-4DFD-A5BE-DEB7B05B0F18}"/>
            </a:ext>
          </a:extLst>
        </xdr:cNvPr>
        <xdr:cNvCxnSpPr>
          <a:stCxn id="100" idx="2"/>
          <a:endCxn id="111" idx="0"/>
        </xdr:cNvCxnSpPr>
      </xdr:nvCxnSpPr>
      <xdr:spPr>
        <a:xfrm>
          <a:off x="22607588" y="20507325"/>
          <a:ext cx="28575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552450</xdr:colOff>
      <xdr:row>112</xdr:row>
      <xdr:rowOff>123825</xdr:rowOff>
    </xdr:from>
    <xdr:to>
      <xdr:col>31</xdr:col>
      <xdr:colOff>333375</xdr:colOff>
      <xdr:row>115</xdr:row>
      <xdr:rowOff>142875</xdr:rowOff>
    </xdr:to>
    <xdr:sp macro="" textlink="">
      <xdr:nvSpPr>
        <xdr:cNvPr id="131" name="Rectangle 130">
          <a:extLst>
            <a:ext uri="{FF2B5EF4-FFF2-40B4-BE49-F238E27FC236}">
              <a16:creationId xmlns:a16="http://schemas.microsoft.com/office/drawing/2014/main" id="{2F5191C1-E3C2-40EA-9920-D0934D9463AA}"/>
            </a:ext>
          </a:extLst>
        </xdr:cNvPr>
        <xdr:cNvSpPr/>
      </xdr:nvSpPr>
      <xdr:spPr>
        <a:xfrm>
          <a:off x="20088225" y="22040850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Rain</a:t>
          </a:r>
        </a:p>
      </xdr:txBody>
    </xdr:sp>
    <xdr:clientData/>
  </xdr:twoCellAnchor>
  <xdr:twoCellAnchor>
    <xdr:from>
      <xdr:col>34</xdr:col>
      <xdr:colOff>323850</xdr:colOff>
      <xdr:row>112</xdr:row>
      <xdr:rowOff>114300</xdr:rowOff>
    </xdr:from>
    <xdr:to>
      <xdr:col>37</xdr:col>
      <xdr:colOff>104775</xdr:colOff>
      <xdr:row>115</xdr:row>
      <xdr:rowOff>133350</xdr:rowOff>
    </xdr:to>
    <xdr:sp macro="" textlink="">
      <xdr:nvSpPr>
        <xdr:cNvPr id="132" name="Rectangle 131">
          <a:extLst>
            <a:ext uri="{FF2B5EF4-FFF2-40B4-BE49-F238E27FC236}">
              <a16:creationId xmlns:a16="http://schemas.microsoft.com/office/drawing/2014/main" id="{557C97F1-0A95-469A-B92C-FA635AFD6DBE}"/>
            </a:ext>
          </a:extLst>
        </xdr:cNvPr>
        <xdr:cNvSpPr/>
      </xdr:nvSpPr>
      <xdr:spPr>
        <a:xfrm>
          <a:off x="23517225" y="22031325"/>
          <a:ext cx="1609725" cy="590550"/>
        </a:xfrm>
        <a:prstGeom prst="rect">
          <a:avLst/>
        </a:prstGeom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Sunny</a:t>
          </a:r>
        </a:p>
      </xdr:txBody>
    </xdr:sp>
    <xdr:clientData/>
  </xdr:twoCellAnchor>
  <xdr:twoCellAnchor>
    <xdr:from>
      <xdr:col>30</xdr:col>
      <xdr:colOff>138113</xdr:colOff>
      <xdr:row>110</xdr:row>
      <xdr:rowOff>9525</xdr:rowOff>
    </xdr:from>
    <xdr:to>
      <xdr:col>33</xdr:col>
      <xdr:colOff>52388</xdr:colOff>
      <xdr:row>112</xdr:row>
      <xdr:rowOff>123825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78DD900E-92BD-4B94-845A-D2F972769D28}"/>
            </a:ext>
          </a:extLst>
        </xdr:cNvPr>
        <xdr:cNvCxnSpPr>
          <a:stCxn id="111" idx="2"/>
          <a:endCxn id="131" idx="0"/>
        </xdr:cNvCxnSpPr>
      </xdr:nvCxnSpPr>
      <xdr:spPr>
        <a:xfrm flipH="1">
          <a:off x="20893088" y="21545550"/>
          <a:ext cx="174307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52388</xdr:colOff>
      <xdr:row>110</xdr:row>
      <xdr:rowOff>9525</xdr:rowOff>
    </xdr:from>
    <xdr:to>
      <xdr:col>35</xdr:col>
      <xdr:colOff>519113</xdr:colOff>
      <xdr:row>112</xdr:row>
      <xdr:rowOff>114300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94EA46A6-8F3A-450A-8578-D04DFEDF16AD}"/>
            </a:ext>
          </a:extLst>
        </xdr:cNvPr>
        <xdr:cNvCxnSpPr>
          <a:stCxn id="111" idx="2"/>
          <a:endCxn id="132" idx="0"/>
        </xdr:cNvCxnSpPr>
      </xdr:nvCxnSpPr>
      <xdr:spPr>
        <a:xfrm>
          <a:off x="22636163" y="21545550"/>
          <a:ext cx="168592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352425</xdr:colOff>
      <xdr:row>118</xdr:row>
      <xdr:rowOff>0</xdr:rowOff>
    </xdr:from>
    <xdr:to>
      <xdr:col>37</xdr:col>
      <xdr:colOff>133350</xdr:colOff>
      <xdr:row>121</xdr:row>
      <xdr:rowOff>9525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A9D0C0BC-7CA7-40A8-80FB-930B3E47C886}"/>
            </a:ext>
          </a:extLst>
        </xdr:cNvPr>
        <xdr:cNvSpPr/>
      </xdr:nvSpPr>
      <xdr:spPr>
        <a:xfrm>
          <a:off x="23545800" y="23060025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Yes</a:t>
          </a:r>
        </a:p>
      </xdr:txBody>
    </xdr:sp>
    <xdr:clientData/>
  </xdr:twoCellAnchor>
  <xdr:twoCellAnchor>
    <xdr:from>
      <xdr:col>35</xdr:col>
      <xdr:colOff>519113</xdr:colOff>
      <xdr:row>115</xdr:row>
      <xdr:rowOff>133350</xdr:rowOff>
    </xdr:from>
    <xdr:to>
      <xdr:col>35</xdr:col>
      <xdr:colOff>547688</xdr:colOff>
      <xdr:row>118</xdr:row>
      <xdr:rowOff>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1AF8E112-786A-44FA-B8C0-2566623104B6}"/>
            </a:ext>
          </a:extLst>
        </xdr:cNvPr>
        <xdr:cNvCxnSpPr>
          <a:stCxn id="132" idx="2"/>
          <a:endCxn id="139" idx="0"/>
        </xdr:cNvCxnSpPr>
      </xdr:nvCxnSpPr>
      <xdr:spPr>
        <a:xfrm>
          <a:off x="24322088" y="22621875"/>
          <a:ext cx="28575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571500</xdr:colOff>
      <xdr:row>117</xdr:row>
      <xdr:rowOff>180975</xdr:rowOff>
    </xdr:from>
    <xdr:to>
      <xdr:col>31</xdr:col>
      <xdr:colOff>352425</xdr:colOff>
      <xdr:row>121</xdr:row>
      <xdr:rowOff>0</xdr:rowOff>
    </xdr:to>
    <xdr:sp macro="" textlink="">
      <xdr:nvSpPr>
        <xdr:cNvPr id="142" name="Rectangle 141">
          <a:extLst>
            <a:ext uri="{FF2B5EF4-FFF2-40B4-BE49-F238E27FC236}">
              <a16:creationId xmlns:a16="http://schemas.microsoft.com/office/drawing/2014/main" id="{C6B7E6B2-EB0A-48D2-8922-2B3140E49770}"/>
            </a:ext>
          </a:extLst>
        </xdr:cNvPr>
        <xdr:cNvSpPr/>
      </xdr:nvSpPr>
      <xdr:spPr>
        <a:xfrm>
          <a:off x="20107275" y="23050500"/>
          <a:ext cx="1609725" cy="581025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solidFill>
                <a:srgbClr val="FF0000"/>
              </a:solidFill>
            </a:rPr>
            <a:t>No</a:t>
          </a:r>
        </a:p>
      </xdr:txBody>
    </xdr:sp>
    <xdr:clientData/>
  </xdr:twoCellAnchor>
  <xdr:twoCellAnchor>
    <xdr:from>
      <xdr:col>30</xdr:col>
      <xdr:colOff>138113</xdr:colOff>
      <xdr:row>115</xdr:row>
      <xdr:rowOff>142875</xdr:rowOff>
    </xdr:from>
    <xdr:to>
      <xdr:col>30</xdr:col>
      <xdr:colOff>157163</xdr:colOff>
      <xdr:row>117</xdr:row>
      <xdr:rowOff>180975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0A2574-DCF3-45B7-8B9D-8E6BB086B7FA}"/>
            </a:ext>
          </a:extLst>
        </xdr:cNvPr>
        <xdr:cNvCxnSpPr>
          <a:stCxn id="131" idx="2"/>
          <a:endCxn id="142" idx="0"/>
        </xdr:cNvCxnSpPr>
      </xdr:nvCxnSpPr>
      <xdr:spPr>
        <a:xfrm>
          <a:off x="20893088" y="22631400"/>
          <a:ext cx="19050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8"/>
  <sheetViews>
    <sheetView topLeftCell="C1" zoomScaleNormal="76" workbookViewId="0">
      <selection activeCell="F9" sqref="F9"/>
    </sheetView>
  </sheetViews>
  <sheetFormatPr baseColWidth="10" defaultColWidth="9.1640625" defaultRowHeight="15" x14ac:dyDescent="0.2"/>
  <cols>
    <col min="1" max="1" width="13.83203125" style="1" bestFit="1" customWidth="1"/>
    <col min="2" max="2" width="14" style="1" customWidth="1"/>
    <col min="3" max="3" width="16.33203125" style="1" bestFit="1" customWidth="1"/>
    <col min="4" max="4" width="13.5" style="1" customWidth="1"/>
    <col min="5" max="5" width="16.33203125" style="1" bestFit="1" customWidth="1"/>
    <col min="6" max="6" width="14.5" style="1" bestFit="1" customWidth="1"/>
    <col min="7" max="7" width="9.1640625" style="1"/>
    <col min="8" max="8" width="2.5" style="11" customWidth="1"/>
    <col min="9" max="9" width="9.1640625" style="1"/>
    <col min="10" max="10" width="18.6640625" style="1" bestFit="1" customWidth="1"/>
    <col min="11" max="13" width="12.83203125" style="1" customWidth="1"/>
    <col min="14" max="14" width="12.5" style="1" customWidth="1"/>
    <col min="15" max="15" width="13" style="1" customWidth="1"/>
    <col min="16" max="17" width="10.83203125" style="1" customWidth="1"/>
    <col min="18" max="18" width="14.6640625" style="1" customWidth="1"/>
    <col min="19" max="19" width="13.5" style="1" customWidth="1"/>
    <col min="20" max="20" width="2.83203125" style="1" customWidth="1"/>
    <col min="21" max="21" width="11" style="1" customWidth="1"/>
    <col min="22" max="22" width="9.1640625" style="1"/>
    <col min="23" max="23" width="8.1640625" style="1" customWidth="1"/>
    <col min="24" max="24" width="2.83203125" style="11" customWidth="1"/>
    <col min="25" max="16384" width="9.1640625" style="1"/>
  </cols>
  <sheetData>
    <row r="1" spans="1:24" x14ac:dyDescent="0.2">
      <c r="H1" s="1"/>
      <c r="X1" s="1"/>
    </row>
    <row r="2" spans="1:24" x14ac:dyDescent="0.2">
      <c r="H2" s="1"/>
      <c r="X2" s="1"/>
    </row>
    <row r="3" spans="1:24" x14ac:dyDescent="0.2">
      <c r="H3" s="1"/>
      <c r="X3" s="1"/>
    </row>
    <row r="4" spans="1:24" x14ac:dyDescent="0.2">
      <c r="H4" s="1"/>
      <c r="X4" s="1"/>
    </row>
    <row r="5" spans="1:24" x14ac:dyDescent="0.2">
      <c r="H5" s="1"/>
      <c r="X5" s="1"/>
    </row>
    <row r="6" spans="1:24" s="11" customFormat="1" ht="10.5" customHeight="1" x14ac:dyDescent="0.2"/>
    <row r="8" spans="1:24" x14ac:dyDescent="0.2">
      <c r="P8" s="34" t="s">
        <v>44</v>
      </c>
      <c r="Q8" s="34"/>
    </row>
    <row r="9" spans="1:24" ht="16" x14ac:dyDescent="0.2">
      <c r="A9" s="18" t="s">
        <v>15</v>
      </c>
      <c r="B9" s="20" t="s">
        <v>67</v>
      </c>
      <c r="C9" s="3" t="s">
        <v>57</v>
      </c>
      <c r="D9" s="3" t="s">
        <v>68</v>
      </c>
      <c r="E9" s="3" t="s">
        <v>69</v>
      </c>
      <c r="F9" s="4" t="s">
        <v>70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72</v>
      </c>
      <c r="O9" s="4" t="s">
        <v>73</v>
      </c>
      <c r="P9" s="4" t="s">
        <v>74</v>
      </c>
      <c r="Q9" s="4" t="s">
        <v>75</v>
      </c>
      <c r="R9" s="3" t="s">
        <v>45</v>
      </c>
    </row>
    <row r="10" spans="1:24" ht="16" x14ac:dyDescent="0.2">
      <c r="A10" s="19" t="s">
        <v>16</v>
      </c>
      <c r="B10" s="21">
        <v>1</v>
      </c>
      <c r="C10" s="5" t="s">
        <v>58</v>
      </c>
      <c r="D10" s="5" t="s">
        <v>59</v>
      </c>
      <c r="E10" s="5" t="s">
        <v>60</v>
      </c>
      <c r="F10" s="5" t="s">
        <v>61</v>
      </c>
      <c r="J10" s="5" t="s">
        <v>46</v>
      </c>
      <c r="K10" s="5">
        <v>9</v>
      </c>
      <c r="L10" s="5">
        <v>9</v>
      </c>
      <c r="M10" s="5"/>
      <c r="N10" s="2">
        <f>COUNTIFS(F10:F23,"=safe")</f>
        <v>4</v>
      </c>
      <c r="O10" s="2">
        <f>COUNTIFS(F10:F23,"=danger")</f>
        <v>5</v>
      </c>
      <c r="P10" s="6">
        <f>N10/L10</f>
        <v>0.44444444444444442</v>
      </c>
      <c r="Q10" s="6">
        <f>O10/L10</f>
        <v>0.55555555555555558</v>
      </c>
      <c r="R10" s="6">
        <f>-(P10*LOG(P10,2))-(Q10*LOG(Q10,2))</f>
        <v>0.99107605983822222</v>
      </c>
    </row>
    <row r="11" spans="1:24" ht="16" x14ac:dyDescent="0.2">
      <c r="A11" s="19" t="s">
        <v>17</v>
      </c>
      <c r="B11" s="21">
        <v>2</v>
      </c>
      <c r="C11" s="5" t="s">
        <v>62</v>
      </c>
      <c r="D11" s="5" t="s">
        <v>59</v>
      </c>
      <c r="E11" s="5" t="s">
        <v>63</v>
      </c>
      <c r="F11" s="5" t="s">
        <v>61</v>
      </c>
    </row>
    <row r="12" spans="1:24" ht="16" x14ac:dyDescent="0.2">
      <c r="A12" s="19" t="s">
        <v>18</v>
      </c>
      <c r="B12" s="21">
        <v>4</v>
      </c>
      <c r="C12" s="5" t="s">
        <v>58</v>
      </c>
      <c r="D12" s="5" t="s">
        <v>64</v>
      </c>
      <c r="E12" s="5" t="s">
        <v>60</v>
      </c>
      <c r="F12" s="5" t="s">
        <v>65</v>
      </c>
      <c r="P12" s="34" t="s">
        <v>44</v>
      </c>
      <c r="Q12" s="34"/>
    </row>
    <row r="13" spans="1:24" ht="16" x14ac:dyDescent="0.2">
      <c r="A13" s="19" t="s">
        <v>19</v>
      </c>
      <c r="B13" s="21">
        <v>5</v>
      </c>
      <c r="C13" s="5" t="s">
        <v>62</v>
      </c>
      <c r="D13" s="5" t="s">
        <v>66</v>
      </c>
      <c r="E13" s="5" t="s">
        <v>63</v>
      </c>
      <c r="F13" s="5" t="s">
        <v>61</v>
      </c>
      <c r="J13" s="3" t="s">
        <v>71</v>
      </c>
      <c r="K13" s="3" t="s">
        <v>43</v>
      </c>
      <c r="L13" s="3" t="s">
        <v>37</v>
      </c>
      <c r="M13" s="3" t="s">
        <v>48</v>
      </c>
      <c r="N13" s="4" t="s">
        <v>72</v>
      </c>
      <c r="O13" s="4" t="s">
        <v>73</v>
      </c>
      <c r="P13" s="4" t="s">
        <v>74</v>
      </c>
      <c r="Q13" s="4" t="s">
        <v>75</v>
      </c>
      <c r="R13" s="3" t="s">
        <v>47</v>
      </c>
      <c r="S13" s="3" t="s">
        <v>42</v>
      </c>
    </row>
    <row r="14" spans="1:24" ht="16" x14ac:dyDescent="0.2">
      <c r="A14" s="19" t="s">
        <v>20</v>
      </c>
      <c r="B14" s="21">
        <v>7</v>
      </c>
      <c r="C14" s="5" t="s">
        <v>62</v>
      </c>
      <c r="D14" s="5" t="s">
        <v>64</v>
      </c>
      <c r="E14" s="5" t="s">
        <v>60</v>
      </c>
      <c r="F14" s="5" t="s">
        <v>61</v>
      </c>
      <c r="J14" s="5" t="s">
        <v>60</v>
      </c>
      <c r="K14" s="5">
        <v>9</v>
      </c>
      <c r="L14" s="8">
        <f>COUNTIF(E10:E23,"=poodle")</f>
        <v>5</v>
      </c>
      <c r="M14" s="9">
        <f>L14/K14</f>
        <v>0.55555555555555558</v>
      </c>
      <c r="N14" s="2">
        <f>COUNTIFS(F10:F23,"=safe",E10:E23,"=poodle")</f>
        <v>2</v>
      </c>
      <c r="O14" s="2">
        <f>COUNTIFS(F10:F23,"=danger",E10:E23,"=poodle")</f>
        <v>3</v>
      </c>
      <c r="P14" s="2">
        <f>N14/L14</f>
        <v>0.4</v>
      </c>
      <c r="Q14" s="2">
        <f>O14/L14</f>
        <v>0.6</v>
      </c>
      <c r="R14" s="6">
        <f>-(P14*LOG(P14,2))-(Q14*LOG(Q14,2))</f>
        <v>0.97095059445466858</v>
      </c>
      <c r="S14" s="35">
        <f>R10-SUMPRODUCT(R14:R15,M14:M15)</f>
        <v>7.2146184745174313E-3</v>
      </c>
    </row>
    <row r="15" spans="1:24" ht="16" x14ac:dyDescent="0.2">
      <c r="A15" s="19" t="s">
        <v>21</v>
      </c>
      <c r="B15" s="21">
        <v>8</v>
      </c>
      <c r="C15" s="5" t="s">
        <v>62</v>
      </c>
      <c r="D15" s="5" t="s">
        <v>64</v>
      </c>
      <c r="E15" s="5" t="s">
        <v>63</v>
      </c>
      <c r="F15" s="5" t="s">
        <v>65</v>
      </c>
      <c r="J15" s="5" t="s">
        <v>63</v>
      </c>
      <c r="K15" s="5">
        <v>9</v>
      </c>
      <c r="L15" s="8">
        <f>COUNTIF(E10:E23,"=smooth")</f>
        <v>4</v>
      </c>
      <c r="M15" s="9">
        <f>L15/K15</f>
        <v>0.44444444444444442</v>
      </c>
      <c r="N15" s="2">
        <f>COUNTIFS(F10:F23,"=safe",E10:E23,"=smooth")</f>
        <v>2</v>
      </c>
      <c r="O15" s="2">
        <f>COUNTIFS(F10:F23,"=danger",E10:E23,"=smooth")</f>
        <v>2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36"/>
    </row>
    <row r="16" spans="1:24" ht="16" x14ac:dyDescent="0.2">
      <c r="A16" s="19" t="s">
        <v>22</v>
      </c>
      <c r="B16" s="21">
        <v>9</v>
      </c>
      <c r="C16" s="5" t="s">
        <v>62</v>
      </c>
      <c r="D16" s="5" t="s">
        <v>59</v>
      </c>
      <c r="E16" s="5" t="s">
        <v>60</v>
      </c>
      <c r="F16" s="5" t="s">
        <v>61</v>
      </c>
    </row>
    <row r="17" spans="1:19" ht="16" x14ac:dyDescent="0.2">
      <c r="A17" s="19" t="s">
        <v>23</v>
      </c>
      <c r="B17" s="21">
        <v>10</v>
      </c>
      <c r="C17" s="5" t="s">
        <v>58</v>
      </c>
      <c r="D17" s="5" t="s">
        <v>66</v>
      </c>
      <c r="E17" s="5" t="s">
        <v>60</v>
      </c>
      <c r="F17" s="5" t="s">
        <v>65</v>
      </c>
    </row>
    <row r="18" spans="1:19" ht="16" x14ac:dyDescent="0.2">
      <c r="A18" s="19" t="s">
        <v>24</v>
      </c>
      <c r="B18" s="21">
        <v>12</v>
      </c>
      <c r="C18" s="5" t="s">
        <v>58</v>
      </c>
      <c r="D18" s="5" t="s">
        <v>64</v>
      </c>
      <c r="E18" s="5" t="s">
        <v>63</v>
      </c>
      <c r="F18" s="5" t="s">
        <v>65</v>
      </c>
      <c r="P18" s="34" t="s">
        <v>44</v>
      </c>
      <c r="Q18" s="34"/>
    </row>
    <row r="19" spans="1:19" ht="16" x14ac:dyDescent="0.2">
      <c r="A19" s="19"/>
      <c r="B19" s="21"/>
      <c r="C19" s="5"/>
      <c r="D19" s="5"/>
      <c r="E19" s="5"/>
      <c r="F19" s="5"/>
      <c r="J19" s="3" t="s">
        <v>76</v>
      </c>
      <c r="K19" s="3" t="s">
        <v>43</v>
      </c>
      <c r="L19" s="3" t="s">
        <v>37</v>
      </c>
      <c r="M19" s="3" t="s">
        <v>48</v>
      </c>
      <c r="N19" s="4" t="s">
        <v>72</v>
      </c>
      <c r="O19" s="4" t="s">
        <v>73</v>
      </c>
      <c r="P19" s="4" t="s">
        <v>74</v>
      </c>
      <c r="Q19" s="4" t="s">
        <v>75</v>
      </c>
      <c r="R19" s="3" t="s">
        <v>45</v>
      </c>
      <c r="S19" s="20" t="s">
        <v>42</v>
      </c>
    </row>
    <row r="20" spans="1:19" ht="15.75" customHeight="1" x14ac:dyDescent="0.2">
      <c r="A20" s="5"/>
      <c r="B20" s="5"/>
      <c r="C20" s="5"/>
      <c r="D20" s="5"/>
      <c r="E20" s="5"/>
      <c r="F20" s="5"/>
      <c r="J20" s="5" t="s">
        <v>59</v>
      </c>
      <c r="K20" s="5">
        <v>9</v>
      </c>
      <c r="L20" s="5">
        <f>COUNTIF(D10:D23,"=big")</f>
        <v>3</v>
      </c>
      <c r="M20" s="9">
        <f>L20/K20</f>
        <v>0.33333333333333331</v>
      </c>
      <c r="N20" s="2">
        <f>COUNTIFS(F10:F23,"=safe",D10:D23,"=big")</f>
        <v>0</v>
      </c>
      <c r="O20" s="2">
        <f>COUNTIFS(F10:F23,"=danger",D10:D23,"=big")</f>
        <v>3</v>
      </c>
      <c r="P20" s="2">
        <f>N20/L20</f>
        <v>0</v>
      </c>
      <c r="Q20" s="2">
        <f>O20/L20</f>
        <v>1</v>
      </c>
      <c r="R20" s="6">
        <f>-(Q20*LOG(Q20,2))</f>
        <v>0</v>
      </c>
      <c r="S20" s="37">
        <f>R10-SUMPRODUCT(R20:R22,M20:M22)</f>
        <v>0.4082857823008299</v>
      </c>
    </row>
    <row r="21" spans="1:19" ht="15.75" customHeight="1" x14ac:dyDescent="0.2">
      <c r="A21" s="5"/>
      <c r="B21" s="5"/>
      <c r="C21" s="5"/>
      <c r="D21" s="5"/>
      <c r="E21" s="5"/>
      <c r="F21" s="5"/>
      <c r="J21" s="5" t="s">
        <v>66</v>
      </c>
      <c r="K21" s="5">
        <v>9</v>
      </c>
      <c r="L21" s="5">
        <f>COUNTIF(D10:D23,"=medium")</f>
        <v>2</v>
      </c>
      <c r="M21" s="9">
        <f t="shared" ref="M21:M22" si="0">L21/K21</f>
        <v>0.22222222222222221</v>
      </c>
      <c r="N21" s="2">
        <f>COUNTIFS(F10:F23,"=safe",D10:D23,"=medium")</f>
        <v>1</v>
      </c>
      <c r="O21" s="2">
        <f>COUNTIFS(F10:F23,"=danger",D10:D23,"=medium")</f>
        <v>1</v>
      </c>
      <c r="P21" s="2">
        <f>N21/L21</f>
        <v>0.5</v>
      </c>
      <c r="Q21" s="2">
        <f>O21/L21</f>
        <v>0.5</v>
      </c>
      <c r="R21" s="6">
        <f>-(P21*LOG(P21,2))-(Q21*LOG(Q21,2))</f>
        <v>1</v>
      </c>
      <c r="S21" s="38"/>
    </row>
    <row r="22" spans="1:19" ht="15.75" customHeight="1" x14ac:dyDescent="0.2">
      <c r="A22" s="5"/>
      <c r="B22" s="5"/>
      <c r="C22" s="5"/>
      <c r="D22" s="5"/>
      <c r="E22" s="5"/>
      <c r="F22" s="5"/>
      <c r="J22" s="5" t="s">
        <v>64</v>
      </c>
      <c r="K22" s="5">
        <v>9</v>
      </c>
      <c r="L22" s="5">
        <f>COUNTIF(D10:D23,"=small")</f>
        <v>4</v>
      </c>
      <c r="M22" s="9">
        <f t="shared" si="0"/>
        <v>0.44444444444444442</v>
      </c>
      <c r="N22" s="2">
        <f>COUNTIFS(F10:F23,"=safe",D10:D23,"=small")</f>
        <v>3</v>
      </c>
      <c r="O22" s="2">
        <f>COUNTIFS(F10:F23,"=danger",D10:D23,"=small")</f>
        <v>1</v>
      </c>
      <c r="P22" s="2">
        <f>N22/L22</f>
        <v>0.75</v>
      </c>
      <c r="Q22" s="2">
        <f>O22/L22</f>
        <v>0.25</v>
      </c>
      <c r="R22" s="6">
        <f>-(P22*LOG(P22,2))-(Q22*LOG(Q22,2))</f>
        <v>0.81127812445913283</v>
      </c>
      <c r="S22" s="39"/>
    </row>
    <row r="23" spans="1:19" ht="16" x14ac:dyDescent="0.2">
      <c r="A23" s="5"/>
      <c r="B23" s="5"/>
      <c r="C23" s="5"/>
      <c r="D23" s="5"/>
      <c r="E23" s="5"/>
      <c r="F23" s="5"/>
    </row>
    <row r="25" spans="1:19" x14ac:dyDescent="0.2">
      <c r="P25" s="34" t="s">
        <v>44</v>
      </c>
      <c r="Q25" s="34"/>
    </row>
    <row r="26" spans="1:19" ht="16" x14ac:dyDescent="0.2">
      <c r="J26" s="3" t="s">
        <v>77</v>
      </c>
      <c r="K26" s="3" t="s">
        <v>43</v>
      </c>
      <c r="L26" s="3" t="s">
        <v>37</v>
      </c>
      <c r="M26" s="3" t="s">
        <v>48</v>
      </c>
      <c r="N26" s="4" t="s">
        <v>72</v>
      </c>
      <c r="O26" s="4" t="s">
        <v>73</v>
      </c>
      <c r="P26" s="4" t="s">
        <v>74</v>
      </c>
      <c r="Q26" s="4" t="s">
        <v>75</v>
      </c>
      <c r="R26" s="3" t="s">
        <v>45</v>
      </c>
      <c r="S26" s="3" t="s">
        <v>42</v>
      </c>
    </row>
    <row r="27" spans="1:19" ht="15.75" customHeight="1" x14ac:dyDescent="0.2">
      <c r="J27" s="5" t="s">
        <v>58</v>
      </c>
      <c r="K27" s="5">
        <v>9</v>
      </c>
      <c r="L27" s="5">
        <f>COUNTIF(C10:C23,"=black")</f>
        <v>4</v>
      </c>
      <c r="M27" s="9">
        <f>L27/K27</f>
        <v>0.44444444444444442</v>
      </c>
      <c r="N27" s="2">
        <f>COUNTIFS(F10:F23,"=safe",C10:C23,"=black")</f>
        <v>3</v>
      </c>
      <c r="O27" s="2">
        <f>COUNTIFS(F10:F23,"=danger",C10:C23,"=black")</f>
        <v>1</v>
      </c>
      <c r="P27" s="2">
        <f>N27/L27</f>
        <v>0.75</v>
      </c>
      <c r="Q27" s="2">
        <f>O27/L27</f>
        <v>0.25</v>
      </c>
      <c r="R27" s="6">
        <f>-(P27*LOG(P27,2))-(Q27*LOG(Q27,2))</f>
        <v>0.81127812445913283</v>
      </c>
      <c r="S27" s="35">
        <f>R10-SUMPRODUCT(R27:R28,M27:M28)</f>
        <v>0.22943684069673975</v>
      </c>
    </row>
    <row r="28" spans="1:19" ht="15.75" customHeight="1" x14ac:dyDescent="0.2">
      <c r="J28" s="5" t="s">
        <v>62</v>
      </c>
      <c r="K28" s="5">
        <v>9</v>
      </c>
      <c r="L28" s="5">
        <f>COUNTIF(C10:C23,"=brown")</f>
        <v>5</v>
      </c>
      <c r="M28" s="9">
        <f t="shared" ref="M28" si="1">L28/K28</f>
        <v>0.55555555555555558</v>
      </c>
      <c r="N28" s="2">
        <f>COUNTIFS(F10:F23,"=safe",C10:C23,"=brown")</f>
        <v>1</v>
      </c>
      <c r="O28" s="2">
        <f>COUNTIFS(F10:F23,"=danger",C10:C23,"=brown")</f>
        <v>4</v>
      </c>
      <c r="P28" s="2">
        <f>N28/L28</f>
        <v>0.2</v>
      </c>
      <c r="Q28" s="2">
        <f>O28/L28</f>
        <v>0.8</v>
      </c>
      <c r="R28" s="6">
        <f>-(P28*LOG(P28,2))-(Q28*LOG(Q28,2))</f>
        <v>0.72192809488736231</v>
      </c>
      <c r="S28" s="36"/>
    </row>
    <row r="29" spans="1:19" ht="15.75" customHeight="1" x14ac:dyDescent="0.2">
      <c r="J29" s="13"/>
      <c r="K29" s="13"/>
      <c r="L29" s="13"/>
      <c r="M29" s="22"/>
      <c r="N29" s="23"/>
      <c r="O29" s="23"/>
      <c r="P29" s="23"/>
      <c r="Q29" s="23"/>
      <c r="R29" s="24"/>
      <c r="S29" s="25"/>
    </row>
    <row r="32" spans="1:19" x14ac:dyDescent="0.2">
      <c r="P32" s="32"/>
      <c r="Q32" s="32"/>
    </row>
    <row r="33" spans="1:19" ht="16" x14ac:dyDescent="0.2">
      <c r="J33" s="29"/>
      <c r="K33" s="29"/>
      <c r="L33" s="29"/>
      <c r="M33" s="29"/>
      <c r="N33" s="29"/>
      <c r="O33" s="29"/>
      <c r="P33" s="29"/>
      <c r="Q33" s="29"/>
      <c r="R33" s="29"/>
      <c r="S33" s="29"/>
    </row>
    <row r="34" spans="1:19" ht="16" x14ac:dyDescent="0.2">
      <c r="J34" s="13"/>
      <c r="K34" s="13"/>
      <c r="L34" s="13"/>
      <c r="M34" s="22"/>
      <c r="N34" s="23"/>
      <c r="O34" s="23"/>
      <c r="P34" s="26"/>
      <c r="Q34" s="26"/>
      <c r="R34" s="24"/>
      <c r="S34" s="33"/>
    </row>
    <row r="35" spans="1:19" ht="16" x14ac:dyDescent="0.2">
      <c r="J35" s="13"/>
      <c r="K35" s="13"/>
      <c r="L35" s="13"/>
      <c r="M35" s="22"/>
      <c r="N35" s="23"/>
      <c r="O35" s="23"/>
      <c r="P35" s="26"/>
      <c r="Q35" s="26"/>
      <c r="R35" s="24"/>
      <c r="S35" s="33"/>
    </row>
    <row r="38" spans="1:19" s="11" customFormat="1" x14ac:dyDescent="0.2"/>
    <row r="40" spans="1:19" ht="16" x14ac:dyDescent="0.2">
      <c r="A40" s="27"/>
      <c r="P40" s="32"/>
      <c r="Q40" s="32"/>
    </row>
    <row r="41" spans="1:19" ht="16" x14ac:dyDescent="0.2">
      <c r="A41" s="13"/>
      <c r="P41" s="34" t="s">
        <v>44</v>
      </c>
      <c r="Q41" s="34"/>
      <c r="S41" s="29"/>
    </row>
    <row r="42" spans="1:19" ht="16" x14ac:dyDescent="0.2">
      <c r="A42" s="13"/>
      <c r="B42" s="20" t="s">
        <v>67</v>
      </c>
      <c r="C42" s="3" t="s">
        <v>57</v>
      </c>
      <c r="D42" s="3" t="s">
        <v>68</v>
      </c>
      <c r="E42" s="3" t="s">
        <v>69</v>
      </c>
      <c r="F42" s="4" t="s">
        <v>70</v>
      </c>
      <c r="J42" s="3" t="s">
        <v>40</v>
      </c>
      <c r="K42" s="3" t="s">
        <v>43</v>
      </c>
      <c r="L42" s="3" t="s">
        <v>37</v>
      </c>
      <c r="M42" s="3" t="s">
        <v>48</v>
      </c>
      <c r="N42" s="4" t="s">
        <v>72</v>
      </c>
      <c r="O42" s="4" t="s">
        <v>73</v>
      </c>
      <c r="P42" s="4" t="s">
        <v>74</v>
      </c>
      <c r="Q42" s="4" t="s">
        <v>75</v>
      </c>
      <c r="R42" s="3" t="s">
        <v>45</v>
      </c>
    </row>
    <row r="43" spans="1:19" ht="16" x14ac:dyDescent="0.2">
      <c r="A43" s="13"/>
      <c r="B43" s="21">
        <v>1</v>
      </c>
      <c r="C43" s="5" t="s">
        <v>58</v>
      </c>
      <c r="D43" s="5" t="s">
        <v>59</v>
      </c>
      <c r="E43" s="5" t="s">
        <v>60</v>
      </c>
      <c r="F43" s="5" t="s">
        <v>61</v>
      </c>
      <c r="J43" s="5" t="s">
        <v>46</v>
      </c>
      <c r="K43" s="5">
        <v>3</v>
      </c>
      <c r="L43" s="5">
        <v>3</v>
      </c>
      <c r="M43" s="5"/>
      <c r="N43" s="2">
        <f>COUNTIFS(F43:F54,"=safe")</f>
        <v>0</v>
      </c>
      <c r="O43" s="2">
        <f>COUNTIFS(F43:F54,"=danger")</f>
        <v>3</v>
      </c>
      <c r="P43" s="6">
        <f>N43/L43</f>
        <v>0</v>
      </c>
      <c r="Q43" s="6">
        <f>O43/L43</f>
        <v>1</v>
      </c>
      <c r="R43" s="6">
        <f>-(Q43*LOG(Q43,2))</f>
        <v>0</v>
      </c>
    </row>
    <row r="44" spans="1:19" ht="16" x14ac:dyDescent="0.2">
      <c r="A44" s="13"/>
      <c r="B44" s="21">
        <v>2</v>
      </c>
      <c r="C44" s="5" t="s">
        <v>62</v>
      </c>
      <c r="D44" s="5" t="s">
        <v>59</v>
      </c>
      <c r="E44" s="5" t="s">
        <v>63</v>
      </c>
      <c r="F44" s="5" t="s">
        <v>61</v>
      </c>
    </row>
    <row r="45" spans="1:19" ht="16" x14ac:dyDescent="0.2">
      <c r="A45" s="13"/>
      <c r="B45" s="21">
        <v>9</v>
      </c>
      <c r="C45" s="5" t="s">
        <v>62</v>
      </c>
      <c r="D45" s="5" t="s">
        <v>59</v>
      </c>
      <c r="E45" s="5" t="s">
        <v>60</v>
      </c>
      <c r="F45" s="5" t="s">
        <v>61</v>
      </c>
    </row>
    <row r="46" spans="1:19" ht="16" x14ac:dyDescent="0.2">
      <c r="A46" s="13"/>
      <c r="B46" s="13"/>
      <c r="C46" s="13"/>
      <c r="D46" s="13"/>
      <c r="E46" s="13"/>
      <c r="F46" s="13"/>
    </row>
    <row r="47" spans="1:19" ht="16" x14ac:dyDescent="0.2">
      <c r="A47" s="13"/>
    </row>
    <row r="48" spans="1:19" ht="16" x14ac:dyDescent="0.2">
      <c r="A48" s="13"/>
    </row>
    <row r="49" spans="1:19" ht="16" x14ac:dyDescent="0.2">
      <c r="A49" s="13"/>
    </row>
    <row r="50" spans="1:19" ht="16" x14ac:dyDescent="0.2">
      <c r="A50" s="13"/>
    </row>
    <row r="51" spans="1:19" ht="16" x14ac:dyDescent="0.2">
      <c r="A51" s="13"/>
      <c r="B51" s="13"/>
      <c r="C51" s="13"/>
      <c r="D51" s="13"/>
      <c r="E51" s="13"/>
      <c r="F51" s="13"/>
    </row>
    <row r="52" spans="1:19" ht="16" x14ac:dyDescent="0.2">
      <c r="A52" s="13"/>
      <c r="B52" s="13"/>
      <c r="C52" s="13"/>
      <c r="D52" s="13"/>
      <c r="E52" s="13"/>
      <c r="F52" s="13"/>
    </row>
    <row r="53" spans="1:19" ht="16" x14ac:dyDescent="0.2">
      <c r="A53" s="13"/>
      <c r="B53" s="13"/>
      <c r="C53" s="13"/>
      <c r="D53" s="13"/>
      <c r="E53" s="13"/>
      <c r="F53" s="13"/>
    </row>
    <row r="54" spans="1:19" ht="16" x14ac:dyDescent="0.2">
      <c r="A54" s="13"/>
      <c r="B54" s="13"/>
      <c r="C54" s="13"/>
      <c r="D54" s="13"/>
      <c r="E54" s="13"/>
      <c r="F54" s="13"/>
    </row>
    <row r="55" spans="1:19" ht="16" x14ac:dyDescent="0.2">
      <c r="A55" s="13"/>
      <c r="B55" s="13"/>
      <c r="C55" s="13"/>
      <c r="D55" s="13"/>
      <c r="E55" s="13"/>
      <c r="F55" s="13"/>
    </row>
    <row r="56" spans="1:19" ht="16" x14ac:dyDescent="0.2">
      <c r="A56" s="13"/>
      <c r="B56" s="13"/>
      <c r="C56" s="13"/>
      <c r="D56" s="13"/>
      <c r="E56" s="13"/>
      <c r="F56" s="13"/>
    </row>
    <row r="57" spans="1:19" ht="16" x14ac:dyDescent="0.2">
      <c r="A57" s="13"/>
      <c r="B57" s="13"/>
      <c r="C57" s="13"/>
      <c r="D57" s="13"/>
      <c r="E57" s="13"/>
      <c r="F57" s="13"/>
    </row>
    <row r="58" spans="1:19" ht="16" x14ac:dyDescent="0.2">
      <c r="A58" s="13"/>
      <c r="B58" s="13"/>
      <c r="C58" s="13"/>
      <c r="D58" s="13"/>
      <c r="E58" s="13"/>
      <c r="F58" s="13"/>
    </row>
    <row r="59" spans="1:19" ht="16" x14ac:dyDescent="0.2">
      <c r="A59" s="13"/>
      <c r="B59" s="13"/>
      <c r="C59" s="13"/>
      <c r="D59" s="13"/>
      <c r="E59" s="13"/>
      <c r="F59" s="13"/>
    </row>
    <row r="62" spans="1:19" s="11" customFormat="1" x14ac:dyDescent="0.2">
      <c r="S62" s="12"/>
    </row>
    <row r="64" spans="1:19" ht="16" x14ac:dyDescent="0.2">
      <c r="A64" s="29" t="s">
        <v>15</v>
      </c>
      <c r="B64" s="3" t="s">
        <v>67</v>
      </c>
      <c r="C64" s="3" t="s">
        <v>57</v>
      </c>
      <c r="D64" s="3" t="s">
        <v>68</v>
      </c>
      <c r="E64" s="3" t="s">
        <v>69</v>
      </c>
      <c r="F64" s="4" t="s">
        <v>70</v>
      </c>
      <c r="P64" s="34" t="s">
        <v>44</v>
      </c>
      <c r="Q64" s="34"/>
    </row>
    <row r="65" spans="1:19" ht="16" x14ac:dyDescent="0.2">
      <c r="A65" s="13"/>
      <c r="B65" s="5">
        <v>5</v>
      </c>
      <c r="C65" s="5" t="s">
        <v>62</v>
      </c>
      <c r="D65" s="5" t="s">
        <v>66</v>
      </c>
      <c r="E65" s="5" t="s">
        <v>63</v>
      </c>
      <c r="F65" s="5" t="s">
        <v>61</v>
      </c>
      <c r="J65" s="3" t="s">
        <v>57</v>
      </c>
      <c r="K65" s="3" t="s">
        <v>43</v>
      </c>
      <c r="L65" s="3" t="s">
        <v>37</v>
      </c>
      <c r="M65" s="3" t="s">
        <v>48</v>
      </c>
      <c r="N65" s="4" t="s">
        <v>72</v>
      </c>
      <c r="O65" s="4" t="s">
        <v>73</v>
      </c>
      <c r="P65" s="4" t="s">
        <v>74</v>
      </c>
      <c r="Q65" s="4" t="s">
        <v>75</v>
      </c>
      <c r="R65" s="3" t="s">
        <v>45</v>
      </c>
      <c r="S65" s="3" t="s">
        <v>42</v>
      </c>
    </row>
    <row r="66" spans="1:19" ht="15.75" customHeight="1" x14ac:dyDescent="0.2">
      <c r="A66" s="13"/>
      <c r="B66" s="5">
        <v>10</v>
      </c>
      <c r="C66" s="2" t="s">
        <v>58</v>
      </c>
      <c r="D66" s="2" t="s">
        <v>66</v>
      </c>
      <c r="E66" s="2" t="s">
        <v>60</v>
      </c>
      <c r="F66" s="2" t="s">
        <v>65</v>
      </c>
      <c r="J66" s="5" t="s">
        <v>62</v>
      </c>
      <c r="K66" s="5">
        <v>2</v>
      </c>
      <c r="L66" s="5">
        <f>COUNTIF(C65:C66,J66)</f>
        <v>1</v>
      </c>
      <c r="M66" s="9">
        <f>L66/K66</f>
        <v>0.5</v>
      </c>
      <c r="N66" s="2">
        <f>COUNTIFS(F65:F67,"=safe",C65:C67,J66)</f>
        <v>0</v>
      </c>
      <c r="O66" s="2">
        <f>COUNTIFS(F65:F67,"=danger",C65:C67,J66)</f>
        <v>1</v>
      </c>
      <c r="P66" s="10">
        <f>N66/L66</f>
        <v>0</v>
      </c>
      <c r="Q66" s="10">
        <f>O66/L66</f>
        <v>1</v>
      </c>
      <c r="R66" s="6">
        <f>-(Q66*LOG(Q66,2))</f>
        <v>0</v>
      </c>
      <c r="S66" s="35">
        <f>R21-SUMPRODUCT(R66:R67,M66:M67)</f>
        <v>1</v>
      </c>
    </row>
    <row r="67" spans="1:19" ht="15.75" customHeight="1" x14ac:dyDescent="0.2">
      <c r="A67" s="13"/>
      <c r="B67" s="13"/>
      <c r="C67" s="13"/>
      <c r="D67" s="13"/>
      <c r="E67" s="13"/>
      <c r="F67" s="13"/>
      <c r="J67" s="5" t="s">
        <v>58</v>
      </c>
      <c r="K67" s="5">
        <v>2</v>
      </c>
      <c r="L67" s="5">
        <f>COUNTIF(C65:C66,"=black")</f>
        <v>1</v>
      </c>
      <c r="M67" s="9">
        <f t="shared" ref="M67" si="2">L67/K67</f>
        <v>0.5</v>
      </c>
      <c r="N67" s="2">
        <f>COUNTIFS(F65:F67,"=safe",C65:C67,J67)</f>
        <v>1</v>
      </c>
      <c r="O67" s="2">
        <f>COUNTIFS(F65:F67,"=danger",C65:C67,J67)</f>
        <v>0</v>
      </c>
      <c r="P67" s="10">
        <f>N67/L67</f>
        <v>1</v>
      </c>
      <c r="Q67" s="10">
        <f>O67/L67</f>
        <v>0</v>
      </c>
      <c r="R67" s="6">
        <f>-(P67*LOG(P67,2))</f>
        <v>0</v>
      </c>
      <c r="S67" s="36"/>
    </row>
    <row r="68" spans="1:19" ht="15.75" customHeight="1" x14ac:dyDescent="0.2">
      <c r="A68" s="13"/>
      <c r="B68" s="13"/>
      <c r="J68" s="13"/>
      <c r="K68" s="13"/>
      <c r="L68" s="13"/>
      <c r="M68" s="22"/>
      <c r="N68" s="23"/>
      <c r="O68" s="23"/>
      <c r="P68" s="26"/>
      <c r="Q68" s="26"/>
      <c r="R68" s="24"/>
      <c r="S68" s="25"/>
    </row>
    <row r="69" spans="1:19" ht="16" x14ac:dyDescent="0.2">
      <c r="A69" s="28"/>
      <c r="B69" s="13"/>
    </row>
    <row r="71" spans="1:19" x14ac:dyDescent="0.2">
      <c r="P71" s="34" t="s">
        <v>44</v>
      </c>
      <c r="Q71" s="34"/>
    </row>
    <row r="72" spans="1:19" ht="16" x14ac:dyDescent="0.2">
      <c r="J72" s="3" t="s">
        <v>71</v>
      </c>
      <c r="K72" s="3" t="s">
        <v>43</v>
      </c>
      <c r="L72" s="3" t="s">
        <v>37</v>
      </c>
      <c r="M72" s="3" t="s">
        <v>48</v>
      </c>
      <c r="N72" s="4" t="s">
        <v>72</v>
      </c>
      <c r="O72" s="4" t="s">
        <v>73</v>
      </c>
      <c r="P72" s="4" t="s">
        <v>74</v>
      </c>
      <c r="Q72" s="4" t="s">
        <v>75</v>
      </c>
      <c r="R72" s="3" t="s">
        <v>45</v>
      </c>
      <c r="S72" s="3" t="s">
        <v>42</v>
      </c>
    </row>
    <row r="73" spans="1:19" ht="15.75" customHeight="1" x14ac:dyDescent="0.2">
      <c r="J73" s="5" t="s">
        <v>63</v>
      </c>
      <c r="K73" s="5">
        <v>2</v>
      </c>
      <c r="L73" s="5">
        <f>COUNTIF(E65:E66,J73)</f>
        <v>1</v>
      </c>
      <c r="M73" s="9">
        <f>L73/K73</f>
        <v>0.5</v>
      </c>
      <c r="N73" s="2">
        <f>COUNTIFS(F65:F67,"=safe",E65:E67,J73)</f>
        <v>0</v>
      </c>
      <c r="O73" s="2">
        <f>COUNTIFS(F65:F67,"=danger",E65:E67,J73)</f>
        <v>1</v>
      </c>
      <c r="P73" s="10">
        <f>N73/L73</f>
        <v>0</v>
      </c>
      <c r="Q73" s="10">
        <f>O73/L73</f>
        <v>1</v>
      </c>
      <c r="R73" s="6">
        <f>-(Q73*LOG(Q73,2))</f>
        <v>0</v>
      </c>
      <c r="S73" s="35">
        <f>R21-SUMPRODUCT(R73:R74,M73:M74)</f>
        <v>1</v>
      </c>
    </row>
    <row r="74" spans="1:19" ht="15.75" customHeight="1" x14ac:dyDescent="0.2">
      <c r="J74" s="5" t="s">
        <v>60</v>
      </c>
      <c r="K74" s="5">
        <v>2</v>
      </c>
      <c r="L74" s="5">
        <f>COUNTIF(E65:E66,J74)</f>
        <v>1</v>
      </c>
      <c r="M74" s="9">
        <f t="shared" ref="M74" si="3">L74/K74</f>
        <v>0.5</v>
      </c>
      <c r="N74" s="2">
        <f>COUNTIFS(F65:F67,"=safe",E65:E67,J74)</f>
        <v>1</v>
      </c>
      <c r="O74" s="2">
        <f>COUNTIFS(F65:F67,"=danger",E65:E67,J74)</f>
        <v>0</v>
      </c>
      <c r="P74" s="10">
        <f>N74/L74</f>
        <v>1</v>
      </c>
      <c r="Q74" s="10">
        <f>O74/L74</f>
        <v>0</v>
      </c>
      <c r="R74" s="6">
        <f>-(P74*LOG(P74,2))</f>
        <v>0</v>
      </c>
      <c r="S74" s="36"/>
    </row>
    <row r="75" spans="1:19" ht="15.75" customHeight="1" x14ac:dyDescent="0.2"/>
    <row r="77" spans="1:19" x14ac:dyDescent="0.2">
      <c r="P77" s="32"/>
      <c r="Q77" s="32"/>
    </row>
    <row r="78" spans="1:19" ht="16" x14ac:dyDescent="0.2">
      <c r="J78" s="29"/>
      <c r="K78" s="29"/>
      <c r="L78" s="29"/>
      <c r="M78" s="29"/>
      <c r="N78" s="29"/>
      <c r="O78" s="29"/>
      <c r="P78" s="29"/>
      <c r="Q78" s="29"/>
      <c r="R78" s="29"/>
      <c r="S78" s="29"/>
    </row>
    <row r="79" spans="1:19" ht="16" x14ac:dyDescent="0.2">
      <c r="J79" s="13"/>
      <c r="K79" s="13"/>
      <c r="L79" s="13"/>
      <c r="M79" s="22"/>
      <c r="N79" s="23"/>
      <c r="O79" s="23"/>
      <c r="P79" s="26"/>
      <c r="Q79" s="26"/>
      <c r="R79" s="24"/>
      <c r="S79" s="33"/>
    </row>
    <row r="80" spans="1:19" ht="16" x14ac:dyDescent="0.2">
      <c r="J80" s="13"/>
      <c r="K80" s="13"/>
      <c r="L80" s="13"/>
      <c r="M80" s="22"/>
      <c r="N80" s="23"/>
      <c r="O80" s="23"/>
      <c r="P80" s="26"/>
      <c r="Q80" s="26"/>
      <c r="R80" s="24"/>
      <c r="S80" s="33"/>
    </row>
    <row r="84" spans="1:19" s="11" customFormat="1" x14ac:dyDescent="0.2">
      <c r="S84" s="12"/>
    </row>
    <row r="86" spans="1:19" ht="16" x14ac:dyDescent="0.2">
      <c r="A86" s="29"/>
      <c r="B86" s="29"/>
      <c r="C86" s="29"/>
      <c r="D86" s="29"/>
      <c r="E86" s="29"/>
      <c r="F86" s="29"/>
    </row>
    <row r="87" spans="1:19" ht="16" x14ac:dyDescent="0.2">
      <c r="A87" s="13"/>
      <c r="B87" s="13"/>
      <c r="C87" s="13"/>
      <c r="D87" s="13"/>
      <c r="E87" s="13"/>
      <c r="F87" s="13"/>
    </row>
    <row r="88" spans="1:19" ht="16" x14ac:dyDescent="0.2">
      <c r="A88" s="13"/>
      <c r="B88" s="13"/>
      <c r="C88" s="13"/>
      <c r="D88" s="13"/>
      <c r="E88" s="13"/>
      <c r="F88" s="13"/>
    </row>
    <row r="89" spans="1:19" ht="16" x14ac:dyDescent="0.2">
      <c r="A89" s="13"/>
      <c r="B89" s="3" t="s">
        <v>67</v>
      </c>
      <c r="C89" s="3" t="s">
        <v>57</v>
      </c>
      <c r="D89" s="3" t="s">
        <v>68</v>
      </c>
      <c r="E89" s="3" t="s">
        <v>69</v>
      </c>
      <c r="F89" s="4" t="s">
        <v>70</v>
      </c>
    </row>
    <row r="90" spans="1:19" ht="16" x14ac:dyDescent="0.2">
      <c r="B90" s="5">
        <v>5</v>
      </c>
      <c r="C90" s="5" t="s">
        <v>62</v>
      </c>
      <c r="D90" s="5" t="s">
        <v>66</v>
      </c>
      <c r="E90" s="5" t="s">
        <v>63</v>
      </c>
      <c r="F90" s="5" t="s">
        <v>61</v>
      </c>
    </row>
    <row r="91" spans="1:19" ht="16" x14ac:dyDescent="0.2">
      <c r="B91" s="5">
        <v>10</v>
      </c>
      <c r="C91" s="2" t="s">
        <v>58</v>
      </c>
      <c r="D91" s="2" t="s">
        <v>66</v>
      </c>
      <c r="E91" s="2" t="s">
        <v>60</v>
      </c>
      <c r="F91" s="2" t="s">
        <v>65</v>
      </c>
    </row>
    <row r="93" spans="1:19" ht="16" x14ac:dyDescent="0.2">
      <c r="A93" s="29"/>
      <c r="B93" s="29"/>
      <c r="C93" s="29"/>
      <c r="D93" s="29"/>
      <c r="E93" s="29"/>
      <c r="F93" s="29"/>
    </row>
    <row r="94" spans="1:19" ht="16" x14ac:dyDescent="0.2">
      <c r="A94" s="13"/>
      <c r="B94" s="13"/>
      <c r="C94" s="13"/>
      <c r="D94" s="13"/>
      <c r="E94" s="13"/>
      <c r="F94" s="13"/>
    </row>
    <row r="95" spans="1:19" ht="16" x14ac:dyDescent="0.2">
      <c r="A95" s="13"/>
      <c r="B95" s="13"/>
      <c r="C95" s="13"/>
      <c r="D95" s="13"/>
      <c r="E95" s="13"/>
      <c r="F95" s="13"/>
    </row>
    <row r="119" spans="1:22" s="11" customFormat="1" x14ac:dyDescent="0.2"/>
    <row r="121" spans="1:22" ht="16" x14ac:dyDescent="0.2">
      <c r="U121" s="3" t="s">
        <v>45</v>
      </c>
      <c r="V121" s="7"/>
    </row>
    <row r="122" spans="1:22" ht="16" x14ac:dyDescent="0.2">
      <c r="A122" s="3" t="s">
        <v>15</v>
      </c>
      <c r="B122" s="16" t="s">
        <v>67</v>
      </c>
      <c r="C122" s="16" t="s">
        <v>57</v>
      </c>
      <c r="D122" s="16" t="s">
        <v>68</v>
      </c>
      <c r="E122" s="16" t="s">
        <v>69</v>
      </c>
      <c r="F122" s="31" t="s">
        <v>70</v>
      </c>
      <c r="P122" s="34" t="s">
        <v>44</v>
      </c>
      <c r="Q122" s="34"/>
    </row>
    <row r="123" spans="1:22" ht="16" x14ac:dyDescent="0.2">
      <c r="A123" s="30" t="s">
        <v>19</v>
      </c>
      <c r="B123" s="5">
        <v>4</v>
      </c>
      <c r="C123" s="5" t="s">
        <v>58</v>
      </c>
      <c r="D123" s="5" t="s">
        <v>64</v>
      </c>
      <c r="E123" s="5" t="s">
        <v>60</v>
      </c>
      <c r="F123" s="5" t="s">
        <v>65</v>
      </c>
      <c r="J123" s="3" t="s">
        <v>77</v>
      </c>
      <c r="K123" s="3" t="s">
        <v>43</v>
      </c>
      <c r="L123" s="3" t="s">
        <v>37</v>
      </c>
      <c r="M123" s="3" t="s">
        <v>48</v>
      </c>
      <c r="N123" s="4" t="s">
        <v>72</v>
      </c>
      <c r="O123" s="4" t="s">
        <v>73</v>
      </c>
      <c r="P123" s="4" t="s">
        <v>74</v>
      </c>
      <c r="Q123" s="4" t="s">
        <v>75</v>
      </c>
      <c r="R123" s="3" t="s">
        <v>45</v>
      </c>
      <c r="S123" s="3" t="s">
        <v>42</v>
      </c>
    </row>
    <row r="124" spans="1:22" ht="15.75" customHeight="1" x14ac:dyDescent="0.2">
      <c r="A124" s="30" t="s">
        <v>20</v>
      </c>
      <c r="B124" s="5">
        <v>7</v>
      </c>
      <c r="C124" s="5" t="s">
        <v>62</v>
      </c>
      <c r="D124" s="5" t="s">
        <v>64</v>
      </c>
      <c r="E124" s="5" t="s">
        <v>60</v>
      </c>
      <c r="F124" s="5" t="s">
        <v>61</v>
      </c>
      <c r="J124" s="5" t="s">
        <v>62</v>
      </c>
      <c r="K124" s="5">
        <v>4</v>
      </c>
      <c r="L124" s="5">
        <f>COUNTIF(C123:C126,J124)</f>
        <v>2</v>
      </c>
      <c r="M124" s="9">
        <f>L124/K124</f>
        <v>0.5</v>
      </c>
      <c r="N124" s="2">
        <f>COUNTIFS(F123:F126,"=safe",C123:C126,J124)</f>
        <v>1</v>
      </c>
      <c r="O124" s="2">
        <f>COUNTIFS(F123:F126,"=danger",C123:C126,J124)</f>
        <v>1</v>
      </c>
      <c r="P124" s="10">
        <f>N124/L124</f>
        <v>0.5</v>
      </c>
      <c r="Q124" s="10">
        <f>O124/L124</f>
        <v>0.5</v>
      </c>
      <c r="R124" s="6">
        <f>-(P124*LOG(P124,2))-(Q124*LOG(Q124,2))</f>
        <v>1</v>
      </c>
      <c r="S124" s="40">
        <f>R22-SUMPRODUCT(R124:R125,M124:M125)</f>
        <v>0.31127812445913283</v>
      </c>
    </row>
    <row r="125" spans="1:22" ht="15.75" customHeight="1" x14ac:dyDescent="0.2">
      <c r="A125" s="30" t="s">
        <v>21</v>
      </c>
      <c r="B125" s="2">
        <v>8</v>
      </c>
      <c r="C125" s="2" t="s">
        <v>62</v>
      </c>
      <c r="D125" s="2" t="s">
        <v>64</v>
      </c>
      <c r="E125" s="2" t="s">
        <v>63</v>
      </c>
      <c r="F125" s="2" t="s">
        <v>65</v>
      </c>
      <c r="J125" s="5" t="s">
        <v>58</v>
      </c>
      <c r="K125" s="5">
        <v>4</v>
      </c>
      <c r="L125" s="5">
        <f>COUNTIF(C123:C126,"=black")</f>
        <v>2</v>
      </c>
      <c r="M125" s="9">
        <f t="shared" ref="M125" si="4">L125/K125</f>
        <v>0.5</v>
      </c>
      <c r="N125" s="2">
        <f>COUNTIFS(F123:F126,"=safe",C123:C126,J125)</f>
        <v>2</v>
      </c>
      <c r="O125" s="2">
        <f>COUNTIFS(F123:F126,"=danger",C123:C126,J125)</f>
        <v>0</v>
      </c>
      <c r="P125" s="10">
        <f>N125/L125</f>
        <v>1</v>
      </c>
      <c r="Q125" s="10">
        <f>O125/L125</f>
        <v>0</v>
      </c>
      <c r="R125" s="6">
        <f>-(P125*LOG(P125,2))</f>
        <v>0</v>
      </c>
      <c r="S125" s="40"/>
    </row>
    <row r="126" spans="1:22" ht="15.75" customHeight="1" x14ac:dyDescent="0.2">
      <c r="A126" s="5" t="s">
        <v>25</v>
      </c>
      <c r="B126" s="2">
        <v>12</v>
      </c>
      <c r="C126" s="2" t="s">
        <v>58</v>
      </c>
      <c r="D126" s="2" t="s">
        <v>64</v>
      </c>
      <c r="E126" s="2" t="s">
        <v>63</v>
      </c>
      <c r="F126" s="2" t="s">
        <v>65</v>
      </c>
      <c r="J126" s="13"/>
      <c r="K126" s="13"/>
      <c r="L126" s="13"/>
      <c r="M126" s="22"/>
      <c r="N126" s="23"/>
      <c r="O126" s="23"/>
      <c r="P126" s="26"/>
      <c r="Q126" s="26"/>
      <c r="R126" s="24"/>
      <c r="S126" s="25"/>
    </row>
    <row r="127" spans="1:22" ht="16" x14ac:dyDescent="0.2">
      <c r="A127" s="13"/>
    </row>
    <row r="129" spans="10:19" x14ac:dyDescent="0.2">
      <c r="P129" s="34" t="s">
        <v>44</v>
      </c>
      <c r="Q129" s="34"/>
    </row>
    <row r="130" spans="10:19" ht="16" x14ac:dyDescent="0.2">
      <c r="J130" s="3" t="s">
        <v>78</v>
      </c>
      <c r="K130" s="3" t="s">
        <v>43</v>
      </c>
      <c r="L130" s="3" t="s">
        <v>37</v>
      </c>
      <c r="M130" s="3" t="s">
        <v>48</v>
      </c>
      <c r="N130" s="4" t="s">
        <v>72</v>
      </c>
      <c r="O130" s="4" t="s">
        <v>73</v>
      </c>
      <c r="P130" s="4" t="s">
        <v>74</v>
      </c>
      <c r="Q130" s="4" t="s">
        <v>75</v>
      </c>
      <c r="R130" s="3" t="s">
        <v>45</v>
      </c>
      <c r="S130" s="3" t="s">
        <v>42</v>
      </c>
    </row>
    <row r="131" spans="10:19" ht="15.75" customHeight="1" x14ac:dyDescent="0.2">
      <c r="J131" s="5" t="s">
        <v>63</v>
      </c>
      <c r="K131" s="5">
        <v>4</v>
      </c>
      <c r="L131" s="5">
        <f>COUNTIF(E123:E126,J131)</f>
        <v>2</v>
      </c>
      <c r="M131" s="9">
        <f>L131/K131</f>
        <v>0.5</v>
      </c>
      <c r="N131" s="2">
        <f>COUNTIFS(F123:F126,"=safe",E123:E126,J131)</f>
        <v>2</v>
      </c>
      <c r="O131" s="2">
        <f>COUNTIFS(F123:F126,"=danger",E123:E126,J131)</f>
        <v>0</v>
      </c>
      <c r="P131" s="10">
        <f>N131/L131</f>
        <v>1</v>
      </c>
      <c r="Q131" s="10">
        <f>O131/L131</f>
        <v>0</v>
      </c>
      <c r="R131" s="6">
        <f>-(P131*LOG(P131,2))</f>
        <v>0</v>
      </c>
      <c r="S131" s="35">
        <f>R22-SUMPRODUCT(R131:R132,M131:M132)</f>
        <v>0.31127812445913283</v>
      </c>
    </row>
    <row r="132" spans="10:19" ht="15.75" customHeight="1" x14ac:dyDescent="0.2">
      <c r="J132" s="5" t="s">
        <v>60</v>
      </c>
      <c r="K132" s="5">
        <v>4</v>
      </c>
      <c r="L132" s="5">
        <f>COUNTIF(E123:E126,J132)</f>
        <v>2</v>
      </c>
      <c r="M132" s="9">
        <f t="shared" ref="M132" si="5">L132/K132</f>
        <v>0.5</v>
      </c>
      <c r="N132" s="2">
        <f>COUNTIFS(F123:F126,"=safe",E123:E126,J132)</f>
        <v>1</v>
      </c>
      <c r="O132" s="2">
        <f>COUNTIFS(F123:F126,"=danger",E123:E126,J132)</f>
        <v>1</v>
      </c>
      <c r="P132" s="10">
        <f>N132/L132</f>
        <v>0.5</v>
      </c>
      <c r="Q132" s="10">
        <f>O132/L132</f>
        <v>0.5</v>
      </c>
      <c r="R132" s="6">
        <f>-(P132*LOG(P132,2))-(Q132*LOG(Q132,2))</f>
        <v>1</v>
      </c>
      <c r="S132" s="36"/>
    </row>
    <row r="135" spans="10:19" x14ac:dyDescent="0.2">
      <c r="P135" s="32"/>
      <c r="Q135" s="32"/>
    </row>
    <row r="136" spans="10:19" ht="16" x14ac:dyDescent="0.2">
      <c r="J136" s="29"/>
      <c r="K136" s="29"/>
      <c r="L136" s="29"/>
      <c r="M136" s="29"/>
      <c r="N136" s="29"/>
      <c r="O136" s="29"/>
      <c r="P136" s="29"/>
      <c r="Q136" s="29"/>
      <c r="R136" s="29"/>
      <c r="S136" s="29"/>
    </row>
    <row r="137" spans="10:19" ht="16" x14ac:dyDescent="0.2">
      <c r="J137" s="13"/>
      <c r="K137" s="13"/>
      <c r="L137" s="13"/>
      <c r="M137" s="22"/>
      <c r="N137" s="23"/>
      <c r="O137" s="23"/>
      <c r="P137" s="26"/>
      <c r="Q137" s="26"/>
      <c r="R137" s="24"/>
      <c r="S137" s="33"/>
    </row>
    <row r="138" spans="10:19" ht="16" x14ac:dyDescent="0.2">
      <c r="J138" s="13"/>
      <c r="K138" s="13"/>
      <c r="L138" s="13"/>
      <c r="M138" s="22"/>
      <c r="N138" s="23"/>
      <c r="O138" s="23"/>
      <c r="P138" s="26"/>
      <c r="Q138" s="26"/>
      <c r="R138" s="24"/>
      <c r="S138" s="33"/>
    </row>
  </sheetData>
  <mergeCells count="23">
    <mergeCell ref="P41:Q41"/>
    <mergeCell ref="S66:S67"/>
    <mergeCell ref="S124:S125"/>
    <mergeCell ref="S73:S74"/>
    <mergeCell ref="P18:Q18"/>
    <mergeCell ref="P32:Q32"/>
    <mergeCell ref="S34:S35"/>
    <mergeCell ref="P40:Q40"/>
    <mergeCell ref="P64:Q64"/>
    <mergeCell ref="P71:Q71"/>
    <mergeCell ref="S27:S28"/>
    <mergeCell ref="P8:Q8"/>
    <mergeCell ref="P12:Q12"/>
    <mergeCell ref="S14:S15"/>
    <mergeCell ref="S20:S22"/>
    <mergeCell ref="P25:Q25"/>
    <mergeCell ref="P135:Q135"/>
    <mergeCell ref="S137:S138"/>
    <mergeCell ref="P77:Q77"/>
    <mergeCell ref="S79:S80"/>
    <mergeCell ref="P122:Q122"/>
    <mergeCell ref="P129:Q129"/>
    <mergeCell ref="S131:S1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8"/>
  <sheetViews>
    <sheetView zoomScale="91" workbookViewId="0">
      <selection activeCell="V29" sqref="V29"/>
    </sheetView>
  </sheetViews>
  <sheetFormatPr baseColWidth="10" defaultColWidth="9.1640625" defaultRowHeight="15" x14ac:dyDescent="0.2"/>
  <cols>
    <col min="1" max="1" width="13.83203125" style="1" bestFit="1" customWidth="1"/>
    <col min="2" max="2" width="14" style="1" customWidth="1"/>
    <col min="3" max="3" width="16.33203125" style="1" bestFit="1" customWidth="1"/>
    <col min="4" max="4" width="13.5" style="1" customWidth="1"/>
    <col min="5" max="5" width="11.5" style="1" customWidth="1"/>
    <col min="6" max="6" width="9.5" style="1" customWidth="1"/>
    <col min="7" max="7" width="9.1640625" style="1"/>
    <col min="8" max="8" width="2.5" style="11" customWidth="1"/>
    <col min="9" max="9" width="9.1640625" style="1"/>
    <col min="10" max="10" width="12.83203125" style="1" bestFit="1" customWidth="1"/>
    <col min="11" max="13" width="12.83203125" style="1" customWidth="1"/>
    <col min="14" max="14" width="10.6640625" style="1" customWidth="1"/>
    <col min="15" max="17" width="10.83203125" style="1" customWidth="1"/>
    <col min="18" max="18" width="14.6640625" style="1" customWidth="1"/>
    <col min="19" max="19" width="13.5" style="1" customWidth="1"/>
    <col min="20" max="20" width="2.83203125" style="1" customWidth="1"/>
    <col min="21" max="21" width="11" style="1" customWidth="1"/>
    <col min="22" max="22" width="9.1640625" style="1"/>
    <col min="23" max="23" width="8.1640625" style="1" customWidth="1"/>
    <col min="24" max="24" width="2.83203125" style="11" customWidth="1"/>
    <col min="25" max="16384" width="9.1640625" style="1"/>
  </cols>
  <sheetData>
    <row r="1" spans="1:24" x14ac:dyDescent="0.2">
      <c r="H1" s="1"/>
      <c r="X1" s="1"/>
    </row>
    <row r="2" spans="1:24" x14ac:dyDescent="0.2">
      <c r="H2" s="1"/>
      <c r="X2" s="1"/>
    </row>
    <row r="3" spans="1:24" x14ac:dyDescent="0.2">
      <c r="H3" s="1"/>
      <c r="X3" s="1"/>
    </row>
    <row r="4" spans="1:24" x14ac:dyDescent="0.2">
      <c r="H4" s="1"/>
      <c r="X4" s="1"/>
    </row>
    <row r="5" spans="1:24" x14ac:dyDescent="0.2">
      <c r="H5" s="1"/>
      <c r="X5" s="1"/>
    </row>
    <row r="6" spans="1:24" s="11" customFormat="1" ht="10.5" customHeight="1" x14ac:dyDescent="0.2"/>
    <row r="8" spans="1:24" x14ac:dyDescent="0.2">
      <c r="P8" s="34" t="s">
        <v>44</v>
      </c>
      <c r="Q8" s="34"/>
    </row>
    <row r="9" spans="1:24" ht="16" x14ac:dyDescent="0.2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6" x14ac:dyDescent="0.2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v>14</v>
      </c>
      <c r="L10" s="5">
        <v>14</v>
      </c>
      <c r="M10" s="5"/>
      <c r="N10" s="2">
        <f>COUNTIFS(F10:F23,"=yes")</f>
        <v>9</v>
      </c>
      <c r="O10" s="2">
        <f>COUNTIFS(F10:F23,"=no")</f>
        <v>5</v>
      </c>
      <c r="P10" s="6">
        <f>N10/L10</f>
        <v>0.6428571428571429</v>
      </c>
      <c r="Q10" s="6">
        <f>O10/L10</f>
        <v>0.35714285714285715</v>
      </c>
      <c r="R10" s="6">
        <f>-(P10*LOG(P10,2))-(Q10*LOG(Q10,2))</f>
        <v>0.94028595867063092</v>
      </c>
    </row>
    <row r="11" spans="1:24" ht="16" x14ac:dyDescent="0.2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6" x14ac:dyDescent="0.2">
      <c r="A12" s="5" t="s">
        <v>18</v>
      </c>
      <c r="B12" s="5" t="s">
        <v>6</v>
      </c>
      <c r="C12" s="5" t="s">
        <v>10</v>
      </c>
      <c r="D12" s="5" t="s">
        <v>14</v>
      </c>
      <c r="E12" s="5" t="b">
        <v>0</v>
      </c>
      <c r="F12" s="5" t="s">
        <v>9</v>
      </c>
      <c r="P12" s="34" t="s">
        <v>44</v>
      </c>
      <c r="Q12" s="34"/>
    </row>
    <row r="13" spans="1:24" ht="16" x14ac:dyDescent="0.2">
      <c r="A13" s="5" t="s">
        <v>19</v>
      </c>
      <c r="B13" s="5" t="s">
        <v>7</v>
      </c>
      <c r="C13" s="5" t="s">
        <v>12</v>
      </c>
      <c r="D13" s="5" t="s">
        <v>11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54</v>
      </c>
      <c r="S13" s="3" t="s">
        <v>42</v>
      </c>
    </row>
    <row r="14" spans="1:24" ht="16" x14ac:dyDescent="0.2">
      <c r="A14" s="5" t="s">
        <v>20</v>
      </c>
      <c r="B14" s="5" t="s">
        <v>7</v>
      </c>
      <c r="C14" s="5" t="s">
        <v>13</v>
      </c>
      <c r="D14" s="5" t="s">
        <v>14</v>
      </c>
      <c r="E14" s="5" t="b">
        <v>0</v>
      </c>
      <c r="F14" s="5" t="s">
        <v>9</v>
      </c>
      <c r="J14" s="5" t="b">
        <v>1</v>
      </c>
      <c r="K14" s="5">
        <v>14</v>
      </c>
      <c r="L14" s="8">
        <f>COUNTIF(E10:E23,"=True")</f>
        <v>6</v>
      </c>
      <c r="M14" s="9">
        <f>L14/K14</f>
        <v>0.42857142857142855</v>
      </c>
      <c r="N14" s="2">
        <f>COUNTIFS(F10:F23,"=yes",E10:E23,"=TRUE")</f>
        <v>3</v>
      </c>
      <c r="O14" s="2">
        <f>COUNTIFS(F10:F23,"=no",E10:E23,"=TRUE")</f>
        <v>3</v>
      </c>
      <c r="P14" s="2">
        <f>N14/L14</f>
        <v>0.5</v>
      </c>
      <c r="Q14" s="2">
        <f>O14/L14</f>
        <v>0.5</v>
      </c>
      <c r="R14" s="6">
        <f>1-(P14^2)-(Q14^2)</f>
        <v>0.5</v>
      </c>
      <c r="S14" s="35">
        <f>SUMPRODUCT(R14:R15,M14:M15)</f>
        <v>0.42857142857142855</v>
      </c>
    </row>
    <row r="15" spans="1:24" ht="16" x14ac:dyDescent="0.2">
      <c r="A15" s="5" t="s">
        <v>21</v>
      </c>
      <c r="B15" s="5" t="s">
        <v>7</v>
      </c>
      <c r="C15" s="5" t="s">
        <v>13</v>
      </c>
      <c r="D15" s="5" t="s">
        <v>14</v>
      </c>
      <c r="E15" s="5" t="b">
        <v>1</v>
      </c>
      <c r="F15" s="5" t="s">
        <v>8</v>
      </c>
      <c r="J15" s="5" t="b">
        <v>0</v>
      </c>
      <c r="K15" s="5">
        <v>14</v>
      </c>
      <c r="L15" s="8">
        <f>COUNTIF(E10:E23,"=False")</f>
        <v>8</v>
      </c>
      <c r="M15" s="9">
        <f>L15/K15</f>
        <v>0.5714285714285714</v>
      </c>
      <c r="N15" s="2">
        <f>COUNTIFS(F10:F23,"=yes",E10:E23,"=FALSE")</f>
        <v>6</v>
      </c>
      <c r="O15" s="2">
        <f>COUNTIFS(F10:F23,"=no",E10:E23,"=FALSE")</f>
        <v>2</v>
      </c>
      <c r="P15" s="2">
        <f>N15/L15</f>
        <v>0.75</v>
      </c>
      <c r="Q15" s="2">
        <f>O15/L15</f>
        <v>0.25</v>
      </c>
      <c r="R15" s="6">
        <f>1-(P15^2)-(Q15^2)</f>
        <v>0.375</v>
      </c>
      <c r="S15" s="36"/>
    </row>
    <row r="16" spans="1:24" ht="16" x14ac:dyDescent="0.2">
      <c r="A16" s="5" t="s">
        <v>22</v>
      </c>
      <c r="B16" s="5" t="s">
        <v>6</v>
      </c>
      <c r="C16" s="5" t="s">
        <v>13</v>
      </c>
      <c r="D16" s="5" t="s">
        <v>14</v>
      </c>
      <c r="E16" s="5" t="b">
        <v>1</v>
      </c>
      <c r="F16" s="5" t="s">
        <v>9</v>
      </c>
    </row>
    <row r="17" spans="1:21" ht="16" x14ac:dyDescent="0.2">
      <c r="A17" s="5" t="s">
        <v>23</v>
      </c>
      <c r="B17" s="5" t="s">
        <v>5</v>
      </c>
      <c r="C17" s="5" t="s">
        <v>12</v>
      </c>
      <c r="D17" s="5" t="s">
        <v>11</v>
      </c>
      <c r="E17" s="5" t="b">
        <v>0</v>
      </c>
      <c r="F17" s="5" t="s">
        <v>8</v>
      </c>
    </row>
    <row r="18" spans="1:21" ht="16" x14ac:dyDescent="0.2">
      <c r="A18" s="5" t="s">
        <v>24</v>
      </c>
      <c r="B18" s="5" t="s">
        <v>5</v>
      </c>
      <c r="C18" s="5" t="s">
        <v>13</v>
      </c>
      <c r="D18" s="5" t="s">
        <v>14</v>
      </c>
      <c r="E18" s="5" t="b">
        <v>0</v>
      </c>
      <c r="F18" s="5" t="s">
        <v>9</v>
      </c>
      <c r="P18" s="34" t="s">
        <v>44</v>
      </c>
      <c r="Q18" s="34"/>
    </row>
    <row r="19" spans="1:21" ht="16" x14ac:dyDescent="0.2">
      <c r="A19" s="5" t="s">
        <v>25</v>
      </c>
      <c r="B19" s="5" t="s">
        <v>7</v>
      </c>
      <c r="C19" s="5" t="s">
        <v>12</v>
      </c>
      <c r="D19" s="5" t="s">
        <v>14</v>
      </c>
      <c r="E19" s="5" t="b">
        <v>0</v>
      </c>
      <c r="F19" s="5" t="s">
        <v>9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54</v>
      </c>
      <c r="S19" s="3" t="s">
        <v>42</v>
      </c>
    </row>
    <row r="20" spans="1:21" ht="16" x14ac:dyDescent="0.2">
      <c r="A20" s="5" t="s">
        <v>26</v>
      </c>
      <c r="B20" s="5" t="s">
        <v>5</v>
      </c>
      <c r="C20" s="5" t="s">
        <v>12</v>
      </c>
      <c r="D20" s="5" t="s">
        <v>14</v>
      </c>
      <c r="E20" s="5" t="b">
        <v>1</v>
      </c>
      <c r="F20" s="5" t="s">
        <v>9</v>
      </c>
      <c r="J20" s="5" t="s">
        <v>6</v>
      </c>
      <c r="K20" s="5">
        <v>14</v>
      </c>
      <c r="L20" s="5">
        <f>COUNTIF(B10:B23,"=Overcast")</f>
        <v>4</v>
      </c>
      <c r="M20" s="9">
        <f>L20/K20</f>
        <v>0.2857142857142857</v>
      </c>
      <c r="N20" s="2">
        <f>COUNTIFS(F10:F23,"=yes",B10:B23,"=Overcast")</f>
        <v>4</v>
      </c>
      <c r="O20" s="2">
        <f>COUNTIFS(F10:F23,"=no",B10:B23,"=Overcast")</f>
        <v>0</v>
      </c>
      <c r="P20" s="2">
        <f>N20/L20</f>
        <v>1</v>
      </c>
      <c r="Q20" s="2">
        <f>O20/L20</f>
        <v>0</v>
      </c>
      <c r="R20" s="6">
        <f>1-(P20^2)-(Q20^2)</f>
        <v>0</v>
      </c>
      <c r="S20" s="42">
        <f>SUMPRODUCT(R20:R22,M20:M22)</f>
        <v>0.34285714285714286</v>
      </c>
    </row>
    <row r="21" spans="1:21" ht="16" x14ac:dyDescent="0.2">
      <c r="A21" s="5" t="s">
        <v>27</v>
      </c>
      <c r="B21" s="5" t="s">
        <v>6</v>
      </c>
      <c r="C21" s="5" t="s">
        <v>12</v>
      </c>
      <c r="D21" s="5" t="s">
        <v>11</v>
      </c>
      <c r="E21" s="5" t="b">
        <v>1</v>
      </c>
      <c r="F21" s="5" t="s">
        <v>9</v>
      </c>
      <c r="J21" s="5" t="s">
        <v>5</v>
      </c>
      <c r="K21" s="5">
        <v>14</v>
      </c>
      <c r="L21" s="5">
        <f>COUNTIF(B10:B23,"=Sunny")</f>
        <v>5</v>
      </c>
      <c r="M21" s="9">
        <f t="shared" ref="M21:M22" si="0">L21/K21</f>
        <v>0.35714285714285715</v>
      </c>
      <c r="N21" s="2">
        <f>COUNTIFS(F10:F23,"=yes",B10:B23,"=Sunny")</f>
        <v>2</v>
      </c>
      <c r="O21" s="2">
        <f>COUNTIFS(F10:F23,"=no",B10:B23,"=Sunny")</f>
        <v>3</v>
      </c>
      <c r="P21" s="2">
        <f>N21/L21</f>
        <v>0.4</v>
      </c>
      <c r="Q21" s="2">
        <f>O21/L21</f>
        <v>0.6</v>
      </c>
      <c r="R21" s="6">
        <f t="shared" ref="R21:R22" si="1">1-(P21^2)-(Q21^2)</f>
        <v>0.48</v>
      </c>
      <c r="S21" s="43"/>
      <c r="U21" s="1" t="s">
        <v>55</v>
      </c>
    </row>
    <row r="22" spans="1:21" ht="16" x14ac:dyDescent="0.2">
      <c r="A22" s="5" t="s">
        <v>29</v>
      </c>
      <c r="B22" s="5" t="s">
        <v>6</v>
      </c>
      <c r="C22" s="5" t="s">
        <v>10</v>
      </c>
      <c r="D22" s="5" t="s">
        <v>14</v>
      </c>
      <c r="E22" s="5" t="b">
        <v>0</v>
      </c>
      <c r="F22" s="5" t="s">
        <v>9</v>
      </c>
      <c r="J22" s="5" t="s">
        <v>7</v>
      </c>
      <c r="K22" s="5">
        <v>14</v>
      </c>
      <c r="L22" s="5">
        <f>COUNTIF(B10:B23,"=Rain")</f>
        <v>5</v>
      </c>
      <c r="M22" s="9">
        <f t="shared" si="0"/>
        <v>0.35714285714285715</v>
      </c>
      <c r="N22" s="2">
        <f>COUNTIFS(F10:F23,"=yes",B10:B23,"=Rain")</f>
        <v>3</v>
      </c>
      <c r="O22" s="2">
        <f>COUNTIFS(F10:F23,"=no",B10:B23,"=Rain")</f>
        <v>2</v>
      </c>
      <c r="P22" s="2">
        <f>N22/L22</f>
        <v>0.6</v>
      </c>
      <c r="Q22" s="2">
        <f>O22/L22</f>
        <v>0.4</v>
      </c>
      <c r="R22" s="6">
        <f t="shared" si="1"/>
        <v>0.48</v>
      </c>
      <c r="S22" s="44"/>
      <c r="U22" s="1" t="s">
        <v>52</v>
      </c>
    </row>
    <row r="23" spans="1:21" ht="16" x14ac:dyDescent="0.2">
      <c r="A23" s="5" t="s">
        <v>28</v>
      </c>
      <c r="B23" s="5" t="s">
        <v>7</v>
      </c>
      <c r="C23" s="5" t="s">
        <v>12</v>
      </c>
      <c r="D23" s="5" t="s">
        <v>14</v>
      </c>
      <c r="E23" s="5" t="b">
        <v>1</v>
      </c>
      <c r="F23" s="5" t="s">
        <v>8</v>
      </c>
    </row>
    <row r="25" spans="1:21" x14ac:dyDescent="0.2">
      <c r="P25" s="34" t="s">
        <v>44</v>
      </c>
      <c r="Q25" s="34"/>
    </row>
    <row r="26" spans="1:21" ht="16" x14ac:dyDescent="0.2">
      <c r="J26" s="3" t="s">
        <v>1</v>
      </c>
      <c r="K26" s="3" t="s">
        <v>43</v>
      </c>
      <c r="L26" s="3" t="s">
        <v>37</v>
      </c>
      <c r="M26" s="3" t="s">
        <v>48</v>
      </c>
      <c r="N26" s="4" t="s">
        <v>35</v>
      </c>
      <c r="O26" s="4" t="s">
        <v>36</v>
      </c>
      <c r="P26" s="4" t="s">
        <v>38</v>
      </c>
      <c r="Q26" s="4" t="s">
        <v>39</v>
      </c>
      <c r="R26" s="3" t="s">
        <v>45</v>
      </c>
      <c r="S26" s="3" t="s">
        <v>42</v>
      </c>
    </row>
    <row r="27" spans="1:21" ht="16" x14ac:dyDescent="0.2">
      <c r="C27" s="1" t="s">
        <v>32</v>
      </c>
      <c r="D27" s="1" t="s">
        <v>49</v>
      </c>
      <c r="J27" s="5" t="s">
        <v>10</v>
      </c>
      <c r="K27" s="5">
        <v>14</v>
      </c>
      <c r="L27" s="5">
        <f>COUNTIF(C10:C23,_xlfn.CONCAT("=",J27))</f>
        <v>4</v>
      </c>
      <c r="M27" s="9">
        <f>L27/K27</f>
        <v>0.2857142857142857</v>
      </c>
      <c r="N27" s="2">
        <f>COUNTIFS(F10:F23,"=yes",C10:C23,_xlfn.CONCAT("=",J27))</f>
        <v>2</v>
      </c>
      <c r="O27" s="2">
        <f>COUNTIFS(F10:F23,"=no",C10:C23,_xlfn.CONCAT("=",J27))</f>
        <v>2</v>
      </c>
      <c r="P27" s="10">
        <f>N27/L27</f>
        <v>0.5</v>
      </c>
      <c r="Q27" s="10">
        <f>O27/L27</f>
        <v>0.5</v>
      </c>
      <c r="R27" s="6">
        <f>1-(P27^2)-(Q27^2)</f>
        <v>0.5</v>
      </c>
      <c r="S27" s="35">
        <f>SUMPRODUCT(R27:R29,M27:M29)</f>
        <v>0.44047619047619047</v>
      </c>
    </row>
    <row r="28" spans="1:21" ht="16" x14ac:dyDescent="0.2">
      <c r="C28" s="1" t="s">
        <v>33</v>
      </c>
      <c r="D28" s="1" t="s">
        <v>50</v>
      </c>
      <c r="J28" s="5" t="s">
        <v>12</v>
      </c>
      <c r="K28" s="5">
        <v>14</v>
      </c>
      <c r="L28" s="5">
        <f>COUNTIF(C10:C23,_xlfn.CONCAT("=",J28))</f>
        <v>6</v>
      </c>
      <c r="M28" s="9">
        <f t="shared" ref="M28" si="2">L28/K28</f>
        <v>0.42857142857142855</v>
      </c>
      <c r="N28" s="2">
        <f>COUNTIFS(F10:F23,"=yes",C10:C23,_xlfn.CONCAT("=",J28))</f>
        <v>4</v>
      </c>
      <c r="O28" s="2">
        <f>COUNTIFS(F10:F23,"=no",C10:C23,_xlfn.CONCAT("=",J28))</f>
        <v>2</v>
      </c>
      <c r="P28" s="10">
        <f>N28/L28</f>
        <v>0.66666666666666663</v>
      </c>
      <c r="Q28" s="10">
        <f>O28/L28</f>
        <v>0.33333333333333331</v>
      </c>
      <c r="R28" s="6">
        <f t="shared" ref="R28:R29" si="3">1-(P28^2)-(Q28^2)</f>
        <v>0.44444444444444448</v>
      </c>
      <c r="S28" s="41"/>
    </row>
    <row r="29" spans="1:21" ht="16" x14ac:dyDescent="0.2">
      <c r="C29" s="1" t="s">
        <v>34</v>
      </c>
      <c r="J29" s="5" t="s">
        <v>13</v>
      </c>
      <c r="K29" s="5">
        <v>14</v>
      </c>
      <c r="L29" s="5">
        <f>COUNTIF(C10:C23,_xlfn.CONCAT("=",J29))</f>
        <v>4</v>
      </c>
      <c r="M29" s="9">
        <f>L29/K29</f>
        <v>0.2857142857142857</v>
      </c>
      <c r="N29" s="2">
        <f>COUNTIFS(F10:F23,"=yes",C10:C23,_xlfn.CONCAT("=",J29))</f>
        <v>3</v>
      </c>
      <c r="O29" s="2">
        <f>COUNTIFS(F10:F23,"=no",C10:C23,_xlfn.CONCAT("=",J29))</f>
        <v>1</v>
      </c>
      <c r="P29" s="10">
        <f>N29/L29</f>
        <v>0.75</v>
      </c>
      <c r="Q29" s="10">
        <f>O29/L29</f>
        <v>0.25</v>
      </c>
      <c r="R29" s="6">
        <f t="shared" si="3"/>
        <v>0.375</v>
      </c>
      <c r="S29" s="36"/>
    </row>
    <row r="32" spans="1:21" x14ac:dyDescent="0.2">
      <c r="P32" s="34" t="s">
        <v>44</v>
      </c>
      <c r="Q32" s="34"/>
    </row>
    <row r="33" spans="1:19" ht="16" x14ac:dyDescent="0.2">
      <c r="A33" s="3" t="s">
        <v>15</v>
      </c>
      <c r="B33" s="3" t="s">
        <v>0</v>
      </c>
      <c r="C33" s="3" t="s">
        <v>1</v>
      </c>
      <c r="D33" s="3" t="s">
        <v>2</v>
      </c>
      <c r="E33" s="3" t="s">
        <v>3</v>
      </c>
      <c r="F33" s="4" t="s">
        <v>4</v>
      </c>
      <c r="J33" s="3" t="s">
        <v>2</v>
      </c>
      <c r="K33" s="3" t="s">
        <v>43</v>
      </c>
      <c r="L33" s="3" t="s">
        <v>37</v>
      </c>
      <c r="M33" s="3" t="s">
        <v>48</v>
      </c>
      <c r="N33" s="4" t="s">
        <v>35</v>
      </c>
      <c r="O33" s="4" t="s">
        <v>36</v>
      </c>
      <c r="P33" s="4" t="s">
        <v>38</v>
      </c>
      <c r="Q33" s="4" t="s">
        <v>39</v>
      </c>
      <c r="R33" s="3" t="s">
        <v>47</v>
      </c>
      <c r="S33" s="3" t="s">
        <v>42</v>
      </c>
    </row>
    <row r="34" spans="1:19" ht="16" x14ac:dyDescent="0.2">
      <c r="A34" s="5" t="s">
        <v>30</v>
      </c>
      <c r="B34" s="5" t="s">
        <v>7</v>
      </c>
      <c r="C34" s="5">
        <v>85</v>
      </c>
      <c r="D34" s="5">
        <v>90</v>
      </c>
      <c r="E34" s="5" t="b">
        <v>0</v>
      </c>
      <c r="F34" s="5" t="s">
        <v>31</v>
      </c>
      <c r="J34" s="5" t="s">
        <v>11</v>
      </c>
      <c r="K34" s="5">
        <v>14</v>
      </c>
      <c r="L34" s="5">
        <f>COUNTIF(D10:D23,_xlfn.CONCAT("=",J34))</f>
        <v>5</v>
      </c>
      <c r="M34" s="9">
        <f>L34/K34</f>
        <v>0.35714285714285715</v>
      </c>
      <c r="N34" s="2">
        <f>COUNTIFS(F10:F23,"=yes",D10:D23,_xlfn.CONCAT("=",J34))</f>
        <v>2</v>
      </c>
      <c r="O34" s="2">
        <f>COUNTIFS(F10:F23,"=no",D10:D23,_xlfn.CONCAT("=",J34))</f>
        <v>3</v>
      </c>
      <c r="P34" s="10">
        <f>N34/L34</f>
        <v>0.4</v>
      </c>
      <c r="Q34" s="10">
        <f>O34/L34</f>
        <v>0.6</v>
      </c>
      <c r="R34" s="6">
        <f t="shared" ref="R34:R35" si="4">1-(P34^2)-(Q34^2)</f>
        <v>0.48</v>
      </c>
      <c r="S34" s="35">
        <f>SUMPRODUCT(R34:R35,M34:M35)</f>
        <v>0.3936507936507937</v>
      </c>
    </row>
    <row r="35" spans="1:19" ht="16" x14ac:dyDescent="0.2">
      <c r="J35" s="5" t="s">
        <v>14</v>
      </c>
      <c r="K35" s="5">
        <v>14</v>
      </c>
      <c r="L35" s="5">
        <f>COUNTIF(D10:D23,_xlfn.CONCAT("=",J35))</f>
        <v>9</v>
      </c>
      <c r="M35" s="9">
        <f>L35/K35</f>
        <v>0.6428571428571429</v>
      </c>
      <c r="N35" s="2">
        <f>COUNTIFS(F10:F23,"=yes",D10:D23,_xlfn.CONCAT("=",J35))</f>
        <v>7</v>
      </c>
      <c r="O35" s="2">
        <f>COUNTIFS(F10:F23,"=no",D10:D23,_xlfn.CONCAT("=",J35))</f>
        <v>2</v>
      </c>
      <c r="P35" s="10">
        <f>N35/L35</f>
        <v>0.77777777777777779</v>
      </c>
      <c r="Q35" s="10">
        <f>O35/L35</f>
        <v>0.22222222222222221</v>
      </c>
      <c r="R35" s="6">
        <f t="shared" si="4"/>
        <v>0.34567901234567899</v>
      </c>
      <c r="S35" s="36"/>
    </row>
    <row r="38" spans="1:19" s="11" customFormat="1" x14ac:dyDescent="0.2">
      <c r="S38" s="12"/>
    </row>
    <row r="40" spans="1:19" ht="16" x14ac:dyDescent="0.2">
      <c r="A40" s="3" t="s">
        <v>15</v>
      </c>
      <c r="B40" s="3" t="s">
        <v>0</v>
      </c>
      <c r="C40" s="3" t="s">
        <v>1</v>
      </c>
      <c r="D40" s="3" t="s">
        <v>2</v>
      </c>
      <c r="E40" s="3" t="s">
        <v>3</v>
      </c>
      <c r="F40" s="4" t="s">
        <v>4</v>
      </c>
      <c r="P40" s="34" t="s">
        <v>44</v>
      </c>
      <c r="Q40" s="34"/>
    </row>
    <row r="41" spans="1:19" ht="16" x14ac:dyDescent="0.2">
      <c r="A41" s="5" t="s">
        <v>18</v>
      </c>
      <c r="B41" s="5" t="s">
        <v>6</v>
      </c>
      <c r="C41" s="5" t="s">
        <v>10</v>
      </c>
      <c r="D41" s="5" t="s">
        <v>14</v>
      </c>
      <c r="E41" s="5" t="b">
        <v>0</v>
      </c>
      <c r="F41" s="5" t="s">
        <v>9</v>
      </c>
      <c r="J41" s="3" t="s">
        <v>0</v>
      </c>
      <c r="K41" s="3" t="s">
        <v>43</v>
      </c>
      <c r="L41" s="3" t="s">
        <v>37</v>
      </c>
      <c r="M41" s="3" t="s">
        <v>48</v>
      </c>
      <c r="N41" s="4" t="s">
        <v>35</v>
      </c>
      <c r="O41" s="4" t="s">
        <v>36</v>
      </c>
      <c r="P41" s="4" t="s">
        <v>38</v>
      </c>
      <c r="Q41" s="4" t="s">
        <v>39</v>
      </c>
      <c r="R41" s="3" t="s">
        <v>45</v>
      </c>
      <c r="S41" s="3" t="s">
        <v>42</v>
      </c>
    </row>
    <row r="42" spans="1:19" ht="16" x14ac:dyDescent="0.2">
      <c r="A42" s="5" t="s">
        <v>22</v>
      </c>
      <c r="B42" s="5" t="s">
        <v>6</v>
      </c>
      <c r="C42" s="5" t="s">
        <v>13</v>
      </c>
      <c r="D42" s="5" t="s">
        <v>14</v>
      </c>
      <c r="E42" s="5" t="b">
        <v>1</v>
      </c>
      <c r="F42" s="5" t="s">
        <v>9</v>
      </c>
      <c r="J42" s="5" t="s">
        <v>6</v>
      </c>
      <c r="K42" s="5">
        <v>4</v>
      </c>
      <c r="L42" s="5">
        <f>COUNTIF(B32:B60,"=Overcast")</f>
        <v>4</v>
      </c>
      <c r="M42" s="9">
        <f>L42/K42</f>
        <v>1</v>
      </c>
      <c r="N42" s="2">
        <f>COUNTIFS(F32:F60,"=yes",B32:B60,"=Overcast")</f>
        <v>4</v>
      </c>
      <c r="O42" s="2">
        <f>COUNTIFS(F32:F60,"=no",B32:B60,"=Overcast")</f>
        <v>0</v>
      </c>
      <c r="P42" s="2">
        <f>N42/L42</f>
        <v>1</v>
      </c>
      <c r="Q42" s="2">
        <f>O42/L42</f>
        <v>0</v>
      </c>
      <c r="R42" s="6">
        <f>1-(P42^2)-(Q42^2)</f>
        <v>0</v>
      </c>
    </row>
    <row r="43" spans="1:19" ht="16" x14ac:dyDescent="0.2">
      <c r="A43" s="5" t="s">
        <v>27</v>
      </c>
      <c r="B43" s="5" t="s">
        <v>6</v>
      </c>
      <c r="C43" s="5" t="s">
        <v>12</v>
      </c>
      <c r="D43" s="5" t="s">
        <v>11</v>
      </c>
      <c r="E43" s="5" t="b">
        <v>1</v>
      </c>
      <c r="F43" s="5" t="s">
        <v>9</v>
      </c>
    </row>
    <row r="44" spans="1:19" ht="16" x14ac:dyDescent="0.2">
      <c r="A44" s="5" t="s">
        <v>29</v>
      </c>
      <c r="B44" s="5" t="s">
        <v>6</v>
      </c>
      <c r="C44" s="5" t="s">
        <v>10</v>
      </c>
      <c r="D44" s="5" t="s">
        <v>14</v>
      </c>
      <c r="E44" s="5" t="b">
        <v>0</v>
      </c>
      <c r="F44" s="5" t="s">
        <v>9</v>
      </c>
    </row>
    <row r="45" spans="1:19" ht="16" x14ac:dyDescent="0.2">
      <c r="A45" s="13"/>
      <c r="B45" s="13"/>
      <c r="C45" s="13"/>
      <c r="D45" s="13"/>
      <c r="E45" s="13"/>
      <c r="F45" s="13"/>
    </row>
    <row r="46" spans="1:19" ht="16" x14ac:dyDescent="0.2">
      <c r="A46" s="13"/>
      <c r="B46" s="13"/>
      <c r="C46" s="13"/>
      <c r="D46" s="13"/>
      <c r="E46" s="13"/>
      <c r="F46" s="13"/>
    </row>
    <row r="47" spans="1:19" ht="16" x14ac:dyDescent="0.2">
      <c r="A47" s="13"/>
      <c r="B47" s="13"/>
      <c r="C47" s="13"/>
      <c r="D47" s="13"/>
      <c r="E47" s="13"/>
      <c r="F47" s="13"/>
    </row>
    <row r="48" spans="1:19" ht="16" x14ac:dyDescent="0.2">
      <c r="A48" s="13"/>
      <c r="B48" s="13"/>
      <c r="C48" s="13"/>
      <c r="D48" s="13"/>
      <c r="E48" s="13"/>
      <c r="F48" s="13"/>
    </row>
    <row r="49" spans="1:19" ht="16" x14ac:dyDescent="0.2">
      <c r="A49" s="13"/>
      <c r="B49" s="13"/>
      <c r="C49" s="13"/>
      <c r="D49" s="13"/>
      <c r="E49" s="13"/>
      <c r="F49" s="13"/>
    </row>
    <row r="50" spans="1:19" ht="16" x14ac:dyDescent="0.2">
      <c r="A50" s="13"/>
      <c r="B50" s="13"/>
      <c r="C50" s="13"/>
      <c r="D50" s="13"/>
      <c r="E50" s="13"/>
      <c r="F50" s="13"/>
    </row>
    <row r="51" spans="1:19" ht="16" x14ac:dyDescent="0.2">
      <c r="A51" s="13"/>
      <c r="B51" s="13"/>
      <c r="C51" s="13"/>
      <c r="D51" s="13"/>
      <c r="E51" s="13"/>
      <c r="F51" s="13"/>
    </row>
    <row r="52" spans="1:19" ht="16" x14ac:dyDescent="0.2">
      <c r="A52" s="13"/>
      <c r="B52" s="13"/>
      <c r="C52" s="13"/>
      <c r="D52" s="13"/>
      <c r="E52" s="13"/>
      <c r="F52" s="13"/>
    </row>
    <row r="53" spans="1:19" ht="16" x14ac:dyDescent="0.2">
      <c r="A53" s="13"/>
      <c r="B53" s="13"/>
      <c r="C53" s="13"/>
      <c r="D53" s="13"/>
      <c r="E53" s="13"/>
      <c r="F53" s="13"/>
    </row>
    <row r="54" spans="1:19" ht="16" x14ac:dyDescent="0.2">
      <c r="A54" s="13"/>
      <c r="B54" s="13"/>
      <c r="C54" s="13"/>
      <c r="D54" s="13"/>
      <c r="E54" s="13"/>
      <c r="F54" s="13"/>
    </row>
    <row r="55" spans="1:19" ht="16" x14ac:dyDescent="0.2">
      <c r="A55" s="13"/>
      <c r="B55" s="13"/>
      <c r="C55" s="13"/>
      <c r="D55" s="13"/>
      <c r="E55" s="13"/>
      <c r="F55" s="13"/>
    </row>
    <row r="56" spans="1:19" ht="16" x14ac:dyDescent="0.2">
      <c r="A56" s="13"/>
      <c r="B56" s="13"/>
      <c r="C56" s="13"/>
      <c r="D56" s="13"/>
      <c r="E56" s="13"/>
      <c r="F56" s="13"/>
    </row>
    <row r="57" spans="1:19" ht="16" x14ac:dyDescent="0.2">
      <c r="A57" s="13"/>
      <c r="B57" s="13"/>
      <c r="C57" s="13"/>
      <c r="D57" s="13"/>
      <c r="E57" s="13"/>
      <c r="F57" s="13"/>
    </row>
    <row r="58" spans="1:19" ht="16" x14ac:dyDescent="0.2">
      <c r="A58" s="13"/>
      <c r="B58" s="13"/>
      <c r="C58" s="13"/>
      <c r="D58" s="13"/>
      <c r="E58" s="13"/>
      <c r="F58" s="13"/>
    </row>
    <row r="59" spans="1:19" ht="16" x14ac:dyDescent="0.2">
      <c r="A59" s="13"/>
      <c r="B59" s="13"/>
      <c r="C59" s="13"/>
      <c r="D59" s="13"/>
      <c r="E59" s="13"/>
      <c r="F59" s="13"/>
    </row>
    <row r="62" spans="1:19" s="11" customFormat="1" x14ac:dyDescent="0.2">
      <c r="S62" s="12"/>
    </row>
    <row r="64" spans="1:19" ht="16" x14ac:dyDescent="0.2">
      <c r="A64" s="3" t="s">
        <v>15</v>
      </c>
      <c r="B64" s="3" t="s">
        <v>0</v>
      </c>
      <c r="C64" s="3" t="s">
        <v>1</v>
      </c>
      <c r="D64" s="3" t="s">
        <v>2</v>
      </c>
      <c r="E64" s="3" t="s">
        <v>3</v>
      </c>
      <c r="F64" s="4" t="s">
        <v>4</v>
      </c>
      <c r="P64" s="34" t="s">
        <v>44</v>
      </c>
      <c r="Q64" s="34"/>
    </row>
    <row r="65" spans="1:21" ht="16" x14ac:dyDescent="0.2">
      <c r="A65" s="5" t="s">
        <v>16</v>
      </c>
      <c r="B65" s="5" t="s">
        <v>5</v>
      </c>
      <c r="C65" s="5" t="s">
        <v>10</v>
      </c>
      <c r="D65" s="5" t="s">
        <v>11</v>
      </c>
      <c r="E65" s="5" t="b">
        <v>0</v>
      </c>
      <c r="F65" s="5" t="s">
        <v>8</v>
      </c>
      <c r="J65" s="3" t="s">
        <v>1</v>
      </c>
      <c r="K65" s="3" t="s">
        <v>43</v>
      </c>
      <c r="L65" s="3" t="s">
        <v>37</v>
      </c>
      <c r="M65" s="3" t="s">
        <v>48</v>
      </c>
      <c r="N65" s="4" t="s">
        <v>35</v>
      </c>
      <c r="O65" s="4" t="s">
        <v>36</v>
      </c>
      <c r="P65" s="4" t="s">
        <v>38</v>
      </c>
      <c r="Q65" s="4" t="s">
        <v>39</v>
      </c>
      <c r="R65" s="3" t="s">
        <v>45</v>
      </c>
      <c r="S65" s="3" t="s">
        <v>42</v>
      </c>
    </row>
    <row r="66" spans="1:21" ht="16" x14ac:dyDescent="0.2">
      <c r="A66" s="5" t="s">
        <v>17</v>
      </c>
      <c r="B66" s="5" t="s">
        <v>5</v>
      </c>
      <c r="C66" s="5" t="s">
        <v>10</v>
      </c>
      <c r="D66" s="5" t="s">
        <v>11</v>
      </c>
      <c r="E66" s="5" t="b">
        <v>1</v>
      </c>
      <c r="F66" s="5" t="s">
        <v>8</v>
      </c>
      <c r="J66" s="5" t="s">
        <v>10</v>
      </c>
      <c r="K66" s="5">
        <v>5</v>
      </c>
      <c r="L66" s="5">
        <f>COUNTIF(C65:C69,_xlfn.CONCAT("=",J66))</f>
        <v>2</v>
      </c>
      <c r="M66" s="9">
        <f>L66/K66</f>
        <v>0.4</v>
      </c>
      <c r="N66" s="2">
        <f>COUNTIFS(F65:F69,"=yes",C65:C69,_xlfn.CONCAT("=",J66))</f>
        <v>0</v>
      </c>
      <c r="O66" s="2">
        <f>COUNTIFS(F65:F69,"=no",C65:C69,_xlfn.CONCAT("=",J66))</f>
        <v>2</v>
      </c>
      <c r="P66" s="10">
        <f>N66/L66</f>
        <v>0</v>
      </c>
      <c r="Q66" s="10">
        <f>O66/L66</f>
        <v>1</v>
      </c>
      <c r="R66" s="6">
        <f>1-(P66^2)-(Q66^2)</f>
        <v>0</v>
      </c>
      <c r="S66" s="35">
        <f>SUMPRODUCT(R66:R68,M66:M68)</f>
        <v>0.2</v>
      </c>
    </row>
    <row r="67" spans="1:21" ht="16" x14ac:dyDescent="0.2">
      <c r="A67" s="5" t="s">
        <v>23</v>
      </c>
      <c r="B67" s="5" t="s">
        <v>5</v>
      </c>
      <c r="C67" s="5" t="s">
        <v>12</v>
      </c>
      <c r="D67" s="5" t="s">
        <v>11</v>
      </c>
      <c r="E67" s="5" t="b">
        <v>0</v>
      </c>
      <c r="F67" s="5" t="s">
        <v>8</v>
      </c>
      <c r="J67" s="5" t="s">
        <v>12</v>
      </c>
      <c r="K67" s="5">
        <v>5</v>
      </c>
      <c r="L67" s="5">
        <f>COUNTIF(C65:C69,_xlfn.CONCAT("=",J67))</f>
        <v>2</v>
      </c>
      <c r="M67" s="9">
        <f t="shared" ref="M67" si="5">L67/K67</f>
        <v>0.4</v>
      </c>
      <c r="N67" s="2">
        <f>COUNTIFS(F65:F69,"=yes",C65:C69,_xlfn.CONCAT("=",J67))</f>
        <v>1</v>
      </c>
      <c r="O67" s="2">
        <f>COUNTIFS(F65:F69,"=no",C65:C69,_xlfn.CONCAT("=",J67))</f>
        <v>1</v>
      </c>
      <c r="P67" s="10">
        <f>N67/L67</f>
        <v>0.5</v>
      </c>
      <c r="Q67" s="10">
        <f>O67/L67</f>
        <v>0.5</v>
      </c>
      <c r="R67" s="6">
        <f t="shared" ref="R67:R68" si="6">1-(P67^2)-(Q67^2)</f>
        <v>0.5</v>
      </c>
      <c r="S67" s="41"/>
    </row>
    <row r="68" spans="1:21" ht="16" x14ac:dyDescent="0.2">
      <c r="A68" s="5" t="s">
        <v>24</v>
      </c>
      <c r="B68" s="5" t="s">
        <v>5</v>
      </c>
      <c r="C68" s="5" t="s">
        <v>13</v>
      </c>
      <c r="D68" s="5" t="s">
        <v>14</v>
      </c>
      <c r="E68" s="5" t="b">
        <v>0</v>
      </c>
      <c r="F68" s="5" t="s">
        <v>9</v>
      </c>
      <c r="J68" s="5" t="s">
        <v>13</v>
      </c>
      <c r="K68" s="5">
        <v>5</v>
      </c>
      <c r="L68" s="5">
        <f>COUNTIF(C65:C69,_xlfn.CONCAT("=",J68))</f>
        <v>1</v>
      </c>
      <c r="M68" s="9">
        <f>L68/K68</f>
        <v>0.2</v>
      </c>
      <c r="N68" s="2">
        <f>COUNTIFS(F65:F69,"=yes",C65:C69,_xlfn.CONCAT("=",J68))</f>
        <v>1</v>
      </c>
      <c r="O68" s="2">
        <f>COUNTIFS(F65:F69,"=no",C65:C69,_xlfn.CONCAT("=",J68))</f>
        <v>0</v>
      </c>
      <c r="P68" s="10">
        <f>N68/L68</f>
        <v>1</v>
      </c>
      <c r="Q68" s="10">
        <f>O68/L68</f>
        <v>0</v>
      </c>
      <c r="R68" s="6">
        <f t="shared" si="6"/>
        <v>0</v>
      </c>
      <c r="S68" s="36"/>
    </row>
    <row r="69" spans="1:21" ht="16" x14ac:dyDescent="0.2">
      <c r="A69" s="5" t="s">
        <v>26</v>
      </c>
      <c r="B69" s="5" t="s">
        <v>5</v>
      </c>
      <c r="C69" s="5" t="s">
        <v>12</v>
      </c>
      <c r="D69" s="5" t="s">
        <v>14</v>
      </c>
      <c r="E69" s="5" t="b">
        <v>1</v>
      </c>
      <c r="F69" s="5" t="s">
        <v>9</v>
      </c>
    </row>
    <row r="71" spans="1:21" x14ac:dyDescent="0.2">
      <c r="P71" s="34" t="s">
        <v>44</v>
      </c>
      <c r="Q71" s="34"/>
    </row>
    <row r="72" spans="1:21" ht="16" x14ac:dyDescent="0.2">
      <c r="J72" s="3" t="s">
        <v>2</v>
      </c>
      <c r="K72" s="3" t="s">
        <v>43</v>
      </c>
      <c r="L72" s="3" t="s">
        <v>37</v>
      </c>
      <c r="M72" s="3" t="s">
        <v>48</v>
      </c>
      <c r="N72" s="4" t="s">
        <v>35</v>
      </c>
      <c r="O72" s="4" t="s">
        <v>36</v>
      </c>
      <c r="P72" s="4" t="s">
        <v>38</v>
      </c>
      <c r="Q72" s="4" t="s">
        <v>39</v>
      </c>
      <c r="R72" s="3" t="s">
        <v>45</v>
      </c>
      <c r="S72" s="3" t="s">
        <v>42</v>
      </c>
    </row>
    <row r="73" spans="1:21" ht="15.75" customHeight="1" x14ac:dyDescent="0.2">
      <c r="J73" s="5" t="s">
        <v>11</v>
      </c>
      <c r="K73" s="5">
        <v>5</v>
      </c>
      <c r="L73" s="5">
        <f>COUNTIF(D65:D69,_xlfn.CONCAT("=",J73))</f>
        <v>3</v>
      </c>
      <c r="M73" s="9">
        <f>L73/K73</f>
        <v>0.6</v>
      </c>
      <c r="N73" s="2">
        <f>COUNTIFS(F65:F69,"=yes",D65:D69,_xlfn.CONCAT("=",J73))</f>
        <v>0</v>
      </c>
      <c r="O73" s="2">
        <f>COUNTIFS(F65:F69,"=no",D65:D69,_xlfn.CONCAT("=",J73))</f>
        <v>3</v>
      </c>
      <c r="P73" s="10">
        <f>N73/L73</f>
        <v>0</v>
      </c>
      <c r="Q73" s="10">
        <f>O73/L73</f>
        <v>1</v>
      </c>
      <c r="R73" s="6">
        <f t="shared" ref="R73:R74" si="7">1-(P73^2)-(Q73^2)</f>
        <v>0</v>
      </c>
      <c r="S73" s="45">
        <f>SUMPRODUCT(R73:R74,M73:M74)</f>
        <v>0</v>
      </c>
      <c r="U73" s="1" t="s">
        <v>55</v>
      </c>
    </row>
    <row r="74" spans="1:21" ht="15.75" customHeight="1" x14ac:dyDescent="0.2">
      <c r="J74" s="5" t="s">
        <v>14</v>
      </c>
      <c r="K74" s="5">
        <v>5</v>
      </c>
      <c r="L74" s="5">
        <f>COUNTIF(D65:D69,_xlfn.CONCAT("=",J74))</f>
        <v>2</v>
      </c>
      <c r="M74" s="9">
        <f t="shared" ref="M74" si="8">L74/K74</f>
        <v>0.4</v>
      </c>
      <c r="N74" s="2">
        <f>COUNTIFS(F65:F69,"=yes",D65:D69,_xlfn.CONCAT("=",J74))</f>
        <v>2</v>
      </c>
      <c r="O74" s="2">
        <f>COUNTIFS(F65:F69,"=no",D65:D69,_xlfn.CONCAT("=",J74))</f>
        <v>0</v>
      </c>
      <c r="P74" s="10">
        <f>N74/L74</f>
        <v>1</v>
      </c>
      <c r="Q74" s="10">
        <f>O74/L74</f>
        <v>0</v>
      </c>
      <c r="R74" s="6">
        <f t="shared" si="7"/>
        <v>0</v>
      </c>
      <c r="S74" s="45"/>
      <c r="U74" s="1" t="s">
        <v>53</v>
      </c>
    </row>
    <row r="75" spans="1:21" ht="15.75" customHeight="1" x14ac:dyDescent="0.2"/>
    <row r="77" spans="1:21" x14ac:dyDescent="0.2">
      <c r="P77" s="34" t="s">
        <v>44</v>
      </c>
      <c r="Q77" s="34"/>
    </row>
    <row r="78" spans="1:21" ht="16" x14ac:dyDescent="0.2">
      <c r="J78" s="3" t="s">
        <v>41</v>
      </c>
      <c r="K78" s="3" t="s">
        <v>43</v>
      </c>
      <c r="L78" s="3" t="s">
        <v>37</v>
      </c>
      <c r="M78" s="3" t="s">
        <v>48</v>
      </c>
      <c r="N78" s="4" t="s">
        <v>35</v>
      </c>
      <c r="O78" s="4" t="s">
        <v>36</v>
      </c>
      <c r="P78" s="4" t="s">
        <v>38</v>
      </c>
      <c r="Q78" s="4" t="s">
        <v>39</v>
      </c>
      <c r="R78" s="3" t="s">
        <v>45</v>
      </c>
      <c r="S78" s="3" t="s">
        <v>42</v>
      </c>
    </row>
    <row r="79" spans="1:21" ht="16" x14ac:dyDescent="0.2">
      <c r="J79" s="5" t="b">
        <v>1</v>
      </c>
      <c r="K79" s="5">
        <v>5</v>
      </c>
      <c r="L79" s="5">
        <f>COUNTIF(E65:E69,_xlfn.CONCAT("=",J79))</f>
        <v>2</v>
      </c>
      <c r="M79" s="9">
        <f>L79/K79</f>
        <v>0.4</v>
      </c>
      <c r="N79" s="2">
        <f>COUNTIFS(F65:F69,"=yes",E65:E69,_xlfn.CONCAT("=",J79))</f>
        <v>1</v>
      </c>
      <c r="O79" s="2">
        <f>COUNTIFS(F65:F69,"=no",E65:E69,_xlfn.CONCAT("=",J79))</f>
        <v>1</v>
      </c>
      <c r="P79" s="10">
        <f>N79/L79</f>
        <v>0.5</v>
      </c>
      <c r="Q79" s="10">
        <f>O79/L79</f>
        <v>0.5</v>
      </c>
      <c r="R79" s="6">
        <f t="shared" ref="R79:R80" si="9">1-(P79^2)-(Q79^2)</f>
        <v>0.5</v>
      </c>
      <c r="S79" s="40">
        <f>SUMPRODUCT(R79:R80,M79:M80)</f>
        <v>0.46666666666666667</v>
      </c>
    </row>
    <row r="80" spans="1:21" ht="16" x14ac:dyDescent="0.2">
      <c r="J80" s="5" t="b">
        <v>0</v>
      </c>
      <c r="K80" s="5">
        <v>5</v>
      </c>
      <c r="L80" s="5">
        <f>COUNTIF(E65:E69,_xlfn.CONCAT("=",J80))</f>
        <v>3</v>
      </c>
      <c r="M80" s="9">
        <f t="shared" ref="M80" si="10">L80/K80</f>
        <v>0.6</v>
      </c>
      <c r="N80" s="2">
        <f>COUNTIFS(F65:F69,"=yes",E65:E69,_xlfn.CONCAT("=",J80))</f>
        <v>1</v>
      </c>
      <c r="O80" s="2">
        <f>COUNTIFS(F65:F69,"=no",E65:E69,_xlfn.CONCAT("=",J80))</f>
        <v>2</v>
      </c>
      <c r="P80" s="10">
        <f>N80/L80</f>
        <v>0.33333333333333331</v>
      </c>
      <c r="Q80" s="10">
        <f>O80/L80</f>
        <v>0.66666666666666663</v>
      </c>
      <c r="R80" s="6">
        <f t="shared" si="9"/>
        <v>0.44444444444444442</v>
      </c>
      <c r="S80" s="40"/>
    </row>
    <row r="84" spans="1:19" s="11" customFormat="1" x14ac:dyDescent="0.2">
      <c r="S84" s="12"/>
    </row>
    <row r="86" spans="1:19" ht="16" x14ac:dyDescent="0.2">
      <c r="A86" s="3" t="s">
        <v>15</v>
      </c>
      <c r="B86" s="3" t="s">
        <v>0</v>
      </c>
      <c r="C86" s="3" t="s">
        <v>1</v>
      </c>
      <c r="D86" s="3" t="s">
        <v>2</v>
      </c>
      <c r="E86" s="3" t="s">
        <v>3</v>
      </c>
      <c r="F86" s="4" t="s">
        <v>4</v>
      </c>
    </row>
    <row r="87" spans="1:19" ht="16" x14ac:dyDescent="0.2">
      <c r="A87" s="5" t="s">
        <v>16</v>
      </c>
      <c r="B87" s="5" t="s">
        <v>5</v>
      </c>
      <c r="C87" s="5" t="s">
        <v>10</v>
      </c>
      <c r="D87" s="5" t="s">
        <v>11</v>
      </c>
      <c r="E87" s="5" t="b">
        <v>0</v>
      </c>
      <c r="F87" s="5" t="s">
        <v>8</v>
      </c>
    </row>
    <row r="88" spans="1:19" ht="16" x14ac:dyDescent="0.2">
      <c r="A88" s="5" t="s">
        <v>17</v>
      </c>
      <c r="B88" s="5" t="s">
        <v>5</v>
      </c>
      <c r="C88" s="5" t="s">
        <v>10</v>
      </c>
      <c r="D88" s="5" t="s">
        <v>11</v>
      </c>
      <c r="E88" s="5" t="b">
        <v>1</v>
      </c>
      <c r="F88" s="5" t="s">
        <v>8</v>
      </c>
    </row>
    <row r="89" spans="1:19" ht="16" x14ac:dyDescent="0.2">
      <c r="A89" s="5" t="s">
        <v>23</v>
      </c>
      <c r="B89" s="5" t="s">
        <v>5</v>
      </c>
      <c r="C89" s="5" t="s">
        <v>12</v>
      </c>
      <c r="D89" s="5" t="s">
        <v>11</v>
      </c>
      <c r="E89" s="5" t="b">
        <v>0</v>
      </c>
      <c r="F89" s="5" t="s">
        <v>8</v>
      </c>
    </row>
    <row r="93" spans="1:19" ht="16" x14ac:dyDescent="0.2">
      <c r="A93" s="3" t="s">
        <v>15</v>
      </c>
      <c r="B93" s="3" t="s">
        <v>0</v>
      </c>
      <c r="C93" s="3" t="s">
        <v>1</v>
      </c>
      <c r="D93" s="3" t="s">
        <v>2</v>
      </c>
      <c r="E93" s="3" t="s">
        <v>3</v>
      </c>
      <c r="F93" s="4" t="s">
        <v>4</v>
      </c>
    </row>
    <row r="94" spans="1:19" ht="16" x14ac:dyDescent="0.2">
      <c r="A94" s="5" t="s">
        <v>24</v>
      </c>
      <c r="B94" s="5" t="s">
        <v>5</v>
      </c>
      <c r="C94" s="5" t="s">
        <v>13</v>
      </c>
      <c r="D94" s="5" t="s">
        <v>14</v>
      </c>
      <c r="E94" s="5" t="b">
        <v>0</v>
      </c>
      <c r="F94" s="5" t="s">
        <v>9</v>
      </c>
    </row>
    <row r="95" spans="1:19" ht="16" x14ac:dyDescent="0.2">
      <c r="A95" s="5" t="s">
        <v>26</v>
      </c>
      <c r="B95" s="5" t="s">
        <v>5</v>
      </c>
      <c r="C95" s="5" t="s">
        <v>12</v>
      </c>
      <c r="D95" s="5" t="s">
        <v>14</v>
      </c>
      <c r="E95" s="5" t="b">
        <v>1</v>
      </c>
      <c r="F95" s="5" t="s">
        <v>9</v>
      </c>
    </row>
    <row r="119" spans="1:22" s="11" customFormat="1" x14ac:dyDescent="0.2"/>
    <row r="121" spans="1:22" ht="16" x14ac:dyDescent="0.2">
      <c r="U121" s="3" t="s">
        <v>45</v>
      </c>
      <c r="V121" s="7">
        <f>R22</f>
        <v>0.48</v>
      </c>
    </row>
    <row r="122" spans="1:22" ht="16" x14ac:dyDescent="0.2">
      <c r="A122" s="3" t="s">
        <v>15</v>
      </c>
      <c r="B122" s="3" t="s">
        <v>0</v>
      </c>
      <c r="C122" s="3" t="s">
        <v>1</v>
      </c>
      <c r="D122" s="3" t="s">
        <v>2</v>
      </c>
      <c r="E122" s="3" t="s">
        <v>3</v>
      </c>
      <c r="F122" s="4" t="s">
        <v>4</v>
      </c>
      <c r="P122" s="34" t="s">
        <v>44</v>
      </c>
      <c r="Q122" s="34"/>
    </row>
    <row r="123" spans="1:22" ht="16" x14ac:dyDescent="0.2">
      <c r="A123" s="5" t="s">
        <v>19</v>
      </c>
      <c r="B123" s="5" t="s">
        <v>7</v>
      </c>
      <c r="C123" s="5" t="s">
        <v>12</v>
      </c>
      <c r="D123" s="5" t="s">
        <v>11</v>
      </c>
      <c r="E123" s="5" t="b">
        <v>0</v>
      </c>
      <c r="F123" s="5" t="s">
        <v>9</v>
      </c>
      <c r="J123" s="3" t="s">
        <v>1</v>
      </c>
      <c r="K123" s="3" t="s">
        <v>43</v>
      </c>
      <c r="L123" s="3" t="s">
        <v>37</v>
      </c>
      <c r="M123" s="3" t="s">
        <v>48</v>
      </c>
      <c r="N123" s="4" t="s">
        <v>35</v>
      </c>
      <c r="O123" s="4" t="s">
        <v>36</v>
      </c>
      <c r="P123" s="4" t="s">
        <v>38</v>
      </c>
      <c r="Q123" s="4" t="s">
        <v>39</v>
      </c>
      <c r="R123" s="3" t="s">
        <v>45</v>
      </c>
      <c r="S123" s="3" t="s">
        <v>42</v>
      </c>
    </row>
    <row r="124" spans="1:22" ht="16" x14ac:dyDescent="0.2">
      <c r="A124" s="5" t="s">
        <v>20</v>
      </c>
      <c r="B124" s="5" t="s">
        <v>7</v>
      </c>
      <c r="C124" s="5" t="s">
        <v>13</v>
      </c>
      <c r="D124" s="5" t="s">
        <v>14</v>
      </c>
      <c r="E124" s="5" t="b">
        <v>0</v>
      </c>
      <c r="F124" s="5" t="s">
        <v>9</v>
      </c>
      <c r="J124" s="5" t="s">
        <v>10</v>
      </c>
      <c r="K124" s="5">
        <v>5</v>
      </c>
      <c r="L124" s="5">
        <f>COUNTIF(C123:C127,_xlfn.CONCAT("=",J124))</f>
        <v>0</v>
      </c>
      <c r="M124" s="9">
        <f>L124/K124</f>
        <v>0</v>
      </c>
      <c r="N124" s="2">
        <f>COUNTIFS(F123:F127,"=yes",C123:C127,_xlfn.CONCAT("=",J124))</f>
        <v>0</v>
      </c>
      <c r="O124" s="2">
        <f>COUNTIFS(F123:F127,"=no",C123:C127,_xlfn.CONCAT("=",J124))</f>
        <v>0</v>
      </c>
      <c r="P124" s="10">
        <v>0</v>
      </c>
      <c r="Q124" s="10">
        <v>0</v>
      </c>
      <c r="R124" s="6">
        <v>0</v>
      </c>
      <c r="S124" s="35">
        <f>V121-SUMPRODUCT(R124:R126,M124:M126)</f>
        <v>-0.47097750043269371</v>
      </c>
    </row>
    <row r="125" spans="1:22" ht="16" x14ac:dyDescent="0.2">
      <c r="A125" s="5" t="s">
        <v>21</v>
      </c>
      <c r="B125" s="5" t="s">
        <v>7</v>
      </c>
      <c r="C125" s="5" t="s">
        <v>13</v>
      </c>
      <c r="D125" s="5" t="s">
        <v>14</v>
      </c>
      <c r="E125" s="5" t="b">
        <v>1</v>
      </c>
      <c r="F125" s="5" t="s">
        <v>8</v>
      </c>
      <c r="J125" s="5" t="s">
        <v>12</v>
      </c>
      <c r="K125" s="5">
        <v>5</v>
      </c>
      <c r="L125" s="5">
        <f>COUNTIF(C123:C127,_xlfn.CONCAT("=",J125))</f>
        <v>3</v>
      </c>
      <c r="M125" s="9">
        <f t="shared" ref="M125" si="11">L125/K125</f>
        <v>0.6</v>
      </c>
      <c r="N125" s="2">
        <f>COUNTIFS(F123:F127,"=yes",C123:C127,_xlfn.CONCAT("=",J125))</f>
        <v>2</v>
      </c>
      <c r="O125" s="2">
        <f>COUNTIFS(F123:F127,"=no",C123:C127,_xlfn.CONCAT("=",J125))</f>
        <v>1</v>
      </c>
      <c r="P125" s="10">
        <f>N125/L125</f>
        <v>0.66666666666666663</v>
      </c>
      <c r="Q125" s="10">
        <f>O125/L125</f>
        <v>0.33333333333333331</v>
      </c>
      <c r="R125" s="6">
        <f>-(P125*LOG(P125,2))-(Q125*LOG(Q125,2))</f>
        <v>0.91829583405448956</v>
      </c>
      <c r="S125" s="41"/>
    </row>
    <row r="126" spans="1:22" ht="16" x14ac:dyDescent="0.2">
      <c r="A126" s="5" t="s">
        <v>25</v>
      </c>
      <c r="B126" s="5" t="s">
        <v>7</v>
      </c>
      <c r="C126" s="5" t="s">
        <v>12</v>
      </c>
      <c r="D126" s="5" t="s">
        <v>14</v>
      </c>
      <c r="E126" s="5" t="b">
        <v>0</v>
      </c>
      <c r="F126" s="5" t="s">
        <v>9</v>
      </c>
      <c r="J126" s="5" t="s">
        <v>13</v>
      </c>
      <c r="K126" s="5">
        <v>5</v>
      </c>
      <c r="L126" s="5">
        <f>COUNTIF(C123:C127,_xlfn.CONCAT("=",J126))</f>
        <v>2</v>
      </c>
      <c r="M126" s="9">
        <f>L126/K126</f>
        <v>0.4</v>
      </c>
      <c r="N126" s="2">
        <f>COUNTIFS(F123:F127,"=yes",C123:C127,_xlfn.CONCAT("=",J126))</f>
        <v>1</v>
      </c>
      <c r="O126" s="2">
        <f>COUNTIFS(F123:F127,"=no",C123:C127,_xlfn.CONCAT("=",J126))</f>
        <v>1</v>
      </c>
      <c r="P126" s="10">
        <f>N126/L126</f>
        <v>0.5</v>
      </c>
      <c r="Q126" s="10">
        <f>O126/L126</f>
        <v>0.5</v>
      </c>
      <c r="R126" s="6">
        <f>-(P126*LOG(P126,2))-(Q126*LOG(Q126,2))</f>
        <v>1</v>
      </c>
      <c r="S126" s="36"/>
    </row>
    <row r="127" spans="1:22" ht="16" x14ac:dyDescent="0.2">
      <c r="A127" s="5" t="s">
        <v>28</v>
      </c>
      <c r="B127" s="5" t="s">
        <v>7</v>
      </c>
      <c r="C127" s="5" t="s">
        <v>12</v>
      </c>
      <c r="D127" s="5" t="s">
        <v>14</v>
      </c>
      <c r="E127" s="5" t="b">
        <v>1</v>
      </c>
      <c r="F127" s="5" t="s">
        <v>8</v>
      </c>
    </row>
    <row r="129" spans="10:21" x14ac:dyDescent="0.2">
      <c r="P129" s="34" t="s">
        <v>44</v>
      </c>
      <c r="Q129" s="34"/>
    </row>
    <row r="130" spans="10:21" ht="16" x14ac:dyDescent="0.2">
      <c r="J130" s="3" t="s">
        <v>2</v>
      </c>
      <c r="K130" s="3" t="s">
        <v>43</v>
      </c>
      <c r="L130" s="3" t="s">
        <v>37</v>
      </c>
      <c r="M130" s="3" t="s">
        <v>48</v>
      </c>
      <c r="N130" s="4" t="s">
        <v>35</v>
      </c>
      <c r="O130" s="4" t="s">
        <v>36</v>
      </c>
      <c r="P130" s="4" t="s">
        <v>38</v>
      </c>
      <c r="Q130" s="4" t="s">
        <v>39</v>
      </c>
      <c r="R130" s="3" t="s">
        <v>45</v>
      </c>
      <c r="S130" s="3" t="s">
        <v>42</v>
      </c>
    </row>
    <row r="131" spans="10:21" ht="16" x14ac:dyDescent="0.2">
      <c r="J131" s="5" t="s">
        <v>11</v>
      </c>
      <c r="K131" s="5">
        <v>5</v>
      </c>
      <c r="L131" s="5">
        <f>COUNTIF(D123:D127,_xlfn.CONCAT("=",J131))</f>
        <v>1</v>
      </c>
      <c r="M131" s="9">
        <f>L131/K131</f>
        <v>0.2</v>
      </c>
      <c r="N131" s="2">
        <f>COUNTIFS(F123:F127,"=yes",D123:D127,_xlfn.CONCAT("=",J131))</f>
        <v>1</v>
      </c>
      <c r="O131" s="2">
        <f>COUNTIFS(F123:F127,"=no",D123:D127,_xlfn.CONCAT("=",J131))</f>
        <v>0</v>
      </c>
      <c r="P131" s="10">
        <f>N131/L131</f>
        <v>1</v>
      </c>
      <c r="Q131" s="10">
        <f>O131/L131</f>
        <v>0</v>
      </c>
      <c r="R131" s="6">
        <f>-(P131*LOG(P131,2))</f>
        <v>0</v>
      </c>
      <c r="S131" s="40">
        <f>V121-SUMPRODUCT(R131:R132,M131:M132)</f>
        <v>-0.32000000000000006</v>
      </c>
    </row>
    <row r="132" spans="10:21" ht="16" x14ac:dyDescent="0.2">
      <c r="J132" s="5" t="s">
        <v>14</v>
      </c>
      <c r="K132" s="5">
        <v>5</v>
      </c>
      <c r="L132" s="5">
        <f>COUNTIF(D123:D127,_xlfn.CONCAT("=",J132))</f>
        <v>4</v>
      </c>
      <c r="M132" s="9">
        <f t="shared" ref="M132" si="12">L132/K132</f>
        <v>0.8</v>
      </c>
      <c r="N132" s="2">
        <f>COUNTIFS(F123:F127,"=yes",D123:D127,_xlfn.CONCAT("=",J132))</f>
        <v>2</v>
      </c>
      <c r="O132" s="2">
        <f>COUNTIFS(F123:F127,"=no",D123:D127,_xlfn.CONCAT("=",J132))</f>
        <v>2</v>
      </c>
      <c r="P132" s="10">
        <f>N132/L132</f>
        <v>0.5</v>
      </c>
      <c r="Q132" s="10">
        <f>O132/L132</f>
        <v>0.5</v>
      </c>
      <c r="R132" s="6">
        <f>-(P132*LOG(P132,2))-(Q132*LOG(Q132,2))</f>
        <v>1</v>
      </c>
      <c r="S132" s="40"/>
    </row>
    <row r="135" spans="10:21" x14ac:dyDescent="0.2">
      <c r="P135" s="34" t="s">
        <v>44</v>
      </c>
      <c r="Q135" s="34"/>
    </row>
    <row r="136" spans="10:21" ht="16" x14ac:dyDescent="0.2">
      <c r="J136" s="3" t="s">
        <v>41</v>
      </c>
      <c r="K136" s="3" t="s">
        <v>43</v>
      </c>
      <c r="L136" s="3" t="s">
        <v>37</v>
      </c>
      <c r="M136" s="3" t="s">
        <v>48</v>
      </c>
      <c r="N136" s="4" t="s">
        <v>35</v>
      </c>
      <c r="O136" s="4" t="s">
        <v>36</v>
      </c>
      <c r="P136" s="4" t="s">
        <v>38</v>
      </c>
      <c r="Q136" s="4" t="s">
        <v>39</v>
      </c>
      <c r="R136" s="3" t="s">
        <v>45</v>
      </c>
      <c r="S136" s="3" t="s">
        <v>42</v>
      </c>
    </row>
    <row r="137" spans="10:21" ht="16" x14ac:dyDescent="0.2">
      <c r="J137" s="5" t="b">
        <v>1</v>
      </c>
      <c r="K137" s="5">
        <v>5</v>
      </c>
      <c r="L137" s="5">
        <f>COUNTIF(E123:E127,_xlfn.CONCAT("=",J137))</f>
        <v>2</v>
      </c>
      <c r="M137" s="9">
        <f>L137/K137</f>
        <v>0.4</v>
      </c>
      <c r="N137" s="2">
        <f>COUNTIFS(F123:F127,"=yes",E123:E127,_xlfn.CONCAT("=",J137))</f>
        <v>0</v>
      </c>
      <c r="O137" s="2">
        <f>COUNTIFS(F123:F127,"=no",E123:E127,_xlfn.CONCAT("=",J137))</f>
        <v>2</v>
      </c>
      <c r="P137" s="10">
        <f>N137/L137</f>
        <v>0</v>
      </c>
      <c r="Q137" s="10">
        <f>O137/L137</f>
        <v>1</v>
      </c>
      <c r="R137" s="6">
        <f>-(Q137*LOG(Q137,2))</f>
        <v>0</v>
      </c>
      <c r="S137" s="45">
        <f>V121-SUMPRODUCT(R137:R138,M137:M138)</f>
        <v>0.48</v>
      </c>
      <c r="U137" s="1" t="s">
        <v>51</v>
      </c>
    </row>
    <row r="138" spans="10:21" ht="16" x14ac:dyDescent="0.2">
      <c r="J138" s="5" t="b">
        <v>0</v>
      </c>
      <c r="K138" s="5">
        <v>5</v>
      </c>
      <c r="L138" s="5">
        <f>COUNTIF(E123:E127,_xlfn.CONCAT("=",J138))</f>
        <v>3</v>
      </c>
      <c r="M138" s="9">
        <f t="shared" ref="M138" si="13">L138/K138</f>
        <v>0.6</v>
      </c>
      <c r="N138" s="2">
        <f>COUNTIFS(F123:F127,"=yes",E123:E127,_xlfn.CONCAT("=",J138))</f>
        <v>3</v>
      </c>
      <c r="O138" s="2">
        <f>COUNTIFS(F123:F127,"=no",E123:E127,_xlfn.CONCAT("=",J138))</f>
        <v>0</v>
      </c>
      <c r="P138" s="10">
        <f>N138/L138</f>
        <v>1</v>
      </c>
      <c r="Q138" s="10">
        <f>O138/L138</f>
        <v>0</v>
      </c>
      <c r="R138" s="6">
        <f>-(P138*LOG(P138,2))</f>
        <v>0</v>
      </c>
      <c r="S138" s="45"/>
      <c r="U138" s="1" t="s">
        <v>53</v>
      </c>
    </row>
  </sheetData>
  <mergeCells count="22">
    <mergeCell ref="P129:Q129"/>
    <mergeCell ref="S131:S132"/>
    <mergeCell ref="P135:Q135"/>
    <mergeCell ref="S137:S138"/>
    <mergeCell ref="P71:Q71"/>
    <mergeCell ref="S73:S74"/>
    <mergeCell ref="P77:Q77"/>
    <mergeCell ref="S79:S80"/>
    <mergeCell ref="P122:Q122"/>
    <mergeCell ref="S124:S126"/>
    <mergeCell ref="S66:S68"/>
    <mergeCell ref="P8:Q8"/>
    <mergeCell ref="P12:Q12"/>
    <mergeCell ref="S14:S15"/>
    <mergeCell ref="P18:Q18"/>
    <mergeCell ref="S20:S22"/>
    <mergeCell ref="P25:Q25"/>
    <mergeCell ref="S27:S29"/>
    <mergeCell ref="P32:Q32"/>
    <mergeCell ref="S34:S35"/>
    <mergeCell ref="P40:Q40"/>
    <mergeCell ref="P64:Q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05"/>
  <sheetViews>
    <sheetView tabSelected="1" topLeftCell="N7" zoomScale="158" workbookViewId="0">
      <selection activeCell="S14" sqref="S14:S15"/>
    </sheetView>
  </sheetViews>
  <sheetFormatPr baseColWidth="10" defaultColWidth="9.1640625" defaultRowHeight="15" x14ac:dyDescent="0.2"/>
  <cols>
    <col min="1" max="1" width="13.83203125" style="1" bestFit="1" customWidth="1"/>
    <col min="2" max="2" width="14" style="1" customWidth="1"/>
    <col min="3" max="3" width="16.33203125" style="1" bestFit="1" customWidth="1"/>
    <col min="4" max="4" width="13.5" style="1" customWidth="1"/>
    <col min="5" max="5" width="11.5" style="1" customWidth="1"/>
    <col min="6" max="6" width="9.5" style="1" customWidth="1"/>
    <col min="7" max="7" width="9.1640625" style="1"/>
    <col min="8" max="8" width="2.5" style="11" customWidth="1"/>
    <col min="9" max="9" width="9.1640625" style="1"/>
    <col min="10" max="10" width="12.83203125" style="1" bestFit="1" customWidth="1"/>
    <col min="11" max="13" width="12.83203125" style="1" customWidth="1"/>
    <col min="14" max="14" width="10.6640625" style="1" customWidth="1"/>
    <col min="15" max="17" width="10.83203125" style="1" customWidth="1"/>
    <col min="18" max="18" width="14.6640625" style="1" customWidth="1"/>
    <col min="19" max="19" width="13.5" style="1" customWidth="1"/>
    <col min="20" max="20" width="2.83203125" style="1" customWidth="1"/>
    <col min="21" max="21" width="11" style="1" customWidth="1"/>
    <col min="22" max="22" width="9.1640625" style="1"/>
    <col min="23" max="23" width="8.1640625" style="1" customWidth="1"/>
    <col min="24" max="24" width="2.83203125" style="11" customWidth="1"/>
    <col min="25" max="16384" width="9.1640625" style="1"/>
  </cols>
  <sheetData>
    <row r="1" spans="1:24" x14ac:dyDescent="0.2">
      <c r="H1" s="1"/>
      <c r="X1" s="1"/>
    </row>
    <row r="2" spans="1:24" x14ac:dyDescent="0.2">
      <c r="H2" s="1"/>
      <c r="X2" s="1"/>
    </row>
    <row r="3" spans="1:24" x14ac:dyDescent="0.2">
      <c r="H3" s="1"/>
      <c r="X3" s="1"/>
    </row>
    <row r="4" spans="1:24" x14ac:dyDescent="0.2">
      <c r="H4" s="1"/>
      <c r="X4" s="1"/>
    </row>
    <row r="5" spans="1:24" x14ac:dyDescent="0.2">
      <c r="H5" s="1"/>
      <c r="X5" s="1"/>
    </row>
    <row r="6" spans="1:24" s="11" customFormat="1" ht="10.5" customHeight="1" x14ac:dyDescent="0.2"/>
    <row r="8" spans="1:24" x14ac:dyDescent="0.2">
      <c r="P8" s="34" t="s">
        <v>44</v>
      </c>
      <c r="Q8" s="34"/>
    </row>
    <row r="9" spans="1:24" ht="16" x14ac:dyDescent="0.2">
      <c r="A9" s="3" t="s">
        <v>15</v>
      </c>
      <c r="B9" s="3" t="s">
        <v>0</v>
      </c>
      <c r="C9" s="3" t="s">
        <v>1</v>
      </c>
      <c r="D9" s="3" t="s">
        <v>2</v>
      </c>
      <c r="E9" s="3" t="s">
        <v>3</v>
      </c>
      <c r="F9" s="4" t="s">
        <v>4</v>
      </c>
      <c r="J9" s="3" t="s">
        <v>40</v>
      </c>
      <c r="K9" s="3" t="s">
        <v>43</v>
      </c>
      <c r="L9" s="3" t="s">
        <v>37</v>
      </c>
      <c r="M9" s="3" t="s">
        <v>48</v>
      </c>
      <c r="N9" s="4" t="s">
        <v>35</v>
      </c>
      <c r="O9" s="4" t="s">
        <v>36</v>
      </c>
      <c r="P9" s="4" t="s">
        <v>38</v>
      </c>
      <c r="Q9" s="4" t="s">
        <v>39</v>
      </c>
      <c r="R9" s="3" t="s">
        <v>45</v>
      </c>
    </row>
    <row r="10" spans="1:24" ht="16" x14ac:dyDescent="0.2">
      <c r="A10" s="5" t="s">
        <v>16</v>
      </c>
      <c r="B10" s="5" t="s">
        <v>5</v>
      </c>
      <c r="C10" s="5" t="s">
        <v>10</v>
      </c>
      <c r="D10" s="5" t="s">
        <v>11</v>
      </c>
      <c r="E10" s="5" t="b">
        <v>0</v>
      </c>
      <c r="F10" s="5" t="s">
        <v>8</v>
      </c>
      <c r="J10" s="5" t="s">
        <v>46</v>
      </c>
      <c r="K10" s="5">
        <f>COUNTA(A10:A19)</f>
        <v>10</v>
      </c>
      <c r="L10" s="5">
        <f>COUNTA(B10:B19)</f>
        <v>10</v>
      </c>
      <c r="M10" s="5"/>
      <c r="N10" s="2">
        <f>COUNTIFS(F10:F19,"=yes")</f>
        <v>4</v>
      </c>
      <c r="O10" s="2">
        <f>COUNTIFS(F10:F19,"=no")</f>
        <v>6</v>
      </c>
      <c r="P10" s="6">
        <f>N10/L10</f>
        <v>0.4</v>
      </c>
      <c r="Q10" s="6">
        <f>O10/L10</f>
        <v>0.6</v>
      </c>
      <c r="R10" s="6">
        <f>-(P10*LOG(P10,2))-(Q10*LOG(Q10,2))</f>
        <v>0.97095059445466858</v>
      </c>
    </row>
    <row r="11" spans="1:24" ht="16" x14ac:dyDescent="0.2">
      <c r="A11" s="5" t="s">
        <v>17</v>
      </c>
      <c r="B11" s="5" t="s">
        <v>5</v>
      </c>
      <c r="C11" s="5" t="s">
        <v>10</v>
      </c>
      <c r="D11" s="5" t="s">
        <v>11</v>
      </c>
      <c r="E11" s="5" t="b">
        <v>1</v>
      </c>
      <c r="F11" s="5" t="s">
        <v>8</v>
      </c>
    </row>
    <row r="12" spans="1:24" ht="16" x14ac:dyDescent="0.2">
      <c r="A12" s="5" t="s">
        <v>19</v>
      </c>
      <c r="B12" s="5" t="s">
        <v>7</v>
      </c>
      <c r="C12" s="5" t="s">
        <v>10</v>
      </c>
      <c r="D12" s="5" t="s">
        <v>11</v>
      </c>
      <c r="E12" s="5" t="b">
        <v>0</v>
      </c>
      <c r="F12" s="5" t="s">
        <v>8</v>
      </c>
      <c r="P12" s="34" t="s">
        <v>44</v>
      </c>
      <c r="Q12" s="34"/>
    </row>
    <row r="13" spans="1:24" ht="16" x14ac:dyDescent="0.2">
      <c r="A13" s="5" t="s">
        <v>20</v>
      </c>
      <c r="B13" s="5" t="s">
        <v>7</v>
      </c>
      <c r="C13" s="5" t="s">
        <v>13</v>
      </c>
      <c r="D13" s="5" t="s">
        <v>14</v>
      </c>
      <c r="E13" s="5" t="b">
        <v>0</v>
      </c>
      <c r="F13" s="5" t="s">
        <v>9</v>
      </c>
      <c r="J13" s="3" t="s">
        <v>3</v>
      </c>
      <c r="K13" s="3" t="s">
        <v>43</v>
      </c>
      <c r="L13" s="3" t="s">
        <v>37</v>
      </c>
      <c r="M13" s="3" t="s">
        <v>48</v>
      </c>
      <c r="N13" s="4" t="s">
        <v>35</v>
      </c>
      <c r="O13" s="4" t="s">
        <v>36</v>
      </c>
      <c r="P13" s="4" t="s">
        <v>38</v>
      </c>
      <c r="Q13" s="4" t="s">
        <v>39</v>
      </c>
      <c r="R13" s="3" t="s">
        <v>47</v>
      </c>
      <c r="S13" s="3" t="s">
        <v>42</v>
      </c>
    </row>
    <row r="14" spans="1:24" ht="16" x14ac:dyDescent="0.2">
      <c r="A14" s="5" t="s">
        <v>21</v>
      </c>
      <c r="B14" s="5" t="s">
        <v>7</v>
      </c>
      <c r="C14" s="5" t="s">
        <v>13</v>
      </c>
      <c r="D14" s="5" t="s">
        <v>14</v>
      </c>
      <c r="E14" s="5" t="b">
        <v>1</v>
      </c>
      <c r="F14" s="5" t="s">
        <v>8</v>
      </c>
      <c r="J14" s="5" t="b">
        <v>1</v>
      </c>
      <c r="K14" s="5">
        <f>K10</f>
        <v>10</v>
      </c>
      <c r="L14" s="8">
        <f>COUNTIF(E10:E19,"=True")</f>
        <v>4</v>
      </c>
      <c r="M14" s="9">
        <f>L14/K14</f>
        <v>0.4</v>
      </c>
      <c r="N14" s="2">
        <f>COUNTIFS(F10:F19,"=yes",E10:E19,"=TRUE")</f>
        <v>1</v>
      </c>
      <c r="O14" s="2">
        <f>COUNTIFS(F10:F19,"=no",E10:E19,"=TRUE")</f>
        <v>3</v>
      </c>
      <c r="P14" s="2">
        <f>N14/L14</f>
        <v>0.25</v>
      </c>
      <c r="Q14" s="2">
        <f>O14/L14</f>
        <v>0.75</v>
      </c>
      <c r="R14" s="6">
        <f>-(P14*LOG(P14,2))-(Q14*LOG(Q14,2))</f>
        <v>0.81127812445913283</v>
      </c>
      <c r="S14" s="35">
        <f>R10-SUMPRODUCT(R14:R15,M14:M15)</f>
        <v>4.6439344671015403E-2</v>
      </c>
    </row>
    <row r="15" spans="1:24" ht="16" x14ac:dyDescent="0.2">
      <c r="A15" s="5" t="s">
        <v>23</v>
      </c>
      <c r="B15" s="5" t="s">
        <v>5</v>
      </c>
      <c r="C15" s="5" t="s">
        <v>10</v>
      </c>
      <c r="D15" s="5" t="s">
        <v>11</v>
      </c>
      <c r="E15" s="5" t="b">
        <v>0</v>
      </c>
      <c r="F15" s="5" t="s">
        <v>8</v>
      </c>
      <c r="J15" s="5" t="b">
        <v>0</v>
      </c>
      <c r="K15" s="5">
        <f>K10</f>
        <v>10</v>
      </c>
      <c r="L15" s="8">
        <f>COUNTIF(E10:E19,"=False")</f>
        <v>6</v>
      </c>
      <c r="M15" s="9">
        <f>L15/K15</f>
        <v>0.6</v>
      </c>
      <c r="N15" s="2">
        <f>COUNTIFS(F10:F19,"=yes",E10:E19,"=FALSE")</f>
        <v>3</v>
      </c>
      <c r="O15" s="2">
        <f>COUNTIFS(F10:F21,"=no",E10:E21,"=FALSE")</f>
        <v>3</v>
      </c>
      <c r="P15" s="2">
        <f>N15/L15</f>
        <v>0.5</v>
      </c>
      <c r="Q15" s="2">
        <f>O15/L15</f>
        <v>0.5</v>
      </c>
      <c r="R15" s="6">
        <f>-(P15*LOG(P15,2))-(Q15*LOG(Q15,2))</f>
        <v>1</v>
      </c>
      <c r="S15" s="36"/>
    </row>
    <row r="16" spans="1:24" ht="16" x14ac:dyDescent="0.2">
      <c r="A16" s="5" t="s">
        <v>24</v>
      </c>
      <c r="B16" s="5" t="s">
        <v>5</v>
      </c>
      <c r="C16" s="5" t="s">
        <v>13</v>
      </c>
      <c r="D16" s="5" t="s">
        <v>14</v>
      </c>
      <c r="E16" s="5" t="b">
        <v>0</v>
      </c>
      <c r="F16" s="5" t="s">
        <v>9</v>
      </c>
    </row>
    <row r="17" spans="1:21" ht="16" x14ac:dyDescent="0.2">
      <c r="A17" s="5" t="s">
        <v>25</v>
      </c>
      <c r="B17" s="5" t="s">
        <v>7</v>
      </c>
      <c r="C17" s="5" t="s">
        <v>10</v>
      </c>
      <c r="D17" s="5" t="s">
        <v>14</v>
      </c>
      <c r="E17" s="5" t="b">
        <v>0</v>
      </c>
      <c r="F17" s="5" t="s">
        <v>9</v>
      </c>
    </row>
    <row r="18" spans="1:21" ht="16" x14ac:dyDescent="0.2">
      <c r="A18" s="5" t="s">
        <v>26</v>
      </c>
      <c r="B18" s="5" t="s">
        <v>5</v>
      </c>
      <c r="C18" s="5" t="s">
        <v>13</v>
      </c>
      <c r="D18" s="5" t="s">
        <v>14</v>
      </c>
      <c r="E18" s="5" t="b">
        <v>1</v>
      </c>
      <c r="F18" s="5" t="s">
        <v>9</v>
      </c>
      <c r="P18" s="34" t="s">
        <v>44</v>
      </c>
      <c r="Q18" s="34"/>
    </row>
    <row r="19" spans="1:21" ht="16" x14ac:dyDescent="0.2">
      <c r="A19" s="5" t="s">
        <v>28</v>
      </c>
      <c r="B19" s="5" t="s">
        <v>7</v>
      </c>
      <c r="C19" s="5" t="s">
        <v>10</v>
      </c>
      <c r="D19" s="5" t="s">
        <v>14</v>
      </c>
      <c r="E19" s="5" t="b">
        <v>1</v>
      </c>
      <c r="F19" s="5" t="s">
        <v>8</v>
      </c>
      <c r="J19" s="3" t="s">
        <v>0</v>
      </c>
      <c r="K19" s="3" t="s">
        <v>43</v>
      </c>
      <c r="L19" s="3" t="s">
        <v>37</v>
      </c>
      <c r="M19" s="3" t="s">
        <v>48</v>
      </c>
      <c r="N19" s="4" t="s">
        <v>35</v>
      </c>
      <c r="O19" s="4" t="s">
        <v>36</v>
      </c>
      <c r="P19" s="4" t="s">
        <v>38</v>
      </c>
      <c r="Q19" s="4" t="s">
        <v>39</v>
      </c>
      <c r="R19" s="3" t="s">
        <v>45</v>
      </c>
      <c r="S19" s="3" t="s">
        <v>42</v>
      </c>
    </row>
    <row r="20" spans="1:21" ht="15.75" customHeight="1" x14ac:dyDescent="0.2">
      <c r="J20" s="5" t="s">
        <v>5</v>
      </c>
      <c r="K20" s="5">
        <f t="shared" ref="K20:K21" si="0">$K$10</f>
        <v>10</v>
      </c>
      <c r="L20" s="5">
        <f>COUNTIF(B10:B19,"=Sunny")</f>
        <v>5</v>
      </c>
      <c r="M20" s="9">
        <f t="shared" ref="M20:M21" si="1">L20/K20</f>
        <v>0.5</v>
      </c>
      <c r="N20" s="2">
        <f>COUNTIFS(F10:F19,"=yes",B10:B19,"=Sunny")</f>
        <v>2</v>
      </c>
      <c r="O20" s="2">
        <f>COUNTIFS(F10:F19,"=no",B10:B19,"=Sunny")</f>
        <v>3</v>
      </c>
      <c r="P20" s="2">
        <f>N20/L20</f>
        <v>0.4</v>
      </c>
      <c r="Q20" s="2">
        <f>O20/L20</f>
        <v>0.6</v>
      </c>
      <c r="R20" s="6">
        <f>-(P20*LOG(P20,2))-(Q20*LOG(Q20,2))</f>
        <v>0.97095059445466858</v>
      </c>
      <c r="S20" s="35">
        <f>R10-SUMPRODUCT(R20:R21,M20:$M$21)</f>
        <v>0</v>
      </c>
    </row>
    <row r="21" spans="1:21" ht="15.75" customHeight="1" x14ac:dyDescent="0.2">
      <c r="C21" s="1" t="s">
        <v>32</v>
      </c>
      <c r="D21" s="1" t="s">
        <v>49</v>
      </c>
      <c r="J21" s="5" t="s">
        <v>7</v>
      </c>
      <c r="K21" s="5">
        <f t="shared" si="0"/>
        <v>10</v>
      </c>
      <c r="L21" s="5">
        <f>COUNTIF(B10:B19,"=Rain")</f>
        <v>5</v>
      </c>
      <c r="M21" s="9">
        <f t="shared" si="1"/>
        <v>0.5</v>
      </c>
      <c r="N21" s="2">
        <f>COUNTIFS(F10:F19,"=yes",B10:B19,"=Rain")</f>
        <v>2</v>
      </c>
      <c r="O21" s="2">
        <f>COUNTIFS(F10:F19,"=no",B10:B19,"=Rain")</f>
        <v>3</v>
      </c>
      <c r="P21" s="2">
        <f>N21/L21</f>
        <v>0.4</v>
      </c>
      <c r="Q21" s="2">
        <f>O21/L21</f>
        <v>0.6</v>
      </c>
      <c r="R21" s="6">
        <f>-(P21*LOG(P21,2))-(Q21*LOG(Q21,2))</f>
        <v>0.97095059445466858</v>
      </c>
      <c r="S21" s="36"/>
    </row>
    <row r="22" spans="1:21" x14ac:dyDescent="0.2">
      <c r="C22" s="1" t="s">
        <v>33</v>
      </c>
      <c r="D22" s="1" t="s">
        <v>50</v>
      </c>
    </row>
    <row r="23" spans="1:21" x14ac:dyDescent="0.2">
      <c r="C23" s="1" t="s">
        <v>34</v>
      </c>
    </row>
    <row r="24" spans="1:21" x14ac:dyDescent="0.2">
      <c r="P24" s="34" t="s">
        <v>44</v>
      </c>
      <c r="Q24" s="34"/>
    </row>
    <row r="25" spans="1:21" ht="16" x14ac:dyDescent="0.2">
      <c r="J25" s="3" t="s">
        <v>1</v>
      </c>
      <c r="K25" s="3" t="s">
        <v>43</v>
      </c>
      <c r="L25" s="3" t="s">
        <v>37</v>
      </c>
      <c r="M25" s="3" t="s">
        <v>48</v>
      </c>
      <c r="N25" s="4" t="s">
        <v>35</v>
      </c>
      <c r="O25" s="4" t="s">
        <v>36</v>
      </c>
      <c r="P25" s="4" t="s">
        <v>38</v>
      </c>
      <c r="Q25" s="4" t="s">
        <v>39</v>
      </c>
      <c r="R25" s="3" t="s">
        <v>45</v>
      </c>
      <c r="S25" s="3" t="s">
        <v>42</v>
      </c>
    </row>
    <row r="26" spans="1:21" ht="16" x14ac:dyDescent="0.2">
      <c r="A26" s="3" t="s">
        <v>15</v>
      </c>
      <c r="B26" s="3" t="s">
        <v>0</v>
      </c>
      <c r="C26" s="3" t="s">
        <v>1</v>
      </c>
      <c r="D26" s="3" t="s">
        <v>2</v>
      </c>
      <c r="E26" s="3" t="s">
        <v>3</v>
      </c>
      <c r="F26" s="4" t="s">
        <v>4</v>
      </c>
      <c r="J26" s="5" t="s">
        <v>10</v>
      </c>
      <c r="K26" s="5">
        <f t="shared" ref="K26:K27" si="2">$K$10</f>
        <v>10</v>
      </c>
      <c r="L26" s="5">
        <f>COUNTIF(C10:C19,_xlfn.CONCAT("=",J26))</f>
        <v>6</v>
      </c>
      <c r="M26" s="9">
        <f>L26/K26</f>
        <v>0.6</v>
      </c>
      <c r="N26" s="2">
        <f>COUNTIFS(F10:F19,"=yes",C10:C19,_xlfn.CONCAT("=",J26))</f>
        <v>1</v>
      </c>
      <c r="O26" s="2">
        <f>COUNTIFS(F10:F19,"=no",C10:C19,_xlfn.CONCAT("=",J26))</f>
        <v>5</v>
      </c>
      <c r="P26" s="10">
        <f>N26/L26</f>
        <v>0.16666666666666666</v>
      </c>
      <c r="Q26" s="10">
        <f>O26/L26</f>
        <v>0.83333333333333337</v>
      </c>
      <c r="R26" s="6">
        <f>-(P26*LOG(P26,2))-(Q26*LOG(Q26,2))</f>
        <v>0.65002242164835411</v>
      </c>
      <c r="S26" s="35">
        <f>R10-SUMPRODUCT(R26:R27,M26:M27)</f>
        <v>0.25642589168200303</v>
      </c>
    </row>
    <row r="27" spans="1:21" ht="16" x14ac:dyDescent="0.2">
      <c r="A27" s="5" t="s">
        <v>30</v>
      </c>
      <c r="B27" s="5" t="s">
        <v>7</v>
      </c>
      <c r="C27" s="5">
        <v>85</v>
      </c>
      <c r="D27" s="5">
        <v>90</v>
      </c>
      <c r="E27" s="5" t="b">
        <v>0</v>
      </c>
      <c r="F27" s="5" t="s">
        <v>31</v>
      </c>
      <c r="J27" s="5" t="s">
        <v>13</v>
      </c>
      <c r="K27" s="5">
        <f t="shared" si="2"/>
        <v>10</v>
      </c>
      <c r="L27" s="5">
        <f>COUNTIF(C10:C19,_xlfn.CONCAT("=",J27))</f>
        <v>4</v>
      </c>
      <c r="M27" s="9">
        <f>L27/K27</f>
        <v>0.4</v>
      </c>
      <c r="N27" s="2">
        <f>COUNTIFS(F10:F19,"=yes",C10:C19,_xlfn.CONCAT("=",J27))</f>
        <v>3</v>
      </c>
      <c r="O27" s="2">
        <f>COUNTIFS(F10:F19,"=no",C10:C19,_xlfn.CONCAT("=",J27))</f>
        <v>1</v>
      </c>
      <c r="P27" s="10">
        <f>N27/L27</f>
        <v>0.75</v>
      </c>
      <c r="Q27" s="10">
        <f>O27/L27</f>
        <v>0.25</v>
      </c>
      <c r="R27" s="6">
        <f>-(P27*LOG(P27,2))-(Q27*LOG(Q27,2))</f>
        <v>0.81127812445913283</v>
      </c>
      <c r="S27" s="36"/>
    </row>
    <row r="30" spans="1:21" x14ac:dyDescent="0.2">
      <c r="P30" s="34" t="s">
        <v>44</v>
      </c>
      <c r="Q30" s="34"/>
    </row>
    <row r="31" spans="1:21" ht="16" x14ac:dyDescent="0.2">
      <c r="J31" s="3" t="s">
        <v>2</v>
      </c>
      <c r="K31" s="3" t="s">
        <v>43</v>
      </c>
      <c r="L31" s="3" t="s">
        <v>37</v>
      </c>
      <c r="M31" s="3" t="s">
        <v>48</v>
      </c>
      <c r="N31" s="4" t="s">
        <v>35</v>
      </c>
      <c r="O31" s="4" t="s">
        <v>36</v>
      </c>
      <c r="P31" s="4" t="s">
        <v>38</v>
      </c>
      <c r="Q31" s="4" t="s">
        <v>39</v>
      </c>
      <c r="R31" s="3" t="s">
        <v>47</v>
      </c>
      <c r="S31" s="3" t="s">
        <v>42</v>
      </c>
    </row>
    <row r="32" spans="1:21" ht="16" x14ac:dyDescent="0.2">
      <c r="J32" s="5" t="s">
        <v>11</v>
      </c>
      <c r="K32" s="5">
        <f t="shared" ref="K32:K33" si="3">$K$10</f>
        <v>10</v>
      </c>
      <c r="L32" s="5">
        <f>COUNTIF(D10:D19,_xlfn.CONCAT("=",J32))</f>
        <v>4</v>
      </c>
      <c r="M32" s="9">
        <f>L32/K32</f>
        <v>0.4</v>
      </c>
      <c r="N32" s="2">
        <f>COUNTIFS(F10:F19,"=yes",D10:D19,_xlfn.CONCAT("=",J32))</f>
        <v>0</v>
      </c>
      <c r="O32" s="2">
        <f>COUNTIFS(F10:F19,"=no",D10:D19,_xlfn.CONCAT("=",J32))</f>
        <v>4</v>
      </c>
      <c r="P32" s="10">
        <f>N32/L32</f>
        <v>0</v>
      </c>
      <c r="Q32" s="10">
        <f>O32/L32</f>
        <v>1</v>
      </c>
      <c r="R32" s="6">
        <f>(Q32*LOG(Q32,2))</f>
        <v>0</v>
      </c>
      <c r="S32" s="42">
        <f>R10-SUMPRODUCT(R32:R33,M32:M33)</f>
        <v>0.41997309402197491</v>
      </c>
      <c r="U32" s="1" t="s">
        <v>51</v>
      </c>
    </row>
    <row r="33" spans="1:21" ht="16" x14ac:dyDescent="0.2">
      <c r="J33" s="5" t="s">
        <v>14</v>
      </c>
      <c r="K33" s="5">
        <f t="shared" si="3"/>
        <v>10</v>
      </c>
      <c r="L33" s="5">
        <f>COUNTIF(D10:D19,_xlfn.CONCAT("=",J33))</f>
        <v>6</v>
      </c>
      <c r="M33" s="9">
        <f>L33/K33</f>
        <v>0.6</v>
      </c>
      <c r="N33" s="2">
        <f>COUNTIFS(F10:F19,"=yes",D10:D19,_xlfn.CONCAT("=",J33))</f>
        <v>4</v>
      </c>
      <c r="O33" s="2">
        <f>COUNTIFS(F10:F19,"=no",D10:D19,_xlfn.CONCAT("=",J33))</f>
        <v>2</v>
      </c>
      <c r="P33" s="10">
        <f>N33/L33</f>
        <v>0.66666666666666663</v>
      </c>
      <c r="Q33" s="10">
        <f>O33/L33</f>
        <v>0.33333333333333331</v>
      </c>
      <c r="R33" s="6">
        <f>-(P33*LOG(P33,2))-(Q33*LOG(Q33,2))</f>
        <v>0.91829583405448956</v>
      </c>
      <c r="S33" s="44"/>
      <c r="U33" s="1" t="s">
        <v>56</v>
      </c>
    </row>
    <row r="36" spans="1:21" s="11" customFormat="1" x14ac:dyDescent="0.2">
      <c r="S36" s="12"/>
    </row>
    <row r="38" spans="1:21" ht="16" x14ac:dyDescent="0.2">
      <c r="A38" s="3" t="s">
        <v>15</v>
      </c>
      <c r="B38" s="3" t="s">
        <v>0</v>
      </c>
      <c r="C38" s="3" t="s">
        <v>1</v>
      </c>
      <c r="D38" s="3" t="s">
        <v>2</v>
      </c>
      <c r="E38" s="3" t="s">
        <v>3</v>
      </c>
      <c r="F38" s="4" t="s">
        <v>4</v>
      </c>
      <c r="P38" s="34" t="s">
        <v>44</v>
      </c>
      <c r="Q38" s="34"/>
    </row>
    <row r="39" spans="1:21" ht="16" x14ac:dyDescent="0.2">
      <c r="A39" s="5" t="s">
        <v>16</v>
      </c>
      <c r="B39" s="5" t="s">
        <v>5</v>
      </c>
      <c r="C39" s="5" t="s">
        <v>10</v>
      </c>
      <c r="D39" s="5" t="s">
        <v>11</v>
      </c>
      <c r="E39" s="5" t="b">
        <v>0</v>
      </c>
      <c r="F39" s="5" t="s">
        <v>8</v>
      </c>
      <c r="J39" s="3" t="s">
        <v>0</v>
      </c>
      <c r="K39" s="3" t="s">
        <v>43</v>
      </c>
      <c r="L39" s="3" t="s">
        <v>37</v>
      </c>
      <c r="M39" s="3" t="s">
        <v>48</v>
      </c>
      <c r="N39" s="4" t="s">
        <v>35</v>
      </c>
      <c r="O39" s="4" t="s">
        <v>36</v>
      </c>
      <c r="P39" s="4" t="s">
        <v>38</v>
      </c>
      <c r="Q39" s="4" t="s">
        <v>39</v>
      </c>
      <c r="R39" s="3" t="s">
        <v>45</v>
      </c>
      <c r="S39" s="3" t="s">
        <v>42</v>
      </c>
    </row>
    <row r="40" spans="1:21" ht="16" x14ac:dyDescent="0.2">
      <c r="A40" s="5" t="s">
        <v>17</v>
      </c>
      <c r="B40" s="5" t="s">
        <v>5</v>
      </c>
      <c r="C40" s="5" t="s">
        <v>10</v>
      </c>
      <c r="D40" s="5" t="s">
        <v>11</v>
      </c>
      <c r="E40" s="5" t="b">
        <v>1</v>
      </c>
      <c r="F40" s="5" t="s">
        <v>8</v>
      </c>
      <c r="J40" s="5" t="s">
        <v>5</v>
      </c>
      <c r="K40" s="5">
        <f>COUNTA(A39:A42)</f>
        <v>4</v>
      </c>
      <c r="L40" s="5">
        <f>COUNTIF(B39:B42,_xlfn.CONCAT("=",J40))</f>
        <v>3</v>
      </c>
      <c r="M40" s="9">
        <f>L40/K40</f>
        <v>0.75</v>
      </c>
      <c r="N40" s="2">
        <f>COUNTIFS(F39:F42,"=yes",B39:B42,_xlfn.CONCAT("=",J40))</f>
        <v>0</v>
      </c>
      <c r="O40" s="2">
        <f>COUNTIFS(F39:F42,"=no",B39:B42,_xlfn.CONCAT("=",J40))</f>
        <v>3</v>
      </c>
      <c r="P40" s="2">
        <f>N40/L40</f>
        <v>0</v>
      </c>
      <c r="Q40" s="2">
        <f>O40/L40</f>
        <v>1</v>
      </c>
      <c r="R40" s="6">
        <f>-(Q40*LOG(Q40,2))</f>
        <v>0</v>
      </c>
      <c r="S40" s="35">
        <f>R32-SUMPRODUCT(R40:R41,M40:M41)</f>
        <v>0</v>
      </c>
    </row>
    <row r="41" spans="1:21" ht="16" x14ac:dyDescent="0.2">
      <c r="A41" s="5" t="s">
        <v>19</v>
      </c>
      <c r="B41" s="5" t="s">
        <v>7</v>
      </c>
      <c r="C41" s="5" t="s">
        <v>10</v>
      </c>
      <c r="D41" s="5" t="s">
        <v>11</v>
      </c>
      <c r="E41" s="5" t="b">
        <v>0</v>
      </c>
      <c r="F41" s="5" t="s">
        <v>8</v>
      </c>
      <c r="J41" s="5" t="s">
        <v>7</v>
      </c>
      <c r="K41" s="5">
        <f>COUNTA(A39:A42)</f>
        <v>4</v>
      </c>
      <c r="L41" s="5">
        <f>COUNTIF(B39:B42,_xlfn.CONCAT("=",J41))</f>
        <v>1</v>
      </c>
      <c r="M41" s="9">
        <f>L41/K41</f>
        <v>0.25</v>
      </c>
      <c r="N41" s="2">
        <f>COUNTIFS(F39:F42,"=yes",B39:B42,_xlfn.CONCAT("=",J41))</f>
        <v>0</v>
      </c>
      <c r="O41" s="2">
        <f>COUNTIFS(F39:F42,"=no",B39:B42,_xlfn.CONCAT("=",J41))</f>
        <v>1</v>
      </c>
      <c r="P41" s="2">
        <f>N41/L41</f>
        <v>0</v>
      </c>
      <c r="Q41" s="2">
        <f>O41/L41</f>
        <v>1</v>
      </c>
      <c r="R41" s="6">
        <f>-(Q41*LOG(Q41,2))</f>
        <v>0</v>
      </c>
      <c r="S41" s="36"/>
    </row>
    <row r="42" spans="1:21" ht="16" x14ac:dyDescent="0.2">
      <c r="A42" s="5" t="s">
        <v>23</v>
      </c>
      <c r="B42" s="5" t="s">
        <v>5</v>
      </c>
      <c r="C42" s="5" t="s">
        <v>10</v>
      </c>
      <c r="D42" s="5" t="s">
        <v>11</v>
      </c>
      <c r="E42" s="5" t="b">
        <v>0</v>
      </c>
      <c r="F42" s="5" t="s">
        <v>8</v>
      </c>
    </row>
    <row r="43" spans="1:21" x14ac:dyDescent="0.2">
      <c r="P43" s="34" t="s">
        <v>44</v>
      </c>
      <c r="Q43" s="34"/>
    </row>
    <row r="44" spans="1:21" ht="16" x14ac:dyDescent="0.2">
      <c r="J44" s="3" t="s">
        <v>1</v>
      </c>
      <c r="K44" s="3" t="s">
        <v>43</v>
      </c>
      <c r="L44" s="3" t="s">
        <v>37</v>
      </c>
      <c r="M44" s="3" t="s">
        <v>48</v>
      </c>
      <c r="N44" s="4" t="s">
        <v>35</v>
      </c>
      <c r="O44" s="4" t="s">
        <v>36</v>
      </c>
      <c r="P44" s="4" t="s">
        <v>38</v>
      </c>
      <c r="Q44" s="4" t="s">
        <v>39</v>
      </c>
      <c r="R44" s="3" t="s">
        <v>45</v>
      </c>
      <c r="S44" s="16" t="s">
        <v>42</v>
      </c>
    </row>
    <row r="45" spans="1:21" ht="15.75" customHeight="1" x14ac:dyDescent="0.2">
      <c r="J45" s="5" t="s">
        <v>10</v>
      </c>
      <c r="K45" s="5">
        <f>COUNTA(A39:A42)</f>
        <v>4</v>
      </c>
      <c r="L45" s="5">
        <f>COUNTIF(C39:C42,_xlfn.CONCAT("=",J45))</f>
        <v>4</v>
      </c>
      <c r="M45" s="9">
        <f>L45/K45</f>
        <v>1</v>
      </c>
      <c r="N45" s="2">
        <f>COUNTIFS(F39:F42,"=yes",C39:C42,_xlfn.CONCAT("=",J45))</f>
        <v>0</v>
      </c>
      <c r="O45" s="2">
        <f>COUNTIFS(F39:F42,"=no",C39:C42,_xlfn.CONCAT("=",J45))</f>
        <v>4</v>
      </c>
      <c r="P45" s="2">
        <f>N45/L45</f>
        <v>0</v>
      </c>
      <c r="Q45" s="2">
        <f>O45/L45</f>
        <v>1</v>
      </c>
      <c r="R45" s="15">
        <f>-(Q45*LOG(Q45,2))</f>
        <v>0</v>
      </c>
      <c r="S45" s="14">
        <f>R32-SUMPRODUCT(R45,M45)</f>
        <v>0</v>
      </c>
    </row>
    <row r="46" spans="1:21" ht="15.75" customHeight="1" x14ac:dyDescent="0.2"/>
    <row r="47" spans="1:21" x14ac:dyDescent="0.2">
      <c r="P47" s="34" t="s">
        <v>44</v>
      </c>
      <c r="Q47" s="34"/>
    </row>
    <row r="48" spans="1:21" ht="16" x14ac:dyDescent="0.2">
      <c r="J48" s="3" t="s">
        <v>3</v>
      </c>
      <c r="K48" s="3" t="s">
        <v>43</v>
      </c>
      <c r="L48" s="3" t="s">
        <v>37</v>
      </c>
      <c r="M48" s="3" t="s">
        <v>48</v>
      </c>
      <c r="N48" s="4" t="s">
        <v>35</v>
      </c>
      <c r="O48" s="4" t="s">
        <v>36</v>
      </c>
      <c r="P48" s="4" t="s">
        <v>38</v>
      </c>
      <c r="Q48" s="4" t="s">
        <v>39</v>
      </c>
      <c r="R48" s="3" t="s">
        <v>45</v>
      </c>
      <c r="S48" s="3" t="s">
        <v>42</v>
      </c>
    </row>
    <row r="49" spans="1:19" ht="16" x14ac:dyDescent="0.2">
      <c r="J49" s="5" t="b">
        <v>0</v>
      </c>
      <c r="K49" s="5">
        <f>COUNTA(A39:A42)</f>
        <v>4</v>
      </c>
      <c r="L49" s="5">
        <f>COUNTIF(E39:E42,_xlfn.CONCAT("=",J49))</f>
        <v>3</v>
      </c>
      <c r="M49" s="9">
        <f>L49/K49</f>
        <v>0.75</v>
      </c>
      <c r="N49" s="2">
        <f>COUNTIFS(F39:F42,"=yes",E39:E42,_xlfn.CONCAT("=",J49))</f>
        <v>0</v>
      </c>
      <c r="O49" s="2">
        <f>COUNTIFS(F39:F42,"=no",E39:E42,_xlfn.CONCAT("=",J49))</f>
        <v>3</v>
      </c>
      <c r="P49" s="2">
        <f>N49/L49</f>
        <v>0</v>
      </c>
      <c r="Q49" s="2">
        <f>O49/L49</f>
        <v>1</v>
      </c>
      <c r="R49" s="6">
        <f>-(Q49*LOG(Q49,2))</f>
        <v>0</v>
      </c>
      <c r="S49" s="35">
        <f>R32-SUMPRODUCT(R49:R50,M49:M50)</f>
        <v>0</v>
      </c>
    </row>
    <row r="50" spans="1:19" ht="16" x14ac:dyDescent="0.2">
      <c r="J50" s="5" t="b">
        <v>1</v>
      </c>
      <c r="K50" s="5">
        <f>COUNTA(A39:A42)</f>
        <v>4</v>
      </c>
      <c r="L50" s="5">
        <f>COUNTIF(E39:E42,_xlfn.CONCAT("=",J50))</f>
        <v>1</v>
      </c>
      <c r="M50" s="9">
        <f>L50/K50</f>
        <v>0.25</v>
      </c>
      <c r="N50" s="2">
        <f>COUNTIFS(F39:F42,"=yes",E39:E42,_xlfn.CONCAT("=",J50))</f>
        <v>0</v>
      </c>
      <c r="O50" s="2">
        <f>COUNTIFS(F39:F42,"=no",E39:E42,_xlfn.CONCAT("=",J50))</f>
        <v>1</v>
      </c>
      <c r="P50" s="2">
        <f>N50/L50</f>
        <v>0</v>
      </c>
      <c r="Q50" s="2">
        <f>O50/L50</f>
        <v>1</v>
      </c>
      <c r="R50" s="6">
        <f>-(Q50*LOG(Q50,2))</f>
        <v>0</v>
      </c>
      <c r="S50" s="36"/>
    </row>
    <row r="56" spans="1:19" ht="16" x14ac:dyDescent="0.2">
      <c r="A56" s="13"/>
      <c r="B56" s="13"/>
      <c r="C56" s="13"/>
      <c r="D56" s="13"/>
      <c r="E56" s="13"/>
      <c r="F56" s="13"/>
    </row>
    <row r="57" spans="1:19" ht="16" x14ac:dyDescent="0.2">
      <c r="A57" s="13"/>
      <c r="B57" s="13"/>
      <c r="C57" s="13"/>
      <c r="D57" s="13"/>
      <c r="E57" s="13"/>
      <c r="F57" s="13"/>
    </row>
    <row r="60" spans="1:19" s="11" customFormat="1" x14ac:dyDescent="0.2">
      <c r="S60" s="12"/>
    </row>
    <row r="62" spans="1:19" ht="16" x14ac:dyDescent="0.2">
      <c r="A62" s="3" t="s">
        <v>15</v>
      </c>
      <c r="B62" s="3" t="s">
        <v>0</v>
      </c>
      <c r="C62" s="3" t="s">
        <v>1</v>
      </c>
      <c r="D62" s="3" t="s">
        <v>2</v>
      </c>
      <c r="E62" s="3" t="s">
        <v>3</v>
      </c>
      <c r="F62" s="4" t="s">
        <v>4</v>
      </c>
      <c r="P62" s="34" t="s">
        <v>44</v>
      </c>
      <c r="Q62" s="34"/>
    </row>
    <row r="63" spans="1:19" ht="16" x14ac:dyDescent="0.2">
      <c r="A63" s="5" t="s">
        <v>20</v>
      </c>
      <c r="B63" s="5" t="s">
        <v>7</v>
      </c>
      <c r="C63" s="5" t="s">
        <v>13</v>
      </c>
      <c r="D63" s="5" t="s">
        <v>14</v>
      </c>
      <c r="E63" s="5" t="b">
        <v>0</v>
      </c>
      <c r="F63" s="5" t="s">
        <v>9</v>
      </c>
      <c r="J63" s="3" t="s">
        <v>0</v>
      </c>
      <c r="K63" s="3" t="s">
        <v>43</v>
      </c>
      <c r="L63" s="3" t="s">
        <v>37</v>
      </c>
      <c r="M63" s="3" t="s">
        <v>48</v>
      </c>
      <c r="N63" s="4" t="s">
        <v>35</v>
      </c>
      <c r="O63" s="4" t="s">
        <v>36</v>
      </c>
      <c r="P63" s="4" t="s">
        <v>38</v>
      </c>
      <c r="Q63" s="4" t="s">
        <v>39</v>
      </c>
      <c r="R63" s="3" t="s">
        <v>45</v>
      </c>
      <c r="S63" s="3" t="s">
        <v>42</v>
      </c>
    </row>
    <row r="64" spans="1:19" ht="15.75" customHeight="1" x14ac:dyDescent="0.2">
      <c r="A64" s="5" t="s">
        <v>21</v>
      </c>
      <c r="B64" s="5" t="s">
        <v>7</v>
      </c>
      <c r="C64" s="5" t="s">
        <v>13</v>
      </c>
      <c r="D64" s="5" t="s">
        <v>14</v>
      </c>
      <c r="E64" s="5" t="b">
        <v>1</v>
      </c>
      <c r="F64" s="5" t="s">
        <v>8</v>
      </c>
      <c r="J64" s="5" t="s">
        <v>5</v>
      </c>
      <c r="K64" s="5">
        <f>COUNTA(A63:A68)</f>
        <v>6</v>
      </c>
      <c r="L64" s="5">
        <f>COUNTIF(B63:B68,_xlfn.CONCAT("=",J64))</f>
        <v>2</v>
      </c>
      <c r="M64" s="9">
        <f>L64/K64</f>
        <v>0.33333333333333331</v>
      </c>
      <c r="N64" s="2">
        <f>COUNTIFS(F63:F68,"=yes",B63:B68,_xlfn.CONCAT("=",J64))</f>
        <v>2</v>
      </c>
      <c r="O64" s="2">
        <f>COUNTIFS(F63:F68,"=no",B63:B68,_xlfn.CONCAT("=",J64))</f>
        <v>0</v>
      </c>
      <c r="P64" s="2">
        <f>N64/L64</f>
        <v>1</v>
      </c>
      <c r="Q64" s="2">
        <f>O64/L64</f>
        <v>0</v>
      </c>
      <c r="R64" s="6">
        <f>-(P64*LOG(P64,2))</f>
        <v>0</v>
      </c>
      <c r="S64" s="35">
        <f>R33-SUMPRODUCT(R64:R65,M64:M65)</f>
        <v>0.25162916738782293</v>
      </c>
    </row>
    <row r="65" spans="1:19" ht="15.75" customHeight="1" x14ac:dyDescent="0.2">
      <c r="A65" s="5" t="s">
        <v>24</v>
      </c>
      <c r="B65" s="5" t="s">
        <v>5</v>
      </c>
      <c r="C65" s="5" t="s">
        <v>13</v>
      </c>
      <c r="D65" s="5" t="s">
        <v>14</v>
      </c>
      <c r="E65" s="5" t="b">
        <v>0</v>
      </c>
      <c r="F65" s="5" t="s">
        <v>9</v>
      </c>
      <c r="J65" s="5" t="s">
        <v>7</v>
      </c>
      <c r="K65" s="5">
        <f>COUNTA(A63:A68)</f>
        <v>6</v>
      </c>
      <c r="L65" s="5">
        <f>COUNTIF(B63:B68,_xlfn.CONCAT("=",J65))</f>
        <v>4</v>
      </c>
      <c r="M65" s="9">
        <f>L65/K65</f>
        <v>0.66666666666666663</v>
      </c>
      <c r="N65" s="2">
        <f>COUNTIFS(F63:F68,"=yes",B63:B68,_xlfn.CONCAT("=",J65))</f>
        <v>2</v>
      </c>
      <c r="O65" s="2">
        <f>COUNTIFS(F63:F68,"=no",B63:B68,_xlfn.CONCAT("=",J65))</f>
        <v>2</v>
      </c>
      <c r="P65" s="2">
        <f>N65/L65</f>
        <v>0.5</v>
      </c>
      <c r="Q65" s="2">
        <f>O65/L65</f>
        <v>0.5</v>
      </c>
      <c r="R65" s="6">
        <f>-(P65*LOG(P65,2))-(Q65*LOG(Q65,2))</f>
        <v>1</v>
      </c>
      <c r="S65" s="36"/>
    </row>
    <row r="66" spans="1:19" ht="15.75" customHeight="1" x14ac:dyDescent="0.2">
      <c r="A66" s="5" t="s">
        <v>25</v>
      </c>
      <c r="B66" s="5" t="s">
        <v>7</v>
      </c>
      <c r="C66" s="5" t="s">
        <v>10</v>
      </c>
      <c r="D66" s="5" t="s">
        <v>14</v>
      </c>
      <c r="E66" s="5" t="b">
        <v>0</v>
      </c>
      <c r="F66" s="5" t="s">
        <v>9</v>
      </c>
    </row>
    <row r="67" spans="1:19" ht="16" x14ac:dyDescent="0.2">
      <c r="A67" s="5" t="s">
        <v>26</v>
      </c>
      <c r="B67" s="5" t="s">
        <v>5</v>
      </c>
      <c r="C67" s="5" t="s">
        <v>13</v>
      </c>
      <c r="D67" s="5" t="s">
        <v>14</v>
      </c>
      <c r="E67" s="5" t="b">
        <v>1</v>
      </c>
      <c r="F67" s="5" t="s">
        <v>9</v>
      </c>
      <c r="P67" s="34" t="s">
        <v>44</v>
      </c>
      <c r="Q67" s="34"/>
    </row>
    <row r="68" spans="1:19" ht="16" x14ac:dyDescent="0.2">
      <c r="A68" s="5" t="s">
        <v>28</v>
      </c>
      <c r="B68" s="5" t="s">
        <v>7</v>
      </c>
      <c r="C68" s="5" t="s">
        <v>10</v>
      </c>
      <c r="D68" s="5" t="s">
        <v>14</v>
      </c>
      <c r="E68" s="5" t="b">
        <v>1</v>
      </c>
      <c r="F68" s="5" t="s">
        <v>8</v>
      </c>
      <c r="J68" s="3" t="s">
        <v>1</v>
      </c>
      <c r="K68" s="3" t="s">
        <v>43</v>
      </c>
      <c r="L68" s="3" t="s">
        <v>37</v>
      </c>
      <c r="M68" s="3" t="s">
        <v>48</v>
      </c>
      <c r="N68" s="4" t="s">
        <v>35</v>
      </c>
      <c r="O68" s="4" t="s">
        <v>36</v>
      </c>
      <c r="P68" s="4" t="s">
        <v>38</v>
      </c>
      <c r="Q68" s="4" t="s">
        <v>39</v>
      </c>
      <c r="R68" s="3" t="s">
        <v>45</v>
      </c>
      <c r="S68" s="16" t="s">
        <v>42</v>
      </c>
    </row>
    <row r="69" spans="1:19" ht="16" x14ac:dyDescent="0.2">
      <c r="J69" s="5" t="s">
        <v>10</v>
      </c>
      <c r="K69" s="5">
        <f>COUNTA(A63:A68)</f>
        <v>6</v>
      </c>
      <c r="L69" s="5">
        <f>COUNTIF(C63:C68,_xlfn.CONCAT("=",J69))</f>
        <v>2</v>
      </c>
      <c r="M69" s="9">
        <f>L69/K69</f>
        <v>0.33333333333333331</v>
      </c>
      <c r="N69" s="2">
        <f>COUNTIFS(F63:F68,"=yes",C63:C68,_xlfn.CONCAT("=",J69))</f>
        <v>1</v>
      </c>
      <c r="O69" s="2">
        <f>COUNTIFS(F63:F68,"=no",C63:C68,_xlfn.CONCAT("=",J69))</f>
        <v>1</v>
      </c>
      <c r="P69" s="2">
        <f>N69/L69</f>
        <v>0.5</v>
      </c>
      <c r="Q69" s="2">
        <f>O69/L69</f>
        <v>0.5</v>
      </c>
      <c r="R69" s="6">
        <f>-(P69*LOG(P69,2))-(Q69*LOG(Q69,2))</f>
        <v>1</v>
      </c>
      <c r="S69" s="35">
        <f>R33-SUMPRODUCT(R69:R70,M69:M70)</f>
        <v>4.4110417748401076E-2</v>
      </c>
    </row>
    <row r="70" spans="1:19" ht="16" x14ac:dyDescent="0.2">
      <c r="J70" s="5" t="s">
        <v>13</v>
      </c>
      <c r="K70" s="5">
        <f>COUNTA(A63:A68)</f>
        <v>6</v>
      </c>
      <c r="L70" s="5">
        <f>COUNTIF(C63:C68,_xlfn.CONCAT("=",J70))</f>
        <v>4</v>
      </c>
      <c r="M70" s="9">
        <f>L70/K70</f>
        <v>0.66666666666666663</v>
      </c>
      <c r="N70" s="2">
        <f>COUNTIFS(F63:F68,"=yes",C63:C68,_xlfn.CONCAT("=",J70))</f>
        <v>3</v>
      </c>
      <c r="O70" s="2">
        <f>COUNTIFS(F63:F68,"=no",C63:C68,_xlfn.CONCAT("=",J70))</f>
        <v>1</v>
      </c>
      <c r="P70" s="2">
        <f>N70/L70</f>
        <v>0.75</v>
      </c>
      <c r="Q70" s="2">
        <f>O70/L70</f>
        <v>0.25</v>
      </c>
      <c r="R70" s="6">
        <f>-(P70*LOG(P70,2))-(Q70*LOG(Q70,2))</f>
        <v>0.81127812445913283</v>
      </c>
      <c r="S70" s="36"/>
    </row>
    <row r="71" spans="1:19" ht="15.75" customHeight="1" x14ac:dyDescent="0.2"/>
    <row r="72" spans="1:19" ht="15.75" customHeight="1" x14ac:dyDescent="0.2"/>
    <row r="73" spans="1:19" ht="15.75" customHeight="1" x14ac:dyDescent="0.2">
      <c r="P73" s="34" t="s">
        <v>44</v>
      </c>
      <c r="Q73" s="34"/>
    </row>
    <row r="74" spans="1:19" ht="15.75" customHeight="1" x14ac:dyDescent="0.2">
      <c r="J74" s="3" t="s">
        <v>3</v>
      </c>
      <c r="K74" s="3" t="s">
        <v>43</v>
      </c>
      <c r="L74" s="3" t="s">
        <v>37</v>
      </c>
      <c r="M74" s="3" t="s">
        <v>48</v>
      </c>
      <c r="N74" s="4" t="s">
        <v>35</v>
      </c>
      <c r="O74" s="4" t="s">
        <v>36</v>
      </c>
      <c r="P74" s="4" t="s">
        <v>38</v>
      </c>
      <c r="Q74" s="4" t="s">
        <v>39</v>
      </c>
      <c r="R74" s="3" t="s">
        <v>45</v>
      </c>
      <c r="S74" s="3" t="s">
        <v>42</v>
      </c>
    </row>
    <row r="75" spans="1:19" ht="18.75" customHeight="1" x14ac:dyDescent="0.2">
      <c r="J75" s="5" t="b">
        <v>0</v>
      </c>
      <c r="K75" s="5">
        <f>COUNTA(A63:A68)</f>
        <v>6</v>
      </c>
      <c r="L75" s="5">
        <f>COUNTIF(E63:E68,_xlfn.CONCAT("=",J75))</f>
        <v>3</v>
      </c>
      <c r="M75" s="9">
        <f>L75/K75</f>
        <v>0.5</v>
      </c>
      <c r="N75" s="2">
        <f>COUNTIFS(F63:F68,"=yes",E63:E68,_xlfn.CONCAT("=",J75))</f>
        <v>3</v>
      </c>
      <c r="O75" s="2">
        <f>COUNTIFS(F63:F68,"=no",E63:E68,_xlfn.CONCAT("=",J75))</f>
        <v>0</v>
      </c>
      <c r="P75" s="17">
        <f>N75/L75</f>
        <v>1</v>
      </c>
      <c r="Q75" s="17">
        <f>O75/L75</f>
        <v>0</v>
      </c>
      <c r="R75" s="6">
        <f>-(P75*LOG(P75,2))</f>
        <v>0</v>
      </c>
      <c r="S75" s="42">
        <f>R33-SUMPRODUCT(R75:R76,M75:M76)</f>
        <v>0.45914791702724478</v>
      </c>
    </row>
    <row r="76" spans="1:19" ht="16" x14ac:dyDescent="0.2">
      <c r="J76" s="5" t="b">
        <v>1</v>
      </c>
      <c r="K76" s="5">
        <f>COUNTA(A63:A68)</f>
        <v>6</v>
      </c>
      <c r="L76" s="5">
        <f>COUNTIF(E63:E68,_xlfn.CONCAT("=",J76))</f>
        <v>3</v>
      </c>
      <c r="M76" s="9">
        <f>L76/K76</f>
        <v>0.5</v>
      </c>
      <c r="N76" s="2">
        <f>COUNTIFS(F63:F68,"=yes",E63:E68,_xlfn.CONCAT("=",J76))</f>
        <v>1</v>
      </c>
      <c r="O76" s="2">
        <f>COUNTIFS(F63:F68,"=no",E63:E68,_xlfn.CONCAT("=",J76))</f>
        <v>2</v>
      </c>
      <c r="P76" s="17">
        <f>N76/L76</f>
        <v>0.33333333333333331</v>
      </c>
      <c r="Q76" s="17">
        <f>O76/L76</f>
        <v>0.66666666666666663</v>
      </c>
      <c r="R76" s="6">
        <f>-(P76*LOG(P76,2))-(Q76*LOG(Q76,2))</f>
        <v>0.91829583405448956</v>
      </c>
      <c r="S76" s="44"/>
    </row>
    <row r="77" spans="1:19" ht="15.75" customHeight="1" x14ac:dyDescent="0.2"/>
    <row r="78" spans="1:19" ht="15.75" customHeight="1" x14ac:dyDescent="0.2"/>
    <row r="82" spans="1:44" s="11" customFormat="1" x14ac:dyDescent="0.2">
      <c r="S82" s="12"/>
    </row>
    <row r="84" spans="1:44" ht="16" x14ac:dyDescent="0.2">
      <c r="A84" s="3" t="s">
        <v>15</v>
      </c>
      <c r="B84" s="3" t="s">
        <v>0</v>
      </c>
      <c r="C84" s="3" t="s">
        <v>1</v>
      </c>
      <c r="D84" s="3" t="s">
        <v>2</v>
      </c>
      <c r="E84" s="3" t="s">
        <v>3</v>
      </c>
      <c r="F84" s="4" t="s">
        <v>4</v>
      </c>
      <c r="P84" s="34" t="s">
        <v>44</v>
      </c>
      <c r="Q84" s="34"/>
    </row>
    <row r="85" spans="1:44" ht="16" x14ac:dyDescent="0.2">
      <c r="A85" s="5" t="s">
        <v>21</v>
      </c>
      <c r="B85" s="5" t="s">
        <v>7</v>
      </c>
      <c r="C85" s="5" t="s">
        <v>13</v>
      </c>
      <c r="D85" s="5" t="s">
        <v>14</v>
      </c>
      <c r="E85" s="5" t="b">
        <v>1</v>
      </c>
      <c r="F85" s="5" t="s">
        <v>8</v>
      </c>
      <c r="J85" s="3" t="s">
        <v>0</v>
      </c>
      <c r="K85" s="3" t="s">
        <v>43</v>
      </c>
      <c r="L85" s="3" t="s">
        <v>37</v>
      </c>
      <c r="M85" s="3" t="s">
        <v>48</v>
      </c>
      <c r="N85" s="4" t="s">
        <v>35</v>
      </c>
      <c r="O85" s="4" t="s">
        <v>36</v>
      </c>
      <c r="P85" s="4" t="s">
        <v>38</v>
      </c>
      <c r="Q85" s="4" t="s">
        <v>39</v>
      </c>
      <c r="R85" s="3" t="s">
        <v>45</v>
      </c>
      <c r="S85" s="3" t="s">
        <v>42</v>
      </c>
    </row>
    <row r="86" spans="1:44" ht="16" x14ac:dyDescent="0.2">
      <c r="A86" s="5" t="s">
        <v>26</v>
      </c>
      <c r="B86" s="5" t="s">
        <v>5</v>
      </c>
      <c r="C86" s="5" t="s">
        <v>13</v>
      </c>
      <c r="D86" s="5" t="s">
        <v>14</v>
      </c>
      <c r="E86" s="5" t="b">
        <v>1</v>
      </c>
      <c r="F86" s="5" t="s">
        <v>9</v>
      </c>
      <c r="J86" s="5" t="s">
        <v>5</v>
      </c>
      <c r="K86" s="5">
        <f>COUNTA(A85:A87)</f>
        <v>3</v>
      </c>
      <c r="L86" s="5">
        <f>COUNTIF(B85:B87,_xlfn.CONCAT("=",J86))</f>
        <v>1</v>
      </c>
      <c r="M86" s="9">
        <f>L86/K86</f>
        <v>0.33333333333333331</v>
      </c>
      <c r="N86" s="2">
        <f>COUNTIFS(F85:F87,"=yes",B85:B87,_xlfn.CONCAT("=",J86))</f>
        <v>1</v>
      </c>
      <c r="O86" s="2">
        <f>COUNTIFS(F85:F87,"=no",B85:B87,_xlfn.CONCAT("=",J86))</f>
        <v>0</v>
      </c>
      <c r="P86" s="2">
        <f>N86/L86</f>
        <v>1</v>
      </c>
      <c r="Q86" s="2">
        <f>O86/L86</f>
        <v>0</v>
      </c>
      <c r="R86" s="6">
        <f>-(P86*LOG(P86,2))</f>
        <v>0</v>
      </c>
      <c r="S86" s="42">
        <f>R76-SUMPRODUCT(R86:R87,M86:M87)</f>
        <v>0.91829583405448956</v>
      </c>
      <c r="AM86" s="3" t="s">
        <v>15</v>
      </c>
      <c r="AN86" s="3" t="s">
        <v>0</v>
      </c>
      <c r="AO86" s="3" t="s">
        <v>1</v>
      </c>
      <c r="AP86" s="3" t="s">
        <v>2</v>
      </c>
      <c r="AQ86" s="3" t="s">
        <v>3</v>
      </c>
      <c r="AR86" s="4" t="s">
        <v>4</v>
      </c>
    </row>
    <row r="87" spans="1:44" ht="16" x14ac:dyDescent="0.2">
      <c r="A87" s="5" t="s">
        <v>28</v>
      </c>
      <c r="B87" s="5" t="s">
        <v>7</v>
      </c>
      <c r="C87" s="5" t="s">
        <v>10</v>
      </c>
      <c r="D87" s="5" t="s">
        <v>14</v>
      </c>
      <c r="E87" s="5" t="b">
        <v>1</v>
      </c>
      <c r="F87" s="5" t="s">
        <v>8</v>
      </c>
      <c r="J87" s="5" t="s">
        <v>7</v>
      </c>
      <c r="K87" s="5">
        <f>COUNTA(A85:A87)</f>
        <v>3</v>
      </c>
      <c r="L87" s="5">
        <f>COUNTIF(B85:B87,_xlfn.CONCAT("=",J87))</f>
        <v>2</v>
      </c>
      <c r="M87" s="9">
        <f>L87/K87</f>
        <v>0.66666666666666663</v>
      </c>
      <c r="N87" s="2">
        <f>COUNTIFS(F85:F87,"=yes",B85:B87,_xlfn.CONCAT("=",J87))</f>
        <v>0</v>
      </c>
      <c r="O87" s="2">
        <f>COUNTIFS(F85:F87,"=no",B85:B87,_xlfn.CONCAT("=",J87))</f>
        <v>2</v>
      </c>
      <c r="P87" s="2">
        <f>N87/L87</f>
        <v>0</v>
      </c>
      <c r="Q87" s="2">
        <f>O87/L87</f>
        <v>1</v>
      </c>
      <c r="R87" s="6">
        <f>-(Q87*LOG(Q87,2))</f>
        <v>0</v>
      </c>
      <c r="S87" s="44"/>
      <c r="AM87" s="5" t="s">
        <v>30</v>
      </c>
      <c r="AN87" s="5" t="s">
        <v>7</v>
      </c>
      <c r="AO87" s="5">
        <v>85</v>
      </c>
      <c r="AP87" s="5">
        <v>90</v>
      </c>
      <c r="AQ87" s="5" t="b">
        <v>0</v>
      </c>
      <c r="AR87" s="5" t="s">
        <v>31</v>
      </c>
    </row>
    <row r="89" spans="1:44" x14ac:dyDescent="0.2">
      <c r="P89" s="34" t="s">
        <v>44</v>
      </c>
      <c r="Q89" s="34"/>
    </row>
    <row r="90" spans="1:44" ht="16" x14ac:dyDescent="0.2">
      <c r="J90" s="3" t="s">
        <v>1</v>
      </c>
      <c r="K90" s="3" t="s">
        <v>43</v>
      </c>
      <c r="L90" s="3" t="s">
        <v>37</v>
      </c>
      <c r="M90" s="3" t="s">
        <v>48</v>
      </c>
      <c r="N90" s="4" t="s">
        <v>35</v>
      </c>
      <c r="O90" s="4" t="s">
        <v>36</v>
      </c>
      <c r="P90" s="4" t="s">
        <v>38</v>
      </c>
      <c r="Q90" s="4" t="s">
        <v>39</v>
      </c>
      <c r="R90" s="3" t="s">
        <v>45</v>
      </c>
      <c r="S90" s="16" t="s">
        <v>42</v>
      </c>
    </row>
    <row r="91" spans="1:44" ht="16" x14ac:dyDescent="0.2">
      <c r="J91" s="5" t="s">
        <v>10</v>
      </c>
      <c r="K91" s="5">
        <f>COUNTA(A85:A87)</f>
        <v>3</v>
      </c>
      <c r="L91" s="5">
        <f>COUNTIF(C85:C87,_xlfn.CONCAT("=",J91))</f>
        <v>1</v>
      </c>
      <c r="M91" s="9">
        <f>L91/K91</f>
        <v>0.33333333333333331</v>
      </c>
      <c r="N91" s="2">
        <f>COUNTIFS(F85:F87,"=yes",C85:C87,_xlfn.CONCAT("=",J91))</f>
        <v>0</v>
      </c>
      <c r="O91" s="2">
        <f>COUNTIFS(F85:F87,"=no",C85:C87,_xlfn.CONCAT("=",J91))</f>
        <v>1</v>
      </c>
      <c r="P91" s="2">
        <f>N91/L91</f>
        <v>0</v>
      </c>
      <c r="Q91" s="2">
        <f>O91/L91</f>
        <v>1</v>
      </c>
      <c r="R91" s="6">
        <f>-(Q91*LOG(Q91,2))</f>
        <v>0</v>
      </c>
      <c r="S91" s="35">
        <f>R76-SUMPRODUCT(R91:R92,M91:M92)</f>
        <v>0.25162916738782293</v>
      </c>
    </row>
    <row r="92" spans="1:44" ht="16" x14ac:dyDescent="0.2">
      <c r="J92" s="5" t="s">
        <v>13</v>
      </c>
      <c r="K92" s="5">
        <f>COUNTA(A85:A87)</f>
        <v>3</v>
      </c>
      <c r="L92" s="5">
        <f>COUNTIF(C85:C87,_xlfn.CONCAT("=",J92))</f>
        <v>2</v>
      </c>
      <c r="M92" s="9">
        <f>L92/K92</f>
        <v>0.66666666666666663</v>
      </c>
      <c r="N92" s="2">
        <f>COUNTIFS(F85:F87,"=yes",C85:C87,_xlfn.CONCAT("=",J92))</f>
        <v>1</v>
      </c>
      <c r="O92" s="2">
        <f>COUNTIFS(F85:F87,"=no",C85:C87,_xlfn.CONCAT("=",J92))</f>
        <v>1</v>
      </c>
      <c r="P92" s="2">
        <f>N92/L92</f>
        <v>0.5</v>
      </c>
      <c r="Q92" s="2">
        <f>O92/L92</f>
        <v>0.5</v>
      </c>
      <c r="R92" s="6">
        <f>-(P92*LOG(P92,2))-(Q92*LOG(Q92,2))</f>
        <v>1</v>
      </c>
      <c r="S92" s="36"/>
    </row>
    <row r="97" spans="1:19" ht="16" x14ac:dyDescent="0.2">
      <c r="A97" s="3" t="s">
        <v>15</v>
      </c>
      <c r="B97" s="3" t="s">
        <v>0</v>
      </c>
      <c r="C97" s="3" t="s">
        <v>1</v>
      </c>
      <c r="D97" s="3" t="s">
        <v>2</v>
      </c>
      <c r="E97" s="3" t="s">
        <v>3</v>
      </c>
      <c r="F97" s="4" t="s">
        <v>4</v>
      </c>
      <c r="P97" s="34" t="s">
        <v>44</v>
      </c>
      <c r="Q97" s="34"/>
    </row>
    <row r="98" spans="1:19" ht="16" x14ac:dyDescent="0.2">
      <c r="A98" s="5" t="s">
        <v>20</v>
      </c>
      <c r="B98" s="5" t="s">
        <v>7</v>
      </c>
      <c r="C98" s="5" t="s">
        <v>13</v>
      </c>
      <c r="D98" s="5" t="s">
        <v>14</v>
      </c>
      <c r="E98" s="5" t="b">
        <v>0</v>
      </c>
      <c r="F98" s="5" t="s">
        <v>9</v>
      </c>
      <c r="J98" s="3" t="s">
        <v>0</v>
      </c>
      <c r="K98" s="3" t="s">
        <v>43</v>
      </c>
      <c r="L98" s="3" t="s">
        <v>37</v>
      </c>
      <c r="M98" s="3" t="s">
        <v>48</v>
      </c>
      <c r="N98" s="4" t="s">
        <v>35</v>
      </c>
      <c r="O98" s="4" t="s">
        <v>36</v>
      </c>
      <c r="P98" s="4" t="s">
        <v>38</v>
      </c>
      <c r="Q98" s="4" t="s">
        <v>39</v>
      </c>
      <c r="R98" s="3" t="s">
        <v>45</v>
      </c>
      <c r="S98" s="3" t="s">
        <v>42</v>
      </c>
    </row>
    <row r="99" spans="1:19" ht="15.75" customHeight="1" x14ac:dyDescent="0.2">
      <c r="A99" s="5" t="s">
        <v>24</v>
      </c>
      <c r="B99" s="5" t="s">
        <v>5</v>
      </c>
      <c r="C99" s="5" t="s">
        <v>13</v>
      </c>
      <c r="D99" s="5" t="s">
        <v>14</v>
      </c>
      <c r="E99" s="5" t="b">
        <v>0</v>
      </c>
      <c r="F99" s="5" t="s">
        <v>9</v>
      </c>
      <c r="J99" s="5" t="s">
        <v>5</v>
      </c>
      <c r="K99" s="5">
        <f>COUNTA(A98:A100)</f>
        <v>3</v>
      </c>
      <c r="L99" s="5">
        <f>COUNTIF(B98:B100,_xlfn.CONCAT("=",J99))</f>
        <v>1</v>
      </c>
      <c r="M99" s="9">
        <f>L99/K99</f>
        <v>0.33333333333333331</v>
      </c>
      <c r="N99" s="2">
        <f>COUNTIFS(F98:F100,"=yes",B98:B100,_xlfn.CONCAT("=",J99))</f>
        <v>1</v>
      </c>
      <c r="O99" s="2">
        <f>COUNTIFS(F98:F100,"=no",B98:B100,_xlfn.CONCAT("=",J99))</f>
        <v>0</v>
      </c>
      <c r="P99" s="2">
        <f>N99/L99</f>
        <v>1</v>
      </c>
      <c r="Q99" s="2">
        <f>O99/L99</f>
        <v>0</v>
      </c>
      <c r="R99" s="6">
        <f>-(P99*LOG(P99,2))</f>
        <v>0</v>
      </c>
      <c r="S99" s="42">
        <f>R75-SUMPRODUCT(R99:R100,M99:M100)</f>
        <v>0</v>
      </c>
    </row>
    <row r="100" spans="1:19" ht="15.75" customHeight="1" x14ac:dyDescent="0.2">
      <c r="A100" s="5" t="s">
        <v>25</v>
      </c>
      <c r="B100" s="5" t="s">
        <v>7</v>
      </c>
      <c r="C100" s="5" t="s">
        <v>10</v>
      </c>
      <c r="D100" s="5" t="s">
        <v>14</v>
      </c>
      <c r="E100" s="5" t="b">
        <v>0</v>
      </c>
      <c r="F100" s="5" t="s">
        <v>9</v>
      </c>
      <c r="J100" s="5" t="s">
        <v>7</v>
      </c>
      <c r="K100" s="5">
        <f>COUNTA(A98:A100)</f>
        <v>3</v>
      </c>
      <c r="L100" s="5">
        <f>COUNTIF(B98:B100,_xlfn.CONCAT("=",J100))</f>
        <v>2</v>
      </c>
      <c r="M100" s="9">
        <f>L100/K100</f>
        <v>0.66666666666666663</v>
      </c>
      <c r="N100" s="2">
        <f>COUNTIFS(F98:F100,"=yes",B98:B100,_xlfn.CONCAT("=",J100))</f>
        <v>2</v>
      </c>
      <c r="O100" s="2">
        <f>COUNTIFS(F98:F100,"=no",B98:B100,_xlfn.CONCAT("=",J100))</f>
        <v>0</v>
      </c>
      <c r="P100" s="2">
        <f>N100/L100</f>
        <v>1</v>
      </c>
      <c r="Q100" s="2">
        <f>O100/L100</f>
        <v>0</v>
      </c>
      <c r="R100" s="6">
        <f>-(P100*LOG(P100,2))</f>
        <v>0</v>
      </c>
      <c r="S100" s="44"/>
    </row>
    <row r="102" spans="1:19" x14ac:dyDescent="0.2">
      <c r="P102" s="34" t="s">
        <v>44</v>
      </c>
      <c r="Q102" s="34"/>
    </row>
    <row r="103" spans="1:19" ht="16" x14ac:dyDescent="0.2">
      <c r="J103" s="3" t="s">
        <v>1</v>
      </c>
      <c r="K103" s="3" t="s">
        <v>43</v>
      </c>
      <c r="L103" s="3" t="s">
        <v>37</v>
      </c>
      <c r="M103" s="3" t="s">
        <v>48</v>
      </c>
      <c r="N103" s="4" t="s">
        <v>35</v>
      </c>
      <c r="O103" s="4" t="s">
        <v>36</v>
      </c>
      <c r="P103" s="4" t="s">
        <v>38</v>
      </c>
      <c r="Q103" s="4" t="s">
        <v>39</v>
      </c>
      <c r="R103" s="3" t="s">
        <v>45</v>
      </c>
      <c r="S103" s="16" t="s">
        <v>42</v>
      </c>
    </row>
    <row r="104" spans="1:19" ht="15.75" customHeight="1" x14ac:dyDescent="0.2">
      <c r="J104" s="5" t="s">
        <v>10</v>
      </c>
      <c r="K104" s="5">
        <f>COUNTA(A98:A100)</f>
        <v>3</v>
      </c>
      <c r="L104" s="5">
        <f>COUNTIF(C98:C100,_xlfn.CONCAT("=",J104))</f>
        <v>1</v>
      </c>
      <c r="M104" s="9">
        <f>L104/K104</f>
        <v>0.33333333333333331</v>
      </c>
      <c r="N104" s="2">
        <f>COUNTIFS(F98:F100,"=yes",C98:C100,_xlfn.CONCAT("=",J104))</f>
        <v>1</v>
      </c>
      <c r="O104" s="2">
        <f>COUNTIFS(F98:F100,"=no",C98:C100,_xlfn.CONCAT("=",J104))</f>
        <v>0</v>
      </c>
      <c r="P104" s="2">
        <f>N104/L104</f>
        <v>1</v>
      </c>
      <c r="Q104" s="2">
        <f>O104/L104</f>
        <v>0</v>
      </c>
      <c r="R104" s="6">
        <f>-(P104*LOG(P104,2))</f>
        <v>0</v>
      </c>
      <c r="S104" s="35">
        <f>R75-SUMPRODUCT(R104:R105,M104:M105)</f>
        <v>0</v>
      </c>
    </row>
    <row r="105" spans="1:19" ht="15.75" customHeight="1" x14ac:dyDescent="0.2">
      <c r="J105" s="5" t="s">
        <v>13</v>
      </c>
      <c r="K105" s="5">
        <f>COUNTA(A98:A100)</f>
        <v>3</v>
      </c>
      <c r="L105" s="5">
        <f>COUNTIF(C98:C100,_xlfn.CONCAT("=",J105))</f>
        <v>2</v>
      </c>
      <c r="M105" s="9">
        <f>L105/K105</f>
        <v>0.66666666666666663</v>
      </c>
      <c r="N105" s="2">
        <f>COUNTIFS(F98:F100,"=yes",C98:C100,_xlfn.CONCAT("=",J105))</f>
        <v>2</v>
      </c>
      <c r="O105" s="2">
        <f>COUNTIFS(F98:F100,"=no",C98:C100,_xlfn.CONCAT("=",J105))</f>
        <v>0</v>
      </c>
      <c r="P105" s="2">
        <f>N105/L105</f>
        <v>1</v>
      </c>
      <c r="Q105" s="2">
        <f>O105/L105</f>
        <v>0</v>
      </c>
      <c r="R105" s="6">
        <f>-(P105*LOG(P105,2))</f>
        <v>0</v>
      </c>
      <c r="S105" s="36"/>
    </row>
  </sheetData>
  <mergeCells count="28">
    <mergeCell ref="P24:Q24"/>
    <mergeCell ref="P8:Q8"/>
    <mergeCell ref="P12:Q12"/>
    <mergeCell ref="S14:S15"/>
    <mergeCell ref="P18:Q18"/>
    <mergeCell ref="S20:S21"/>
    <mergeCell ref="S26:S27"/>
    <mergeCell ref="P30:Q30"/>
    <mergeCell ref="S32:S33"/>
    <mergeCell ref="P38:Q38"/>
    <mergeCell ref="P62:Q62"/>
    <mergeCell ref="S40:S41"/>
    <mergeCell ref="P43:Q43"/>
    <mergeCell ref="P47:Q47"/>
    <mergeCell ref="S49:S50"/>
    <mergeCell ref="S64:S65"/>
    <mergeCell ref="S99:S100"/>
    <mergeCell ref="P102:Q102"/>
    <mergeCell ref="S104:S105"/>
    <mergeCell ref="P67:Q67"/>
    <mergeCell ref="P73:Q73"/>
    <mergeCell ref="S69:S70"/>
    <mergeCell ref="S75:S76"/>
    <mergeCell ref="P84:Q84"/>
    <mergeCell ref="S86:S87"/>
    <mergeCell ref="P89:Q89"/>
    <mergeCell ref="S91:S92"/>
    <mergeCell ref="P97:Q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ID3</vt:lpstr>
      <vt:lpstr>Gini</vt:lpstr>
      <vt:lpstr>Entropia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2025-02-22T15:05:10Z</dcterms:modified>
</cp:coreProperties>
</file>