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3"/>
  <workbookPr/>
  <mc:AlternateContent xmlns:mc="http://schemas.openxmlformats.org/markup-compatibility/2006">
    <mc:Choice Requires="x15">
      <x15ac:absPath xmlns:x15ac="http://schemas.microsoft.com/office/spreadsheetml/2010/11/ac" url="B:\PT. CIWIPAINT INDONESIA\"/>
    </mc:Choice>
  </mc:AlternateContent>
  <xr:revisionPtr revIDLastSave="4844" documentId="11_11335CDFC122F036D7115F586F52F27C9A209F06" xr6:coauthVersionLast="45" xr6:coauthVersionMax="45" xr10:uidLastSave="{4AE69571-0007-4E09-BDE1-3A4EC978CF26}"/>
  <bookViews>
    <workbookView xWindow="0" yWindow="0" windowWidth="20490" windowHeight="7755" xr2:uid="{00000000-000D-0000-FFFF-FFFF00000000}"/>
  </bookViews>
  <sheets>
    <sheet name="Rekap Viskositas" sheetId="11" r:id="rId1"/>
    <sheet name="FORMULASI" sheetId="8" r:id="rId2"/>
    <sheet name="07 September 2020" sheetId="1" r:id="rId3"/>
    <sheet name="8 -9 September 2020" sheetId="2" r:id="rId4"/>
    <sheet name="10-11 September 2020" sheetId="3" r:id="rId5"/>
    <sheet name="14-15 September 2020" sheetId="4" r:id="rId6"/>
    <sheet name="16-17 September 2020" sheetId="5" r:id="rId7"/>
    <sheet name="18 September 2020" sheetId="6" r:id="rId8"/>
    <sheet name="21-22 September 2020" sheetId="7" r:id="rId9"/>
    <sheet name="23 September 2020" sheetId="9" r:id="rId10"/>
    <sheet name="24 September 2020" sheetId="10" r:id="rId11"/>
    <sheet name="25 September 2020" sheetId="12" r:id="rId12"/>
    <sheet name="28 September 2020" sheetId="14" r:id="rId13"/>
    <sheet name="29 September 2020" sheetId="15" r:id="rId14"/>
    <sheet name="30 September 2020" sheetId="16" r:id="rId15"/>
    <sheet name="01 - 02 Oktober 2020" sheetId="17" r:id="rId16"/>
    <sheet name="05 Oktober 2020" sheetId="18" r:id="rId17"/>
    <sheet name="06 Oktober 2020" sheetId="20" r:id="rId18"/>
    <sheet name="07 - 08 Oktober 2020" sheetId="19" r:id="rId19"/>
    <sheet name="09 Oktober 2020" sheetId="21" r:id="rId2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9" l="1"/>
  <c r="H86" i="19"/>
  <c r="H98" i="19"/>
  <c r="H78" i="19"/>
  <c r="H76" i="19"/>
  <c r="H55" i="20"/>
  <c r="H51" i="20"/>
  <c r="AN77" i="11"/>
  <c r="AO124" i="11"/>
  <c r="AO123" i="11"/>
  <c r="AO122" i="11"/>
  <c r="AO121" i="11"/>
  <c r="AO120" i="11"/>
  <c r="AO119" i="11"/>
  <c r="AO118" i="11"/>
  <c r="AO117" i="11"/>
  <c r="AO116" i="11"/>
  <c r="AO115" i="11"/>
  <c r="AO114" i="11"/>
  <c r="AO113" i="11"/>
  <c r="AN118" i="11"/>
  <c r="AN117" i="11"/>
  <c r="AN114" i="11"/>
  <c r="AN113" i="11"/>
  <c r="AO112" i="11"/>
  <c r="AO111" i="11"/>
  <c r="AO110" i="11"/>
  <c r="AO109" i="11"/>
  <c r="AO106" i="11"/>
  <c r="AO105" i="11"/>
  <c r="AO104" i="11"/>
  <c r="AO103" i="11"/>
  <c r="AO102" i="11"/>
  <c r="AO101" i="11"/>
  <c r="AN112" i="11"/>
  <c r="AN111" i="11"/>
  <c r="AN110" i="11"/>
  <c r="AN109" i="11"/>
  <c r="AN108" i="11"/>
  <c r="AN107" i="11"/>
  <c r="AN106" i="11"/>
  <c r="AN105" i="11"/>
  <c r="AN104" i="11"/>
  <c r="AN103" i="11"/>
  <c r="AN102" i="11"/>
  <c r="AN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N94" i="11"/>
  <c r="AN93" i="11"/>
  <c r="AN92" i="11"/>
  <c r="AN91" i="11"/>
  <c r="AN90" i="11"/>
  <c r="AN89" i="11"/>
  <c r="AN88" i="11"/>
  <c r="AN87" i="11"/>
  <c r="AO85" i="11"/>
  <c r="AO84" i="11"/>
  <c r="AO83" i="11"/>
  <c r="AO82" i="11"/>
  <c r="AO81" i="11"/>
  <c r="AO86" i="11"/>
  <c r="AN86" i="11"/>
  <c r="AO80" i="11"/>
  <c r="AN80" i="11"/>
  <c r="AO79" i="11"/>
  <c r="AN79" i="11"/>
  <c r="AG118" i="11"/>
  <c r="AG119" i="11"/>
  <c r="AG120" i="11"/>
  <c r="AG121" i="11"/>
  <c r="AG122" i="11"/>
  <c r="AG123" i="11"/>
  <c r="AG124" i="11"/>
  <c r="AG116" i="11"/>
  <c r="AG113" i="11"/>
  <c r="AG114" i="11"/>
  <c r="AG115" i="11"/>
  <c r="AG117" i="11"/>
  <c r="AG107" i="11"/>
  <c r="AG108" i="11"/>
  <c r="AG109" i="11"/>
  <c r="AG110" i="11"/>
  <c r="AG111" i="11"/>
  <c r="AG112" i="11"/>
  <c r="AG106" i="11"/>
  <c r="AG102" i="11"/>
  <c r="AG103" i="11"/>
  <c r="AG104" i="11"/>
  <c r="AG105" i="11"/>
  <c r="AG101" i="11"/>
  <c r="AG79" i="11" l="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N78" i="11"/>
  <c r="AN76" i="11"/>
  <c r="AN74" i="11"/>
  <c r="AN70" i="11"/>
  <c r="AN64" i="11" l="1"/>
  <c r="AN63" i="11"/>
  <c r="AN62" i="11"/>
  <c r="AN61" i="11"/>
  <c r="AN60" i="11"/>
  <c r="AN59" i="11"/>
  <c r="AN58" i="11"/>
  <c r="AN57" i="11"/>
  <c r="AO78" i="11"/>
  <c r="AO77" i="11"/>
  <c r="AO76" i="11"/>
  <c r="AO75" i="11"/>
  <c r="AO74" i="11"/>
  <c r="AO73" i="11"/>
  <c r="AO72" i="11"/>
  <c r="AO71" i="11"/>
  <c r="AO70" i="11"/>
  <c r="AO69" i="11"/>
  <c r="AN69" i="11"/>
  <c r="AO68" i="11"/>
  <c r="AN68" i="11"/>
  <c r="AO67" i="11"/>
  <c r="AN67" i="11"/>
  <c r="AO66" i="11"/>
  <c r="AN66" i="11"/>
  <c r="AO65" i="11"/>
  <c r="AN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65" i="11" l="1"/>
  <c r="AO64" i="11" l="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N52" i="11"/>
  <c r="AO51" i="11"/>
  <c r="AN51" i="11"/>
  <c r="AO50" i="11"/>
  <c r="AN50" i="11"/>
  <c r="AO49" i="11"/>
  <c r="AN49" i="11"/>
  <c r="AO48" i="11"/>
  <c r="AO47" i="11"/>
  <c r="AN48" i="11"/>
  <c r="AN47" i="11"/>
  <c r="AG57" i="11"/>
  <c r="AG58" i="11"/>
  <c r="AG59" i="11"/>
  <c r="AG60" i="11"/>
  <c r="AG61" i="11"/>
  <c r="AG62" i="11"/>
  <c r="AG63" i="11"/>
  <c r="AG64" i="11"/>
  <c r="AG47" i="11"/>
  <c r="AG48" i="11"/>
  <c r="AG49" i="11"/>
  <c r="AG50" i="11"/>
  <c r="AG51" i="11"/>
  <c r="AG52" i="11"/>
  <c r="AG53" i="11"/>
  <c r="AG54" i="11"/>
  <c r="AG55" i="11"/>
  <c r="AG56" i="11"/>
  <c r="AO46" i="11"/>
  <c r="AO45" i="11"/>
  <c r="AO44" i="11"/>
  <c r="AO43" i="11"/>
  <c r="AO42" i="11"/>
  <c r="AO41" i="11"/>
  <c r="AO40" i="11"/>
  <c r="AO39" i="11"/>
  <c r="AN46" i="11"/>
  <c r="AN45" i="11"/>
  <c r="AN44" i="11"/>
  <c r="AN43" i="11"/>
  <c r="AN42" i="11"/>
  <c r="AN41" i="11"/>
  <c r="AN40" i="11"/>
  <c r="AN39" i="11"/>
  <c r="AO38" i="11"/>
  <c r="AO37" i="11"/>
  <c r="AO36" i="11"/>
  <c r="AO35" i="11"/>
  <c r="AO34" i="11"/>
  <c r="AN34" i="11"/>
  <c r="AO33" i="11"/>
  <c r="AN33" i="11"/>
  <c r="AO32" i="11"/>
  <c r="AN32" i="11"/>
  <c r="AO31" i="11"/>
  <c r="AN31" i="11"/>
  <c r="AO30" i="11"/>
  <c r="AN30" i="11"/>
  <c r="AO27" i="11" l="1"/>
  <c r="AO26" i="11"/>
  <c r="AO25" i="11"/>
  <c r="AO28" i="11"/>
  <c r="AO29" i="11"/>
  <c r="AN29" i="11"/>
  <c r="AN28" i="11"/>
  <c r="AN27" i="11"/>
  <c r="AN26" i="11"/>
  <c r="AN25" i="11"/>
  <c r="AN24" i="11"/>
  <c r="AN23" i="11"/>
  <c r="AO22" i="11"/>
  <c r="AO21" i="11"/>
  <c r="AO20" i="11"/>
  <c r="AO19" i="11"/>
  <c r="AO18" i="11"/>
  <c r="AN22" i="11"/>
  <c r="AN21" i="11"/>
  <c r="AN20" i="11"/>
  <c r="AN19" i="11"/>
  <c r="AN18" i="11"/>
  <c r="AO17" i="11"/>
  <c r="AO16" i="11"/>
  <c r="AO15" i="11"/>
  <c r="AO14" i="11"/>
  <c r="AN17" i="11"/>
  <c r="AN16" i="11"/>
  <c r="AN15" i="11"/>
  <c r="AN14" i="11"/>
  <c r="AO13" i="11"/>
  <c r="AO12" i="11"/>
  <c r="AN13" i="11"/>
  <c r="AN12" i="11"/>
  <c r="AO11" i="11"/>
  <c r="AO10" i="11"/>
  <c r="AO9" i="11"/>
  <c r="AO8" i="11"/>
  <c r="AO7" i="11"/>
  <c r="AO6" i="11"/>
  <c r="AO5" i="11"/>
  <c r="AO4" i="11"/>
  <c r="AN11" i="11"/>
  <c r="AN10" i="11"/>
  <c r="AN9" i="11"/>
  <c r="AN8" i="11"/>
  <c r="AN7" i="11"/>
  <c r="AN6" i="11"/>
  <c r="AN5" i="11"/>
  <c r="AN4" i="11"/>
  <c r="AG45" i="11" l="1"/>
  <c r="AG46" i="11"/>
  <c r="AG41" i="11"/>
  <c r="AG42" i="11"/>
  <c r="AG43" i="11"/>
  <c r="AG4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" i="11"/>
  <c r="M11" i="9" l="1"/>
  <c r="G11" i="9"/>
  <c r="J11" i="9"/>
</calcChain>
</file>

<file path=xl/sharedStrings.xml><?xml version="1.0" encoding="utf-8"?>
<sst xmlns="http://schemas.openxmlformats.org/spreadsheetml/2006/main" count="2623" uniqueCount="1082">
  <si>
    <t>KOMPOSISI %</t>
  </si>
  <si>
    <t>Hasil Pengukuran</t>
  </si>
  <si>
    <t>No</t>
  </si>
  <si>
    <t>Tanggal</t>
  </si>
  <si>
    <t>Entry</t>
  </si>
  <si>
    <t>Formerly Genlube 135 (TR210)</t>
  </si>
  <si>
    <t>Formerly Genlube 0831</t>
  </si>
  <si>
    <t xml:space="preserve">Triester </t>
  </si>
  <si>
    <t>Croda 3970</t>
  </si>
  <si>
    <t>CV 1103</t>
  </si>
  <si>
    <t>C050 C80</t>
  </si>
  <si>
    <t>Cosco S4</t>
  </si>
  <si>
    <t>Cosco S6</t>
  </si>
  <si>
    <t>Cosco S8</t>
  </si>
  <si>
    <t>Genvis SPMA 20/5 - 41.5%</t>
  </si>
  <si>
    <t>Genvis SPAMA 3</t>
  </si>
  <si>
    <t>GENVIS VM-HV</t>
  </si>
  <si>
    <t>GENVIS SPAMA 52</t>
  </si>
  <si>
    <t>GENVIS SPAMA 41</t>
  </si>
  <si>
    <t>Pnolube (Palm Ester 3970)</t>
  </si>
  <si>
    <t>PAMA 52%</t>
  </si>
  <si>
    <t>PAMA 62%-Z1</t>
  </si>
  <si>
    <t>SPAMA 52%</t>
  </si>
  <si>
    <t>SPAMA 20/5 - 41,5%</t>
  </si>
  <si>
    <t>VM -  NMM (HV)</t>
  </si>
  <si>
    <t>VM - SPAMA 52%</t>
  </si>
  <si>
    <t>Lucant HC 600</t>
  </si>
  <si>
    <t>Lubrizol VL 9101F</t>
  </si>
  <si>
    <t>FC 9250</t>
  </si>
  <si>
    <t>FC 9270</t>
  </si>
  <si>
    <t>WN 1014</t>
  </si>
  <si>
    <t>WN 2018</t>
  </si>
  <si>
    <t>WN 9014</t>
  </si>
  <si>
    <t>PV 1510</t>
  </si>
  <si>
    <t>Total</t>
  </si>
  <si>
    <t>KV 40</t>
  </si>
  <si>
    <t>KV 100</t>
  </si>
  <si>
    <t>Vi</t>
  </si>
  <si>
    <t>HTHS</t>
  </si>
  <si>
    <t>CCS</t>
  </si>
  <si>
    <t>Pour Point</t>
  </si>
  <si>
    <t>Noack</t>
  </si>
  <si>
    <t>4 Ball (WSD/Coef Friction</t>
  </si>
  <si>
    <t>07 September 2020</t>
  </si>
  <si>
    <t>5W30 - F2</t>
  </si>
  <si>
    <t>10W30 - F2</t>
  </si>
  <si>
    <t>5W40 - F2</t>
  </si>
  <si>
    <t>10W40 - F2</t>
  </si>
  <si>
    <t>08 September 2020</t>
  </si>
  <si>
    <t>10W30 - F3</t>
  </si>
  <si>
    <t>10W40 - F3</t>
  </si>
  <si>
    <t>10W30 - F4</t>
  </si>
  <si>
    <t>10W40 - F4</t>
  </si>
  <si>
    <t>11 September 2020</t>
  </si>
  <si>
    <t>10W30 (VM-HV = 6%)</t>
  </si>
  <si>
    <t>10W40 (VM-HV = 8%)</t>
  </si>
  <si>
    <t>15 September 2020</t>
  </si>
  <si>
    <t>10W30 (Gvis SPMA 20/5 - 41,5% = 4,5%)</t>
  </si>
  <si>
    <t>10W40 (Gvis SPMA 20/5 - 41,5% = 6%)</t>
  </si>
  <si>
    <t>10W30 (Gvis SPMA 20/5 - 41,5% = 5,5%)</t>
  </si>
  <si>
    <t>10W40 (Gvis SPMA 20/5 - 41,5% = 7%)</t>
  </si>
  <si>
    <t>16 September 2020</t>
  </si>
  <si>
    <t>SAE 10W30 (PAMA 62%-Z1 = 4%)</t>
  </si>
  <si>
    <t>SAE 10W30 (PAMA 62%-Z1 = 5%)</t>
  </si>
  <si>
    <t>SAE 10W40 (PAMA 62%-Z1 = 6%)</t>
  </si>
  <si>
    <t>SAE10W40 (PAMA 62%-Z1 = 7%)</t>
  </si>
  <si>
    <t>SAE 10W30 (Gvis SPMA 20/5-41,5% = 6%)</t>
  </si>
  <si>
    <t>18 September 2020</t>
  </si>
  <si>
    <t>Blend Oil S8-Ester (PAMA 62%-Z1 = 8%)</t>
  </si>
  <si>
    <t>-</t>
  </si>
  <si>
    <t>Blend Oil S8-Ester (PAMA 62%-Z1 = 9%)</t>
  </si>
  <si>
    <t>21 September 2020</t>
  </si>
  <si>
    <t>SAE 10W30 - R2 (SPAMA 52% = 5%)</t>
  </si>
  <si>
    <t>SAE 10W30 - R2 (SPAMA 52% = 6%)</t>
  </si>
  <si>
    <t>SAE 10W40 (PAMA 52% = 8%)</t>
  </si>
  <si>
    <t>SAE 10W40 (PAMA 22%-Z1 = 10%)</t>
  </si>
  <si>
    <t>SAE 10W40 (VM-HV = 8%)</t>
  </si>
  <si>
    <t>23 September 2020</t>
  </si>
  <si>
    <t>TRL - SAE 10W30 - JASO MB/ API SN</t>
  </si>
  <si>
    <t>0.46 / 0.058137</t>
  </si>
  <si>
    <t>TRL - SAE 10W40 - JASO MB/ API SN</t>
  </si>
  <si>
    <t>0.43 / 0.054965</t>
  </si>
  <si>
    <t>TRL - SAE 10W40 - VM SPAMA</t>
  </si>
  <si>
    <t>24 September 2020</t>
  </si>
  <si>
    <t>TRL - SAE 10W40 - FT 01</t>
  </si>
  <si>
    <t>TRL - SAE 10W40 - FT02</t>
  </si>
  <si>
    <t>25 September 2020</t>
  </si>
  <si>
    <t>TRL - SAE 10W40 - JASO MB/API SN</t>
  </si>
  <si>
    <t>TRL - SAE 10W30 -  JASO MB/API SN</t>
  </si>
  <si>
    <t>C8 - SPAMA 52%</t>
  </si>
  <si>
    <t>28 September 2020</t>
  </si>
  <si>
    <t>TRL - 5W30 GF6/API-SP (Gasoline) R4 (01)</t>
  </si>
  <si>
    <t>TRL - 5W30 GF6/API-SP (Gasoline) R4 (02)</t>
  </si>
  <si>
    <t>TRL - 0W20 GF6/API-SP (Gasoline) R4 (01)</t>
  </si>
  <si>
    <t>TRL - 0W20 GF6/API-SP (Gasoline) R4 (02)</t>
  </si>
  <si>
    <t>TRL - 0W20 GF6/API-SP (Gasoline) R4 (03)</t>
  </si>
  <si>
    <t>TRL - 0W20 GF6/API-SP (Gasoline) R4 (04)</t>
  </si>
  <si>
    <t>TRL - 10W40 GF5/API-SN Plus (Gasoline) R4 (01)</t>
  </si>
  <si>
    <t>TRL - 10W40 GF5/API-SN Plus (Gasoline) R4 (02)</t>
  </si>
  <si>
    <t>29 September 2020</t>
  </si>
  <si>
    <t>Re Test 5W30-01 A</t>
  </si>
  <si>
    <t>Re Test 5W30-01 B</t>
  </si>
  <si>
    <t>Fine Tuning Formula 0W20-03 A</t>
  </si>
  <si>
    <t>Fine Tuning Formula 0W20-04 A</t>
  </si>
  <si>
    <t>Formula 1 Pak William</t>
  </si>
  <si>
    <t>Formula 2 Pak William</t>
  </si>
  <si>
    <t>SAE 10W30 - Lub A</t>
  </si>
  <si>
    <t>SAE 10W30 - Lub B</t>
  </si>
  <si>
    <t>TRL 10W40 - Lub A</t>
  </si>
  <si>
    <t>TRL 10W40 - Lub B</t>
  </si>
  <si>
    <t>30 September 2020</t>
  </si>
  <si>
    <t>0W20 - 03 (B)</t>
  </si>
  <si>
    <t>0W20 - 03 (C)</t>
  </si>
  <si>
    <t>Formula 3 Pak William</t>
  </si>
  <si>
    <t>Formula 4 Pak William</t>
  </si>
  <si>
    <t>0W20 - 03 (D)</t>
  </si>
  <si>
    <t>0W20 - 03 (E)</t>
  </si>
  <si>
    <t>0W20 - 04 (B)</t>
  </si>
  <si>
    <t>Fine Tuning 5W30 - 01 B</t>
  </si>
  <si>
    <t>01 Oktober 2020</t>
  </si>
  <si>
    <t>F 540 - 01</t>
  </si>
  <si>
    <t>F 540 - 02</t>
  </si>
  <si>
    <t>F 540 - 03</t>
  </si>
  <si>
    <t>F 540 - 04</t>
  </si>
  <si>
    <t>02 Oktober 2020</t>
  </si>
  <si>
    <t>F 540 - 05</t>
  </si>
  <si>
    <t>F 540 - 06</t>
  </si>
  <si>
    <t>F 540 - 07</t>
  </si>
  <si>
    <t>F 540 - 08</t>
  </si>
  <si>
    <t>F 540 - 09</t>
  </si>
  <si>
    <t>F 540 - 10</t>
  </si>
  <si>
    <t>F 540 - 11</t>
  </si>
  <si>
    <t>F 540 - 12</t>
  </si>
  <si>
    <t>10W40 - 02 A</t>
  </si>
  <si>
    <t>05 Oktober 2020</t>
  </si>
  <si>
    <t>F 540 - 13</t>
  </si>
  <si>
    <t>F 540 - 14</t>
  </si>
  <si>
    <t>0W20 - 05</t>
  </si>
  <si>
    <t>0W20 - 06</t>
  </si>
  <si>
    <t>0W20 - 07</t>
  </si>
  <si>
    <t>0W20 - 08</t>
  </si>
  <si>
    <t>0W20 - 05 A</t>
  </si>
  <si>
    <t>0W20 - 05 B</t>
  </si>
  <si>
    <t>06 Oktober 2020</t>
  </si>
  <si>
    <t>0W20 - 05 C</t>
  </si>
  <si>
    <t>0W20 - 05 D</t>
  </si>
  <si>
    <t xml:space="preserve">TRL 10W30 - Improve 1 </t>
  </si>
  <si>
    <t>F 540 - 15</t>
  </si>
  <si>
    <t>F 540 - 16</t>
  </si>
  <si>
    <t>F 540 - 17</t>
  </si>
  <si>
    <t>F 540 - 18</t>
  </si>
  <si>
    <t>Genvis SPAMA (20/5) 52%</t>
  </si>
  <si>
    <t>T 45</t>
  </si>
  <si>
    <t>T 410</t>
  </si>
  <si>
    <t>T 65</t>
  </si>
  <si>
    <t>T 610</t>
  </si>
  <si>
    <t>T 85</t>
  </si>
  <si>
    <t>T 810</t>
  </si>
  <si>
    <t>07 Oktober 2020</t>
  </si>
  <si>
    <t>TRL SAE 5W30 GF6 / API-SP</t>
  </si>
  <si>
    <t>TRL 10W40 GF5 / API-SN PLUS</t>
  </si>
  <si>
    <t>F 540 - 19</t>
  </si>
  <si>
    <t>F 540 - 20</t>
  </si>
  <si>
    <t>TRL 5W30 Improve 1</t>
  </si>
  <si>
    <t>TRL SAE 10W30 - JASO MB / API-SN [IMPROVEMENT]</t>
  </si>
  <si>
    <t>08 Oktober 2020</t>
  </si>
  <si>
    <t>F 540 - 21</t>
  </si>
  <si>
    <t>F 540 - 22</t>
  </si>
  <si>
    <t>F 540 - 23</t>
  </si>
  <si>
    <t>F 540 - 24</t>
  </si>
  <si>
    <t>F 540 - 25</t>
  </si>
  <si>
    <t>TRL SAE 5W30 Improve 2</t>
  </si>
  <si>
    <t>09 Oktober 2020</t>
  </si>
  <si>
    <t>F 540 - 26</t>
  </si>
  <si>
    <t>F 540 - 27</t>
  </si>
  <si>
    <t>F 540 - 28</t>
  </si>
  <si>
    <t>F 540 - 29</t>
  </si>
  <si>
    <t>TRL SAE 5W30 Improve 3</t>
  </si>
  <si>
    <t xml:space="preserve">VM NMM - HV </t>
  </si>
  <si>
    <t>H 45</t>
  </si>
  <si>
    <t>H 410</t>
  </si>
  <si>
    <t>H 65</t>
  </si>
  <si>
    <t>H 610</t>
  </si>
  <si>
    <t>H 85</t>
  </si>
  <si>
    <t>H 810</t>
  </si>
  <si>
    <t>R2 JASO MB / API SN - F = FINAL</t>
  </si>
  <si>
    <t>Item</t>
  </si>
  <si>
    <t>5W30-F1</t>
  </si>
  <si>
    <t>10W30-F1</t>
  </si>
  <si>
    <t>5W40-F1</t>
  </si>
  <si>
    <t>10W40-F1</t>
  </si>
  <si>
    <t xml:space="preserve">  </t>
  </si>
  <si>
    <t>20 = 61,54</t>
  </si>
  <si>
    <t>50 = 157,08</t>
  </si>
  <si>
    <t>15,05 = 48,30</t>
  </si>
  <si>
    <t>C0S0 C 80 (S6)</t>
  </si>
  <si>
    <t>59,05 = 181,69</t>
  </si>
  <si>
    <t>27,05 = 84,97</t>
  </si>
  <si>
    <t>60 = 192,51</t>
  </si>
  <si>
    <t>75,05 = 240,80</t>
  </si>
  <si>
    <t>Genlube 135</t>
  </si>
  <si>
    <t>10 = 30,77</t>
  </si>
  <si>
    <t>10 = 31,41</t>
  </si>
  <si>
    <t xml:space="preserve">10 = 32,08 </t>
  </si>
  <si>
    <t>10 = 32,09</t>
  </si>
  <si>
    <t>Additive SN</t>
  </si>
  <si>
    <t>8,45 = 26</t>
  </si>
  <si>
    <t>8,45 = 26,54</t>
  </si>
  <si>
    <t>8,45 = 27,11</t>
  </si>
  <si>
    <t>97,5 = 300 gr</t>
  </si>
  <si>
    <t>95,5 = 300 gr</t>
  </si>
  <si>
    <t>93,5 = 300 gr</t>
  </si>
  <si>
    <t>8,45 gr</t>
  </si>
  <si>
    <t>200 gr</t>
  </si>
  <si>
    <t>Formulasi R2</t>
  </si>
  <si>
    <t xml:space="preserve">Spesimen </t>
  </si>
  <si>
    <r>
      <t>Suhu 40</t>
    </r>
    <r>
      <rPr>
        <b/>
        <sz val="11"/>
        <color theme="1"/>
        <rFont val="Calibri"/>
        <family val="2"/>
      </rPr>
      <t>°C</t>
    </r>
  </si>
  <si>
    <r>
      <t>Suhu 100</t>
    </r>
    <r>
      <rPr>
        <b/>
        <sz val="11"/>
        <color theme="1"/>
        <rFont val="Calibri"/>
        <family val="2"/>
      </rPr>
      <t>°C</t>
    </r>
  </si>
  <si>
    <t>5W30-F2</t>
  </si>
  <si>
    <t>10W30-F2</t>
  </si>
  <si>
    <t>5W40-F2</t>
  </si>
  <si>
    <t>10W40-F2</t>
  </si>
  <si>
    <t>(1,2 mm / 11)</t>
  </si>
  <si>
    <t>(0,8 mm / 30)</t>
  </si>
  <si>
    <t>59,11 / 59,54</t>
  </si>
  <si>
    <t>9,15 / 9,13</t>
  </si>
  <si>
    <t>(413 Sec / 416 Sec)</t>
  </si>
  <si>
    <t>(279 Sec /278 Sec)</t>
  </si>
  <si>
    <t>56,80 / 56,82</t>
  </si>
  <si>
    <t>9,01 / 9,02</t>
  </si>
  <si>
    <t>(397 Sec / 397 Sec)</t>
  </si>
  <si>
    <t>(274 Sec / 275 Sec)</t>
  </si>
  <si>
    <t>Genvis SPAMA3</t>
  </si>
  <si>
    <t>64,42 / 64,36</t>
  </si>
  <si>
    <t>10,29 / 10,30</t>
  </si>
  <si>
    <t>(455 Sec / 450 Sec)</t>
  </si>
  <si>
    <t>(314 Sec / 314 Sec)</t>
  </si>
  <si>
    <t>66,49 / 66.12</t>
  </si>
  <si>
    <t>10,50 / 10,49</t>
  </si>
  <si>
    <t>(486 Sec / 463 Sec)</t>
  </si>
  <si>
    <t>(340 Sec / 319 Sec)</t>
  </si>
  <si>
    <t>5W30-F3</t>
  </si>
  <si>
    <t>10W30-F3</t>
  </si>
  <si>
    <t>5W40-F4</t>
  </si>
  <si>
    <t>10W40-F4</t>
  </si>
  <si>
    <t>10W40-A (SPAMA 3 = 6,5%)</t>
  </si>
  <si>
    <t>70,00 / 70,00</t>
  </si>
  <si>
    <t>11,21 / 11,22</t>
  </si>
  <si>
    <t>(449 Sec / 450 Sec)</t>
  </si>
  <si>
    <t>(341 Sec / 342 Sec)</t>
  </si>
  <si>
    <t>10W40-A (SPAMA 3 = 7%)</t>
  </si>
  <si>
    <t xml:space="preserve">73,61 / 73,63 </t>
  </si>
  <si>
    <t>10,58 / 10,59</t>
  </si>
  <si>
    <t>(490 Sec / 420 Sec)</t>
  </si>
  <si>
    <t>(278 Sec / 277 Sec)</t>
  </si>
  <si>
    <t>5W30-A (SPAMA 3 = 2,5%)</t>
  </si>
  <si>
    <t>60,23 / 60,09</t>
  </si>
  <si>
    <t>9,12 / 9,10</t>
  </si>
  <si>
    <t>(412 Sec / 420 Sec)</t>
  </si>
  <si>
    <t>Formulasi R4</t>
  </si>
  <si>
    <t>5W30-B (SPAMA 3 = 3%)</t>
  </si>
  <si>
    <t>59,91 / 59,82</t>
  </si>
  <si>
    <t>9,47 / 9,47</t>
  </si>
  <si>
    <t>5W30-A</t>
  </si>
  <si>
    <t>5W30-B</t>
  </si>
  <si>
    <t>5W40-A</t>
  </si>
  <si>
    <t>10W40-B</t>
  </si>
  <si>
    <t>(423 Sec / 419 Sec)</t>
  </si>
  <si>
    <t>(289 Sec / 289 Sec)</t>
  </si>
  <si>
    <t>Blend 5W30 NA /R4-SP</t>
  </si>
  <si>
    <t xml:space="preserve">0W20-A </t>
  </si>
  <si>
    <t>54,94 / 54,97</t>
  </si>
  <si>
    <t>(384 Sec / 384 Sec)</t>
  </si>
  <si>
    <t>Blend 10W40 NA /R4-SN</t>
  </si>
  <si>
    <t>0W20-B</t>
  </si>
  <si>
    <t>52,48 / 52,73</t>
  </si>
  <si>
    <t>(367 Sec / 369 Sec)</t>
  </si>
  <si>
    <t>Blend 0W20 - NA/R4-SP</t>
  </si>
  <si>
    <t>C60</t>
  </si>
  <si>
    <t>0W20-A</t>
  </si>
  <si>
    <t>C80</t>
  </si>
  <si>
    <t>Blend 0W20-NA/R4-SP</t>
  </si>
  <si>
    <t>TRIESTER</t>
  </si>
  <si>
    <t>WN9014</t>
  </si>
  <si>
    <t>Blend 5W30 - NA/R4-SP</t>
  </si>
  <si>
    <t>Blend 10W40 - NA /R4-SN</t>
  </si>
  <si>
    <t>8 September 2020 - 9 September 2020</t>
  </si>
  <si>
    <t>56,69 / 56,75</t>
  </si>
  <si>
    <t>9,13 / 9,13</t>
  </si>
  <si>
    <t>(397 Sec / 390 Sec)</t>
  </si>
  <si>
    <t>(278 Sec /278 Sec)</t>
  </si>
  <si>
    <t>58,08 / 58,75</t>
  </si>
  <si>
    <t>(406 Sec / 405 Sec)</t>
  </si>
  <si>
    <t>(281 Sec / 281 Sec)</t>
  </si>
  <si>
    <t>68,06 / 68,02</t>
  </si>
  <si>
    <t>10,57 / 10,56</t>
  </si>
  <si>
    <t>(476 Sec / 477 Sec)</t>
  </si>
  <si>
    <t>(322 Sec / 322 Sec)</t>
  </si>
  <si>
    <t>70,17 / 70,03</t>
  </si>
  <si>
    <t>10,75 / 10,74</t>
  </si>
  <si>
    <t>(491 Sec / 490 Sec)</t>
  </si>
  <si>
    <t>(328 Sec / 327 Sec)</t>
  </si>
  <si>
    <t>10 September 2020 - 11 September 2020</t>
  </si>
  <si>
    <t>5W30 - BARIA</t>
  </si>
  <si>
    <t>64,89 / 64,92</t>
  </si>
  <si>
    <t>10,09 / 10,08</t>
  </si>
  <si>
    <t>(454 Sec / 454 Sec)</t>
  </si>
  <si>
    <t>(307 Sec / 307 Sec)</t>
  </si>
  <si>
    <t>10W30 - BARIA</t>
  </si>
  <si>
    <t>65,98 / 65,74</t>
  </si>
  <si>
    <t>10,68 / 10,68</t>
  </si>
  <si>
    <t>(462 Sec / 460 Sec)</t>
  </si>
  <si>
    <t>(325 Sec / 325 Sec)</t>
  </si>
  <si>
    <t>5W40 - BARIA</t>
  </si>
  <si>
    <t>81,59 / 81,55</t>
  </si>
  <si>
    <t>13,02 / 13,02</t>
  </si>
  <si>
    <t>(571 Sec / 571 Sec)</t>
  </si>
  <si>
    <t>10W40 - BARIA</t>
  </si>
  <si>
    <t>83,26 / 83,10</t>
  </si>
  <si>
    <t>13,22 / 13,23</t>
  </si>
  <si>
    <t>(583 Sec / 582 Sec)</t>
  </si>
  <si>
    <t>(403 Sec / 403 Sec)</t>
  </si>
  <si>
    <t>10W40 - F1 (TANPA SPMA)</t>
  </si>
  <si>
    <t>60,87 / 60,90</t>
  </si>
  <si>
    <t>(426 Sec / 426 Sec)</t>
  </si>
  <si>
    <t>(278 Sec / 278 Sec)</t>
  </si>
  <si>
    <t xml:space="preserve">10W30 - (VM - HV = 6%) </t>
  </si>
  <si>
    <t>68,57 / 68,51</t>
  </si>
  <si>
    <t>11,31 / 11,31</t>
  </si>
  <si>
    <t>(345 Sec / 345 Sec)</t>
  </si>
  <si>
    <t>VM-VMM (HV)</t>
  </si>
  <si>
    <t>10W40 - (VM - HV = 8%)</t>
  </si>
  <si>
    <t>87,62 / 87,35</t>
  </si>
  <si>
    <t>14,15 / 14,15</t>
  </si>
  <si>
    <t>(613 Sec / 611 Sec)</t>
  </si>
  <si>
    <t>(431 Sec / 431 Sec)</t>
  </si>
  <si>
    <t>14 September 2020 - 15 September 2020</t>
  </si>
  <si>
    <t>10W30</t>
  </si>
  <si>
    <t>10W40</t>
  </si>
  <si>
    <t>10W30 - (G.Vis SPAMA 20/5 - 41,5% = 4,5%)</t>
  </si>
  <si>
    <t>59,91 / 59,90</t>
  </si>
  <si>
    <t>10,69 / 10,71</t>
  </si>
  <si>
    <t>(419 Sec / 419 Sec)</t>
  </si>
  <si>
    <t>(326 Sec / 326 Sec)</t>
  </si>
  <si>
    <t>Genvis SPAMA 20/5-41,5%</t>
  </si>
  <si>
    <t>10W40 - (G.Vis SPAMA 20/5 - 41,5% = 6%)</t>
  </si>
  <si>
    <t>71,63 / 71,64</t>
  </si>
  <si>
    <t>11,38 / 11,40</t>
  </si>
  <si>
    <t>(501 Sec / 501 Sec)</t>
  </si>
  <si>
    <t>(347 Sec / 347 Sec)</t>
  </si>
  <si>
    <t>10W30 - (Genvis SPAMA 20/5 - 41,5% = 5,5%)</t>
  </si>
  <si>
    <t>61,09 / 61,09</t>
  </si>
  <si>
    <t>9,82 / 9,81</t>
  </si>
  <si>
    <t>(427 Sec / 427 Sec)</t>
  </si>
  <si>
    <t>(299 Sec / 299 Sec)</t>
  </si>
  <si>
    <t>10W40 - (Genvis SPAMA 20/5 - 41,5% = 7%)</t>
  </si>
  <si>
    <t>75,28 / 75,42</t>
  </si>
  <si>
    <t>11,65 / 11,64</t>
  </si>
  <si>
    <t>(527 Sec / 527 Sec)</t>
  </si>
  <si>
    <t>(355 Sec / 355 Sec)</t>
  </si>
  <si>
    <t>16 September 2020 - 17 September 2020</t>
  </si>
  <si>
    <t>SAE 10W30</t>
  </si>
  <si>
    <t>SAE 10W40</t>
  </si>
  <si>
    <t>10W30 - F1</t>
  </si>
  <si>
    <t>SAE 10W30 - (PAMA 62%-Z1 = 4%)</t>
  </si>
  <si>
    <t>59,34 / 59,24</t>
  </si>
  <si>
    <t>9,58 / 9,58</t>
  </si>
  <si>
    <t>10W40 - F1</t>
  </si>
  <si>
    <t>(415 Sec / 415 Sec)</t>
  </si>
  <si>
    <t>(292 Sec /292 Sec)</t>
  </si>
  <si>
    <t>PAMA 62% - Z1</t>
  </si>
  <si>
    <t>SAE 10W30 - (PAMA 62%-Z1 = 5%)</t>
  </si>
  <si>
    <t>59,24 / 59,27</t>
  </si>
  <si>
    <t>10,14 / 10,10</t>
  </si>
  <si>
    <t>(309 Sec / 308 Sec)</t>
  </si>
  <si>
    <t>SAE 10W40 - (PAMA 62%-Z1 = 6%)</t>
  </si>
  <si>
    <t>72,59 / 72,41</t>
  </si>
  <si>
    <t>11,52 / 11,50</t>
  </si>
  <si>
    <t>(508 Sec / 507 Sec)</t>
  </si>
  <si>
    <t>(351 Sec / 351 Sec)</t>
  </si>
  <si>
    <t>SAE 10W40 - (PAMA 62%-Z1 = 7%)</t>
  </si>
  <si>
    <t>73,25 / 73,02</t>
  </si>
  <si>
    <t>11,99 / 11,96</t>
  </si>
  <si>
    <t>(512 Sec / 511 Sec)</t>
  </si>
  <si>
    <t>(365 Sec / 364 Sec)</t>
  </si>
  <si>
    <t>SAE 10W40 - (G.Vis SPAMA 20/5-41% = 6,5%)</t>
  </si>
  <si>
    <t>65,91 / 65,85</t>
  </si>
  <si>
    <t>10,10 / 10,09</t>
  </si>
  <si>
    <t>(461 Sec / 461 Sec)</t>
  </si>
  <si>
    <t>Uji Cairan Genlube 135</t>
  </si>
  <si>
    <t>Viscositas</t>
  </si>
  <si>
    <t>KV 40 (2,00 mm)</t>
  </si>
  <si>
    <t>KV 100 (1,00 mm)</t>
  </si>
  <si>
    <t>340,26 / 340,59</t>
  </si>
  <si>
    <t>34,17 / 34,19</t>
  </si>
  <si>
    <t>Poor Point</t>
  </si>
  <si>
    <t>Hasil</t>
  </si>
  <si>
    <r>
      <t>(Prediksi -40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C)</t>
    </r>
  </si>
  <si>
    <r>
      <rPr>
        <sz val="11"/>
        <color theme="0"/>
        <rFont val="Calibri"/>
        <family val="2"/>
        <scheme val="minor"/>
      </rPr>
      <t>Minus</t>
    </r>
    <r>
      <rPr>
        <sz val="11"/>
        <color theme="1"/>
        <rFont val="Calibri"/>
        <family val="2"/>
        <charset val="1"/>
        <scheme val="minor"/>
      </rPr>
      <t xml:space="preserve"> -30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</si>
  <si>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Flash Point</t>
  </si>
  <si>
    <r>
      <t>(Prediksi 250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C)</t>
    </r>
  </si>
  <si>
    <r>
      <t>222,6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</si>
  <si>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(Prediksi 4%)</t>
  </si>
  <si>
    <t>Blend Oil S8 Ester</t>
  </si>
  <si>
    <t xml:space="preserve">Blend Oil S8-Ester - (PAMA 62%-Z1 = 8%) </t>
  </si>
  <si>
    <t>60,36 / 60,40</t>
  </si>
  <si>
    <t>(422 Sec / 423 Sec)</t>
  </si>
  <si>
    <t>Blend Oil S8-Ester - (PAMA 62%-Z1 = 9%)</t>
  </si>
  <si>
    <t>62,06 / 62,05</t>
  </si>
  <si>
    <t>(434 Sec / 434 Sec)</t>
  </si>
  <si>
    <t>Formulasi</t>
  </si>
  <si>
    <t>Spesimen No 1</t>
  </si>
  <si>
    <t>Spesimen No 2</t>
  </si>
  <si>
    <t>21 September 2020 - 22 September 2020</t>
  </si>
  <si>
    <t>SAE 10W30-R2</t>
  </si>
  <si>
    <t>Spesimen 1</t>
  </si>
  <si>
    <t>Spesimen 2</t>
  </si>
  <si>
    <t>SAE 10W30 - (SPAMA 52% = 5%)</t>
  </si>
  <si>
    <t>69,37 / 69,27</t>
  </si>
  <si>
    <t>10,83 / 10,84</t>
  </si>
  <si>
    <t>SPMA 52%</t>
  </si>
  <si>
    <t>(485 Sec / 484 Sec)</t>
  </si>
  <si>
    <t>(330 Sec /330 Sec)</t>
  </si>
  <si>
    <t>69,83 / 69,78</t>
  </si>
  <si>
    <t>10,66 / 10,64</t>
  </si>
  <si>
    <t>(488 Sec / 488 Sec)</t>
  </si>
  <si>
    <t>(325 Sec / 324 Sec)</t>
  </si>
  <si>
    <t>SAE 10W40-R2</t>
  </si>
  <si>
    <t>81,41 / 81,31</t>
  </si>
  <si>
    <t>12,26 / 12,24</t>
  </si>
  <si>
    <t>Spesimen 3</t>
  </si>
  <si>
    <t>Spesimen 4</t>
  </si>
  <si>
    <t>Spesimen 5</t>
  </si>
  <si>
    <t>(570 Sec / 569 Sec)</t>
  </si>
  <si>
    <t>(374 Sec / 373 Sec)</t>
  </si>
  <si>
    <t>88,83 / 88,11</t>
  </si>
  <si>
    <t>14,22 / 14,14</t>
  </si>
  <si>
    <t>(622 Sec / 621 Sec)</t>
  </si>
  <si>
    <t>(433 Sec / 431 Sec)</t>
  </si>
  <si>
    <t>VM-NMM (HV)</t>
  </si>
  <si>
    <t>84,24 / 88,19</t>
  </si>
  <si>
    <t>13,78 / 13,79</t>
  </si>
  <si>
    <t>(617 Sec / 617 Sec)</t>
  </si>
  <si>
    <t>(420 Sec / 420 Sec)</t>
  </si>
  <si>
    <t>Penggunaan CCS (22 September 2020)</t>
  </si>
  <si>
    <t>SAE 10W 40 - R2 (VM-HV=8%)</t>
  </si>
  <si>
    <t>Viscosity</t>
  </si>
  <si>
    <t>6016 mPa.S</t>
  </si>
  <si>
    <t>Temperatur</t>
  </si>
  <si>
    <r>
      <t>-25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</si>
  <si>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Speed</t>
  </si>
  <si>
    <t>137,4 R/m</t>
  </si>
  <si>
    <t>Penggunaan HTHS (22 September 2020)</t>
  </si>
  <si>
    <t>Test1</t>
  </si>
  <si>
    <r>
      <t>150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</si>
  <si>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Pressure</t>
  </si>
  <si>
    <t>2635,63 kPa</t>
  </si>
  <si>
    <t>Outlfow Time</t>
  </si>
  <si>
    <t>17,05 sec</t>
  </si>
  <si>
    <t>Shear Rate</t>
  </si>
  <si>
    <t>Viscosity Valve</t>
  </si>
  <si>
    <t>4,13076 mPa.s</t>
  </si>
  <si>
    <t>Test 2</t>
  </si>
  <si>
    <t>2535,63 kPa</t>
  </si>
  <si>
    <t>Outflow Time</t>
  </si>
  <si>
    <t>17,88 sec</t>
  </si>
  <si>
    <t>3,972 mPa.s</t>
  </si>
  <si>
    <r>
      <t>KV 40</t>
    </r>
    <r>
      <rPr>
        <b/>
        <sz val="11"/>
        <color theme="1"/>
        <rFont val="Calibri"/>
        <family val="2"/>
      </rPr>
      <t>°C</t>
    </r>
  </si>
  <si>
    <r>
      <t>KV 100</t>
    </r>
    <r>
      <rPr>
        <b/>
        <sz val="11"/>
        <color theme="1"/>
        <rFont val="Calibri"/>
        <family val="2"/>
      </rPr>
      <t>°C</t>
    </r>
  </si>
  <si>
    <t>TRL-SAE 10W30 - JASO MB/API-SN</t>
  </si>
  <si>
    <t>S8</t>
  </si>
  <si>
    <t>TRL-SAE 10W30-JASO MB/API-SN</t>
  </si>
  <si>
    <t>68,79 / 68,64</t>
  </si>
  <si>
    <t>10,80 / 10,80</t>
  </si>
  <si>
    <t>(481 Sec / 480 Sec)</t>
  </si>
  <si>
    <t>(329 Sec / 329 Sec)</t>
  </si>
  <si>
    <t>TRL-SAE 10W40-JASO MB/API-SN</t>
  </si>
  <si>
    <t>88,51 / 88,41</t>
  </si>
  <si>
    <t>15,26 / 15,28</t>
  </si>
  <si>
    <t>(619 Sec / 618 Sec)</t>
  </si>
  <si>
    <t>(465 Sec / 466 Sec)</t>
  </si>
  <si>
    <t>TRL-SAE 10W40- VM SPAMA</t>
  </si>
  <si>
    <t>75,80 / 75,68</t>
  </si>
  <si>
    <t>12,76 / 12,77</t>
  </si>
  <si>
    <t>Genvis SPMA 20/5 - 52%</t>
  </si>
  <si>
    <t>(530 Sec / 529 Sec)</t>
  </si>
  <si>
    <t>(388 Sec / 389 Sec)</t>
  </si>
  <si>
    <t>Cold Cranking Simulator</t>
  </si>
  <si>
    <t>4 Ball (WSD/Coef Friction)</t>
  </si>
  <si>
    <t>Loss Tester (Noack)</t>
  </si>
  <si>
    <r>
      <t>-29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</si>
  <si>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3,66 mPa.sec</t>
  </si>
  <si>
    <t>6130,86 mPa</t>
  </si>
  <si>
    <t>0,46 mm / 0,058137</t>
  </si>
  <si>
    <r>
      <t>-33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</rPr>
      <t>C</t>
    </r>
  </si>
  <si>
    <t>4,129 mPa.sec</t>
  </si>
  <si>
    <t>0,43 mm/ 0,054965</t>
  </si>
  <si>
    <t>3,943 mPa.sec</t>
  </si>
  <si>
    <t>TRL-SAE 10W40 - FT01</t>
  </si>
  <si>
    <t>TRL-SAE 10W40 - FT02</t>
  </si>
  <si>
    <t>36,87 gr</t>
  </si>
  <si>
    <t>37,02 gr</t>
  </si>
  <si>
    <t>TRL-SAE 10W40 - F01</t>
  </si>
  <si>
    <t>89,36 / 89,34</t>
  </si>
  <si>
    <t>14,28 / 14,28</t>
  </si>
  <si>
    <t>5 gr</t>
  </si>
  <si>
    <t>(625 Sec / 624 Sec)</t>
  </si>
  <si>
    <t>(435 Sec / 435 Sec)</t>
  </si>
  <si>
    <t>3,83 gr</t>
  </si>
  <si>
    <t>TRL-SAE 10W40 - F02</t>
  </si>
  <si>
    <t>86,71 / 86,52</t>
  </si>
  <si>
    <t>13,62 / 13,63</t>
  </si>
  <si>
    <t>0,30 gr</t>
  </si>
  <si>
    <t>(607 Sec / 605 Sec)</t>
  </si>
  <si>
    <t>(415 Sec / 416 Sec)</t>
  </si>
  <si>
    <t>0,10 gr</t>
  </si>
  <si>
    <t>3,90 gr</t>
  </si>
  <si>
    <t>3,75 gr</t>
  </si>
  <si>
    <t>50 gr</t>
  </si>
  <si>
    <t>TRL SAE - 10W40 - JASO MB / API-SN</t>
  </si>
  <si>
    <t>C80 SPMA 52% No.1</t>
  </si>
  <si>
    <t>C80 SPMA 52% No.4</t>
  </si>
  <si>
    <t>TRL-SAE 10W40 - JASO MB</t>
  </si>
  <si>
    <t>C80 = 45 gr</t>
  </si>
  <si>
    <t>C80 = 46 gr</t>
  </si>
  <si>
    <t>C8 = 45 gr - SPMA 52% = 5gr</t>
  </si>
  <si>
    <t>9,14 / 9,12</t>
  </si>
  <si>
    <t>73,75 gr</t>
  </si>
  <si>
    <t>SPMA 52% = 5 gr</t>
  </si>
  <si>
    <t>SPMA 52% = 4 gr</t>
  </si>
  <si>
    <t>(279 Sec / 278 Sec)</t>
  </si>
  <si>
    <t>10 gr</t>
  </si>
  <si>
    <t>Total = 50 gr</t>
  </si>
  <si>
    <t>TRL-SAE 10W40 - JASO MB / API SN</t>
  </si>
  <si>
    <t>14,33 / 14,33</t>
  </si>
  <si>
    <t>7,65 gr</t>
  </si>
  <si>
    <t>(410 Sec / 410 Sec)</t>
  </si>
  <si>
    <t>0,6 gr</t>
  </si>
  <si>
    <t>TRL-SAE 10W30 - JASO MB / API SN</t>
  </si>
  <si>
    <t>10,26 / 10,26</t>
  </si>
  <si>
    <t>0,2 gr</t>
  </si>
  <si>
    <t>7,8 gr</t>
  </si>
  <si>
    <t>C8 = 46 gr - SPMA 52% = 4gr</t>
  </si>
  <si>
    <t>8,67 / 8,65</t>
  </si>
  <si>
    <t>100 gr</t>
  </si>
  <si>
    <t>(264 Sec / 263 Sec)</t>
  </si>
  <si>
    <t>TRL SAE - 10W30 - JASO MB / API-SN</t>
  </si>
  <si>
    <t>TRL-SAE 10W30 - JASO MB</t>
  </si>
  <si>
    <t>76,55 gr</t>
  </si>
  <si>
    <t>VM-SPMA 52%</t>
  </si>
  <si>
    <t>TRL 0W20 GF6 / API-SP (GASOLINE) R4</t>
  </si>
  <si>
    <t>1,2 mm (11/84/109/115)</t>
  </si>
  <si>
    <t>0,8 mm (30/44/53)</t>
  </si>
  <si>
    <t>RAW Material</t>
  </si>
  <si>
    <t>0W20-01</t>
  </si>
  <si>
    <t>0W20-02</t>
  </si>
  <si>
    <t>0W20-03</t>
  </si>
  <si>
    <t>0W20-04</t>
  </si>
  <si>
    <t>TRL 10W40 GF5 / API-SN Plus R4 (10W40-01) Kv40:11 Kv100:53</t>
  </si>
  <si>
    <t>81,97 / 81,30</t>
  </si>
  <si>
    <t>11,72 / 11,70</t>
  </si>
  <si>
    <t>60 gr</t>
  </si>
  <si>
    <t>(645 Sec / 640 Sec)</t>
  </si>
  <si>
    <t>(335 Sec / 334 Sec)</t>
  </si>
  <si>
    <t>S6</t>
  </si>
  <si>
    <t>17,72 gr</t>
  </si>
  <si>
    <t>77,72 gr</t>
  </si>
  <si>
    <t>18,22 gr</t>
  </si>
  <si>
    <t>78,22 gr</t>
  </si>
  <si>
    <t>TRL 10W40 GF5 / API-SN Plus R4 (10W40-02) Kv40:84 Kv100:30</t>
  </si>
  <si>
    <t>79,08 / 79,08</t>
  </si>
  <si>
    <t>13,62 / 13,61</t>
  </si>
  <si>
    <t>Triester</t>
  </si>
  <si>
    <t>(681 Sec / 681 Sec)</t>
  </si>
  <si>
    <t>8,28 gr</t>
  </si>
  <si>
    <t>TRL 0W20 GF6 / API-SP R4 (0W20-01) Kv40:109 Kv100:30</t>
  </si>
  <si>
    <t>63,08 / 63,08</t>
  </si>
  <si>
    <t>12,32 / 12,08</t>
  </si>
  <si>
    <t>4 gr</t>
  </si>
  <si>
    <t>3,5 gr</t>
  </si>
  <si>
    <t>(543 Sec / 543 Sec)</t>
  </si>
  <si>
    <t>(352 Sec / 345 Sec)</t>
  </si>
  <si>
    <t>TRL 0W20 GF6 / API-SP R4 (0W20-02) Kv40:115 Kv100:53</t>
  </si>
  <si>
    <t>66,06 / 66,82</t>
  </si>
  <si>
    <t>8,64 / 8,64</t>
  </si>
  <si>
    <t>(520 Sec / 521 Sec)</t>
  </si>
  <si>
    <t>(247 Sec / 247 Sec)</t>
  </si>
  <si>
    <t>TRL 5W30 GF6 / API-SP (GASOLINE) R4</t>
  </si>
  <si>
    <t>TRL 0W20 GF6 / API-SP R4 (0W20-03) Kv40:11 Kv100:30</t>
  </si>
  <si>
    <t>61,07 / 61,07</t>
  </si>
  <si>
    <t>9,69 / 9,69</t>
  </si>
  <si>
    <t>5W30-01</t>
  </si>
  <si>
    <t>5W30-02</t>
  </si>
  <si>
    <t>(424 Sec / 424 Sec)</t>
  </si>
  <si>
    <t>(295 Sec / 295 Sec)</t>
  </si>
  <si>
    <t>77,22 gr</t>
  </si>
  <si>
    <t>TRL 0W20 GF6 / API-SP R4 (0W20-04) Kv40:11 Kv100:53</t>
  </si>
  <si>
    <t>51,08 / 51,11</t>
  </si>
  <si>
    <t>8,40 / 8,38</t>
  </si>
  <si>
    <t>(263 Sec / 263 Sec)</t>
  </si>
  <si>
    <t>TRL 5W30 GF5 / API-SP R4 (5W30-01) Kv40:109 Kv100:30</t>
  </si>
  <si>
    <t>69,20 / 69,36</t>
  </si>
  <si>
    <t>11,48 / 11,49</t>
  </si>
  <si>
    <t>UM SPMA 52%</t>
  </si>
  <si>
    <t>4,50 gr</t>
  </si>
  <si>
    <t>(484 Sec / 485 Sec)</t>
  </si>
  <si>
    <t>(350 Sec / 350 Sec)</t>
  </si>
  <si>
    <t>TRL 5W30 GF5 / API-SP R4 (5W30-02) Kv40:84 Kv100:30</t>
  </si>
  <si>
    <t xml:space="preserve">67,16 / 67,28 </t>
  </si>
  <si>
    <t>10,38 / 10,36</t>
  </si>
  <si>
    <t>(530 Sec / 531 Sec)</t>
  </si>
  <si>
    <t>(326 Sec / 325 Sec)</t>
  </si>
  <si>
    <t>TRL 10W40 GF5 / API-SN PLUS (GASOLINE) R4</t>
  </si>
  <si>
    <t>10W40-01</t>
  </si>
  <si>
    <t>10W40-02</t>
  </si>
  <si>
    <t>72,30 gr</t>
  </si>
  <si>
    <t>71,30 gr</t>
  </si>
  <si>
    <t>8,70 gr</t>
  </si>
  <si>
    <t>VM SPMA 52%</t>
  </si>
  <si>
    <t>9 gr</t>
  </si>
  <si>
    <t xml:space="preserve"> </t>
  </si>
  <si>
    <t>Fine Tuning 0W20-03 &amp; 0W20-04</t>
  </si>
  <si>
    <t>Formula Pak William</t>
  </si>
  <si>
    <t>0W20-03 A</t>
  </si>
  <si>
    <t>0W20-04 A</t>
  </si>
  <si>
    <t>Retest Fine Tuning 5W30-01 A Kv40:11 Kv100:30</t>
  </si>
  <si>
    <t>66,66 / 64,98</t>
  </si>
  <si>
    <t>9,88 / 9,88</t>
  </si>
  <si>
    <t>S08</t>
  </si>
  <si>
    <t>60,50 gr</t>
  </si>
  <si>
    <t>C0S0 C80</t>
  </si>
  <si>
    <t>(452 Sec / 455 Sec)</t>
  </si>
  <si>
    <t>(301 Sec / 301 Sec)</t>
  </si>
  <si>
    <t>S06</t>
  </si>
  <si>
    <t>Restest Fine Tuning 5W30-01 B Kv40:84 Kv100:44</t>
  </si>
  <si>
    <t>62,42 / 62,57</t>
  </si>
  <si>
    <t>10,72 / 10,73</t>
  </si>
  <si>
    <t>Genlube 0831</t>
  </si>
  <si>
    <t>(492 Sec / 493 Sec)</t>
  </si>
  <si>
    <t>(336 Sec / 336 Sec)</t>
  </si>
  <si>
    <t>Fine Tuning 0W20-4  A Kv40:115 Kv100:44</t>
  </si>
  <si>
    <t>41,86 / 41,79</t>
  </si>
  <si>
    <t>7,47 / 7,47</t>
  </si>
  <si>
    <t>3 gr</t>
  </si>
  <si>
    <t>(234 Sec / 234 Sec)</t>
  </si>
  <si>
    <t>0 gr</t>
  </si>
  <si>
    <t>Fine Tuning 0W20-3 A Kv40:109 Kv100:53</t>
  </si>
  <si>
    <t>49,11 / 49,21</t>
  </si>
  <si>
    <t>8,17 / 8,18</t>
  </si>
  <si>
    <t>Lubrizon VL 9101 F</t>
  </si>
  <si>
    <t>(423 Sec / 423 Sec)</t>
  </si>
  <si>
    <t>(235 Sec / 234 Sec)</t>
  </si>
  <si>
    <t>Retest Fine Tuning Formula 5W30-01</t>
  </si>
  <si>
    <t>Formula 1 P. William Kv40:109 Kv:30</t>
  </si>
  <si>
    <t>63,13 / 63,04</t>
  </si>
  <si>
    <t>13,07 / 13,09</t>
  </si>
  <si>
    <t>(442 Sec / 441 Sec)</t>
  </si>
  <si>
    <t>(398 Sec / 399 Sec)</t>
  </si>
  <si>
    <t>SAE 10W30 LUB. A &amp; B</t>
  </si>
  <si>
    <t>Formula 2 P. Willam Kv40:11 Kv:53</t>
  </si>
  <si>
    <t>88,35 / 88,21</t>
  </si>
  <si>
    <t>10,33 / 10,32</t>
  </si>
  <si>
    <t>17,52 gr</t>
  </si>
  <si>
    <t>Lub A</t>
  </si>
  <si>
    <t>Lub B</t>
  </si>
  <si>
    <t>(695 Sec / 694 Sec)</t>
  </si>
  <si>
    <t>SAE 10W30 Lub A Kv40: Kv100:53</t>
  </si>
  <si>
    <t>9,80 / 9,80</t>
  </si>
  <si>
    <t>(280 Sec / 281 Sec)</t>
  </si>
  <si>
    <t>4,20 gr</t>
  </si>
  <si>
    <t>SAE 10W30 Lub B Kv40:  Kv100:30</t>
  </si>
  <si>
    <t>10,07 / 10,07</t>
  </si>
  <si>
    <t>(316 Sec / 316 Sec)</t>
  </si>
  <si>
    <t>TRL 10W40 Lub A Kv40:  Kv100:30</t>
  </si>
  <si>
    <t>10,68 / 10,64</t>
  </si>
  <si>
    <t>TRL 10W40 Lub B Kv40:  Kv100:53</t>
  </si>
  <si>
    <t>10,46 / 10,46</t>
  </si>
  <si>
    <t>TRL 10W40 LUB. A &amp; B</t>
  </si>
  <si>
    <t>15,21 gr</t>
  </si>
  <si>
    <t>15,11 gr</t>
  </si>
  <si>
    <t>2 gr</t>
  </si>
  <si>
    <t>1,53 gr</t>
  </si>
  <si>
    <t>0,12 gr</t>
  </si>
  <si>
    <t>0,04 gr</t>
  </si>
  <si>
    <t>1,10 gr</t>
  </si>
  <si>
    <t>1,20 gr</t>
  </si>
  <si>
    <t>0W20 - 03</t>
  </si>
  <si>
    <t>0W20-03 B</t>
  </si>
  <si>
    <t>0W20-04 C</t>
  </si>
  <si>
    <t>40 gr</t>
  </si>
  <si>
    <t>30 gr</t>
  </si>
  <si>
    <t>0W20 - 03 B Kv40:11 Kv100:53</t>
  </si>
  <si>
    <t>47,99 / 47,98</t>
  </si>
  <si>
    <t>8,01 / 8,01</t>
  </si>
  <si>
    <t>38,72 gr</t>
  </si>
  <si>
    <t>48,72 gr</t>
  </si>
  <si>
    <t>(335 Sec / 335 Sec)</t>
  </si>
  <si>
    <t>0W20 - 03 C Kv40:115 Kv100:44</t>
  </si>
  <si>
    <t>46,27 . 47,31</t>
  </si>
  <si>
    <t>7,87 / 7,88</t>
  </si>
  <si>
    <t>(364 Sec / 364 Sec)</t>
  </si>
  <si>
    <t>Formula 2 P. William Kv40:84 Kv100:30</t>
  </si>
  <si>
    <t>64,30 / 64,12</t>
  </si>
  <si>
    <t>10,67 / 10,67</t>
  </si>
  <si>
    <t>(507 Sec / 506 Sec)</t>
  </si>
  <si>
    <t>Formula 3 P. William Kv40:109 Kv100:53</t>
  </si>
  <si>
    <t>60,81 / 60,80</t>
  </si>
  <si>
    <t>9,90 / 9,90</t>
  </si>
  <si>
    <t>Formula P. William</t>
  </si>
  <si>
    <t>(523 Sec / 523 Sec)</t>
  </si>
  <si>
    <t>(283 Sec / 283 Sec)</t>
  </si>
  <si>
    <t>Formula 4 P. William Kv40:11 Kv100:44</t>
  </si>
  <si>
    <t>65,30 / 65,07</t>
  </si>
  <si>
    <t>10,86 / 10,89</t>
  </si>
  <si>
    <t>78,55 gr</t>
  </si>
  <si>
    <t>74,55 gr</t>
  </si>
  <si>
    <t>(457 Sec / 455 Sec)</t>
  </si>
  <si>
    <t>0W20 - 03 D Kv40:115 Kv100:30</t>
  </si>
  <si>
    <t>53,94 / 53,83</t>
  </si>
  <si>
    <t>8,96 / 8,94</t>
  </si>
  <si>
    <t>(424 Sec / 423 Sec)</t>
  </si>
  <si>
    <t>(273 Sec / 272 Sec)</t>
  </si>
  <si>
    <t>0W20 - 03 E Kv40:84 Kv100:30</t>
  </si>
  <si>
    <t>44,74 / 44,64</t>
  </si>
  <si>
    <t>8,00 / 7,99</t>
  </si>
  <si>
    <t>(353 Sec / 352 Sec)</t>
  </si>
  <si>
    <t>(244 Sec / 243 Sec)</t>
  </si>
  <si>
    <t>7 gr</t>
  </si>
  <si>
    <t>0W20 - 04 B Kv40:109 Kv100:30</t>
  </si>
  <si>
    <t>46,72 / 46,62</t>
  </si>
  <si>
    <t>7,99 / 7,99</t>
  </si>
  <si>
    <t>(402 Sec / 401 Sec)</t>
  </si>
  <si>
    <t>(243 Sec / 243 Sec)</t>
  </si>
  <si>
    <t>Fine Tuning 5W30 - 01 B Kv40:109 Kv100:30</t>
  </si>
  <si>
    <t>72,29 / 72,30</t>
  </si>
  <si>
    <t>0W20 - 03 D</t>
  </si>
  <si>
    <t>(506 Sec / 506 Sec)</t>
  </si>
  <si>
    <t>(305 Sec / 305 Sec)</t>
  </si>
  <si>
    <t>0W20-03 D</t>
  </si>
  <si>
    <t>15 gr</t>
  </si>
  <si>
    <t>63,22 gr</t>
  </si>
  <si>
    <t>0W20 - 03 E</t>
  </si>
  <si>
    <t>0W20-03 E</t>
  </si>
  <si>
    <t>7,5 gr</t>
  </si>
  <si>
    <t>31,61 gr</t>
  </si>
  <si>
    <t>4,14 gr</t>
  </si>
  <si>
    <t>1,75 gr</t>
  </si>
  <si>
    <t>0W20 - 04 B</t>
  </si>
  <si>
    <t>0W20-04 B</t>
  </si>
  <si>
    <t>39,235 gr</t>
  </si>
  <si>
    <t>2,5 gr</t>
  </si>
  <si>
    <t>1,625 gr</t>
  </si>
  <si>
    <t>01 - 02 Oktober 2020</t>
  </si>
  <si>
    <t xml:space="preserve">Formulasi F 540 </t>
  </si>
  <si>
    <t>0,8 mm (30/44/50/53)</t>
  </si>
  <si>
    <t>F 540 - 01 Kv40:115 Kv100:30</t>
  </si>
  <si>
    <t>94,12 / 94,20</t>
  </si>
  <si>
    <t>14,09 / 14,10</t>
  </si>
  <si>
    <t>65,7 gr</t>
  </si>
  <si>
    <t>68,7 gr</t>
  </si>
  <si>
    <t>(741 Sec / 741 Sec)</t>
  </si>
  <si>
    <t>(429 Sec / 430 Sec)</t>
  </si>
  <si>
    <t>F 540 - 02 Kv40:109 Kv100:44</t>
  </si>
  <si>
    <t>95,24 / 95,50</t>
  </si>
  <si>
    <t>14,52 / 14,54</t>
  </si>
  <si>
    <t>14,3 gr</t>
  </si>
  <si>
    <t>(820 Sec / 822 Sec)</t>
  </si>
  <si>
    <t>(456 Sec / 456 Sec)</t>
  </si>
  <si>
    <t>F 540 - 03 Kv40:84 Kv100:53</t>
  </si>
  <si>
    <t>83,71 / 83,95</t>
  </si>
  <si>
    <t>12,60 / 12,58</t>
  </si>
  <si>
    <t>WM NMM (HV)</t>
  </si>
  <si>
    <t>(660 Sec / 662 Sec)</t>
  </si>
  <si>
    <t>(360 Sec / 360 Sec)</t>
  </si>
  <si>
    <t>F 540 - 04 Kv40:11 Kv100:30</t>
  </si>
  <si>
    <t>125,70 / 125,53</t>
  </si>
  <si>
    <t>16,86 / 16,86</t>
  </si>
  <si>
    <t>(880 Sec / 879 Sec)</t>
  </si>
  <si>
    <t>(529 Sec / 529 Sec)</t>
  </si>
  <si>
    <t>F 540 - 05 Kv40: Kv100:30</t>
  </si>
  <si>
    <t>13,39 / 13,40</t>
  </si>
  <si>
    <t>(408 Sec / 408 Sec)</t>
  </si>
  <si>
    <t>31,6 gr</t>
  </si>
  <si>
    <t>30,35 gr</t>
  </si>
  <si>
    <t>F 540 - 06 Kv40: Kv100:44</t>
  </si>
  <si>
    <t xml:space="preserve">13,15 / 13,15 </t>
  </si>
  <si>
    <t>(413 Sec / 413 Sec)</t>
  </si>
  <si>
    <t>F 540 - 07 Kv40: Kv100:53</t>
  </si>
  <si>
    <t>13,29 / 13,30</t>
  </si>
  <si>
    <t>(380 Sec / 380 Sec)</t>
  </si>
  <si>
    <t>Priolube 3970</t>
  </si>
  <si>
    <t>F 540 - 08 Kv40:  Kv100:30</t>
  </si>
  <si>
    <t>13,09 / 13,09</t>
  </si>
  <si>
    <t>7,15 gr</t>
  </si>
  <si>
    <t>(399 Sec / 399 Sec)</t>
  </si>
  <si>
    <t>F 540 - 09 Kv40:  Kv100:50</t>
  </si>
  <si>
    <t>11,67 / 11,70</t>
  </si>
  <si>
    <t>(346 Sec / 347 Sec)</t>
  </si>
  <si>
    <t>F 540 - 10 Kv40:  Kv100:30</t>
  </si>
  <si>
    <t>15,89 / 15,90</t>
  </si>
  <si>
    <t>(484 Sec / 489 Sec)</t>
  </si>
  <si>
    <t>F 540 - 11 Kv40:  Kv100:30</t>
  </si>
  <si>
    <t>13,46 / 13,42</t>
  </si>
  <si>
    <t>62,7 gr</t>
  </si>
  <si>
    <t>64,2 gr</t>
  </si>
  <si>
    <t>(410 Sec / 409 Sec)</t>
  </si>
  <si>
    <t>F 540 - 12 Kv40:  Kv100:50</t>
  </si>
  <si>
    <t>14,27 / 14,26</t>
  </si>
  <si>
    <t>10W40 - 02 A Kv40:  Kv100:50</t>
  </si>
  <si>
    <t>13,10 / 13,07</t>
  </si>
  <si>
    <t>VM - HV</t>
  </si>
  <si>
    <t>8 gr</t>
  </si>
  <si>
    <t>6,5 gr</t>
  </si>
  <si>
    <t>(389 Sec / 388 Sec)</t>
  </si>
  <si>
    <t>Formulasi F 540</t>
  </si>
  <si>
    <t>67,7 gr</t>
  </si>
  <si>
    <t>F 540 - 13 Kv40:11 Kv100:30</t>
  </si>
  <si>
    <t>89,17 / 83,50</t>
  </si>
  <si>
    <t>12,02 / 12,00</t>
  </si>
  <si>
    <t>(584 Sec / 585 Sec)</t>
  </si>
  <si>
    <t>(366 Sec / 366 Sec)</t>
  </si>
  <si>
    <t>F 540 - 14 Kv40:84 Kv100:50</t>
  </si>
  <si>
    <t>80,23 / 80,26</t>
  </si>
  <si>
    <t>11,91 / 11,93</t>
  </si>
  <si>
    <t>(633 Sec / 633 Sec)</t>
  </si>
  <si>
    <t>(353 Sec / 334 Sec)</t>
  </si>
  <si>
    <t>0W20 - 05 Kv40:- Kv100:50</t>
  </si>
  <si>
    <t>6,90 / 6,90</t>
  </si>
  <si>
    <t>(205 Sec / 205 Sec)</t>
  </si>
  <si>
    <t>0W20 - 06 Kv40:- Kv100:30</t>
  </si>
  <si>
    <t>6,21 / 6,22</t>
  </si>
  <si>
    <t>(189 Sec / 189 Sec)</t>
  </si>
  <si>
    <t>0W20 - 07 Kv40: Kv100:44</t>
  </si>
  <si>
    <t>6,51 / 6,51</t>
  </si>
  <si>
    <t>Formulasi 0W20</t>
  </si>
  <si>
    <t>(204 Sec / 204 Sec)</t>
  </si>
  <si>
    <t>Base Oil Blend (BOB OW20)</t>
  </si>
  <si>
    <t>0W20 - 08 Kv40: Kv100:53</t>
  </si>
  <si>
    <t>6,36 / 6,37</t>
  </si>
  <si>
    <t>BOB OW20</t>
  </si>
  <si>
    <t>(181 Sec / 182 Sec)</t>
  </si>
  <si>
    <t>S4</t>
  </si>
  <si>
    <t>70 gr</t>
  </si>
  <si>
    <t>0W20 - 05 A Kv40: Kv100:53</t>
  </si>
  <si>
    <t>7,52 / 7,52</t>
  </si>
  <si>
    <t>(215 Sec / 215 Sec)</t>
  </si>
  <si>
    <t>0W20 - 05 B Kv40:109  Kv100:30</t>
  </si>
  <si>
    <t>42,95 / 42,98</t>
  </si>
  <si>
    <t>8,26 / 8,20</t>
  </si>
  <si>
    <t>(369 Sec / 370 Sec)</t>
  </si>
  <si>
    <t>(252 Sec / 250 Sec)</t>
  </si>
  <si>
    <t>78,72 gr</t>
  </si>
  <si>
    <t>Formulasi 0W20 - 05 A dan B</t>
  </si>
  <si>
    <t>75,72 gr</t>
  </si>
  <si>
    <t>74,72 gr</t>
  </si>
  <si>
    <t>2,28 gr</t>
  </si>
  <si>
    <t>6 gr</t>
  </si>
  <si>
    <t>2.39350667 mPa</t>
  </si>
  <si>
    <t>2.301725 mPa</t>
  </si>
  <si>
    <t>2.310815 mPa</t>
  </si>
  <si>
    <t>2.3404 mPa</t>
  </si>
  <si>
    <t>2.4986 mPa</t>
  </si>
  <si>
    <t>2.59711 mPa</t>
  </si>
  <si>
    <t>Formulasi TRL 10W30 Improve 1</t>
  </si>
  <si>
    <t>TRL 10W30 Imp 1</t>
  </si>
  <si>
    <t>37,55 gr</t>
  </si>
  <si>
    <t>TRL 10W30 - Improve 1 Kv40:115 Kv100:30</t>
  </si>
  <si>
    <t>64,04 / 64,11</t>
  </si>
  <si>
    <t>11,06 / 11,06</t>
  </si>
  <si>
    <t>38 gr</t>
  </si>
  <si>
    <t>(504 Sec / 504 Sec)</t>
  </si>
  <si>
    <t>0W20 - 05 C Kv40:115 Kv100:53</t>
  </si>
  <si>
    <t>46,39 / 46,31</t>
  </si>
  <si>
    <t>8,04 / 8,05</t>
  </si>
  <si>
    <t>(230 Sec / 230 Sec)</t>
  </si>
  <si>
    <t>0,60 gr</t>
  </si>
  <si>
    <t>0W20 - 05 D Kv40:11 Kv100:30</t>
  </si>
  <si>
    <t>48,27 / 48,20</t>
  </si>
  <si>
    <t>8,12 / 8,14</t>
  </si>
  <si>
    <t>0,20 gr</t>
  </si>
  <si>
    <t>(338 Sec / 337 Sec)</t>
  </si>
  <si>
    <t>(247 Sec / 248 Sec)</t>
  </si>
  <si>
    <t>VM SPAMA 52%</t>
  </si>
  <si>
    <t>F 540 - 15 Kv40:84 Kv100:44</t>
  </si>
  <si>
    <t>81,80 / 81,65</t>
  </si>
  <si>
    <t>12,08 / 12,20</t>
  </si>
  <si>
    <t>(645 Sec / 644 Sec)</t>
  </si>
  <si>
    <t>(379 Sec / 383 Sec)</t>
  </si>
  <si>
    <t>F 540 - 16 Kv40: 109 Kv100: 30</t>
  </si>
  <si>
    <t>82,57 / 82,54</t>
  </si>
  <si>
    <t>11,09 / 11,09</t>
  </si>
  <si>
    <t>(711 Sec / 710 Sec)</t>
  </si>
  <si>
    <t>(338 Sec / 338 Sec)</t>
  </si>
  <si>
    <t>F 540 - 17 Kv40: 11 Kv100: 44</t>
  </si>
  <si>
    <t>83,31 / 83,49</t>
  </si>
  <si>
    <t>11,68 / 11,67</t>
  </si>
  <si>
    <t>58,2 gr</t>
  </si>
  <si>
    <t>50,7 gr</t>
  </si>
  <si>
    <t>35,7 gr</t>
  </si>
  <si>
    <t>(583 Sec / 584 Sec)</t>
  </si>
  <si>
    <t>F 540 - 18 Kv40: 84 Kv100: 53</t>
  </si>
  <si>
    <t>75,53 / 75,49</t>
  </si>
  <si>
    <t>11,78 / 11,73</t>
  </si>
  <si>
    <t>(596 Sec / 595 Sec)</t>
  </si>
  <si>
    <t>(350 Sec / 335 Sec)</t>
  </si>
  <si>
    <t>T45 Kv100:0,6 / 36</t>
  </si>
  <si>
    <t>5,24 / 5,23</t>
  </si>
  <si>
    <t>(458 Sec / 459 Sec)</t>
  </si>
  <si>
    <t>14.3 gr</t>
  </si>
  <si>
    <t>T410 Kv100:0,6 / 36</t>
  </si>
  <si>
    <t>5,80 / 5,81</t>
  </si>
  <si>
    <t>(509 Sec / 509 Sec)</t>
  </si>
  <si>
    <t>T65 Kv100:0,8 / 30</t>
  </si>
  <si>
    <t>6,95 / 6,96</t>
  </si>
  <si>
    <t>(211 Sec / 212 Sec)</t>
  </si>
  <si>
    <t>Formulasi 0W20 - 05 C dan D</t>
  </si>
  <si>
    <t>T610 Kv100:0,8 / 30</t>
  </si>
  <si>
    <t>7,48 / 7,49</t>
  </si>
  <si>
    <t>Base Oil Blend (BOB 5W30)</t>
  </si>
  <si>
    <t>(214 Sec / 214 Sec)</t>
  </si>
  <si>
    <t>T85 Kv100:0,8 / 30</t>
  </si>
  <si>
    <t xml:space="preserve">8,19 / 8,18 </t>
  </si>
  <si>
    <t>(249 Sec / 249 Sec)</t>
  </si>
  <si>
    <t>T810 Kv100:0,8 / 44</t>
  </si>
  <si>
    <t>8,86 / 8,86</t>
  </si>
  <si>
    <t xml:space="preserve">0W20 - 05 C </t>
  </si>
  <si>
    <t>BOB 5W30</t>
  </si>
  <si>
    <t>74,22 gr</t>
  </si>
  <si>
    <t>7,50 gr</t>
  </si>
  <si>
    <t>Formulasi T45,T410,T65,T610,T85,T810</t>
  </si>
  <si>
    <t>T45</t>
  </si>
  <si>
    <t>T410</t>
  </si>
  <si>
    <t>T65</t>
  </si>
  <si>
    <t>T610</t>
  </si>
  <si>
    <t>T85</t>
  </si>
  <si>
    <t>T810</t>
  </si>
  <si>
    <t>95 gr</t>
  </si>
  <si>
    <t>90 gr</t>
  </si>
  <si>
    <t>07 - 08 Oktober 2020</t>
  </si>
  <si>
    <t>Formulasi TRL SAE 5W30 GF6/API-SP</t>
  </si>
  <si>
    <t>5W30 GF6</t>
  </si>
  <si>
    <t>TRL SAE 5W30 GF6/API-SP Kv40:109 Kv100:30</t>
  </si>
  <si>
    <t>62,37 / 62,44</t>
  </si>
  <si>
    <t>9,84 / 9,84</t>
  </si>
  <si>
    <t>37.55 gr</t>
  </si>
  <si>
    <t>(537 Sec / 537 Sec)</t>
  </si>
  <si>
    <t>(308 Sec / 308 Sec)</t>
  </si>
  <si>
    <t>38.34 gr</t>
  </si>
  <si>
    <t>TRL SAE 10W40 GF5/API SN Plus Kv40:115 Kv100:50</t>
  </si>
  <si>
    <t>87,37 / 87,44</t>
  </si>
  <si>
    <t>14,38 / 14,37</t>
  </si>
  <si>
    <t>(687 Sec / 688 Sec)</t>
  </si>
  <si>
    <t>(438 Sec / 438 Sec)</t>
  </si>
  <si>
    <t>8.28 gr</t>
  </si>
  <si>
    <t>F 540 - 19 Kv40:11 Kv100:53</t>
  </si>
  <si>
    <t>75,33 / 75,31</t>
  </si>
  <si>
    <t>11,32 / 11,32</t>
  </si>
  <si>
    <t>5.83 gr</t>
  </si>
  <si>
    <t>(323 Sec / 323 Sec)</t>
  </si>
  <si>
    <t>F 540 - 20 Kv40:84 Kv100:44</t>
  </si>
  <si>
    <t>68,46 / 68,48</t>
  </si>
  <si>
    <t>10,48 / 10,46</t>
  </si>
  <si>
    <t>(540 Sec / 540 Sec)</t>
  </si>
  <si>
    <t>(329 Sec / 328 Sec)</t>
  </si>
  <si>
    <t>Formulas TRL SAE 10W30 GF5/API-SN Plus</t>
  </si>
  <si>
    <t>TRL 5W30 - Improve 1 Kv40:11 Kv100:53</t>
  </si>
  <si>
    <t>65,98 / 65,55</t>
  </si>
  <si>
    <t>10,55 / 10,54</t>
  </si>
  <si>
    <t>10W30 GF5</t>
  </si>
  <si>
    <t>(462 Sec / 459 Sec)</t>
  </si>
  <si>
    <t>(321 Sec / 321 Sec)</t>
  </si>
  <si>
    <t>TRL SAE 10W30 JASO MB /API SN [IMPROVEMENT 1] Kv40:115 Kv100:30</t>
  </si>
  <si>
    <t>64,35 / 64,15</t>
  </si>
  <si>
    <t>9,74 / 9,72</t>
  </si>
  <si>
    <t>(506 Sec / 505 Sec)</t>
  </si>
  <si>
    <t>F 540 - 21 Kv40:109 Kv100:</t>
  </si>
  <si>
    <t>74,40 / 74,45</t>
  </si>
  <si>
    <t>VM HV</t>
  </si>
  <si>
    <t>7,55 gr</t>
  </si>
  <si>
    <t>(640 Sec / 641 Sec)</t>
  </si>
  <si>
    <t>F 540 - 22 Kv40:115 Kv100:</t>
  </si>
  <si>
    <t>72,83 / 72,75</t>
  </si>
  <si>
    <t>(573 Sec / 572 Sec)</t>
  </si>
  <si>
    <t>Formulasi TRL SAE 5W30 Improve 1</t>
  </si>
  <si>
    <t>F 540 - 23 Kv40:109 Kv100:53</t>
  </si>
  <si>
    <t>69,96 / 69,97</t>
  </si>
  <si>
    <t>10,78 / 10,77</t>
  </si>
  <si>
    <t>5W30 Imp1</t>
  </si>
  <si>
    <t>(602 Sec / 602 Sec)</t>
  </si>
  <si>
    <t>(328 Sec / 328 Sec)</t>
  </si>
  <si>
    <t>F 540 - 24 Kv40:84 Kv100:44</t>
  </si>
  <si>
    <t>62,10 / 61,95</t>
  </si>
  <si>
    <t>9,91 / 9,98</t>
  </si>
  <si>
    <t>36 gr</t>
  </si>
  <si>
    <t>(490 Sec / 488 Sec)</t>
  </si>
  <si>
    <t>(283 Sec / 282 Sec)</t>
  </si>
  <si>
    <t>F 540 - 25 Kv40:115 Kv100:30</t>
  </si>
  <si>
    <t>53,42 / 53,46</t>
  </si>
  <si>
    <t>8,99 / 8,98</t>
  </si>
  <si>
    <t>(282 Sec / 281 Sec)</t>
  </si>
  <si>
    <t>7 g</t>
  </si>
  <si>
    <t>TRL SAE 5W30 Improve 2 Kv40:11 Kv100:44</t>
  </si>
  <si>
    <t>64,26 / 64,16</t>
  </si>
  <si>
    <t>9,12 / 9,15</t>
  </si>
  <si>
    <t>(450 Sec / 449 Sec)</t>
  </si>
  <si>
    <t>Formulasi TRL SAE 10W30 JASO MB/API SN [IMPROVEMENT 1]</t>
  </si>
  <si>
    <t>10W30 JASO</t>
  </si>
  <si>
    <t>1877,50 gr</t>
  </si>
  <si>
    <t>1900 gr</t>
  </si>
  <si>
    <t>500 gr</t>
  </si>
  <si>
    <t>382 gr</t>
  </si>
  <si>
    <t>300 gr</t>
  </si>
  <si>
    <t>5000 gr</t>
  </si>
  <si>
    <t>Formulasi TRL SAE 5W30 Improve 2</t>
  </si>
  <si>
    <t>5W30 Imp2</t>
  </si>
  <si>
    <t>45,55 gr</t>
  </si>
  <si>
    <t>6,50 gr</t>
  </si>
  <si>
    <t>Formulasi F 540 19 dan F 540 20</t>
  </si>
  <si>
    <t>25,7 gr</t>
  </si>
  <si>
    <t>Formulasi F 540 21 sampai F 540 25</t>
  </si>
  <si>
    <t>20,7 gr</t>
  </si>
  <si>
    <t>15,7 gr</t>
  </si>
  <si>
    <t>45 gr</t>
  </si>
  <si>
    <t>65,7 gt</t>
  </si>
  <si>
    <t>0 gt</t>
  </si>
  <si>
    <t>69,7 gr</t>
  </si>
  <si>
    <t>Formulasi F 540 26 sampai 29</t>
  </si>
  <si>
    <t>F 540 - 26 Kv40:109 Kv100:30</t>
  </si>
  <si>
    <t>61,57 / 61,44</t>
  </si>
  <si>
    <t>9,92 / 9,97</t>
  </si>
  <si>
    <t>(302 Sec / 304 Sec)</t>
  </si>
  <si>
    <t>57,7 gr</t>
  </si>
  <si>
    <t>52,7 gr</t>
  </si>
  <si>
    <t>F 540 - 27 Kv40:11 Kv100:44</t>
  </si>
  <si>
    <t>55,90 / 55,82</t>
  </si>
  <si>
    <t>9,32 / 9,29</t>
  </si>
  <si>
    <t>65,70 gr</t>
  </si>
  <si>
    <t>(391 Sec / 390 Sec)</t>
  </si>
  <si>
    <t>(284 Sec / 283 Sec)</t>
  </si>
  <si>
    <t>F 540 - 28 Kv40:- Kv100:44</t>
  </si>
  <si>
    <t>14,73 / 14,75</t>
  </si>
  <si>
    <t>(461 Sec / 463 Sec)</t>
  </si>
  <si>
    <t>Prolube 3970</t>
  </si>
  <si>
    <t>F 540 - 29 Kv40:- Kv100:53</t>
  </si>
  <si>
    <t>14,92 / 14,95</t>
  </si>
  <si>
    <t>TRL SAE 5W30 - Improve 3 Kv40:109 Kv100:53</t>
  </si>
  <si>
    <t>62,16 / 62,10</t>
  </si>
  <si>
    <t>9,76 / 9,72</t>
  </si>
  <si>
    <t>(535 Sec / 534 Sec)</t>
  </si>
  <si>
    <t>TRL SAE 10W30 JASO MB /API SN [IMPROVEMENT 1] Kv100:30</t>
  </si>
  <si>
    <t>Formulasi TRL SAE 5W30 Improve 3</t>
  </si>
  <si>
    <t>TRL SAE 10W30 JASO MB /API SN [IMPROVEMENT 1] Kv100:44</t>
  </si>
  <si>
    <t>9,97 / 9,97</t>
  </si>
  <si>
    <t>5W30 Imp3</t>
  </si>
  <si>
    <t>(304 Sec / 304 Sec)</t>
  </si>
  <si>
    <t>44,72 gr</t>
  </si>
  <si>
    <t>TRL SAE 10W30 JASO MB /API SN [IMPROVEMENT 1] Kv100:53</t>
  </si>
  <si>
    <t>10,16 / 10,16</t>
  </si>
  <si>
    <t>(290 Sec / 290 Sec)</t>
  </si>
  <si>
    <t>VM-HV Kv40:2,5(60) Kv100:1,5(36)</t>
  </si>
  <si>
    <t>1591,89 / 1594,15</t>
  </si>
  <si>
    <t>220,31 / 222,42</t>
  </si>
  <si>
    <t>(681 Sec / 682 Sec)</t>
  </si>
  <si>
    <t>(423 Sec / 427 Sec)</t>
  </si>
  <si>
    <t>H 45 Kv100:30</t>
  </si>
  <si>
    <t>7,73 / 7,73</t>
  </si>
  <si>
    <t>(235 Sec / 235 Sec)</t>
  </si>
  <si>
    <t>H 410 Kv100:53</t>
  </si>
  <si>
    <t>11,79 / 11,79</t>
  </si>
  <si>
    <t>(370 Sec / 370 Sec)</t>
  </si>
  <si>
    <t>H 65 Kv100:30</t>
  </si>
  <si>
    <t>8,09 / 8,09</t>
  </si>
  <si>
    <t>(246 Sec / 246 Sec)</t>
  </si>
  <si>
    <t>H 610 Kv100:44</t>
  </si>
  <si>
    <t>9,78 / 9,78</t>
  </si>
  <si>
    <t>H 85 Kv100:53</t>
  </si>
  <si>
    <t>9,21 / 9,21</t>
  </si>
  <si>
    <t>H 810 Kv100:44</t>
  </si>
  <si>
    <t>19,63 / 19,59</t>
  </si>
  <si>
    <t>(561 Sec / 560 Sec)</t>
  </si>
  <si>
    <t>Formulasi H 45, H 410, H 65, H 610, H 85, H 810</t>
  </si>
  <si>
    <t>VM NMM (HV)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</si>
</sst>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15" fontId="0" fillId="0" borderId="0" xfId="0" quotePrefix="1" applyNumberFormat="1"/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0" fontId="0" fillId="0" borderId="1" xfId="0" applyNumberFormat="1" applyBorder="1" applyAlignment="1">
      <alignment horizontal="left"/>
    </xf>
    <xf numFmtId="0" fontId="5" fillId="0" borderId="1" xfId="0" applyFont="1" applyBorder="1"/>
    <xf numFmtId="0" fontId="3" fillId="0" borderId="0" xfId="0" applyFont="1"/>
    <xf numFmtId="0" fontId="3" fillId="0" borderId="1" xfId="0" applyFont="1" applyBorder="1"/>
    <xf numFmtId="14" fontId="0" fillId="0" borderId="0" xfId="0" applyNumberFormat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0" borderId="0" xfId="0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7" xfId="0" applyBorder="1"/>
    <xf numFmtId="164" fontId="8" fillId="0" borderId="7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8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0" borderId="0" xfId="0" applyAlignment="1">
      <alignment horizontal="center"/>
    </xf>
    <xf numFmtId="164" fontId="0" fillId="0" borderId="7" xfId="0" quotePrefix="1" applyNumberForma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3" xfId="0" quotePrefix="1" applyNumberForma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0" fontId="0" fillId="0" borderId="7" xfId="0" applyNumberFormat="1" applyBorder="1"/>
    <xf numFmtId="0" fontId="8" fillId="0" borderId="0" xfId="0" applyFont="1"/>
    <xf numFmtId="0" fontId="0" fillId="0" borderId="22" xfId="0" applyBorder="1"/>
    <xf numFmtId="0" fontId="8" fillId="0" borderId="2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/>
    <xf numFmtId="0" fontId="0" fillId="0" borderId="12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0" fontId="0" fillId="0" borderId="11" xfId="0" applyNumberFormat="1" applyBorder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/>
    <xf numFmtId="0" fontId="0" fillId="0" borderId="11" xfId="0" applyFont="1" applyBorder="1" applyAlignment="1">
      <alignment horizontal="center" vertical="top"/>
    </xf>
    <xf numFmtId="0" fontId="0" fillId="0" borderId="11" xfId="0" applyFont="1" applyBorder="1" applyAlignment="1">
      <alignment vertical="center"/>
    </xf>
    <xf numFmtId="0" fontId="0" fillId="0" borderId="7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0" fontId="0" fillId="0" borderId="1" xfId="0" quotePrefix="1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8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8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385-913E-432F-8489-8B22292EA767}">
  <dimension ref="A2:AU125"/>
  <sheetViews>
    <sheetView tabSelected="1" workbookViewId="0">
      <pane xSplit="3" ySplit="3" topLeftCell="D4" activePane="bottomRight" state="frozen"/>
      <selection pane="bottomRight" activeCell="D4" sqref="D4"/>
      <selection pane="bottomLeft"/>
      <selection pane="topRight"/>
    </sheetView>
  </sheetViews>
  <sheetFormatPr defaultRowHeight="15"/>
  <cols>
    <col min="1" max="1" width="4.85546875" style="34" customWidth="1"/>
    <col min="2" max="2" width="18.42578125" style="38" customWidth="1"/>
    <col min="3" max="3" width="46" customWidth="1"/>
    <col min="4" max="4" width="12.140625" customWidth="1"/>
    <col min="5" max="5" width="10.7109375" customWidth="1"/>
    <col min="6" max="6" width="9.7109375" bestFit="1" customWidth="1"/>
    <col min="7" max="10" width="10.7109375" bestFit="1" customWidth="1"/>
    <col min="11" max="11" width="12.85546875" customWidth="1"/>
    <col min="12" max="12" width="12.28515625" customWidth="1"/>
    <col min="13" max="13" width="10.85546875" customWidth="1"/>
    <col min="15" max="15" width="11.140625" customWidth="1"/>
    <col min="16" max="16" width="11.5703125" customWidth="1"/>
    <col min="17" max="17" width="10.140625" customWidth="1"/>
    <col min="18" max="18" width="13.140625" customWidth="1"/>
    <col min="21" max="21" width="11" customWidth="1"/>
    <col min="22" max="22" width="10.28515625" customWidth="1"/>
    <col min="23" max="23" width="7.7109375" bestFit="1" customWidth="1"/>
    <col min="24" max="24" width="9" bestFit="1" customWidth="1"/>
    <col min="27" max="27" width="8" bestFit="1" customWidth="1"/>
    <col min="34" max="34" width="14.140625" bestFit="1" customWidth="1"/>
    <col min="36" max="36" width="9.140625" style="44"/>
    <col min="47" max="47" width="14.140625" bestFit="1" customWidth="1"/>
  </cols>
  <sheetData>
    <row r="2" spans="1:47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35"/>
      <c r="AA2" s="62"/>
      <c r="AJ2" s="91"/>
      <c r="AN2" s="62" t="s">
        <v>1</v>
      </c>
    </row>
    <row r="3" spans="1:47" ht="48.75" customHeight="1">
      <c r="A3" s="107" t="s">
        <v>2</v>
      </c>
      <c r="B3" s="37" t="s">
        <v>3</v>
      </c>
      <c r="C3" s="107" t="s">
        <v>4</v>
      </c>
      <c r="D3" s="55" t="s">
        <v>5</v>
      </c>
      <c r="E3" s="77" t="s">
        <v>6</v>
      </c>
      <c r="F3" s="108" t="s">
        <v>7</v>
      </c>
      <c r="G3" s="107" t="s">
        <v>8</v>
      </c>
      <c r="H3" s="109" t="s">
        <v>9</v>
      </c>
      <c r="I3" s="109" t="s">
        <v>10</v>
      </c>
      <c r="J3" s="56" t="s">
        <v>11</v>
      </c>
      <c r="K3" s="56" t="s">
        <v>12</v>
      </c>
      <c r="L3" s="79" t="s">
        <v>13</v>
      </c>
      <c r="M3" s="119" t="s">
        <v>14</v>
      </c>
      <c r="N3" s="80" t="s">
        <v>15</v>
      </c>
      <c r="O3" s="42" t="s">
        <v>16</v>
      </c>
      <c r="P3" s="42" t="s">
        <v>17</v>
      </c>
      <c r="Q3" s="55" t="s">
        <v>18</v>
      </c>
      <c r="R3" s="119" t="s">
        <v>19</v>
      </c>
      <c r="S3" s="78" t="s">
        <v>20</v>
      </c>
      <c r="T3" s="119" t="s">
        <v>21</v>
      </c>
      <c r="U3" s="119" t="s">
        <v>22</v>
      </c>
      <c r="V3" s="119" t="s">
        <v>23</v>
      </c>
      <c r="W3" s="55" t="s">
        <v>24</v>
      </c>
      <c r="X3" s="77" t="s">
        <v>25</v>
      </c>
      <c r="Y3" s="119" t="s">
        <v>26</v>
      </c>
      <c r="Z3" s="64" t="s">
        <v>27</v>
      </c>
      <c r="AA3" s="42" t="s">
        <v>28</v>
      </c>
      <c r="AB3" s="109" t="s">
        <v>29</v>
      </c>
      <c r="AC3" s="56" t="s">
        <v>30</v>
      </c>
      <c r="AD3" s="107" t="s">
        <v>31</v>
      </c>
      <c r="AE3" s="107" t="s">
        <v>32</v>
      </c>
      <c r="AF3" s="107" t="s">
        <v>33</v>
      </c>
      <c r="AG3" s="107" t="s">
        <v>34</v>
      </c>
      <c r="AJ3"/>
      <c r="AN3" s="107" t="s">
        <v>35</v>
      </c>
      <c r="AO3" s="107" t="s">
        <v>36</v>
      </c>
      <c r="AP3" s="107" t="s">
        <v>37</v>
      </c>
      <c r="AQ3" s="107" t="s">
        <v>38</v>
      </c>
      <c r="AR3" s="107" t="s">
        <v>39</v>
      </c>
      <c r="AS3" s="119" t="s">
        <v>40</v>
      </c>
      <c r="AT3" s="107" t="s">
        <v>41</v>
      </c>
      <c r="AU3" s="119" t="s">
        <v>42</v>
      </c>
    </row>
    <row r="4" spans="1:47">
      <c r="A4" s="105">
        <v>1</v>
      </c>
      <c r="B4" s="45" t="s">
        <v>43</v>
      </c>
      <c r="C4" s="36" t="s">
        <v>44</v>
      </c>
      <c r="D4" s="40">
        <v>10</v>
      </c>
      <c r="E4" s="36"/>
      <c r="F4" s="63"/>
      <c r="G4" s="36"/>
      <c r="H4" s="48"/>
      <c r="I4" s="57"/>
      <c r="J4" s="36"/>
      <c r="K4" s="48">
        <v>20</v>
      </c>
      <c r="L4" s="40">
        <v>59.05</v>
      </c>
      <c r="M4" s="36"/>
      <c r="N4" s="48">
        <v>2.5</v>
      </c>
      <c r="O4" s="36"/>
      <c r="P4" s="36"/>
      <c r="Q4" s="40"/>
      <c r="R4" s="36"/>
      <c r="S4" s="48"/>
      <c r="T4" s="36"/>
      <c r="U4" s="36"/>
      <c r="V4" s="40"/>
      <c r="W4" s="40"/>
      <c r="X4" s="40"/>
      <c r="Y4" s="47"/>
      <c r="Z4" s="40"/>
      <c r="AA4" s="36"/>
      <c r="AB4" s="57">
        <v>7.65</v>
      </c>
      <c r="AC4" s="36"/>
      <c r="AD4" s="48">
        <v>0.6</v>
      </c>
      <c r="AE4" s="36">
        <v>0.2</v>
      </c>
      <c r="AF4" s="36"/>
      <c r="AG4" s="113">
        <f>SUM(D4:AF4)</f>
        <v>100</v>
      </c>
      <c r="AJ4"/>
      <c r="AN4" s="36">
        <f>AVERAGE(59.11,59.54)</f>
        <v>59.325000000000003</v>
      </c>
      <c r="AO4" s="36">
        <f>AVERAGE(9.15,9.13)</f>
        <v>9.14</v>
      </c>
      <c r="AP4" s="36">
        <v>133.02799999999999</v>
      </c>
      <c r="AQ4" s="59"/>
      <c r="AR4" s="60"/>
      <c r="AS4" s="60"/>
      <c r="AT4" s="36"/>
      <c r="AU4" s="36"/>
    </row>
    <row r="5" spans="1:47">
      <c r="A5" s="105">
        <v>2</v>
      </c>
      <c r="B5" s="45" t="s">
        <v>43</v>
      </c>
      <c r="C5" s="39" t="s">
        <v>45</v>
      </c>
      <c r="D5" s="40">
        <v>10</v>
      </c>
      <c r="E5" s="36"/>
      <c r="F5" s="57"/>
      <c r="G5" s="36"/>
      <c r="H5" s="48"/>
      <c r="I5" s="57"/>
      <c r="J5" s="36"/>
      <c r="K5" s="48">
        <v>50</v>
      </c>
      <c r="L5" s="40">
        <v>27.05</v>
      </c>
      <c r="M5" s="36"/>
      <c r="N5" s="48">
        <v>4.5</v>
      </c>
      <c r="O5" s="36"/>
      <c r="P5" s="36"/>
      <c r="Q5" s="40"/>
      <c r="R5" s="36"/>
      <c r="S5" s="48"/>
      <c r="T5" s="36"/>
      <c r="U5" s="36"/>
      <c r="V5" s="40"/>
      <c r="W5" s="40"/>
      <c r="X5" s="40"/>
      <c r="Y5" s="40"/>
      <c r="Z5" s="40"/>
      <c r="AA5" s="36"/>
      <c r="AB5" s="57">
        <v>7.65</v>
      </c>
      <c r="AC5" s="36"/>
      <c r="AD5" s="48">
        <v>0.6</v>
      </c>
      <c r="AE5" s="36">
        <v>0.2</v>
      </c>
      <c r="AF5" s="36"/>
      <c r="AG5" s="113">
        <f>SUM(D5:AF5)</f>
        <v>100</v>
      </c>
      <c r="AJ5"/>
      <c r="AN5" s="36">
        <f>AVERAGE(56.87,56.8,56.82)</f>
        <v>56.829999999999991</v>
      </c>
      <c r="AO5" s="36">
        <f>AVERAGE(9.01,9.02)</f>
        <v>9.0150000000000006</v>
      </c>
      <c r="AP5" s="36">
        <v>137.434</v>
      </c>
      <c r="AQ5" s="36"/>
      <c r="AR5" s="36"/>
      <c r="AS5" s="36"/>
      <c r="AT5" s="36"/>
      <c r="AU5" s="36"/>
    </row>
    <row r="6" spans="1:47">
      <c r="A6" s="105">
        <v>3</v>
      </c>
      <c r="B6" s="46" t="s">
        <v>43</v>
      </c>
      <c r="C6" s="39" t="s">
        <v>46</v>
      </c>
      <c r="D6" s="52">
        <v>10</v>
      </c>
      <c r="E6" s="36"/>
      <c r="F6" s="12"/>
      <c r="G6" s="36"/>
      <c r="H6" s="48"/>
      <c r="I6" s="57"/>
      <c r="J6" s="36"/>
      <c r="K6" s="53">
        <v>15.05</v>
      </c>
      <c r="L6" s="52">
        <v>60</v>
      </c>
      <c r="M6" s="36"/>
      <c r="N6" s="53">
        <v>6.5</v>
      </c>
      <c r="O6" s="51"/>
      <c r="P6" s="51"/>
      <c r="Q6" s="52"/>
      <c r="R6" s="36"/>
      <c r="S6" s="48"/>
      <c r="T6" s="36"/>
      <c r="U6" s="36"/>
      <c r="V6" s="40"/>
      <c r="W6" s="40"/>
      <c r="X6" s="40"/>
      <c r="Y6" s="40"/>
      <c r="Z6" s="40"/>
      <c r="AA6" s="36"/>
      <c r="AB6" s="57">
        <v>7.65</v>
      </c>
      <c r="AC6" s="36"/>
      <c r="AD6" s="48">
        <v>0.6</v>
      </c>
      <c r="AE6" s="36">
        <v>0.2</v>
      </c>
      <c r="AF6" s="36"/>
      <c r="AG6" s="113">
        <f>SUM(D6:AF6)</f>
        <v>100</v>
      </c>
      <c r="AJ6"/>
      <c r="AN6" s="36">
        <f>AVERAGE(64.42,64.36)</f>
        <v>64.39</v>
      </c>
      <c r="AO6" s="36">
        <f>AVERAGE(10.29,10.3)</f>
        <v>10.295</v>
      </c>
      <c r="AP6" s="36">
        <v>147.226</v>
      </c>
      <c r="AQ6" s="36"/>
      <c r="AR6" s="36"/>
      <c r="AS6" s="36"/>
      <c r="AT6" s="36"/>
      <c r="AU6" s="36"/>
    </row>
    <row r="7" spans="1:47">
      <c r="A7" s="117">
        <v>4</v>
      </c>
      <c r="B7" s="45" t="s">
        <v>43</v>
      </c>
      <c r="C7" s="36" t="s">
        <v>47</v>
      </c>
      <c r="D7" s="40">
        <v>10</v>
      </c>
      <c r="E7" s="36"/>
      <c r="F7" s="57"/>
      <c r="G7" s="36"/>
      <c r="H7" s="48"/>
      <c r="I7" s="57"/>
      <c r="J7" s="36"/>
      <c r="K7" s="48"/>
      <c r="L7" s="40">
        <v>75.05</v>
      </c>
      <c r="M7" s="36"/>
      <c r="N7" s="48">
        <v>6.5</v>
      </c>
      <c r="O7" s="36"/>
      <c r="P7" s="36"/>
      <c r="Q7" s="40"/>
      <c r="R7" s="36"/>
      <c r="S7" s="48"/>
      <c r="T7" s="36"/>
      <c r="U7" s="36"/>
      <c r="V7" s="40"/>
      <c r="W7" s="40"/>
      <c r="X7" s="40"/>
      <c r="Y7" s="40"/>
      <c r="Z7" s="40"/>
      <c r="AA7" s="36"/>
      <c r="AB7" s="57">
        <v>7.65</v>
      </c>
      <c r="AC7" s="36"/>
      <c r="AD7" s="48">
        <v>0.6</v>
      </c>
      <c r="AE7" s="36">
        <v>0.2</v>
      </c>
      <c r="AF7" s="36"/>
      <c r="AG7" s="113">
        <f>SUM(D7:AF7)</f>
        <v>100</v>
      </c>
      <c r="AJ7"/>
      <c r="AN7" s="36">
        <f>AVERAGE(66.49,66.12)</f>
        <v>66.305000000000007</v>
      </c>
      <c r="AO7" s="36">
        <f>AVERAGE(10.5,10.49)</f>
        <v>10.495000000000001</v>
      </c>
      <c r="AP7" s="36">
        <v>146.51</v>
      </c>
      <c r="AQ7" s="36"/>
      <c r="AR7" s="36"/>
      <c r="AS7" s="36"/>
      <c r="AT7" s="36"/>
      <c r="AU7" s="36"/>
    </row>
    <row r="8" spans="1:47">
      <c r="A8" s="105">
        <v>5</v>
      </c>
      <c r="B8" s="54" t="s">
        <v>48</v>
      </c>
      <c r="C8" s="43" t="s">
        <v>49</v>
      </c>
      <c r="D8" s="47">
        <v>10</v>
      </c>
      <c r="E8" s="36"/>
      <c r="F8" s="63"/>
      <c r="G8" s="36"/>
      <c r="H8" s="48"/>
      <c r="I8" s="57"/>
      <c r="J8" s="36"/>
      <c r="K8" s="49">
        <v>47.98</v>
      </c>
      <c r="L8" s="47">
        <v>29</v>
      </c>
      <c r="M8" s="36"/>
      <c r="N8" s="49">
        <v>5</v>
      </c>
      <c r="O8" s="43"/>
      <c r="P8" s="43"/>
      <c r="Q8" s="47"/>
      <c r="R8" s="36"/>
      <c r="S8" s="48"/>
      <c r="T8" s="36"/>
      <c r="U8" s="36"/>
      <c r="V8" s="40"/>
      <c r="W8" s="40"/>
      <c r="X8" s="40"/>
      <c r="Y8" s="40"/>
      <c r="Z8" s="40"/>
      <c r="AA8" s="36"/>
      <c r="AB8" s="57">
        <v>7.26</v>
      </c>
      <c r="AC8" s="36"/>
      <c r="AD8" s="48">
        <v>0.56999999999999995</v>
      </c>
      <c r="AE8" s="36">
        <v>0.19</v>
      </c>
      <c r="AF8" s="36"/>
      <c r="AG8" s="113">
        <f>SUM(D8:AF8)</f>
        <v>99.999999999999986</v>
      </c>
      <c r="AJ8"/>
      <c r="AN8" s="36">
        <f>AVERAGE(56.69,56.75)</f>
        <v>56.72</v>
      </c>
      <c r="AO8" s="36">
        <f>AVERAGE(9.13,9.13)</f>
        <v>9.1300000000000008</v>
      </c>
      <c r="AP8" s="36">
        <v>141.024</v>
      </c>
      <c r="AQ8" s="36"/>
      <c r="AR8" s="36"/>
      <c r="AS8" s="36"/>
      <c r="AT8" s="36"/>
      <c r="AU8" s="36"/>
    </row>
    <row r="9" spans="1:47">
      <c r="A9" s="110">
        <v>6</v>
      </c>
      <c r="B9" s="45" t="s">
        <v>48</v>
      </c>
      <c r="C9" s="36" t="s">
        <v>50</v>
      </c>
      <c r="D9" s="40">
        <v>10</v>
      </c>
      <c r="E9" s="36"/>
      <c r="F9" s="57"/>
      <c r="G9" s="36"/>
      <c r="H9" s="48"/>
      <c r="I9" s="57"/>
      <c r="J9" s="36"/>
      <c r="K9" s="48"/>
      <c r="L9" s="40">
        <v>75.260000000000005</v>
      </c>
      <c r="M9" s="36"/>
      <c r="N9" s="48">
        <v>7</v>
      </c>
      <c r="O9" s="36"/>
      <c r="P9" s="36"/>
      <c r="Q9" s="40"/>
      <c r="R9" s="36"/>
      <c r="S9" s="48"/>
      <c r="T9" s="36"/>
      <c r="U9" s="36"/>
      <c r="V9" s="40"/>
      <c r="W9" s="40"/>
      <c r="X9" s="40"/>
      <c r="Y9" s="40"/>
      <c r="Z9" s="40"/>
      <c r="AA9" s="36"/>
      <c r="AB9" s="57">
        <v>7.01</v>
      </c>
      <c r="AC9" s="36"/>
      <c r="AD9" s="48">
        <v>0.55000000000000004</v>
      </c>
      <c r="AE9" s="36">
        <v>0.18</v>
      </c>
      <c r="AF9" s="36"/>
      <c r="AG9" s="113">
        <f>SUM(D9:AF9)</f>
        <v>100.00000000000001</v>
      </c>
      <c r="AJ9"/>
      <c r="AN9" s="36">
        <f>AVERAGE(68.06,68.02)</f>
        <v>68.039999999999992</v>
      </c>
      <c r="AO9" s="36">
        <f>AVERAGE(10.57,10.56)</f>
        <v>10.565000000000001</v>
      </c>
      <c r="AP9" s="36">
        <v>143.45099999999999</v>
      </c>
      <c r="AQ9" s="36"/>
      <c r="AR9" s="36"/>
      <c r="AS9" s="36"/>
      <c r="AT9" s="36"/>
      <c r="AU9" s="36"/>
    </row>
    <row r="10" spans="1:47">
      <c r="A10" s="105">
        <v>7</v>
      </c>
      <c r="B10" s="45" t="s">
        <v>48</v>
      </c>
      <c r="C10" s="36" t="s">
        <v>51</v>
      </c>
      <c r="D10" s="40">
        <v>10</v>
      </c>
      <c r="E10" s="36"/>
      <c r="F10" s="57"/>
      <c r="G10" s="36"/>
      <c r="H10" s="48"/>
      <c r="I10" s="57"/>
      <c r="J10" s="36"/>
      <c r="K10" s="48">
        <v>47.48</v>
      </c>
      <c r="L10" s="40">
        <v>29</v>
      </c>
      <c r="M10" s="36"/>
      <c r="N10" s="48">
        <v>5.5</v>
      </c>
      <c r="O10" s="36"/>
      <c r="P10" s="36"/>
      <c r="Q10" s="40"/>
      <c r="R10" s="36"/>
      <c r="S10" s="48"/>
      <c r="T10" s="36"/>
      <c r="U10" s="36"/>
      <c r="V10" s="40"/>
      <c r="W10" s="40"/>
      <c r="X10" s="40"/>
      <c r="Y10" s="40"/>
      <c r="Z10" s="40"/>
      <c r="AA10" s="36"/>
      <c r="AB10" s="57">
        <v>7.26</v>
      </c>
      <c r="AC10" s="36"/>
      <c r="AD10" s="48">
        <v>0.56999999999999995</v>
      </c>
      <c r="AE10" s="36">
        <v>0.19</v>
      </c>
      <c r="AF10" s="36"/>
      <c r="AG10" s="113">
        <f>SUM(D10:AF10)</f>
        <v>99.999999999999986</v>
      </c>
      <c r="AJ10"/>
      <c r="AN10" s="36">
        <f>AVERAGE(58.08,58.75)</f>
        <v>58.414999999999999</v>
      </c>
      <c r="AO10" s="36">
        <f>AVERAGE(9.23,9.23)</f>
        <v>9.23</v>
      </c>
      <c r="AP10" s="36">
        <v>138.244</v>
      </c>
      <c r="AQ10" s="36"/>
      <c r="AR10" s="36"/>
      <c r="AS10" s="36"/>
      <c r="AT10" s="36"/>
      <c r="AU10" s="36"/>
    </row>
    <row r="11" spans="1:47">
      <c r="A11" s="105">
        <v>8</v>
      </c>
      <c r="B11" s="45" t="s">
        <v>48</v>
      </c>
      <c r="C11" s="36" t="s">
        <v>52</v>
      </c>
      <c r="D11" s="40">
        <v>10</v>
      </c>
      <c r="E11" s="36"/>
      <c r="F11" s="57"/>
      <c r="G11" s="36"/>
      <c r="H11" s="48"/>
      <c r="I11" s="57"/>
      <c r="J11" s="36"/>
      <c r="K11" s="48"/>
      <c r="L11" s="40">
        <v>74.48</v>
      </c>
      <c r="M11" s="36"/>
      <c r="N11" s="48">
        <v>7.5</v>
      </c>
      <c r="O11" s="36"/>
      <c r="P11" s="36"/>
      <c r="Q11" s="40"/>
      <c r="R11" s="36"/>
      <c r="S11" s="48"/>
      <c r="T11" s="36"/>
      <c r="U11" s="36"/>
      <c r="V11" s="40"/>
      <c r="W11" s="40"/>
      <c r="X11" s="40"/>
      <c r="Y11" s="40"/>
      <c r="Z11" s="40"/>
      <c r="AA11" s="36"/>
      <c r="AB11" s="57">
        <v>7.26</v>
      </c>
      <c r="AC11" s="36"/>
      <c r="AD11" s="48">
        <v>0.56999999999999995</v>
      </c>
      <c r="AE11" s="36">
        <v>0.19</v>
      </c>
      <c r="AF11" s="36"/>
      <c r="AG11" s="113">
        <f>SUM(D11:AF11)</f>
        <v>100</v>
      </c>
      <c r="AJ11"/>
      <c r="AN11" s="36">
        <f>AVERAGE(70.17,70.03)</f>
        <v>70.099999999999994</v>
      </c>
      <c r="AO11" s="36">
        <f>AVERAGE(10.75,10.74)</f>
        <v>10.745000000000001</v>
      </c>
      <c r="AP11" s="36">
        <v>142.11799999999999</v>
      </c>
      <c r="AQ11" s="36"/>
      <c r="AR11" s="36"/>
      <c r="AS11" s="36"/>
      <c r="AT11" s="36"/>
      <c r="AU11" s="36"/>
    </row>
    <row r="12" spans="1:47">
      <c r="A12" s="105">
        <v>9</v>
      </c>
      <c r="B12" s="45" t="s">
        <v>53</v>
      </c>
      <c r="C12" s="36" t="s">
        <v>54</v>
      </c>
      <c r="D12" s="40">
        <v>10</v>
      </c>
      <c r="E12" s="36"/>
      <c r="F12" s="57"/>
      <c r="G12" s="36"/>
      <c r="H12" s="48"/>
      <c r="I12" s="57"/>
      <c r="J12" s="36"/>
      <c r="K12" s="48">
        <v>46.98</v>
      </c>
      <c r="L12" s="40">
        <v>29</v>
      </c>
      <c r="M12" s="36"/>
      <c r="N12" s="48"/>
      <c r="O12" s="36">
        <v>6</v>
      </c>
      <c r="P12" s="36"/>
      <c r="Q12" s="40"/>
      <c r="R12" s="36"/>
      <c r="S12" s="48"/>
      <c r="T12" s="36"/>
      <c r="U12" s="36"/>
      <c r="V12" s="40"/>
      <c r="W12" s="40"/>
      <c r="X12" s="40"/>
      <c r="Y12" s="40"/>
      <c r="Z12" s="40"/>
      <c r="AA12" s="36"/>
      <c r="AB12" s="57">
        <v>7.26</v>
      </c>
      <c r="AC12" s="36"/>
      <c r="AD12" s="48">
        <v>0.56999999999999995</v>
      </c>
      <c r="AE12" s="36">
        <v>0.19</v>
      </c>
      <c r="AF12" s="36"/>
      <c r="AG12" s="113">
        <f>SUM(D12:AF12)</f>
        <v>99.999999999999986</v>
      </c>
      <c r="AJ12"/>
      <c r="AN12" s="36">
        <f>AVERAGE(68.57,68.51)</f>
        <v>68.539999999999992</v>
      </c>
      <c r="AO12" s="36">
        <f>AVERAGE(11.31,11.31)</f>
        <v>11.31</v>
      </c>
      <c r="AP12" s="36">
        <v>158.59800000000001</v>
      </c>
      <c r="AQ12" s="36"/>
      <c r="AR12" s="36"/>
      <c r="AS12" s="36"/>
      <c r="AT12" s="36"/>
      <c r="AU12" s="36"/>
    </row>
    <row r="13" spans="1:47">
      <c r="A13" s="110">
        <v>10</v>
      </c>
      <c r="B13" s="46" t="s">
        <v>53</v>
      </c>
      <c r="C13" s="39" t="s">
        <v>55</v>
      </c>
      <c r="D13" s="41">
        <v>9.98</v>
      </c>
      <c r="E13" s="36"/>
      <c r="F13" s="58"/>
      <c r="G13" s="36"/>
      <c r="H13" s="48"/>
      <c r="I13" s="57"/>
      <c r="J13" s="36"/>
      <c r="K13" s="50"/>
      <c r="L13" s="41">
        <v>74</v>
      </c>
      <c r="M13" s="36"/>
      <c r="N13" s="50"/>
      <c r="O13" s="39">
        <v>8</v>
      </c>
      <c r="P13" s="39"/>
      <c r="Q13" s="41"/>
      <c r="R13" s="36"/>
      <c r="S13" s="48"/>
      <c r="T13" s="36"/>
      <c r="U13" s="36"/>
      <c r="V13" s="40"/>
      <c r="W13" s="40"/>
      <c r="X13" s="40"/>
      <c r="Y13" s="40"/>
      <c r="Z13" s="40"/>
      <c r="AA13" s="36"/>
      <c r="AB13" s="57">
        <v>7.26</v>
      </c>
      <c r="AC13" s="36"/>
      <c r="AD13" s="48">
        <v>0.56999999999999995</v>
      </c>
      <c r="AE13" s="36">
        <v>0.19</v>
      </c>
      <c r="AF13" s="36"/>
      <c r="AG13" s="113">
        <f>SUM(D13:AF13)</f>
        <v>100</v>
      </c>
      <c r="AJ13"/>
      <c r="AN13" s="36">
        <f>AVERAGE(87.62,87.35)</f>
        <v>87.484999999999999</v>
      </c>
      <c r="AO13" s="36">
        <f>AVERAGE(14.15,14.15)</f>
        <v>14.15</v>
      </c>
      <c r="AP13" s="36">
        <v>167.315</v>
      </c>
      <c r="AQ13" s="36"/>
      <c r="AR13" s="36"/>
      <c r="AS13" s="36"/>
      <c r="AT13" s="36"/>
      <c r="AU13" s="36"/>
    </row>
    <row r="14" spans="1:47">
      <c r="A14" s="105">
        <v>11</v>
      </c>
      <c r="B14" s="45" t="s">
        <v>56</v>
      </c>
      <c r="C14" s="36" t="s">
        <v>57</v>
      </c>
      <c r="D14" s="40">
        <v>10</v>
      </c>
      <c r="E14" s="36"/>
      <c r="F14" s="57"/>
      <c r="G14" s="36"/>
      <c r="H14" s="48"/>
      <c r="I14" s="57"/>
      <c r="J14" s="36"/>
      <c r="K14" s="48">
        <v>50</v>
      </c>
      <c r="L14" s="40">
        <v>27.05</v>
      </c>
      <c r="M14" s="36"/>
      <c r="N14" s="48"/>
      <c r="O14" s="36"/>
      <c r="P14" s="36"/>
      <c r="Q14" s="40"/>
      <c r="R14" s="36"/>
      <c r="S14" s="48"/>
      <c r="T14" s="36"/>
      <c r="U14" s="36"/>
      <c r="V14" s="40">
        <v>4.5</v>
      </c>
      <c r="W14" s="40"/>
      <c r="X14" s="40"/>
      <c r="Y14" s="40"/>
      <c r="Z14" s="40"/>
      <c r="AA14" s="36"/>
      <c r="AB14" s="57">
        <v>7.65</v>
      </c>
      <c r="AC14" s="36"/>
      <c r="AD14" s="48">
        <v>0.6</v>
      </c>
      <c r="AE14" s="36">
        <v>0.2</v>
      </c>
      <c r="AF14" s="36"/>
      <c r="AG14" s="113">
        <f>SUM(D14:AF14)</f>
        <v>100</v>
      </c>
      <c r="AJ14"/>
      <c r="AN14" s="36">
        <f>AVERAGE(59.91,59.9)</f>
        <v>59.905000000000001</v>
      </c>
      <c r="AO14" s="36">
        <f>AVERAGE(10.69,10.71)</f>
        <v>10.7</v>
      </c>
      <c r="AP14" s="36">
        <v>170.97300000000001</v>
      </c>
      <c r="AQ14" s="36"/>
      <c r="AR14" s="36"/>
      <c r="AS14" s="36"/>
      <c r="AT14" s="36"/>
      <c r="AU14" s="36"/>
    </row>
    <row r="15" spans="1:47">
      <c r="A15" s="105">
        <v>12</v>
      </c>
      <c r="B15" s="45" t="s">
        <v>56</v>
      </c>
      <c r="C15" s="36" t="s">
        <v>58</v>
      </c>
      <c r="D15" s="40">
        <v>10</v>
      </c>
      <c r="E15" s="36"/>
      <c r="F15" s="57"/>
      <c r="G15" s="36"/>
      <c r="H15" s="48"/>
      <c r="I15" s="57"/>
      <c r="J15" s="36"/>
      <c r="K15" s="48"/>
      <c r="L15" s="40">
        <v>75.98</v>
      </c>
      <c r="M15" s="36"/>
      <c r="N15" s="48"/>
      <c r="O15" s="36"/>
      <c r="P15" s="36"/>
      <c r="Q15" s="40"/>
      <c r="R15" s="36"/>
      <c r="S15" s="48"/>
      <c r="T15" s="36"/>
      <c r="U15" s="36"/>
      <c r="V15" s="40">
        <v>6</v>
      </c>
      <c r="W15" s="40"/>
      <c r="X15" s="40"/>
      <c r="Y15" s="40"/>
      <c r="Z15" s="40"/>
      <c r="AA15" s="36"/>
      <c r="AB15" s="57">
        <v>7.26</v>
      </c>
      <c r="AC15" s="36"/>
      <c r="AD15" s="48">
        <v>0.56999999999999995</v>
      </c>
      <c r="AE15" s="36">
        <v>0.19</v>
      </c>
      <c r="AF15" s="36"/>
      <c r="AG15" s="113">
        <f>SUM(D15:AF15)</f>
        <v>100</v>
      </c>
      <c r="AJ15"/>
      <c r="AN15" s="36">
        <f>AVERAGE(71.63,71.64)</f>
        <v>71.634999999999991</v>
      </c>
      <c r="AO15" s="36">
        <f>AVERAGE(11.38,11.4)</f>
        <v>11.39</v>
      </c>
      <c r="AP15" s="36">
        <v>152.066</v>
      </c>
      <c r="AQ15" s="36"/>
      <c r="AR15" s="36"/>
      <c r="AS15" s="36"/>
      <c r="AT15" s="36"/>
      <c r="AU15" s="36"/>
    </row>
    <row r="16" spans="1:47">
      <c r="A16" s="105">
        <v>13</v>
      </c>
      <c r="B16" s="45" t="s">
        <v>56</v>
      </c>
      <c r="C16" s="36" t="s">
        <v>59</v>
      </c>
      <c r="D16" s="40">
        <v>10</v>
      </c>
      <c r="E16" s="36"/>
      <c r="F16" s="57"/>
      <c r="G16" s="36"/>
      <c r="H16" s="48"/>
      <c r="I16" s="57"/>
      <c r="J16" s="36"/>
      <c r="K16" s="48">
        <v>48</v>
      </c>
      <c r="L16" s="40">
        <v>28.49</v>
      </c>
      <c r="M16" s="36"/>
      <c r="N16" s="48"/>
      <c r="O16" s="36"/>
      <c r="P16" s="36"/>
      <c r="Q16" s="40"/>
      <c r="R16" s="36"/>
      <c r="S16" s="48"/>
      <c r="T16" s="36"/>
      <c r="U16" s="36"/>
      <c r="V16" s="40">
        <v>5.5</v>
      </c>
      <c r="W16" s="40"/>
      <c r="X16" s="40"/>
      <c r="Y16" s="40"/>
      <c r="Z16" s="40"/>
      <c r="AA16" s="36"/>
      <c r="AB16" s="57">
        <v>7.26</v>
      </c>
      <c r="AC16" s="36"/>
      <c r="AD16" s="48">
        <v>0.56999999999999995</v>
      </c>
      <c r="AE16" s="36">
        <v>0.18</v>
      </c>
      <c r="AF16" s="36"/>
      <c r="AG16" s="113">
        <f>SUM(D16:AF16)</f>
        <v>100</v>
      </c>
      <c r="AJ16"/>
      <c r="AN16" s="36">
        <f>AVERAGE(61.09,61.09)</f>
        <v>61.09</v>
      </c>
      <c r="AO16" s="36">
        <f>AVERAGE(9.82,9.81)</f>
        <v>9.8150000000000013</v>
      </c>
      <c r="AP16" s="36">
        <v>145.18100000000001</v>
      </c>
      <c r="AQ16" s="36"/>
      <c r="AR16" s="36"/>
      <c r="AS16" s="36"/>
      <c r="AT16" s="36"/>
      <c r="AU16" s="36"/>
    </row>
    <row r="17" spans="1:47">
      <c r="A17" s="105">
        <v>14</v>
      </c>
      <c r="B17" s="45" t="s">
        <v>56</v>
      </c>
      <c r="C17" s="36" t="s">
        <v>60</v>
      </c>
      <c r="D17" s="40">
        <v>10</v>
      </c>
      <c r="E17" s="36"/>
      <c r="F17" s="57"/>
      <c r="G17" s="36"/>
      <c r="H17" s="48"/>
      <c r="I17" s="57"/>
      <c r="J17" s="36"/>
      <c r="K17" s="48"/>
      <c r="L17" s="40">
        <v>75.2</v>
      </c>
      <c r="M17" s="36"/>
      <c r="N17" s="48"/>
      <c r="O17" s="36"/>
      <c r="P17" s="36"/>
      <c r="Q17" s="40"/>
      <c r="R17" s="36"/>
      <c r="S17" s="48"/>
      <c r="T17" s="36"/>
      <c r="U17" s="36"/>
      <c r="V17" s="40">
        <v>7</v>
      </c>
      <c r="W17" s="40"/>
      <c r="X17" s="40"/>
      <c r="Y17" s="40"/>
      <c r="Z17" s="40"/>
      <c r="AA17" s="36"/>
      <c r="AB17" s="57">
        <v>7.11</v>
      </c>
      <c r="AC17" s="36"/>
      <c r="AD17" s="48">
        <v>0.5</v>
      </c>
      <c r="AE17" s="36">
        <v>0.19</v>
      </c>
      <c r="AF17" s="36"/>
      <c r="AG17" s="113">
        <f>SUM(D17:AF17)</f>
        <v>100</v>
      </c>
      <c r="AJ17"/>
      <c r="AN17" s="36">
        <f>AVERAGE(75.28,75.42)</f>
        <v>75.349999999999994</v>
      </c>
      <c r="AO17" s="36">
        <f>AVERAGE(11.65,11.64)</f>
        <v>11.645</v>
      </c>
      <c r="AP17" s="36">
        <v>148.30799999999999</v>
      </c>
      <c r="AQ17" s="36"/>
      <c r="AR17" s="36"/>
      <c r="AS17" s="36"/>
      <c r="AT17" s="36"/>
      <c r="AU17" s="36"/>
    </row>
    <row r="18" spans="1:47">
      <c r="A18" s="105">
        <v>15</v>
      </c>
      <c r="B18" s="45" t="s">
        <v>61</v>
      </c>
      <c r="C18" s="36" t="s">
        <v>62</v>
      </c>
      <c r="D18" s="40">
        <v>9.6</v>
      </c>
      <c r="E18" s="36"/>
      <c r="F18" s="57"/>
      <c r="G18" s="36"/>
      <c r="H18" s="48"/>
      <c r="I18" s="57"/>
      <c r="J18" s="36"/>
      <c r="K18" s="48">
        <v>48.34</v>
      </c>
      <c r="L18" s="40">
        <v>30</v>
      </c>
      <c r="M18" s="36"/>
      <c r="N18" s="48"/>
      <c r="O18" s="36"/>
      <c r="P18" s="36"/>
      <c r="Q18" s="40"/>
      <c r="R18" s="36"/>
      <c r="S18" s="48"/>
      <c r="T18" s="36"/>
      <c r="U18" s="36">
        <v>4</v>
      </c>
      <c r="V18" s="40"/>
      <c r="W18" s="40"/>
      <c r="X18" s="40"/>
      <c r="Y18" s="40"/>
      <c r="Z18" s="40"/>
      <c r="AA18" s="36"/>
      <c r="AB18" s="57">
        <v>7.3</v>
      </c>
      <c r="AC18" s="36"/>
      <c r="AD18" s="48">
        <v>0.56999999999999995</v>
      </c>
      <c r="AE18" s="36">
        <v>0.19</v>
      </c>
      <c r="AF18" s="36"/>
      <c r="AG18" s="113">
        <f>SUM(D18:AF18)</f>
        <v>99.999999999999986</v>
      </c>
      <c r="AJ18" s="91"/>
      <c r="AN18" s="36">
        <f>AVERAGE(59.34,59.24)</f>
        <v>59.290000000000006</v>
      </c>
      <c r="AO18" s="36">
        <f>AVERAGE(9.58,9.58)</f>
        <v>9.58</v>
      </c>
      <c r="AP18" s="36">
        <v>144.72399999999999</v>
      </c>
      <c r="AQ18" s="36"/>
      <c r="AR18" s="36"/>
      <c r="AS18" s="36"/>
      <c r="AT18" s="36"/>
      <c r="AU18" s="36"/>
    </row>
    <row r="19" spans="1:47">
      <c r="A19" s="105">
        <v>16</v>
      </c>
      <c r="B19" s="45" t="s">
        <v>61</v>
      </c>
      <c r="C19" s="36" t="s">
        <v>63</v>
      </c>
      <c r="D19" s="40">
        <v>10</v>
      </c>
      <c r="E19" s="36"/>
      <c r="F19" s="57"/>
      <c r="G19" s="36"/>
      <c r="H19" s="48"/>
      <c r="I19" s="57"/>
      <c r="J19" s="36"/>
      <c r="K19" s="48">
        <v>50</v>
      </c>
      <c r="L19" s="40">
        <v>26.55</v>
      </c>
      <c r="M19" s="36"/>
      <c r="N19" s="48"/>
      <c r="O19" s="36"/>
      <c r="P19" s="36"/>
      <c r="Q19" s="40"/>
      <c r="R19" s="36"/>
      <c r="S19" s="48"/>
      <c r="T19" s="36"/>
      <c r="U19" s="36">
        <v>5</v>
      </c>
      <c r="V19" s="40"/>
      <c r="W19" s="40"/>
      <c r="X19" s="40"/>
      <c r="Y19" s="40"/>
      <c r="Z19" s="40"/>
      <c r="AA19" s="36"/>
      <c r="AB19" s="57">
        <v>7.65</v>
      </c>
      <c r="AC19" s="36"/>
      <c r="AD19" s="48">
        <v>0.6</v>
      </c>
      <c r="AE19" s="36">
        <v>0.2</v>
      </c>
      <c r="AF19" s="36"/>
      <c r="AG19" s="113">
        <f>SUM(D19:AF19)</f>
        <v>100</v>
      </c>
      <c r="AJ19" s="91"/>
      <c r="AN19" s="36">
        <f>AVERAGE(59.24,59.27)</f>
        <v>59.255000000000003</v>
      </c>
      <c r="AO19" s="36">
        <f>AVERAGE(10.14,10.1)</f>
        <v>10.120000000000001</v>
      </c>
      <c r="AP19" s="36">
        <v>158.809</v>
      </c>
      <c r="AQ19" s="36"/>
      <c r="AR19" s="36"/>
      <c r="AS19" s="36"/>
      <c r="AT19" s="36"/>
      <c r="AU19" s="36"/>
    </row>
    <row r="20" spans="1:47">
      <c r="A20" s="105">
        <v>17</v>
      </c>
      <c r="B20" s="45" t="s">
        <v>61</v>
      </c>
      <c r="C20" s="36" t="s">
        <v>64</v>
      </c>
      <c r="D20" s="40">
        <v>10</v>
      </c>
      <c r="E20" s="36"/>
      <c r="F20" s="57"/>
      <c r="G20" s="36"/>
      <c r="H20" s="48"/>
      <c r="I20" s="57"/>
      <c r="J20" s="36"/>
      <c r="K20" s="48"/>
      <c r="L20" s="40">
        <v>75.05</v>
      </c>
      <c r="M20" s="36"/>
      <c r="N20" s="48"/>
      <c r="O20" s="36"/>
      <c r="P20" s="36"/>
      <c r="Q20" s="40"/>
      <c r="R20" s="36"/>
      <c r="S20" s="48"/>
      <c r="T20" s="36"/>
      <c r="U20" s="36">
        <v>6.5</v>
      </c>
      <c r="V20" s="40"/>
      <c r="W20" s="40"/>
      <c r="X20" s="40"/>
      <c r="Y20" s="40"/>
      <c r="Z20" s="40"/>
      <c r="AA20" s="36"/>
      <c r="AB20" s="57">
        <v>7.65</v>
      </c>
      <c r="AC20" s="36"/>
      <c r="AD20" s="48">
        <v>0.6</v>
      </c>
      <c r="AE20" s="36">
        <v>0.2</v>
      </c>
      <c r="AF20" s="36"/>
      <c r="AG20" s="113">
        <f>SUM(D20:AF20)</f>
        <v>100</v>
      </c>
      <c r="AJ20" s="91"/>
      <c r="AN20" s="36">
        <f>AVERAGE(72.59,72.41)</f>
        <v>72.5</v>
      </c>
      <c r="AO20" s="36">
        <f>AVERAGE(11.52,11.5)</f>
        <v>11.51</v>
      </c>
      <c r="AP20" s="36">
        <v>152.41999999999999</v>
      </c>
      <c r="AQ20" s="36"/>
      <c r="AR20" s="36"/>
      <c r="AS20" s="36"/>
      <c r="AT20" s="36"/>
      <c r="AU20" s="36"/>
    </row>
    <row r="21" spans="1:47">
      <c r="A21" s="105">
        <v>18</v>
      </c>
      <c r="B21" s="45" t="s">
        <v>61</v>
      </c>
      <c r="C21" s="36" t="s">
        <v>65</v>
      </c>
      <c r="D21" s="40">
        <v>10</v>
      </c>
      <c r="E21" s="36"/>
      <c r="F21" s="57"/>
      <c r="G21" s="36"/>
      <c r="H21" s="48"/>
      <c r="I21" s="57"/>
      <c r="J21" s="36"/>
      <c r="K21" s="48"/>
      <c r="L21" s="40">
        <v>74.55</v>
      </c>
      <c r="M21" s="36"/>
      <c r="N21" s="48"/>
      <c r="O21" s="36"/>
      <c r="P21" s="36"/>
      <c r="Q21" s="40"/>
      <c r="R21" s="36"/>
      <c r="S21" s="48"/>
      <c r="T21" s="36"/>
      <c r="U21" s="36">
        <v>7</v>
      </c>
      <c r="V21" s="40"/>
      <c r="W21" s="40"/>
      <c r="X21" s="40"/>
      <c r="Y21" s="40"/>
      <c r="Z21" s="40"/>
      <c r="AA21" s="36"/>
      <c r="AB21" s="57">
        <v>7.65</v>
      </c>
      <c r="AC21" s="36"/>
      <c r="AD21" s="48">
        <v>0.6</v>
      </c>
      <c r="AE21" s="36">
        <v>0.2</v>
      </c>
      <c r="AF21" s="36"/>
      <c r="AG21" s="113">
        <f>SUM(D21:AF21)</f>
        <v>100</v>
      </c>
      <c r="AJ21" s="91"/>
      <c r="AN21" s="36">
        <f>AVERAGE(73.25,73.02)</f>
        <v>73.134999999999991</v>
      </c>
      <c r="AO21" s="36">
        <f>AVERAGE(11.99,11.96)</f>
        <v>11.975000000000001</v>
      </c>
      <c r="AP21" s="36">
        <v>160.351</v>
      </c>
      <c r="AQ21" s="36"/>
      <c r="AR21" s="36"/>
      <c r="AS21" s="36"/>
      <c r="AT21" s="36"/>
      <c r="AU21" s="36"/>
    </row>
    <row r="22" spans="1:47">
      <c r="A22" s="110">
        <v>19</v>
      </c>
      <c r="B22" s="46" t="s">
        <v>61</v>
      </c>
      <c r="C22" s="39" t="s">
        <v>66</v>
      </c>
      <c r="D22" s="41">
        <v>10</v>
      </c>
      <c r="E22" s="36"/>
      <c r="F22" s="58"/>
      <c r="G22" s="36"/>
      <c r="H22" s="48"/>
      <c r="I22" s="57"/>
      <c r="J22" s="36"/>
      <c r="K22" s="50">
        <v>50</v>
      </c>
      <c r="L22" s="41">
        <v>27.05</v>
      </c>
      <c r="M22" s="36"/>
      <c r="N22" s="50"/>
      <c r="O22" s="39"/>
      <c r="P22" s="39"/>
      <c r="Q22" s="41"/>
      <c r="R22" s="36"/>
      <c r="S22" s="48"/>
      <c r="T22" s="36"/>
      <c r="U22" s="36"/>
      <c r="V22" s="40">
        <v>6.5</v>
      </c>
      <c r="W22" s="40"/>
      <c r="X22" s="40"/>
      <c r="Y22" s="40"/>
      <c r="Z22" s="40"/>
      <c r="AA22" s="36"/>
      <c r="AB22" s="57">
        <v>7.65</v>
      </c>
      <c r="AC22" s="36"/>
      <c r="AD22" s="48">
        <v>0.6</v>
      </c>
      <c r="AE22" s="36">
        <v>0.2</v>
      </c>
      <c r="AF22" s="36"/>
      <c r="AG22" s="113">
        <f>SUM(D22:AF22)</f>
        <v>102</v>
      </c>
      <c r="AJ22" s="91"/>
      <c r="AN22" s="36">
        <f>AVERAGE(65.91,65.85)</f>
        <v>65.88</v>
      </c>
      <c r="AO22" s="36">
        <f>AVERAGE(10.1,10.09)</f>
        <v>10.094999999999999</v>
      </c>
      <c r="AP22" s="36">
        <v>138.33199999999999</v>
      </c>
      <c r="AQ22" s="36"/>
      <c r="AR22" s="36"/>
      <c r="AS22" s="36"/>
      <c r="AT22" s="36"/>
      <c r="AU22" s="36"/>
    </row>
    <row r="23" spans="1:47">
      <c r="A23" s="105">
        <v>20</v>
      </c>
      <c r="B23" s="45" t="s">
        <v>67</v>
      </c>
      <c r="C23" s="36" t="s">
        <v>68</v>
      </c>
      <c r="D23" s="40">
        <v>8.36</v>
      </c>
      <c r="E23" s="36"/>
      <c r="F23" s="57"/>
      <c r="G23" s="36"/>
      <c r="H23" s="48"/>
      <c r="I23" s="57">
        <v>83.64</v>
      </c>
      <c r="J23" s="36"/>
      <c r="K23" s="48"/>
      <c r="L23" s="40"/>
      <c r="M23" s="36"/>
      <c r="N23" s="48"/>
      <c r="O23" s="36"/>
      <c r="P23" s="36"/>
      <c r="Q23" s="40"/>
      <c r="R23" s="36"/>
      <c r="S23" s="48"/>
      <c r="T23" s="36">
        <v>8</v>
      </c>
      <c r="U23" s="36"/>
      <c r="V23" s="40"/>
      <c r="W23" s="40"/>
      <c r="X23" s="40"/>
      <c r="Y23" s="40"/>
      <c r="Z23" s="40"/>
      <c r="AA23" s="36"/>
      <c r="AB23" s="57"/>
      <c r="AC23" s="36"/>
      <c r="AD23" s="48"/>
      <c r="AE23" s="36"/>
      <c r="AF23" s="36"/>
      <c r="AG23" s="113">
        <f>SUM(D23:AF23)</f>
        <v>100</v>
      </c>
      <c r="AJ23" s="91"/>
      <c r="AN23" s="36">
        <f>AVERAGE(60.36,60.4)</f>
        <v>60.379999999999995</v>
      </c>
      <c r="AO23" s="36" t="s">
        <v>69</v>
      </c>
      <c r="AP23" s="36" t="s">
        <v>69</v>
      </c>
      <c r="AQ23" s="36"/>
      <c r="AR23" s="36"/>
      <c r="AS23" s="36"/>
      <c r="AT23" s="36"/>
      <c r="AU23" s="36"/>
    </row>
    <row r="24" spans="1:47">
      <c r="A24" s="105">
        <v>21</v>
      </c>
      <c r="B24" s="45" t="s">
        <v>67</v>
      </c>
      <c r="C24" s="36" t="s">
        <v>70</v>
      </c>
      <c r="D24" s="40">
        <v>8.27</v>
      </c>
      <c r="E24" s="36"/>
      <c r="F24" s="57"/>
      <c r="G24" s="36"/>
      <c r="H24" s="48"/>
      <c r="I24" s="57">
        <v>82.73</v>
      </c>
      <c r="J24" s="36"/>
      <c r="K24" s="48"/>
      <c r="L24" s="40"/>
      <c r="M24" s="36"/>
      <c r="N24" s="48"/>
      <c r="O24" s="36"/>
      <c r="P24" s="36"/>
      <c r="Q24" s="40"/>
      <c r="R24" s="36"/>
      <c r="S24" s="48"/>
      <c r="T24" s="36">
        <v>9</v>
      </c>
      <c r="U24" s="36"/>
      <c r="V24" s="40"/>
      <c r="W24" s="40"/>
      <c r="X24" s="40"/>
      <c r="Y24" s="40"/>
      <c r="Z24" s="40"/>
      <c r="AA24" s="36"/>
      <c r="AB24" s="57"/>
      <c r="AC24" s="36"/>
      <c r="AD24" s="48"/>
      <c r="AE24" s="36"/>
      <c r="AF24" s="36"/>
      <c r="AG24" s="113">
        <f>SUM(D24:AF24)</f>
        <v>100</v>
      </c>
      <c r="AJ24" s="91"/>
      <c r="AN24" s="36">
        <f>AVERAGE(62.06,62.05)</f>
        <v>62.055</v>
      </c>
      <c r="AO24" s="36" t="s">
        <v>69</v>
      </c>
      <c r="AP24" s="36" t="s">
        <v>69</v>
      </c>
      <c r="AQ24" s="36"/>
      <c r="AR24" s="36"/>
      <c r="AS24" s="36"/>
      <c r="AT24" s="36"/>
      <c r="AU24" s="36"/>
    </row>
    <row r="25" spans="1:47">
      <c r="A25" s="105">
        <v>22</v>
      </c>
      <c r="B25" s="45" t="s">
        <v>71</v>
      </c>
      <c r="C25" s="36" t="s">
        <v>72</v>
      </c>
      <c r="D25" s="40">
        <v>10</v>
      </c>
      <c r="E25" s="36"/>
      <c r="F25" s="57"/>
      <c r="G25" s="36"/>
      <c r="H25" s="48"/>
      <c r="I25" s="57"/>
      <c r="J25" s="36"/>
      <c r="K25" s="48">
        <v>48</v>
      </c>
      <c r="L25" s="40">
        <v>29</v>
      </c>
      <c r="M25" s="36"/>
      <c r="N25" s="48"/>
      <c r="O25" s="36"/>
      <c r="P25" s="36"/>
      <c r="Q25" s="40"/>
      <c r="R25" s="36"/>
      <c r="S25" s="48"/>
      <c r="T25" s="36"/>
      <c r="U25" s="36">
        <v>5</v>
      </c>
      <c r="V25" s="40"/>
      <c r="W25" s="40"/>
      <c r="X25" s="40"/>
      <c r="Y25" s="40"/>
      <c r="Z25" s="40"/>
      <c r="AA25" s="36"/>
      <c r="AB25" s="57">
        <v>7.2</v>
      </c>
      <c r="AC25" s="36"/>
      <c r="AD25" s="48">
        <v>0.6</v>
      </c>
      <c r="AE25" s="36">
        <v>0.2</v>
      </c>
      <c r="AF25" s="36"/>
      <c r="AG25" s="113">
        <f>SUM(D25:AF25)</f>
        <v>100</v>
      </c>
      <c r="AJ25" s="91"/>
      <c r="AN25" s="36">
        <f>AVERAGE(69.37,69.27)</f>
        <v>69.319999999999993</v>
      </c>
      <c r="AO25" s="36">
        <f>AVERAGE(10.83,10.84)</f>
        <v>10.835000000000001</v>
      </c>
      <c r="AP25" s="36">
        <v>146.113</v>
      </c>
      <c r="AQ25" s="36"/>
      <c r="AR25" s="36"/>
      <c r="AS25" s="36"/>
      <c r="AT25" s="36"/>
      <c r="AU25" s="36"/>
    </row>
    <row r="26" spans="1:47">
      <c r="A26" s="105">
        <v>23</v>
      </c>
      <c r="B26" s="45" t="s">
        <v>71</v>
      </c>
      <c r="C26" s="36" t="s">
        <v>73</v>
      </c>
      <c r="D26" s="40">
        <v>10</v>
      </c>
      <c r="E26" s="36"/>
      <c r="F26" s="57"/>
      <c r="G26" s="36"/>
      <c r="H26" s="48"/>
      <c r="I26" s="57"/>
      <c r="J26" s="36"/>
      <c r="K26" s="48">
        <v>47</v>
      </c>
      <c r="L26" s="40">
        <v>29</v>
      </c>
      <c r="M26" s="36"/>
      <c r="N26" s="48"/>
      <c r="O26" s="36"/>
      <c r="P26" s="36"/>
      <c r="Q26" s="40"/>
      <c r="R26" s="36"/>
      <c r="S26" s="48"/>
      <c r="T26" s="36"/>
      <c r="U26" s="36">
        <v>6</v>
      </c>
      <c r="V26" s="40"/>
      <c r="W26" s="40"/>
      <c r="X26" s="40"/>
      <c r="Y26" s="40"/>
      <c r="Z26" s="40"/>
      <c r="AA26" s="36"/>
      <c r="AB26" s="57">
        <v>7.2</v>
      </c>
      <c r="AC26" s="36"/>
      <c r="AD26" s="48">
        <v>0.6</v>
      </c>
      <c r="AE26" s="36">
        <v>0.2</v>
      </c>
      <c r="AF26" s="36"/>
      <c r="AG26" s="113">
        <f>SUM(D26:AF26)</f>
        <v>100</v>
      </c>
      <c r="AJ26" s="91"/>
      <c r="AN26" s="36">
        <f>AVERAGE(69.83,69.78)</f>
        <v>69.805000000000007</v>
      </c>
      <c r="AO26" s="36">
        <f>AVERAGE(10.66,10.64)</f>
        <v>10.65</v>
      </c>
      <c r="AP26" s="36">
        <v>140.786</v>
      </c>
      <c r="AQ26" s="36"/>
      <c r="AR26" s="36"/>
      <c r="AS26" s="36"/>
      <c r="AT26" s="36"/>
      <c r="AU26" s="36"/>
    </row>
    <row r="27" spans="1:47">
      <c r="A27" s="105">
        <v>24</v>
      </c>
      <c r="B27" s="45" t="s">
        <v>71</v>
      </c>
      <c r="C27" s="36" t="s">
        <v>74</v>
      </c>
      <c r="D27" s="40">
        <v>10</v>
      </c>
      <c r="E27" s="36"/>
      <c r="F27" s="57"/>
      <c r="G27" s="36"/>
      <c r="H27" s="48"/>
      <c r="I27" s="57"/>
      <c r="J27" s="36"/>
      <c r="K27" s="48"/>
      <c r="L27" s="40">
        <v>74.27</v>
      </c>
      <c r="M27" s="36"/>
      <c r="N27" s="48"/>
      <c r="O27" s="36"/>
      <c r="P27" s="36"/>
      <c r="Q27" s="40"/>
      <c r="R27" s="36"/>
      <c r="S27" s="48">
        <v>8</v>
      </c>
      <c r="T27" s="36"/>
      <c r="U27" s="36"/>
      <c r="V27" s="40"/>
      <c r="W27" s="40"/>
      <c r="X27" s="40"/>
      <c r="Y27" s="40"/>
      <c r="Z27" s="40"/>
      <c r="AA27" s="36"/>
      <c r="AB27" s="57">
        <v>7.03</v>
      </c>
      <c r="AC27" s="36"/>
      <c r="AD27" s="48">
        <v>0.5</v>
      </c>
      <c r="AE27" s="36">
        <v>0.2</v>
      </c>
      <c r="AF27" s="36"/>
      <c r="AG27" s="113">
        <f>SUM(D27:AF27)</f>
        <v>100</v>
      </c>
      <c r="AJ27" s="91"/>
      <c r="AN27" s="36">
        <f>AVERAGE(81.41,81.31)</f>
        <v>81.36</v>
      </c>
      <c r="AO27" s="36">
        <f>AVERAGE(12.26,12.24)</f>
        <v>12.25</v>
      </c>
      <c r="AP27" s="36">
        <v>146.75</v>
      </c>
      <c r="AQ27" s="36"/>
      <c r="AR27" s="36"/>
      <c r="AS27" s="36"/>
      <c r="AT27" s="36"/>
      <c r="AU27" s="36"/>
    </row>
    <row r="28" spans="1:47">
      <c r="A28" s="105">
        <v>25</v>
      </c>
      <c r="B28" s="45" t="s">
        <v>71</v>
      </c>
      <c r="C28" s="36" t="s">
        <v>75</v>
      </c>
      <c r="D28" s="40">
        <v>9.4</v>
      </c>
      <c r="E28" s="36"/>
      <c r="F28" s="57"/>
      <c r="G28" s="36"/>
      <c r="H28" s="48"/>
      <c r="I28" s="57"/>
      <c r="J28" s="36"/>
      <c r="K28" s="48"/>
      <c r="L28" s="40">
        <v>73</v>
      </c>
      <c r="M28" s="36"/>
      <c r="N28" s="48"/>
      <c r="O28" s="36"/>
      <c r="P28" s="36"/>
      <c r="Q28" s="40"/>
      <c r="R28" s="36"/>
      <c r="S28" s="48">
        <v>10</v>
      </c>
      <c r="T28" s="36"/>
      <c r="U28" s="36"/>
      <c r="V28" s="40"/>
      <c r="W28" s="40"/>
      <c r="X28" s="40"/>
      <c r="Y28" s="40"/>
      <c r="Z28" s="40"/>
      <c r="AA28" s="36"/>
      <c r="AB28" s="57">
        <v>6.9</v>
      </c>
      <c r="AC28" s="36"/>
      <c r="AD28" s="48">
        <v>0.5</v>
      </c>
      <c r="AE28" s="36">
        <v>0.2</v>
      </c>
      <c r="AF28" s="36"/>
      <c r="AG28" s="113">
        <f>SUM(D28:AF28)</f>
        <v>100.00000000000001</v>
      </c>
      <c r="AJ28" s="91"/>
      <c r="AN28" s="36">
        <f>AVERAGE(88.24,88.19)</f>
        <v>88.215000000000003</v>
      </c>
      <c r="AO28" s="36">
        <f>AVERAGE(13.78,13.79)</f>
        <v>13.785</v>
      </c>
      <c r="AP28" s="36">
        <v>159.86600000000001</v>
      </c>
      <c r="AQ28" s="36"/>
      <c r="AR28" s="36"/>
      <c r="AS28" s="36"/>
      <c r="AT28" s="36"/>
      <c r="AU28" s="36"/>
    </row>
    <row r="29" spans="1:47">
      <c r="A29" s="110">
        <v>26</v>
      </c>
      <c r="B29" s="46" t="s">
        <v>71</v>
      </c>
      <c r="C29" s="39" t="s">
        <v>76</v>
      </c>
      <c r="D29" s="41">
        <v>9.4</v>
      </c>
      <c r="E29" s="36"/>
      <c r="F29" s="58"/>
      <c r="G29" s="36"/>
      <c r="H29" s="48"/>
      <c r="I29" s="58"/>
      <c r="J29" s="36"/>
      <c r="K29" s="50"/>
      <c r="L29" s="41">
        <v>75</v>
      </c>
      <c r="M29" s="36"/>
      <c r="N29" s="50"/>
      <c r="O29" s="39"/>
      <c r="P29" s="39"/>
      <c r="Q29" s="41"/>
      <c r="R29" s="36"/>
      <c r="S29" s="50"/>
      <c r="T29" s="39"/>
      <c r="U29" s="39"/>
      <c r="V29" s="41"/>
      <c r="W29" s="41">
        <v>8</v>
      </c>
      <c r="X29" s="41"/>
      <c r="Y29" s="40"/>
      <c r="Z29" s="40"/>
      <c r="AA29" s="36"/>
      <c r="AB29" s="58">
        <v>6.9</v>
      </c>
      <c r="AC29" s="36"/>
      <c r="AD29" s="50">
        <v>0.5</v>
      </c>
      <c r="AE29" s="39">
        <v>0.2</v>
      </c>
      <c r="AF29" s="39"/>
      <c r="AG29" s="113">
        <f>SUM(D29:AF29)</f>
        <v>100.00000000000001</v>
      </c>
      <c r="AJ29" s="91"/>
      <c r="AN29" s="36">
        <f>AVERAGE(88.83,88.11)</f>
        <v>88.47</v>
      </c>
      <c r="AO29" s="36">
        <f>AVERAGE(14.22,14.14)</f>
        <v>14.18</v>
      </c>
      <c r="AP29" s="36">
        <v>165.79</v>
      </c>
      <c r="AQ29" s="36"/>
      <c r="AR29" s="36"/>
      <c r="AS29" s="36"/>
      <c r="AT29" s="36"/>
      <c r="AU29" s="36"/>
    </row>
    <row r="30" spans="1:47">
      <c r="A30" s="105">
        <v>27</v>
      </c>
      <c r="B30" s="45" t="s">
        <v>77</v>
      </c>
      <c r="C30" s="36" t="s">
        <v>78</v>
      </c>
      <c r="D30" s="40">
        <v>10</v>
      </c>
      <c r="E30" s="36"/>
      <c r="F30" s="57"/>
      <c r="G30" s="36"/>
      <c r="H30" s="48"/>
      <c r="I30" s="57"/>
      <c r="J30" s="36"/>
      <c r="K30" s="48"/>
      <c r="L30" s="40">
        <v>76.55</v>
      </c>
      <c r="M30" s="36"/>
      <c r="N30" s="48"/>
      <c r="O30" s="36"/>
      <c r="P30" s="36"/>
      <c r="Q30" s="40"/>
      <c r="R30" s="36"/>
      <c r="S30" s="48"/>
      <c r="T30" s="36"/>
      <c r="U30" s="36"/>
      <c r="V30" s="36">
        <v>5</v>
      </c>
      <c r="W30" s="36"/>
      <c r="X30" s="40"/>
      <c r="Y30" s="40"/>
      <c r="Z30" s="40"/>
      <c r="AA30" s="36"/>
      <c r="AB30" s="57">
        <v>7.65</v>
      </c>
      <c r="AC30" s="36"/>
      <c r="AD30" s="48">
        <v>0.6</v>
      </c>
      <c r="AE30" s="36">
        <v>0.2</v>
      </c>
      <c r="AF30" s="36"/>
      <c r="AG30" s="113">
        <f>SUM(D30:AF30)</f>
        <v>100</v>
      </c>
      <c r="AJ30" s="91"/>
      <c r="AN30" s="36">
        <f>AVERAGE(68.79,68.64)</f>
        <v>68.715000000000003</v>
      </c>
      <c r="AO30" s="36">
        <f>AVERAGE(10.8,10.8)</f>
        <v>10.8</v>
      </c>
      <c r="AP30" s="36">
        <v>146.90199999999999</v>
      </c>
      <c r="AQ30" s="36">
        <v>3.66</v>
      </c>
      <c r="AR30" s="36">
        <v>6130.86</v>
      </c>
      <c r="AS30" s="36">
        <v>-29</v>
      </c>
      <c r="AT30" s="61">
        <v>4.6800000000000001E-2</v>
      </c>
      <c r="AU30" s="36" t="s">
        <v>79</v>
      </c>
    </row>
    <row r="31" spans="1:47">
      <c r="A31" s="105">
        <v>28</v>
      </c>
      <c r="B31" s="45" t="s">
        <v>77</v>
      </c>
      <c r="C31" s="36" t="s">
        <v>80</v>
      </c>
      <c r="D31" s="40">
        <v>10</v>
      </c>
      <c r="E31" s="36"/>
      <c r="F31" s="57"/>
      <c r="G31" s="36"/>
      <c r="H31" s="48"/>
      <c r="I31" s="57"/>
      <c r="J31" s="36"/>
      <c r="K31" s="48"/>
      <c r="L31" s="40">
        <v>73.55</v>
      </c>
      <c r="M31" s="36"/>
      <c r="N31" s="48"/>
      <c r="O31" s="36"/>
      <c r="P31" s="36"/>
      <c r="Q31" s="40"/>
      <c r="R31" s="36"/>
      <c r="S31" s="48"/>
      <c r="T31" s="36"/>
      <c r="U31" s="36"/>
      <c r="V31" s="36"/>
      <c r="W31" s="36">
        <v>8</v>
      </c>
      <c r="X31" s="40"/>
      <c r="Y31" s="40"/>
      <c r="Z31" s="40"/>
      <c r="AA31" s="36"/>
      <c r="AB31" s="57">
        <v>7.65</v>
      </c>
      <c r="AC31" s="36"/>
      <c r="AD31" s="48">
        <v>0.6</v>
      </c>
      <c r="AE31" s="36">
        <v>0.2</v>
      </c>
      <c r="AF31" s="36"/>
      <c r="AG31" s="113">
        <f>SUM(D31:AF31)</f>
        <v>100</v>
      </c>
      <c r="AJ31" s="91"/>
      <c r="AN31" s="36">
        <f>AVERAGE(88.51,88.41)</f>
        <v>88.460000000000008</v>
      </c>
      <c r="AO31" s="36">
        <f>AVERAGE(15.26,15.28)</f>
        <v>15.27</v>
      </c>
      <c r="AP31" s="36">
        <v>183.108</v>
      </c>
      <c r="AQ31" s="36">
        <v>4.1289999999999996</v>
      </c>
      <c r="AR31" s="36">
        <v>6130.86</v>
      </c>
      <c r="AS31" s="36">
        <v>-33</v>
      </c>
      <c r="AT31" s="61">
        <v>4.8899999999999999E-2</v>
      </c>
      <c r="AU31" s="36" t="s">
        <v>81</v>
      </c>
    </row>
    <row r="32" spans="1:47">
      <c r="A32" s="105">
        <v>29</v>
      </c>
      <c r="B32" s="45" t="s">
        <v>77</v>
      </c>
      <c r="C32" s="36" t="s">
        <v>82</v>
      </c>
      <c r="D32" s="40">
        <v>10</v>
      </c>
      <c r="E32" s="36"/>
      <c r="F32" s="57"/>
      <c r="G32" s="36"/>
      <c r="H32" s="48"/>
      <c r="I32" s="57"/>
      <c r="J32" s="36"/>
      <c r="K32" s="48"/>
      <c r="L32" s="40">
        <v>73.55</v>
      </c>
      <c r="M32" s="36"/>
      <c r="N32" s="48"/>
      <c r="O32" s="36"/>
      <c r="P32" s="36"/>
      <c r="Q32" s="40"/>
      <c r="R32" s="36"/>
      <c r="S32" s="48"/>
      <c r="T32" s="36"/>
      <c r="U32" s="36"/>
      <c r="V32" s="36">
        <v>8</v>
      </c>
      <c r="W32" s="36"/>
      <c r="X32" s="40"/>
      <c r="Y32" s="40"/>
      <c r="Z32" s="40"/>
      <c r="AA32" s="36"/>
      <c r="AB32" s="57">
        <v>7.65</v>
      </c>
      <c r="AC32" s="36"/>
      <c r="AD32" s="48">
        <v>0.6</v>
      </c>
      <c r="AE32" s="36">
        <v>0.2</v>
      </c>
      <c r="AF32" s="36"/>
      <c r="AG32" s="113">
        <f>SUM(D32:AF32)</f>
        <v>100</v>
      </c>
      <c r="AJ32" s="91"/>
      <c r="AN32" s="36">
        <f>AVERAGE(75.8,75.68)</f>
        <v>75.740000000000009</v>
      </c>
      <c r="AO32" s="36">
        <f>AVERAGE(12.76,12.77)</f>
        <v>12.765000000000001</v>
      </c>
      <c r="AP32" s="36">
        <v>169.36199999999999</v>
      </c>
      <c r="AQ32" s="36">
        <v>3.9430000000000001</v>
      </c>
      <c r="AR32" s="36"/>
      <c r="AS32" s="36"/>
      <c r="AT32" s="36"/>
      <c r="AU32" s="36"/>
    </row>
    <row r="33" spans="1:47">
      <c r="A33" s="105">
        <v>30</v>
      </c>
      <c r="B33" s="45" t="s">
        <v>83</v>
      </c>
      <c r="C33" s="36" t="s">
        <v>84</v>
      </c>
      <c r="D33" s="40">
        <v>5</v>
      </c>
      <c r="E33" s="36"/>
      <c r="F33" s="57"/>
      <c r="G33" s="36"/>
      <c r="H33" s="48"/>
      <c r="I33" s="57"/>
      <c r="J33" s="36"/>
      <c r="K33" s="48"/>
      <c r="L33" s="40">
        <v>36.869999999999997</v>
      </c>
      <c r="M33" s="36"/>
      <c r="N33" s="48"/>
      <c r="O33" s="36"/>
      <c r="P33" s="36"/>
      <c r="Q33" s="40"/>
      <c r="R33" s="36"/>
      <c r="S33" s="48"/>
      <c r="T33" s="36"/>
      <c r="U33" s="36"/>
      <c r="V33" s="36"/>
      <c r="W33" s="36">
        <v>3.9</v>
      </c>
      <c r="X33" s="40"/>
      <c r="Y33" s="40"/>
      <c r="Z33" s="40"/>
      <c r="AA33" s="36"/>
      <c r="AB33" s="57">
        <v>3.83</v>
      </c>
      <c r="AC33" s="36"/>
      <c r="AD33" s="48">
        <v>0.3</v>
      </c>
      <c r="AE33" s="36">
        <v>0.1</v>
      </c>
      <c r="AF33" s="36"/>
      <c r="AG33" s="113">
        <f>SUM(D33:AF33)</f>
        <v>49.999999999999993</v>
      </c>
      <c r="AJ33" s="91"/>
      <c r="AN33" s="36">
        <f>AVERAGE(89.36,89.34)</f>
        <v>89.35</v>
      </c>
      <c r="AO33" s="36">
        <f>AVERAGE(14.28,14.28)</f>
        <v>14.28</v>
      </c>
      <c r="AP33" s="36">
        <v>165.61699999999999</v>
      </c>
      <c r="AQ33" s="36"/>
      <c r="AR33" s="36"/>
      <c r="AS33" s="36"/>
      <c r="AT33" s="36"/>
      <c r="AU33" s="36"/>
    </row>
    <row r="34" spans="1:47">
      <c r="A34" s="105">
        <v>31</v>
      </c>
      <c r="B34" s="45" t="s">
        <v>83</v>
      </c>
      <c r="C34" s="36" t="s">
        <v>85</v>
      </c>
      <c r="D34" s="40">
        <v>5</v>
      </c>
      <c r="E34" s="36"/>
      <c r="F34" s="57"/>
      <c r="G34" s="36"/>
      <c r="H34" s="48"/>
      <c r="I34" s="57"/>
      <c r="J34" s="36"/>
      <c r="K34" s="48"/>
      <c r="L34" s="40">
        <v>37.020000000000003</v>
      </c>
      <c r="M34" s="36"/>
      <c r="N34" s="48"/>
      <c r="O34" s="36"/>
      <c r="P34" s="36"/>
      <c r="Q34" s="40"/>
      <c r="R34" s="36"/>
      <c r="S34" s="48"/>
      <c r="T34" s="36"/>
      <c r="U34" s="36"/>
      <c r="V34" s="36"/>
      <c r="W34" s="36">
        <v>3.75</v>
      </c>
      <c r="X34" s="40"/>
      <c r="Y34" s="40"/>
      <c r="Z34" s="40"/>
      <c r="AA34" s="36"/>
      <c r="AB34" s="57">
        <v>3.83</v>
      </c>
      <c r="AC34" s="36"/>
      <c r="AD34" s="48">
        <v>0.3</v>
      </c>
      <c r="AE34" s="36">
        <v>0.1</v>
      </c>
      <c r="AF34" s="36"/>
      <c r="AG34" s="113">
        <f>SUM(D34:AF34)</f>
        <v>50</v>
      </c>
      <c r="AJ34" s="91"/>
      <c r="AN34" s="36">
        <f>AVERAGE(86.71,86.52)</f>
        <v>86.614999999999995</v>
      </c>
      <c r="AO34" s="36">
        <f>AVERAGE(13.62,13.63)</f>
        <v>13.625</v>
      </c>
      <c r="AP34" s="36">
        <v>160.625</v>
      </c>
      <c r="AQ34" s="36"/>
      <c r="AR34" s="36"/>
      <c r="AS34" s="36"/>
      <c r="AT34" s="36"/>
      <c r="AU34" s="36"/>
    </row>
    <row r="35" spans="1:47">
      <c r="A35" s="105">
        <v>32</v>
      </c>
      <c r="B35" s="45" t="s">
        <v>86</v>
      </c>
      <c r="C35" s="36" t="s">
        <v>87</v>
      </c>
      <c r="D35" s="40">
        <v>10</v>
      </c>
      <c r="E35" s="36"/>
      <c r="F35" s="57"/>
      <c r="G35" s="36"/>
      <c r="H35" s="48"/>
      <c r="I35" s="57"/>
      <c r="J35" s="36"/>
      <c r="K35" s="48"/>
      <c r="L35" s="40">
        <v>73.75</v>
      </c>
      <c r="M35" s="36"/>
      <c r="N35" s="48"/>
      <c r="O35" s="36"/>
      <c r="P35" s="36"/>
      <c r="Q35" s="40"/>
      <c r="R35" s="36"/>
      <c r="S35" s="48"/>
      <c r="T35" s="36"/>
      <c r="U35" s="36"/>
      <c r="V35" s="36"/>
      <c r="W35" s="36">
        <v>7.8</v>
      </c>
      <c r="X35" s="40"/>
      <c r="Y35" s="40"/>
      <c r="Z35" s="40"/>
      <c r="AA35" s="36"/>
      <c r="AB35" s="57">
        <v>7.65</v>
      </c>
      <c r="AC35" s="36"/>
      <c r="AD35" s="48">
        <v>0.6</v>
      </c>
      <c r="AE35" s="36">
        <v>0.2</v>
      </c>
      <c r="AF35" s="36"/>
      <c r="AG35" s="113">
        <f>SUM(D35:AF35)</f>
        <v>100</v>
      </c>
      <c r="AJ35" s="91"/>
      <c r="AN35" s="36" t="s">
        <v>69</v>
      </c>
      <c r="AO35" s="36">
        <f>AVERAGE(10.26,10.26)</f>
        <v>10.26</v>
      </c>
      <c r="AP35" s="36" t="s">
        <v>69</v>
      </c>
      <c r="AQ35" s="36"/>
      <c r="AR35" s="36"/>
      <c r="AS35" s="36"/>
      <c r="AT35" s="36"/>
      <c r="AU35" s="36"/>
    </row>
    <row r="36" spans="1:47">
      <c r="A36" s="105">
        <v>33</v>
      </c>
      <c r="B36" s="45" t="s">
        <v>86</v>
      </c>
      <c r="C36" s="36" t="s">
        <v>88</v>
      </c>
      <c r="D36" s="40">
        <v>10</v>
      </c>
      <c r="E36" s="36"/>
      <c r="F36" s="57"/>
      <c r="G36" s="36"/>
      <c r="H36" s="48"/>
      <c r="I36" s="57"/>
      <c r="J36" s="36"/>
      <c r="K36" s="48"/>
      <c r="L36" s="40">
        <v>76.55</v>
      </c>
      <c r="M36" s="36"/>
      <c r="N36" s="48"/>
      <c r="O36" s="36"/>
      <c r="P36" s="36"/>
      <c r="Q36" s="40"/>
      <c r="R36" s="36"/>
      <c r="S36" s="48"/>
      <c r="T36" s="36"/>
      <c r="U36" s="36"/>
      <c r="V36" s="36"/>
      <c r="W36" s="36"/>
      <c r="X36" s="40">
        <v>5</v>
      </c>
      <c r="Y36" s="40"/>
      <c r="Z36" s="40"/>
      <c r="AA36" s="36"/>
      <c r="AB36" s="57">
        <v>7.65</v>
      </c>
      <c r="AC36" s="36"/>
      <c r="AD36" s="48">
        <v>0.6</v>
      </c>
      <c r="AE36" s="36">
        <v>0.2</v>
      </c>
      <c r="AF36" s="36"/>
      <c r="AG36" s="113">
        <f>SUM(D36:AF36)</f>
        <v>100</v>
      </c>
      <c r="AJ36" s="91"/>
      <c r="AN36" s="36" t="s">
        <v>69</v>
      </c>
      <c r="AO36" s="36">
        <f>AVERAGE(14.33,14.33)</f>
        <v>14.33</v>
      </c>
      <c r="AP36" s="36" t="s">
        <v>69</v>
      </c>
      <c r="AQ36" s="36"/>
      <c r="AR36" s="36"/>
      <c r="AS36" s="36"/>
      <c r="AT36" s="36"/>
      <c r="AU36" s="36"/>
    </row>
    <row r="37" spans="1:47">
      <c r="A37" s="105">
        <v>34</v>
      </c>
      <c r="B37" s="45" t="s">
        <v>86</v>
      </c>
      <c r="C37" s="36" t="s">
        <v>89</v>
      </c>
      <c r="D37" s="40"/>
      <c r="E37" s="36"/>
      <c r="F37" s="57"/>
      <c r="G37" s="36"/>
      <c r="H37" s="48"/>
      <c r="I37" s="57">
        <v>45</v>
      </c>
      <c r="J37" s="36"/>
      <c r="K37" s="48"/>
      <c r="L37" s="40"/>
      <c r="M37" s="36"/>
      <c r="N37" s="48"/>
      <c r="O37" s="36"/>
      <c r="P37" s="36"/>
      <c r="Q37" s="40"/>
      <c r="R37" s="36"/>
      <c r="S37" s="48"/>
      <c r="T37" s="36"/>
      <c r="U37" s="36">
        <v>5</v>
      </c>
      <c r="V37" s="36"/>
      <c r="W37" s="36"/>
      <c r="X37" s="40"/>
      <c r="Y37" s="40"/>
      <c r="Z37" s="40"/>
      <c r="AA37" s="36"/>
      <c r="AB37" s="57"/>
      <c r="AC37" s="36"/>
      <c r="AD37" s="48"/>
      <c r="AE37" s="36"/>
      <c r="AF37" s="36"/>
      <c r="AG37" s="113">
        <f>SUM(D37:AF37)</f>
        <v>50</v>
      </c>
      <c r="AJ37" s="91"/>
      <c r="AN37" s="36" t="s">
        <v>69</v>
      </c>
      <c r="AO37" s="36">
        <f>AVERAGE(9.14,9.12)</f>
        <v>9.129999999999999</v>
      </c>
      <c r="AP37" s="36" t="s">
        <v>69</v>
      </c>
      <c r="AQ37" s="36"/>
      <c r="AR37" s="36"/>
      <c r="AS37" s="36"/>
      <c r="AT37" s="36"/>
      <c r="AU37" s="36"/>
    </row>
    <row r="38" spans="1:47">
      <c r="A38" s="110">
        <v>35</v>
      </c>
      <c r="B38" s="46" t="s">
        <v>86</v>
      </c>
      <c r="C38" s="39" t="s">
        <v>89</v>
      </c>
      <c r="D38" s="41"/>
      <c r="E38" s="36"/>
      <c r="F38" s="58"/>
      <c r="G38" s="36"/>
      <c r="H38" s="48"/>
      <c r="I38" s="58">
        <v>46</v>
      </c>
      <c r="J38" s="36"/>
      <c r="K38" s="50"/>
      <c r="L38" s="41"/>
      <c r="M38" s="36"/>
      <c r="N38" s="50"/>
      <c r="O38" s="39"/>
      <c r="P38" s="39"/>
      <c r="Q38" s="41"/>
      <c r="R38" s="36"/>
      <c r="S38" s="50"/>
      <c r="T38" s="39"/>
      <c r="U38" s="39">
        <v>4</v>
      </c>
      <c r="V38" s="39"/>
      <c r="W38" s="39"/>
      <c r="X38" s="41"/>
      <c r="Y38" s="40"/>
      <c r="Z38" s="40"/>
      <c r="AA38" s="36"/>
      <c r="AB38" s="58"/>
      <c r="AC38" s="39"/>
      <c r="AD38" s="50"/>
      <c r="AE38" s="39"/>
      <c r="AF38" s="39"/>
      <c r="AG38" s="115">
        <f>SUM(D38:AF38)</f>
        <v>50</v>
      </c>
      <c r="AJ38" s="91"/>
      <c r="AN38" s="36" t="s">
        <v>69</v>
      </c>
      <c r="AO38" s="36">
        <f>AVERAGE(8.67,8.65)</f>
        <v>8.66</v>
      </c>
      <c r="AP38" s="36" t="s">
        <v>69</v>
      </c>
      <c r="AQ38" s="36"/>
      <c r="AR38" s="36"/>
      <c r="AS38" s="36"/>
      <c r="AT38" s="36"/>
      <c r="AU38" s="36"/>
    </row>
    <row r="39" spans="1:47">
      <c r="A39" s="105">
        <v>36</v>
      </c>
      <c r="B39" s="45" t="s">
        <v>90</v>
      </c>
      <c r="C39" s="36" t="s">
        <v>91</v>
      </c>
      <c r="D39" s="40"/>
      <c r="E39" s="36"/>
      <c r="F39" s="57">
        <v>10</v>
      </c>
      <c r="G39" s="36"/>
      <c r="H39" s="48"/>
      <c r="I39" s="57"/>
      <c r="J39" s="36"/>
      <c r="K39" s="48"/>
      <c r="L39" s="40">
        <v>77.22</v>
      </c>
      <c r="M39" s="36"/>
      <c r="N39" s="48"/>
      <c r="O39" s="36"/>
      <c r="P39" s="36"/>
      <c r="Q39" s="40"/>
      <c r="R39" s="36"/>
      <c r="S39" s="48"/>
      <c r="T39" s="36"/>
      <c r="U39" s="36"/>
      <c r="V39" s="36"/>
      <c r="W39" s="36"/>
      <c r="X39" s="40">
        <v>4.5</v>
      </c>
      <c r="Y39" s="40"/>
      <c r="Z39" s="40"/>
      <c r="AA39" s="36"/>
      <c r="AB39" s="48"/>
      <c r="AC39" s="36"/>
      <c r="AD39" s="36"/>
      <c r="AE39" s="36"/>
      <c r="AF39" s="36">
        <v>8.2799999999999994</v>
      </c>
      <c r="AG39" s="113">
        <f>SUM(D39:AF39)</f>
        <v>100</v>
      </c>
      <c r="AJ39" s="91"/>
      <c r="AN39" s="36">
        <f>AVERAGE(69.2,69.3)</f>
        <v>69.25</v>
      </c>
      <c r="AO39" s="36">
        <f>AVERAGE(11.48,11.49)</f>
        <v>11.484999999999999</v>
      </c>
      <c r="AP39" s="36">
        <v>160.37200000000001</v>
      </c>
      <c r="AQ39" s="36"/>
      <c r="AR39" s="36"/>
      <c r="AS39" s="36"/>
      <c r="AT39" s="36"/>
      <c r="AU39" s="36"/>
    </row>
    <row r="40" spans="1:47">
      <c r="A40" s="105">
        <v>37</v>
      </c>
      <c r="B40" s="45" t="s">
        <v>90</v>
      </c>
      <c r="C40" s="36" t="s">
        <v>92</v>
      </c>
      <c r="D40" s="40"/>
      <c r="E40" s="36"/>
      <c r="F40" s="57">
        <v>10</v>
      </c>
      <c r="G40" s="36"/>
      <c r="H40" s="48"/>
      <c r="I40" s="57"/>
      <c r="J40" s="36"/>
      <c r="K40" s="48"/>
      <c r="L40" s="40">
        <v>77.72</v>
      </c>
      <c r="M40" s="36"/>
      <c r="N40" s="48"/>
      <c r="O40" s="36"/>
      <c r="P40" s="36"/>
      <c r="Q40" s="40"/>
      <c r="R40" s="36"/>
      <c r="S40" s="48"/>
      <c r="T40" s="36"/>
      <c r="U40" s="36"/>
      <c r="V40" s="36"/>
      <c r="W40" s="36"/>
      <c r="X40" s="40">
        <v>4</v>
      </c>
      <c r="Y40" s="40"/>
      <c r="Z40" s="40"/>
      <c r="AA40" s="36"/>
      <c r="AB40" s="48"/>
      <c r="AC40" s="36"/>
      <c r="AD40" s="36"/>
      <c r="AE40" s="36"/>
      <c r="AF40" s="36">
        <v>8.2799999999999994</v>
      </c>
      <c r="AG40" s="113">
        <f>SUM(D40:AF40)</f>
        <v>100</v>
      </c>
      <c r="AJ40" s="91"/>
      <c r="AN40" s="36">
        <f>AVERAGE(67.16,67.28)</f>
        <v>67.22</v>
      </c>
      <c r="AO40" s="36">
        <f>AVERAGE(10.38,10.36)</f>
        <v>10.370000000000001</v>
      </c>
      <c r="AP40" s="36">
        <v>141.15899999999999</v>
      </c>
      <c r="AQ40" s="36"/>
      <c r="AR40" s="36"/>
      <c r="AS40" s="36"/>
      <c r="AT40" s="36"/>
      <c r="AU40" s="36"/>
    </row>
    <row r="41" spans="1:47">
      <c r="A41" s="105">
        <v>38</v>
      </c>
      <c r="B41" s="45" t="s">
        <v>90</v>
      </c>
      <c r="C41" s="36" t="s">
        <v>93</v>
      </c>
      <c r="D41" s="40"/>
      <c r="E41" s="36"/>
      <c r="F41" s="57">
        <v>10</v>
      </c>
      <c r="G41" s="36"/>
      <c r="H41" s="48"/>
      <c r="I41" s="57"/>
      <c r="J41" s="36"/>
      <c r="K41" s="48">
        <v>17.72</v>
      </c>
      <c r="L41" s="40">
        <v>60</v>
      </c>
      <c r="M41" s="36"/>
      <c r="N41" s="48"/>
      <c r="O41" s="36"/>
      <c r="P41" s="36"/>
      <c r="Q41" s="40"/>
      <c r="R41" s="36"/>
      <c r="S41" s="48"/>
      <c r="T41" s="36"/>
      <c r="U41" s="36"/>
      <c r="V41" s="36"/>
      <c r="W41" s="36"/>
      <c r="X41" s="40">
        <v>4</v>
      </c>
      <c r="Y41" s="40"/>
      <c r="Z41" s="40"/>
      <c r="AA41" s="36"/>
      <c r="AB41" s="48"/>
      <c r="AC41" s="36"/>
      <c r="AD41" s="36"/>
      <c r="AE41" s="36"/>
      <c r="AF41" s="36">
        <v>8.2799999999999994</v>
      </c>
      <c r="AG41" s="113">
        <f>SUM(D41:AF41)</f>
        <v>100</v>
      </c>
      <c r="AJ41" s="91"/>
      <c r="AN41" s="36">
        <f>AVERAGE(63.08,63.08)</f>
        <v>63.08</v>
      </c>
      <c r="AO41" s="36">
        <f>AVERAGE(12.32,12.08)</f>
        <v>12.2</v>
      </c>
      <c r="AP41" s="36">
        <v>194.851</v>
      </c>
      <c r="AQ41" s="36"/>
      <c r="AR41" s="36"/>
      <c r="AS41" s="36"/>
      <c r="AT41" s="36"/>
      <c r="AU41" s="36"/>
    </row>
    <row r="42" spans="1:47">
      <c r="A42" s="105">
        <v>39</v>
      </c>
      <c r="B42" s="45" t="s">
        <v>90</v>
      </c>
      <c r="C42" s="36" t="s">
        <v>94</v>
      </c>
      <c r="D42" s="40"/>
      <c r="E42" s="36"/>
      <c r="F42" s="57">
        <v>10</v>
      </c>
      <c r="G42" s="36"/>
      <c r="H42" s="48"/>
      <c r="I42" s="57"/>
      <c r="J42" s="36"/>
      <c r="K42" s="48">
        <v>77.72</v>
      </c>
      <c r="L42" s="40"/>
      <c r="M42" s="36"/>
      <c r="N42" s="48"/>
      <c r="O42" s="36"/>
      <c r="P42" s="36"/>
      <c r="Q42" s="40"/>
      <c r="R42" s="36"/>
      <c r="S42" s="48"/>
      <c r="T42" s="36"/>
      <c r="U42" s="36"/>
      <c r="V42" s="36"/>
      <c r="W42" s="36"/>
      <c r="X42" s="40">
        <v>4</v>
      </c>
      <c r="Y42" s="40"/>
      <c r="Z42" s="40"/>
      <c r="AA42" s="36"/>
      <c r="AB42" s="48"/>
      <c r="AC42" s="36"/>
      <c r="AD42" s="36"/>
      <c r="AE42" s="36"/>
      <c r="AF42" s="36">
        <v>8.2799999999999994</v>
      </c>
      <c r="AG42" s="113">
        <f>SUM(D42:AF42)</f>
        <v>100</v>
      </c>
      <c r="AJ42" s="91"/>
      <c r="AN42" s="36">
        <f>AVERAGE(66.06,66.82)</f>
        <v>66.44</v>
      </c>
      <c r="AO42" s="36">
        <f>AVERAGE(8.64,8.64)</f>
        <v>8.64</v>
      </c>
      <c r="AP42" s="36">
        <v>101.133</v>
      </c>
      <c r="AQ42" s="36"/>
      <c r="AR42" s="36"/>
      <c r="AS42" s="36"/>
      <c r="AT42" s="36"/>
      <c r="AU42" s="36"/>
    </row>
    <row r="43" spans="1:47">
      <c r="A43" s="105">
        <v>40</v>
      </c>
      <c r="B43" s="45" t="s">
        <v>90</v>
      </c>
      <c r="C43" s="36" t="s">
        <v>95</v>
      </c>
      <c r="D43" s="40"/>
      <c r="E43" s="36"/>
      <c r="F43" s="57">
        <v>10</v>
      </c>
      <c r="G43" s="36"/>
      <c r="H43" s="48"/>
      <c r="I43" s="57"/>
      <c r="J43" s="36"/>
      <c r="K43" s="48">
        <v>18.22</v>
      </c>
      <c r="L43" s="40">
        <v>60</v>
      </c>
      <c r="M43" s="36"/>
      <c r="N43" s="48"/>
      <c r="O43" s="36"/>
      <c r="P43" s="36"/>
      <c r="Q43" s="40"/>
      <c r="R43" s="36"/>
      <c r="S43" s="48"/>
      <c r="T43" s="36"/>
      <c r="U43" s="36"/>
      <c r="V43" s="36"/>
      <c r="W43" s="36"/>
      <c r="X43" s="40">
        <v>3.5</v>
      </c>
      <c r="Y43" s="40"/>
      <c r="Z43" s="40"/>
      <c r="AA43" s="36"/>
      <c r="AB43" s="48"/>
      <c r="AC43" s="36"/>
      <c r="AD43" s="36"/>
      <c r="AE43" s="36"/>
      <c r="AF43" s="36">
        <v>8.2799999999999994</v>
      </c>
      <c r="AG43" s="113">
        <f>SUM(D43:AF43)</f>
        <v>100</v>
      </c>
      <c r="AJ43" s="91"/>
      <c r="AN43" s="36">
        <f>AVERAGE(61.07,61.07)</f>
        <v>61.07</v>
      </c>
      <c r="AO43" s="36">
        <f>AVERAGE(9.69,9.69)</f>
        <v>9.69</v>
      </c>
      <c r="AP43" s="36">
        <v>142.06100000000001</v>
      </c>
      <c r="AQ43" s="36"/>
      <c r="AR43" s="36"/>
      <c r="AS43" s="36"/>
      <c r="AT43" s="36"/>
      <c r="AU43" s="36"/>
    </row>
    <row r="44" spans="1:47">
      <c r="A44" s="105">
        <v>41</v>
      </c>
      <c r="B44" s="45" t="s">
        <v>90</v>
      </c>
      <c r="C44" s="36" t="s">
        <v>96</v>
      </c>
      <c r="D44" s="40"/>
      <c r="E44" s="36"/>
      <c r="F44" s="57">
        <v>10</v>
      </c>
      <c r="G44" s="36"/>
      <c r="H44" s="48"/>
      <c r="I44" s="57"/>
      <c r="J44" s="36"/>
      <c r="K44" s="48">
        <v>78.22</v>
      </c>
      <c r="L44" s="40"/>
      <c r="M44" s="36"/>
      <c r="N44" s="48"/>
      <c r="O44" s="36"/>
      <c r="P44" s="36"/>
      <c r="Q44" s="40"/>
      <c r="R44" s="36"/>
      <c r="S44" s="48"/>
      <c r="T44" s="36"/>
      <c r="U44" s="36"/>
      <c r="V44" s="36"/>
      <c r="W44" s="36"/>
      <c r="X44" s="40">
        <v>3.5</v>
      </c>
      <c r="Y44" s="40"/>
      <c r="Z44" s="40"/>
      <c r="AA44" s="36"/>
      <c r="AB44" s="48"/>
      <c r="AC44" s="36"/>
      <c r="AD44" s="36"/>
      <c r="AE44" s="36"/>
      <c r="AF44" s="36">
        <v>8.2799999999999994</v>
      </c>
      <c r="AG44" s="113">
        <f>SUM(D44:AF44)</f>
        <v>100</v>
      </c>
      <c r="AJ44" s="91"/>
      <c r="AN44" s="36">
        <f>AVERAGE(51.08,51.11)</f>
        <v>51.094999999999999</v>
      </c>
      <c r="AO44" s="36">
        <f>AVERAGE(8.4,8.38)</f>
        <v>8.39</v>
      </c>
      <c r="AP44" s="36">
        <v>138.81299999999999</v>
      </c>
      <c r="AQ44" s="36"/>
      <c r="AR44" s="36"/>
      <c r="AS44" s="36"/>
      <c r="AT44" s="36"/>
      <c r="AU44" s="36"/>
    </row>
    <row r="45" spans="1:47">
      <c r="A45" s="105">
        <v>42</v>
      </c>
      <c r="B45" s="45" t="s">
        <v>90</v>
      </c>
      <c r="C45" s="36" t="s">
        <v>97</v>
      </c>
      <c r="D45" s="40"/>
      <c r="E45" s="36"/>
      <c r="F45" s="57">
        <v>10</v>
      </c>
      <c r="G45" s="36"/>
      <c r="H45" s="48"/>
      <c r="I45" s="57"/>
      <c r="J45" s="36"/>
      <c r="K45" s="48">
        <v>72.3</v>
      </c>
      <c r="L45" s="40"/>
      <c r="M45" s="36"/>
      <c r="N45" s="48"/>
      <c r="O45" s="36"/>
      <c r="P45" s="36"/>
      <c r="Q45" s="40"/>
      <c r="R45" s="36"/>
      <c r="S45" s="48"/>
      <c r="T45" s="36"/>
      <c r="U45" s="36"/>
      <c r="V45" s="36"/>
      <c r="W45" s="36"/>
      <c r="X45" s="40">
        <v>9</v>
      </c>
      <c r="Y45" s="40"/>
      <c r="Z45" s="40"/>
      <c r="AA45" s="36"/>
      <c r="AB45" s="48"/>
      <c r="AC45" s="36">
        <v>8.6999999999999993</v>
      </c>
      <c r="AD45" s="36"/>
      <c r="AE45" s="36"/>
      <c r="AF45" s="36"/>
      <c r="AG45" s="113">
        <f>SUM(D45:AF45)</f>
        <v>100</v>
      </c>
      <c r="AJ45" s="91"/>
      <c r="AN45" s="36">
        <f>AVERAGE(79.08,79.08)</f>
        <v>79.08</v>
      </c>
      <c r="AO45" s="36">
        <f>AVERAGE(11.72,11.7)</f>
        <v>11.71</v>
      </c>
      <c r="AP45" s="36">
        <v>141.24299999999999</v>
      </c>
      <c r="AQ45" s="36"/>
      <c r="AR45" s="36"/>
      <c r="AS45" s="36"/>
      <c r="AT45" s="36"/>
      <c r="AU45" s="36"/>
    </row>
    <row r="46" spans="1:47">
      <c r="A46" s="110">
        <v>43</v>
      </c>
      <c r="B46" s="46" t="s">
        <v>90</v>
      </c>
      <c r="C46" s="39" t="s">
        <v>98</v>
      </c>
      <c r="D46" s="41"/>
      <c r="E46" s="39"/>
      <c r="F46" s="58">
        <v>10</v>
      </c>
      <c r="G46" s="36"/>
      <c r="H46" s="48"/>
      <c r="I46" s="58"/>
      <c r="J46" s="36"/>
      <c r="K46" s="50">
        <v>71.3</v>
      </c>
      <c r="L46" s="41"/>
      <c r="M46" s="36"/>
      <c r="N46" s="50"/>
      <c r="O46" s="39"/>
      <c r="P46" s="39"/>
      <c r="Q46" s="41"/>
      <c r="R46" s="36"/>
      <c r="S46" s="50"/>
      <c r="T46" s="39"/>
      <c r="U46" s="39"/>
      <c r="V46" s="39"/>
      <c r="W46" s="39"/>
      <c r="X46" s="41">
        <v>10</v>
      </c>
      <c r="Y46" s="41"/>
      <c r="Z46" s="41"/>
      <c r="AA46" s="39"/>
      <c r="AB46" s="50"/>
      <c r="AC46" s="39">
        <v>8.6999999999999993</v>
      </c>
      <c r="AD46" s="39"/>
      <c r="AE46" s="39"/>
      <c r="AF46" s="39"/>
      <c r="AG46" s="115">
        <f>SUM(D46:AF46)</f>
        <v>100</v>
      </c>
      <c r="AJ46" s="91"/>
      <c r="AN46" s="39">
        <f>AVERAGE(81.97,81.3)</f>
        <v>81.634999999999991</v>
      </c>
      <c r="AO46" s="39">
        <f>AVERAGE(13.62,13.61)</f>
        <v>13.614999999999998</v>
      </c>
      <c r="AP46" s="39">
        <v>170.959</v>
      </c>
      <c r="AQ46" s="39"/>
      <c r="AR46" s="39"/>
      <c r="AS46" s="39"/>
      <c r="AT46" s="39"/>
      <c r="AU46" s="39"/>
    </row>
    <row r="47" spans="1:47">
      <c r="A47" s="105">
        <v>44</v>
      </c>
      <c r="B47" s="45" t="s">
        <v>99</v>
      </c>
      <c r="C47" s="36" t="s">
        <v>100</v>
      </c>
      <c r="D47" s="36"/>
      <c r="E47" s="36"/>
      <c r="F47" s="40">
        <v>10</v>
      </c>
      <c r="G47" s="36"/>
      <c r="H47" s="48"/>
      <c r="I47" s="57"/>
      <c r="J47" s="36"/>
      <c r="K47" s="48">
        <v>17.52</v>
      </c>
      <c r="L47" s="40">
        <v>60</v>
      </c>
      <c r="M47" s="36"/>
      <c r="N47" s="48"/>
      <c r="O47" s="36"/>
      <c r="P47" s="36"/>
      <c r="Q47" s="40"/>
      <c r="R47" s="36"/>
      <c r="S47" s="48"/>
      <c r="T47" s="36"/>
      <c r="U47" s="36"/>
      <c r="V47" s="36"/>
      <c r="W47" s="36"/>
      <c r="X47" s="36">
        <v>4.2</v>
      </c>
      <c r="Y47" s="36"/>
      <c r="Z47" s="36"/>
      <c r="AA47" s="36"/>
      <c r="AB47" s="36"/>
      <c r="AC47" s="36"/>
      <c r="AD47" s="36"/>
      <c r="AE47" s="36"/>
      <c r="AF47" s="36">
        <v>8.2799999999999994</v>
      </c>
      <c r="AG47" s="113">
        <f>SUM(D47:AF47)</f>
        <v>100</v>
      </c>
      <c r="AJ47" s="91"/>
      <c r="AN47" s="36">
        <f>AVERAGE(64.66,64.98)</f>
        <v>64.819999999999993</v>
      </c>
      <c r="AO47" s="36">
        <f>AVERAGE(9.88,9.88)</f>
        <v>9.8800000000000008</v>
      </c>
      <c r="AP47" s="36">
        <v>136.04599999999999</v>
      </c>
      <c r="AQ47" s="36"/>
      <c r="AR47" s="36"/>
      <c r="AS47" s="36"/>
      <c r="AT47" s="36"/>
      <c r="AU47" s="36"/>
    </row>
    <row r="48" spans="1:47">
      <c r="A48" s="105">
        <v>45</v>
      </c>
      <c r="B48" s="45" t="s">
        <v>99</v>
      </c>
      <c r="C48" s="36" t="s">
        <v>101</v>
      </c>
      <c r="D48" s="36"/>
      <c r="E48" s="36"/>
      <c r="F48" s="40">
        <v>10</v>
      </c>
      <c r="G48" s="36"/>
      <c r="H48" s="48"/>
      <c r="I48" s="57"/>
      <c r="J48" s="36"/>
      <c r="K48" s="48">
        <v>17.72</v>
      </c>
      <c r="L48" s="40">
        <v>60</v>
      </c>
      <c r="M48" s="36"/>
      <c r="N48" s="48"/>
      <c r="O48" s="36"/>
      <c r="P48" s="36"/>
      <c r="Q48" s="40"/>
      <c r="R48" s="36"/>
      <c r="S48" s="48"/>
      <c r="T48" s="36"/>
      <c r="U48" s="36"/>
      <c r="V48" s="36"/>
      <c r="W48" s="36"/>
      <c r="X48" s="36">
        <v>4</v>
      </c>
      <c r="Y48" s="36"/>
      <c r="Z48" s="36"/>
      <c r="AA48" s="36"/>
      <c r="AB48" s="36"/>
      <c r="AC48" s="36"/>
      <c r="AD48" s="36"/>
      <c r="AE48" s="36"/>
      <c r="AF48" s="36">
        <v>8.2799999999999994</v>
      </c>
      <c r="AG48" s="113">
        <f>SUM(D48:AF48)</f>
        <v>100</v>
      </c>
      <c r="AJ48" s="91"/>
      <c r="AN48" s="36">
        <f>AVERAGE(62.42,62.57)</f>
        <v>62.495000000000005</v>
      </c>
      <c r="AO48" s="36">
        <f>AVERAGE(10.72,10.73)</f>
        <v>10.725000000000001</v>
      </c>
      <c r="AP48" s="36">
        <v>163.078</v>
      </c>
      <c r="AQ48" s="36"/>
      <c r="AR48" s="36"/>
      <c r="AS48" s="36"/>
      <c r="AT48" s="36"/>
      <c r="AU48" s="36"/>
    </row>
    <row r="49" spans="1:47">
      <c r="A49" s="105">
        <v>46</v>
      </c>
      <c r="B49" s="45" t="s">
        <v>99</v>
      </c>
      <c r="C49" s="36" t="s">
        <v>102</v>
      </c>
      <c r="D49" s="36"/>
      <c r="E49" s="36">
        <v>10</v>
      </c>
      <c r="F49" s="40"/>
      <c r="G49" s="36"/>
      <c r="H49" s="48"/>
      <c r="I49" s="57"/>
      <c r="J49" s="36"/>
      <c r="K49" s="48">
        <v>18.22</v>
      </c>
      <c r="L49" s="40">
        <v>60.5</v>
      </c>
      <c r="M49" s="36"/>
      <c r="N49" s="48"/>
      <c r="O49" s="36"/>
      <c r="P49" s="36"/>
      <c r="Q49" s="40"/>
      <c r="R49" s="36"/>
      <c r="S49" s="48"/>
      <c r="T49" s="36"/>
      <c r="U49" s="36"/>
      <c r="V49" s="36"/>
      <c r="W49" s="36"/>
      <c r="X49" s="36">
        <v>3</v>
      </c>
      <c r="Y49" s="36"/>
      <c r="Z49" s="36"/>
      <c r="AA49" s="36"/>
      <c r="AB49" s="36"/>
      <c r="AC49" s="36"/>
      <c r="AD49" s="36"/>
      <c r="AE49" s="36"/>
      <c r="AF49" s="36">
        <v>8.2799999999999994</v>
      </c>
      <c r="AG49" s="113">
        <f>SUM(D49:AF49)</f>
        <v>100</v>
      </c>
      <c r="AJ49" s="91"/>
      <c r="AN49" s="36">
        <f>AVERAGE(41.86,41.79)</f>
        <v>41.825000000000003</v>
      </c>
      <c r="AO49" s="36">
        <f>AVERAGE(7.47,7.47)</f>
        <v>7.47</v>
      </c>
      <c r="AP49" s="36">
        <v>146.13999999999999</v>
      </c>
      <c r="AQ49" s="36"/>
      <c r="AR49" s="36"/>
      <c r="AS49" s="36"/>
      <c r="AT49" s="36"/>
      <c r="AU49" s="36"/>
    </row>
    <row r="50" spans="1:47">
      <c r="A50" s="105">
        <v>47</v>
      </c>
      <c r="B50" s="45" t="s">
        <v>99</v>
      </c>
      <c r="C50" s="36" t="s">
        <v>103</v>
      </c>
      <c r="D50" s="36"/>
      <c r="E50" s="36">
        <v>10</v>
      </c>
      <c r="F50" s="40"/>
      <c r="G50" s="36"/>
      <c r="H50" s="48"/>
      <c r="I50" s="57"/>
      <c r="J50" s="36"/>
      <c r="K50" s="48">
        <v>78.22</v>
      </c>
      <c r="L50" s="40"/>
      <c r="M50" s="36"/>
      <c r="N50" s="48"/>
      <c r="O50" s="36"/>
      <c r="P50" s="36"/>
      <c r="Q50" s="40"/>
      <c r="R50" s="36"/>
      <c r="S50" s="48"/>
      <c r="T50" s="36"/>
      <c r="U50" s="36"/>
      <c r="V50" s="36"/>
      <c r="W50" s="36"/>
      <c r="X50" s="36">
        <v>3.5</v>
      </c>
      <c r="Y50" s="36"/>
      <c r="Z50" s="36"/>
      <c r="AA50" s="36"/>
      <c r="AB50" s="36"/>
      <c r="AC50" s="36"/>
      <c r="AD50" s="36"/>
      <c r="AE50" s="36"/>
      <c r="AF50" s="36">
        <v>8.2799999999999994</v>
      </c>
      <c r="AG50" s="113">
        <f>SUM(D50:AF50)</f>
        <v>100</v>
      </c>
      <c r="AJ50" s="91"/>
      <c r="AN50" s="36">
        <f>AVERAGE(49.11,49.21)</f>
        <v>49.16</v>
      </c>
      <c r="AO50" s="36">
        <f>AVERAGE(8.17,8.18)</f>
        <v>8.1750000000000007</v>
      </c>
      <c r="AP50" s="36">
        <v>139.233</v>
      </c>
      <c r="AQ50" s="36"/>
      <c r="AR50" s="36"/>
      <c r="AS50" s="36"/>
      <c r="AT50" s="36"/>
      <c r="AU50" s="36"/>
    </row>
    <row r="51" spans="1:47">
      <c r="A51" s="105">
        <v>48</v>
      </c>
      <c r="B51" s="45" t="s">
        <v>99</v>
      </c>
      <c r="C51" s="36" t="s">
        <v>104</v>
      </c>
      <c r="D51" s="36">
        <v>10</v>
      </c>
      <c r="E51" s="36"/>
      <c r="F51" s="40"/>
      <c r="G51" s="36"/>
      <c r="H51" s="48"/>
      <c r="I51" s="57">
        <v>76.55</v>
      </c>
      <c r="J51" s="36"/>
      <c r="K51" s="48"/>
      <c r="L51" s="40"/>
      <c r="M51" s="36"/>
      <c r="N51" s="48"/>
      <c r="O51" s="36"/>
      <c r="P51" s="36"/>
      <c r="Q51" s="40"/>
      <c r="R51" s="36"/>
      <c r="S51" s="48"/>
      <c r="T51" s="36"/>
      <c r="U51" s="36"/>
      <c r="V51" s="36"/>
      <c r="W51" s="36"/>
      <c r="X51" s="36"/>
      <c r="Y51" s="36">
        <v>5</v>
      </c>
      <c r="Z51" s="36"/>
      <c r="AA51" s="36">
        <v>7.65</v>
      </c>
      <c r="AB51" s="36"/>
      <c r="AC51" s="36"/>
      <c r="AD51" s="36">
        <v>0.6</v>
      </c>
      <c r="AE51" s="36">
        <v>0.2</v>
      </c>
      <c r="AF51" s="36"/>
      <c r="AG51" s="113">
        <f>SUM(D51:AF51)</f>
        <v>100</v>
      </c>
      <c r="AJ51" s="91"/>
      <c r="AN51" s="36">
        <f>AVERAGE(63.13,63.04)</f>
        <v>63.085000000000001</v>
      </c>
      <c r="AO51" s="36">
        <f>AVERAGE(13.07,13.09)</f>
        <v>13.08</v>
      </c>
      <c r="AP51" s="36">
        <v>213.762</v>
      </c>
      <c r="AQ51" s="36"/>
      <c r="AR51" s="36"/>
      <c r="AS51" s="36"/>
      <c r="AT51" s="36"/>
      <c r="AU51" s="36"/>
    </row>
    <row r="52" spans="1:47">
      <c r="A52" s="105">
        <v>49</v>
      </c>
      <c r="B52" s="45" t="s">
        <v>99</v>
      </c>
      <c r="C52" s="36" t="s">
        <v>105</v>
      </c>
      <c r="D52" s="36">
        <v>10</v>
      </c>
      <c r="E52" s="36"/>
      <c r="F52" s="40"/>
      <c r="G52" s="36"/>
      <c r="H52" s="48"/>
      <c r="I52" s="57">
        <v>76.55</v>
      </c>
      <c r="J52" s="36"/>
      <c r="K52" s="48"/>
      <c r="L52" s="40"/>
      <c r="M52" s="36"/>
      <c r="N52" s="48"/>
      <c r="O52" s="36"/>
      <c r="P52" s="36"/>
      <c r="Q52" s="40"/>
      <c r="R52" s="36"/>
      <c r="S52" s="48"/>
      <c r="T52" s="36"/>
      <c r="U52" s="36"/>
      <c r="V52" s="36"/>
      <c r="W52" s="36"/>
      <c r="X52" s="36"/>
      <c r="Y52" s="36"/>
      <c r="Z52" s="36">
        <v>5</v>
      </c>
      <c r="AA52" s="36">
        <v>7.65</v>
      </c>
      <c r="AB52" s="36"/>
      <c r="AC52" s="36"/>
      <c r="AD52" s="36">
        <v>0.6</v>
      </c>
      <c r="AE52" s="36">
        <v>0.2</v>
      </c>
      <c r="AF52" s="36"/>
      <c r="AG52" s="113">
        <f>SUM(D52:AF52)</f>
        <v>100</v>
      </c>
      <c r="AJ52" s="91"/>
      <c r="AN52" s="36">
        <f>AVERAGE(88.35,88.21)</f>
        <v>88.28</v>
      </c>
      <c r="AO52" s="36">
        <f>AVERAGE(10.33,10.32)</f>
        <v>10.324999999999999</v>
      </c>
      <c r="AP52" s="36">
        <v>97.88</v>
      </c>
      <c r="AQ52" s="36"/>
      <c r="AR52" s="36"/>
      <c r="AS52" s="36"/>
      <c r="AT52" s="36"/>
      <c r="AU52" s="36"/>
    </row>
    <row r="53" spans="1:47">
      <c r="A53" s="105">
        <v>50</v>
      </c>
      <c r="B53" s="45" t="s">
        <v>99</v>
      </c>
      <c r="C53" s="36" t="s">
        <v>106</v>
      </c>
      <c r="D53" s="36">
        <v>2</v>
      </c>
      <c r="E53" s="36"/>
      <c r="F53" s="40"/>
      <c r="G53" s="36"/>
      <c r="H53" s="48"/>
      <c r="I53" s="57"/>
      <c r="J53" s="36"/>
      <c r="K53" s="48"/>
      <c r="L53" s="40">
        <v>15.51</v>
      </c>
      <c r="M53" s="36"/>
      <c r="N53" s="48"/>
      <c r="O53" s="36"/>
      <c r="P53" s="36"/>
      <c r="Q53" s="40"/>
      <c r="R53" s="36"/>
      <c r="S53" s="48"/>
      <c r="T53" s="36"/>
      <c r="U53" s="36"/>
      <c r="V53" s="36"/>
      <c r="W53" s="36"/>
      <c r="X53" s="36"/>
      <c r="Y53" s="36"/>
      <c r="Z53" s="36">
        <v>0.8</v>
      </c>
      <c r="AA53" s="36"/>
      <c r="AB53" s="36">
        <v>1.53</v>
      </c>
      <c r="AC53" s="36"/>
      <c r="AD53" s="36">
        <v>0.12</v>
      </c>
      <c r="AE53" s="36">
        <v>0.04</v>
      </c>
      <c r="AF53" s="36"/>
      <c r="AG53" s="113">
        <f>SUM(D53:AF53)</f>
        <v>20</v>
      </c>
      <c r="AJ53" s="91"/>
      <c r="AN53" s="36" t="s">
        <v>69</v>
      </c>
      <c r="AO53" s="36">
        <f>AVERAGE(9.8,9.81)</f>
        <v>9.8049999999999997</v>
      </c>
      <c r="AP53" s="36" t="s">
        <v>69</v>
      </c>
      <c r="AQ53" s="36"/>
      <c r="AR53" s="36"/>
      <c r="AS53" s="36"/>
      <c r="AT53" s="36"/>
      <c r="AU53" s="36"/>
    </row>
    <row r="54" spans="1:47">
      <c r="A54" s="105">
        <v>51</v>
      </c>
      <c r="B54" s="45" t="s">
        <v>99</v>
      </c>
      <c r="C54" s="36" t="s">
        <v>107</v>
      </c>
      <c r="D54" s="36">
        <v>2</v>
      </c>
      <c r="E54" s="36"/>
      <c r="F54" s="40"/>
      <c r="G54" s="36"/>
      <c r="H54" s="48"/>
      <c r="I54" s="57"/>
      <c r="J54" s="36"/>
      <c r="K54" s="48"/>
      <c r="L54" s="40">
        <v>15.41</v>
      </c>
      <c r="M54" s="36"/>
      <c r="N54" s="48"/>
      <c r="O54" s="36"/>
      <c r="P54" s="36"/>
      <c r="Q54" s="40"/>
      <c r="R54" s="36"/>
      <c r="S54" s="48"/>
      <c r="T54" s="36"/>
      <c r="U54" s="36"/>
      <c r="V54" s="36"/>
      <c r="W54" s="36"/>
      <c r="X54" s="36"/>
      <c r="Y54" s="36"/>
      <c r="Z54" s="36">
        <v>0.9</v>
      </c>
      <c r="AA54" s="36"/>
      <c r="AB54" s="36">
        <v>1.53</v>
      </c>
      <c r="AC54" s="36"/>
      <c r="AD54" s="36">
        <v>0.12</v>
      </c>
      <c r="AE54" s="36">
        <v>0.04</v>
      </c>
      <c r="AF54" s="36"/>
      <c r="AG54" s="113">
        <f>SUM(D54:AF54)</f>
        <v>20</v>
      </c>
      <c r="AJ54" s="91"/>
      <c r="AN54" s="36" t="s">
        <v>69</v>
      </c>
      <c r="AO54" s="36">
        <f>AVERAGE(10.07,10.07)</f>
        <v>10.07</v>
      </c>
      <c r="AP54" s="36" t="s">
        <v>69</v>
      </c>
      <c r="AQ54" s="36"/>
      <c r="AR54" s="36"/>
      <c r="AS54" s="36"/>
      <c r="AT54" s="36"/>
      <c r="AU54" s="36"/>
    </row>
    <row r="55" spans="1:47">
      <c r="A55" s="110">
        <v>52</v>
      </c>
      <c r="B55" s="46" t="s">
        <v>99</v>
      </c>
      <c r="C55" s="39" t="s">
        <v>108</v>
      </c>
      <c r="D55" s="39">
        <v>2</v>
      </c>
      <c r="E55" s="39"/>
      <c r="F55" s="41"/>
      <c r="G55" s="36"/>
      <c r="H55" s="48"/>
      <c r="I55" s="58"/>
      <c r="J55" s="36"/>
      <c r="K55" s="50"/>
      <c r="L55" s="41">
        <v>15.21</v>
      </c>
      <c r="M55" s="36"/>
      <c r="N55" s="50"/>
      <c r="O55" s="39"/>
      <c r="P55" s="39"/>
      <c r="Q55" s="41"/>
      <c r="R55" s="36"/>
      <c r="S55" s="50"/>
      <c r="T55" s="39"/>
      <c r="U55" s="39"/>
      <c r="V55" s="39"/>
      <c r="W55" s="39"/>
      <c r="X55" s="39"/>
      <c r="Y55" s="39"/>
      <c r="Z55" s="39">
        <v>1.1000000000000001</v>
      </c>
      <c r="AA55" s="39"/>
      <c r="AB55" s="39">
        <v>1.53</v>
      </c>
      <c r="AC55" s="39"/>
      <c r="AD55" s="39">
        <v>0.12</v>
      </c>
      <c r="AE55" s="39">
        <v>0.04</v>
      </c>
      <c r="AF55" s="39"/>
      <c r="AG55" s="115">
        <f>SUM(D55:AF55)</f>
        <v>20.000000000000004</v>
      </c>
      <c r="AJ55" s="91"/>
      <c r="AN55" s="36" t="s">
        <v>69</v>
      </c>
      <c r="AO55" s="36">
        <f>AVERAGE(10.68,10.64)</f>
        <v>10.66</v>
      </c>
      <c r="AP55" s="36" t="s">
        <v>69</v>
      </c>
      <c r="AQ55" s="36"/>
      <c r="AR55" s="36"/>
      <c r="AS55" s="36"/>
      <c r="AT55" s="36"/>
      <c r="AU55" s="36"/>
    </row>
    <row r="56" spans="1:47">
      <c r="A56" s="105">
        <v>53</v>
      </c>
      <c r="B56" s="45" t="s">
        <v>99</v>
      </c>
      <c r="C56" s="36" t="s">
        <v>109</v>
      </c>
      <c r="D56" s="36">
        <v>2</v>
      </c>
      <c r="E56" s="36"/>
      <c r="F56" s="40"/>
      <c r="G56" s="36"/>
      <c r="H56" s="48"/>
      <c r="I56" s="57"/>
      <c r="J56" s="36"/>
      <c r="K56" s="48"/>
      <c r="L56" s="40">
        <v>15.11</v>
      </c>
      <c r="M56" s="36"/>
      <c r="N56" s="48"/>
      <c r="O56" s="36"/>
      <c r="P56" s="36"/>
      <c r="Q56" s="40"/>
      <c r="R56" s="36"/>
      <c r="S56" s="48"/>
      <c r="T56" s="36"/>
      <c r="U56" s="36"/>
      <c r="V56" s="36"/>
      <c r="W56" s="36"/>
      <c r="X56" s="36"/>
      <c r="Y56" s="36"/>
      <c r="Z56" s="36">
        <v>1.2</v>
      </c>
      <c r="AA56" s="36"/>
      <c r="AB56" s="36">
        <v>1.53</v>
      </c>
      <c r="AC56" s="36"/>
      <c r="AD56" s="36">
        <v>0.12</v>
      </c>
      <c r="AE56" s="36">
        <v>0.04</v>
      </c>
      <c r="AF56" s="36"/>
      <c r="AG56" s="113">
        <f>SUM(D56:AF56)</f>
        <v>20</v>
      </c>
      <c r="AJ56" s="91"/>
      <c r="AN56" s="36" t="s">
        <v>69</v>
      </c>
      <c r="AO56" s="36">
        <f>AVERAGE(10.46,10.46)</f>
        <v>10.46</v>
      </c>
      <c r="AP56" s="36" t="s">
        <v>69</v>
      </c>
      <c r="AQ56" s="36"/>
      <c r="AR56" s="36"/>
      <c r="AS56" s="36"/>
      <c r="AT56" s="36"/>
      <c r="AU56" s="36"/>
    </row>
    <row r="57" spans="1:47">
      <c r="A57" s="105">
        <v>54</v>
      </c>
      <c r="B57" s="45" t="s">
        <v>110</v>
      </c>
      <c r="C57" s="36" t="s">
        <v>111</v>
      </c>
      <c r="D57" s="36"/>
      <c r="E57" s="36">
        <v>10</v>
      </c>
      <c r="F57" s="40"/>
      <c r="G57" s="36"/>
      <c r="H57" s="48"/>
      <c r="I57" s="57"/>
      <c r="J57" s="36"/>
      <c r="K57" s="48">
        <v>38.72</v>
      </c>
      <c r="L57" s="40">
        <v>40</v>
      </c>
      <c r="M57" s="36"/>
      <c r="N57" s="48"/>
      <c r="O57" s="36"/>
      <c r="P57" s="36"/>
      <c r="Q57" s="40"/>
      <c r="R57" s="36"/>
      <c r="S57" s="48"/>
      <c r="T57" s="36"/>
      <c r="U57" s="36"/>
      <c r="V57" s="36"/>
      <c r="W57" s="36"/>
      <c r="X57" s="36">
        <v>3</v>
      </c>
      <c r="Y57" s="36"/>
      <c r="Z57" s="36"/>
      <c r="AA57" s="36"/>
      <c r="AB57" s="36"/>
      <c r="AC57" s="36"/>
      <c r="AD57" s="36"/>
      <c r="AE57" s="36"/>
      <c r="AF57" s="36">
        <v>8.2799999999999994</v>
      </c>
      <c r="AG57" s="113">
        <f>SUM(D57:AF57)</f>
        <v>100</v>
      </c>
      <c r="AJ57" s="91"/>
      <c r="AN57" s="36">
        <f>AVERAGE(47.99,47.98)</f>
        <v>47.984999999999999</v>
      </c>
      <c r="AO57" s="36">
        <f>AVERAGE(8.01,8.01)</f>
        <v>8.01</v>
      </c>
      <c r="AP57" s="36">
        <v>138.29300000000001</v>
      </c>
      <c r="AQ57" s="36"/>
      <c r="AR57" s="36"/>
      <c r="AS57" s="36"/>
      <c r="AT57" s="36"/>
      <c r="AU57" s="36"/>
    </row>
    <row r="58" spans="1:47">
      <c r="A58" s="105">
        <v>55</v>
      </c>
      <c r="B58" s="45" t="s">
        <v>110</v>
      </c>
      <c r="C58" s="36" t="s">
        <v>112</v>
      </c>
      <c r="D58" s="36"/>
      <c r="E58" s="36">
        <v>10</v>
      </c>
      <c r="F58" s="40"/>
      <c r="G58" s="36"/>
      <c r="H58" s="48"/>
      <c r="I58" s="57"/>
      <c r="J58" s="36"/>
      <c r="K58" s="48">
        <v>48.72</v>
      </c>
      <c r="L58" s="40">
        <v>30</v>
      </c>
      <c r="M58" s="36"/>
      <c r="N58" s="48"/>
      <c r="O58" s="36"/>
      <c r="P58" s="36"/>
      <c r="Q58" s="40"/>
      <c r="R58" s="36"/>
      <c r="S58" s="48"/>
      <c r="T58" s="36"/>
      <c r="U58" s="36"/>
      <c r="V58" s="36"/>
      <c r="W58" s="36"/>
      <c r="X58" s="36">
        <v>3</v>
      </c>
      <c r="Y58" s="36"/>
      <c r="Z58" s="36"/>
      <c r="AA58" s="36"/>
      <c r="AB58" s="36"/>
      <c r="AC58" s="36"/>
      <c r="AD58" s="36"/>
      <c r="AE58" s="36"/>
      <c r="AF58" s="36">
        <v>8.2799999999999994</v>
      </c>
      <c r="AG58" s="113">
        <f>SUM(D58:AF58)</f>
        <v>100</v>
      </c>
      <c r="AJ58" s="91"/>
      <c r="AN58" s="36">
        <f>AVERAGE(46.27,46.31)</f>
        <v>46.290000000000006</v>
      </c>
      <c r="AO58" s="36">
        <f>AVERAGE(7.87,7.88)</f>
        <v>7.875</v>
      </c>
      <c r="AP58" s="36">
        <v>140.58699999999999</v>
      </c>
      <c r="AQ58" s="36"/>
      <c r="AR58" s="36"/>
      <c r="AS58" s="36"/>
      <c r="AT58" s="36"/>
      <c r="AU58" s="36"/>
    </row>
    <row r="59" spans="1:47">
      <c r="A59" s="105">
        <v>56</v>
      </c>
      <c r="B59" s="45" t="s">
        <v>110</v>
      </c>
      <c r="C59" s="36" t="s">
        <v>105</v>
      </c>
      <c r="D59" s="36">
        <v>10</v>
      </c>
      <c r="E59" s="36"/>
      <c r="F59" s="40"/>
      <c r="G59" s="36"/>
      <c r="H59" s="48"/>
      <c r="I59" s="57">
        <v>76.55</v>
      </c>
      <c r="J59" s="36"/>
      <c r="K59" s="48"/>
      <c r="L59" s="40"/>
      <c r="M59" s="36"/>
      <c r="N59" s="48"/>
      <c r="O59" s="36"/>
      <c r="P59" s="36"/>
      <c r="Q59" s="40"/>
      <c r="R59" s="36"/>
      <c r="S59" s="48"/>
      <c r="T59" s="36"/>
      <c r="U59" s="36"/>
      <c r="V59" s="36"/>
      <c r="W59" s="36"/>
      <c r="X59" s="36"/>
      <c r="Y59" s="36"/>
      <c r="Z59" s="36">
        <v>5</v>
      </c>
      <c r="AA59" s="36">
        <v>7.65</v>
      </c>
      <c r="AB59" s="36"/>
      <c r="AC59" s="36"/>
      <c r="AD59" s="36">
        <v>0.6</v>
      </c>
      <c r="AE59" s="36">
        <v>0.2</v>
      </c>
      <c r="AF59" s="36"/>
      <c r="AG59" s="113">
        <f>SUM(D59:AF59)</f>
        <v>100</v>
      </c>
      <c r="AJ59" s="91"/>
      <c r="AN59" s="36">
        <f>AVERAGE(64.3,64.12)</f>
        <v>64.210000000000008</v>
      </c>
      <c r="AO59" s="36">
        <f>AVERAGE(10.67,10.67)</f>
        <v>10.67</v>
      </c>
      <c r="AP59" s="36">
        <v>156.54599999999999</v>
      </c>
      <c r="AQ59" s="36"/>
      <c r="AR59" s="36"/>
      <c r="AS59" s="36"/>
      <c r="AT59" s="36"/>
      <c r="AU59" s="36"/>
    </row>
    <row r="60" spans="1:47">
      <c r="A60" s="105">
        <v>57</v>
      </c>
      <c r="B60" s="45" t="s">
        <v>110</v>
      </c>
      <c r="C60" s="36" t="s">
        <v>113</v>
      </c>
      <c r="D60" s="36">
        <v>10</v>
      </c>
      <c r="E60" s="36"/>
      <c r="F60" s="40"/>
      <c r="G60" s="36"/>
      <c r="H60" s="48"/>
      <c r="I60" s="57">
        <v>78.55</v>
      </c>
      <c r="J60" s="36"/>
      <c r="K60" s="48"/>
      <c r="L60" s="40"/>
      <c r="M60" s="36"/>
      <c r="N60" s="48"/>
      <c r="O60" s="36"/>
      <c r="P60" s="36"/>
      <c r="Q60" s="40"/>
      <c r="R60" s="36"/>
      <c r="S60" s="48"/>
      <c r="T60" s="36"/>
      <c r="U60" s="36"/>
      <c r="V60" s="36"/>
      <c r="W60" s="36"/>
      <c r="X60" s="36"/>
      <c r="Y60" s="36"/>
      <c r="Z60" s="36">
        <v>3</v>
      </c>
      <c r="AA60" s="36">
        <v>7.65</v>
      </c>
      <c r="AB60" s="36"/>
      <c r="AC60" s="36"/>
      <c r="AD60" s="36">
        <v>0.6</v>
      </c>
      <c r="AE60" s="36">
        <v>0.2</v>
      </c>
      <c r="AF60" s="36"/>
      <c r="AG60" s="113">
        <f>SUM(D60:AF60)</f>
        <v>100</v>
      </c>
      <c r="AJ60" s="91"/>
      <c r="AN60" s="36">
        <f>AVERAGE(60.81,60.8)</f>
        <v>60.805</v>
      </c>
      <c r="AO60" s="36">
        <f>AVERAGE(9.9,9.9)</f>
        <v>9.9</v>
      </c>
      <c r="AP60" s="36">
        <v>148.23599999999999</v>
      </c>
      <c r="AQ60" s="36"/>
      <c r="AR60" s="36"/>
      <c r="AS60" s="36"/>
      <c r="AT60" s="36"/>
      <c r="AU60" s="36"/>
    </row>
    <row r="61" spans="1:47">
      <c r="A61" s="105">
        <v>58</v>
      </c>
      <c r="B61" s="45" t="s">
        <v>110</v>
      </c>
      <c r="C61" s="36" t="s">
        <v>114</v>
      </c>
      <c r="D61" s="36">
        <v>10</v>
      </c>
      <c r="E61" s="36"/>
      <c r="F61" s="40"/>
      <c r="G61" s="36"/>
      <c r="H61" s="48"/>
      <c r="I61" s="57">
        <v>74.55</v>
      </c>
      <c r="J61" s="36"/>
      <c r="K61" s="48"/>
      <c r="L61" s="40"/>
      <c r="M61" s="36"/>
      <c r="N61" s="48"/>
      <c r="O61" s="36"/>
      <c r="P61" s="36"/>
      <c r="Q61" s="40"/>
      <c r="R61" s="36"/>
      <c r="S61" s="48"/>
      <c r="T61" s="36"/>
      <c r="U61" s="36"/>
      <c r="V61" s="36"/>
      <c r="W61" s="36"/>
      <c r="X61" s="36"/>
      <c r="Y61" s="36"/>
      <c r="Z61" s="36">
        <v>7</v>
      </c>
      <c r="AA61" s="36">
        <v>7.65</v>
      </c>
      <c r="AB61" s="36"/>
      <c r="AC61" s="36"/>
      <c r="AD61" s="36">
        <v>0.6</v>
      </c>
      <c r="AE61" s="36">
        <v>0.2</v>
      </c>
      <c r="AF61" s="36"/>
      <c r="AG61" s="113">
        <f>SUM(D61:AF61)</f>
        <v>100</v>
      </c>
      <c r="AJ61" s="91"/>
      <c r="AN61" s="36">
        <f>AVERAGE(65.3,65.07)</f>
        <v>65.185000000000002</v>
      </c>
      <c r="AO61" s="36">
        <f>AVERAGE(10.86,10.89)</f>
        <v>10.875</v>
      </c>
      <c r="AP61" s="36">
        <v>158.434</v>
      </c>
      <c r="AQ61" s="36"/>
      <c r="AR61" s="36"/>
      <c r="AS61" s="36"/>
      <c r="AT61" s="36"/>
      <c r="AU61" s="36"/>
    </row>
    <row r="62" spans="1:47">
      <c r="A62" s="105">
        <v>59</v>
      </c>
      <c r="B62" s="45" t="s">
        <v>110</v>
      </c>
      <c r="C62" s="36" t="s">
        <v>115</v>
      </c>
      <c r="D62" s="36"/>
      <c r="E62" s="36"/>
      <c r="F62" s="40">
        <v>10</v>
      </c>
      <c r="G62" s="36"/>
      <c r="H62" s="48"/>
      <c r="I62" s="57"/>
      <c r="J62" s="36"/>
      <c r="K62" s="48">
        <v>63.22</v>
      </c>
      <c r="L62" s="40">
        <v>15</v>
      </c>
      <c r="M62" s="36"/>
      <c r="N62" s="48"/>
      <c r="O62" s="36"/>
      <c r="P62" s="36"/>
      <c r="Q62" s="40"/>
      <c r="R62" s="36"/>
      <c r="S62" s="48"/>
      <c r="T62" s="36"/>
      <c r="U62" s="36"/>
      <c r="V62" s="36"/>
      <c r="W62" s="36"/>
      <c r="X62" s="36">
        <v>3.5</v>
      </c>
      <c r="Y62" s="36"/>
      <c r="Z62" s="36"/>
      <c r="AA62" s="36"/>
      <c r="AB62" s="36"/>
      <c r="AC62" s="36"/>
      <c r="AD62" s="36"/>
      <c r="AE62" s="36"/>
      <c r="AF62" s="36">
        <v>8.2799999999999994</v>
      </c>
      <c r="AG62" s="113">
        <f>SUM(D62:AF62)</f>
        <v>100</v>
      </c>
      <c r="AJ62" s="91"/>
      <c r="AN62" s="36">
        <f>AVERAGE(53.94,53.83)</f>
        <v>53.884999999999998</v>
      </c>
      <c r="AO62" s="36">
        <f>AVERAGE(8.96,8.94)</f>
        <v>8.9499999999999993</v>
      </c>
      <c r="AP62" s="36">
        <v>145.68600000000001</v>
      </c>
      <c r="AQ62" s="36"/>
      <c r="AR62" s="36"/>
      <c r="AS62" s="36"/>
      <c r="AT62" s="36"/>
      <c r="AU62" s="36"/>
    </row>
    <row r="63" spans="1:47">
      <c r="A63" s="105">
        <v>60</v>
      </c>
      <c r="B63" s="45" t="s">
        <v>110</v>
      </c>
      <c r="C63" s="36" t="s">
        <v>116</v>
      </c>
      <c r="D63" s="36"/>
      <c r="E63" s="36">
        <v>5</v>
      </c>
      <c r="F63" s="40"/>
      <c r="G63" s="36"/>
      <c r="H63" s="48"/>
      <c r="I63" s="57"/>
      <c r="J63" s="36"/>
      <c r="K63" s="48">
        <v>31.61</v>
      </c>
      <c r="L63" s="40">
        <v>7.5</v>
      </c>
      <c r="M63" s="36"/>
      <c r="N63" s="48"/>
      <c r="O63" s="36"/>
      <c r="P63" s="36"/>
      <c r="Q63" s="40"/>
      <c r="R63" s="36"/>
      <c r="S63" s="48"/>
      <c r="T63" s="36"/>
      <c r="U63" s="36"/>
      <c r="V63" s="36"/>
      <c r="W63" s="36"/>
      <c r="X63" s="36">
        <v>1.75</v>
      </c>
      <c r="Y63" s="36"/>
      <c r="Z63" s="36"/>
      <c r="AA63" s="36"/>
      <c r="AB63" s="36"/>
      <c r="AC63" s="36"/>
      <c r="AD63" s="36"/>
      <c r="AE63" s="36"/>
      <c r="AF63" s="36">
        <v>4.1399999999999997</v>
      </c>
      <c r="AG63" s="115">
        <f>SUM(D63:AF63)</f>
        <v>50</v>
      </c>
      <c r="AJ63" s="91"/>
      <c r="AN63" s="36">
        <f>AVERAGE(44.74,44.64)</f>
        <v>44.69</v>
      </c>
      <c r="AO63" s="36">
        <f>AVERAGE(8,7.99)</f>
        <v>7.9950000000000001</v>
      </c>
      <c r="AP63" s="36">
        <v>152.327</v>
      </c>
      <c r="AQ63" s="36"/>
      <c r="AR63" s="36"/>
      <c r="AS63" s="36"/>
      <c r="AT63" s="36"/>
      <c r="AU63" s="36"/>
    </row>
    <row r="64" spans="1:47" ht="15" customHeight="1">
      <c r="A64" s="110">
        <v>61</v>
      </c>
      <c r="B64" s="46" t="s">
        <v>110</v>
      </c>
      <c r="C64" s="39" t="s">
        <v>117</v>
      </c>
      <c r="D64" s="39"/>
      <c r="E64" s="39">
        <v>2.5</v>
      </c>
      <c r="F64" s="41">
        <v>2.5</v>
      </c>
      <c r="G64" s="36"/>
      <c r="H64" s="48"/>
      <c r="I64" s="58"/>
      <c r="J64" s="36"/>
      <c r="K64" s="50">
        <v>39.234999999999999</v>
      </c>
      <c r="L64" s="41"/>
      <c r="M64" s="36"/>
      <c r="N64" s="50"/>
      <c r="O64" s="39"/>
      <c r="P64" s="39"/>
      <c r="Q64" s="41"/>
      <c r="R64" s="36"/>
      <c r="S64" s="50"/>
      <c r="T64" s="39"/>
      <c r="U64" s="39"/>
      <c r="V64" s="39"/>
      <c r="W64" s="39"/>
      <c r="X64" s="39">
        <v>1.625</v>
      </c>
      <c r="Y64" s="39"/>
      <c r="Z64" s="39"/>
      <c r="AA64" s="39"/>
      <c r="AB64" s="39"/>
      <c r="AC64" s="39"/>
      <c r="AD64" s="39"/>
      <c r="AE64" s="39"/>
      <c r="AF64" s="41">
        <v>4.1399999999999997</v>
      </c>
      <c r="AG64" s="115">
        <f>SUM(D64:AF64)</f>
        <v>50</v>
      </c>
      <c r="AJ64" s="91"/>
      <c r="AN64" s="39">
        <f>AVERAGE(46.72,46.62)</f>
        <v>46.67</v>
      </c>
      <c r="AO64" s="39">
        <f>AVERAGE(7.99,7.99)</f>
        <v>7.99</v>
      </c>
      <c r="AP64" s="39">
        <v>143.136</v>
      </c>
      <c r="AQ64" s="39"/>
      <c r="AR64" s="39"/>
      <c r="AS64" s="39"/>
      <c r="AT64" s="39"/>
      <c r="AU64" s="39"/>
    </row>
    <row r="65" spans="1:47">
      <c r="A65" s="110">
        <v>62</v>
      </c>
      <c r="B65" s="46" t="s">
        <v>110</v>
      </c>
      <c r="C65" s="39" t="s">
        <v>118</v>
      </c>
      <c r="D65" s="39"/>
      <c r="E65" s="39"/>
      <c r="F65" s="41">
        <v>10</v>
      </c>
      <c r="G65" s="36"/>
      <c r="H65" s="50"/>
      <c r="I65" s="58"/>
      <c r="J65" s="36"/>
      <c r="K65" s="50">
        <v>17.72</v>
      </c>
      <c r="L65" s="41">
        <v>60</v>
      </c>
      <c r="M65" s="36"/>
      <c r="N65" s="50"/>
      <c r="O65" s="39"/>
      <c r="P65" s="39"/>
      <c r="Q65" s="41"/>
      <c r="R65" s="39"/>
      <c r="S65" s="50"/>
      <c r="T65" s="39"/>
      <c r="U65" s="39"/>
      <c r="V65" s="39"/>
      <c r="W65" s="39"/>
      <c r="X65" s="39">
        <v>4</v>
      </c>
      <c r="Y65" s="39"/>
      <c r="Z65" s="39"/>
      <c r="AA65" s="39"/>
      <c r="AB65" s="39"/>
      <c r="AC65" s="39"/>
      <c r="AD65" s="39"/>
      <c r="AE65" s="39"/>
      <c r="AF65" s="39">
        <v>8.2799999999999994</v>
      </c>
      <c r="AG65" s="115">
        <f>SUM(D65:AF65)</f>
        <v>100</v>
      </c>
      <c r="AJ65" s="91"/>
      <c r="AN65" s="39">
        <f>AVERAGE(72.29,72.3)</f>
        <v>72.295000000000002</v>
      </c>
      <c r="AO65" s="39">
        <f>AVERAGE(10.67,10.67)</f>
        <v>10.67</v>
      </c>
      <c r="AP65" s="39">
        <v>135.149</v>
      </c>
      <c r="AQ65" s="39">
        <v>3.5980699999999999</v>
      </c>
      <c r="AR65" s="39"/>
      <c r="AS65" s="39"/>
      <c r="AT65" s="82">
        <v>5.5482799999999999E-2</v>
      </c>
      <c r="AU65" s="39"/>
    </row>
    <row r="66" spans="1:47">
      <c r="A66" s="105">
        <v>63</v>
      </c>
      <c r="B66" s="45" t="s">
        <v>119</v>
      </c>
      <c r="C66" s="36" t="s">
        <v>120</v>
      </c>
      <c r="D66" s="36"/>
      <c r="E66" s="36"/>
      <c r="F66" s="40">
        <v>10</v>
      </c>
      <c r="G66" s="36"/>
      <c r="H66" s="48">
        <v>14.3</v>
      </c>
      <c r="I66" s="40"/>
      <c r="J66" s="36"/>
      <c r="K66" s="48"/>
      <c r="L66" s="40">
        <v>65.7</v>
      </c>
      <c r="M66" s="36"/>
      <c r="N66" s="48"/>
      <c r="O66" s="36"/>
      <c r="P66" s="36"/>
      <c r="Q66" s="36"/>
      <c r="R66" s="36"/>
      <c r="S66" s="36"/>
      <c r="T66" s="36"/>
      <c r="U66" s="36">
        <v>10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113">
        <f>SUM(D66:AF66)</f>
        <v>100</v>
      </c>
      <c r="AJ66" s="91"/>
      <c r="AN66" s="36">
        <f>AVERAGE(94.02,94.2)</f>
        <v>94.11</v>
      </c>
      <c r="AO66" s="36">
        <f>AVERAGE(14.09,14.1)</f>
        <v>14.094999999999999</v>
      </c>
      <c r="AP66" s="36">
        <v>153.727</v>
      </c>
      <c r="AQ66" s="36"/>
      <c r="AR66" s="36"/>
      <c r="AS66" s="36"/>
      <c r="AT66" s="36"/>
      <c r="AU66" s="36"/>
    </row>
    <row r="67" spans="1:47">
      <c r="A67" s="105">
        <v>64</v>
      </c>
      <c r="B67" s="45" t="s">
        <v>119</v>
      </c>
      <c r="C67" s="36" t="s">
        <v>121</v>
      </c>
      <c r="D67" s="36"/>
      <c r="E67" s="36"/>
      <c r="F67" s="40">
        <v>10</v>
      </c>
      <c r="G67" s="36"/>
      <c r="H67" s="48">
        <v>14.3</v>
      </c>
      <c r="I67" s="40"/>
      <c r="J67" s="36"/>
      <c r="K67" s="48"/>
      <c r="L67" s="40">
        <v>68.7</v>
      </c>
      <c r="M67" s="36"/>
      <c r="N67" s="48"/>
      <c r="O67" s="36"/>
      <c r="P67" s="36"/>
      <c r="Q67" s="36"/>
      <c r="R67" s="36"/>
      <c r="S67" s="36"/>
      <c r="T67" s="36"/>
      <c r="U67" s="36"/>
      <c r="V67" s="36"/>
      <c r="W67" s="36">
        <v>7</v>
      </c>
      <c r="X67" s="36"/>
      <c r="Y67" s="36"/>
      <c r="Z67" s="36"/>
      <c r="AA67" s="36"/>
      <c r="AB67" s="36"/>
      <c r="AC67" s="36"/>
      <c r="AD67" s="36"/>
      <c r="AE67" s="36"/>
      <c r="AF67" s="36"/>
      <c r="AG67" s="113">
        <f>SUM(D67:AF67)</f>
        <v>100</v>
      </c>
      <c r="AJ67" s="91"/>
      <c r="AN67" s="36">
        <f>AVERAGE(95.24,95.5)</f>
        <v>95.37</v>
      </c>
      <c r="AO67" s="36">
        <f>AVERAGE(14.52,14.52)</f>
        <v>14.52</v>
      </c>
      <c r="AP67" s="36">
        <v>157.97900000000001</v>
      </c>
      <c r="AQ67" s="36"/>
      <c r="AR67" s="36"/>
      <c r="AS67" s="36"/>
      <c r="AT67" s="36"/>
      <c r="AU67" s="36"/>
    </row>
    <row r="68" spans="1:47">
      <c r="A68" s="105">
        <v>65</v>
      </c>
      <c r="B68" s="45" t="s">
        <v>119</v>
      </c>
      <c r="C68" s="36" t="s">
        <v>122</v>
      </c>
      <c r="D68" s="36"/>
      <c r="E68" s="36"/>
      <c r="F68" s="40">
        <v>10</v>
      </c>
      <c r="G68" s="36"/>
      <c r="H68" s="48">
        <v>14.3</v>
      </c>
      <c r="I68" s="40"/>
      <c r="J68" s="36"/>
      <c r="K68" s="48"/>
      <c r="L68" s="40">
        <v>68.7</v>
      </c>
      <c r="M68" s="36"/>
      <c r="N68" s="48"/>
      <c r="O68" s="36"/>
      <c r="P68" s="36"/>
      <c r="Q68" s="36"/>
      <c r="R68" s="36"/>
      <c r="S68" s="36"/>
      <c r="T68" s="36"/>
      <c r="U68" s="36">
        <v>7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113">
        <f>SUM(D68:AF68)</f>
        <v>100</v>
      </c>
      <c r="AJ68" s="91"/>
      <c r="AN68" s="36">
        <f>AVERAGE(83.71,83.95)</f>
        <v>83.83</v>
      </c>
      <c r="AO68" s="36">
        <f>AVERAGE(12.6,12.58)</f>
        <v>12.59</v>
      </c>
      <c r="AP68" s="36">
        <v>147.84800000000001</v>
      </c>
      <c r="AQ68" s="36"/>
      <c r="AR68" s="36"/>
      <c r="AS68" s="36"/>
      <c r="AT68" s="36"/>
      <c r="AU68" s="36"/>
    </row>
    <row r="69" spans="1:47">
      <c r="A69" s="105">
        <v>66</v>
      </c>
      <c r="B69" s="46" t="s">
        <v>119</v>
      </c>
      <c r="C69" s="39" t="s">
        <v>123</v>
      </c>
      <c r="D69" s="39"/>
      <c r="E69" s="39"/>
      <c r="F69" s="41">
        <v>10</v>
      </c>
      <c r="G69" s="36"/>
      <c r="H69" s="50">
        <v>14.3</v>
      </c>
      <c r="I69" s="41"/>
      <c r="J69" s="36"/>
      <c r="K69" s="50"/>
      <c r="L69" s="41">
        <v>65.7</v>
      </c>
      <c r="M69" s="39"/>
      <c r="N69" s="50"/>
      <c r="O69" s="39"/>
      <c r="P69" s="39"/>
      <c r="Q69" s="39"/>
      <c r="R69" s="39"/>
      <c r="S69" s="39"/>
      <c r="T69" s="39"/>
      <c r="U69" s="39"/>
      <c r="V69" s="39"/>
      <c r="W69" s="39">
        <v>10</v>
      </c>
      <c r="X69" s="39"/>
      <c r="Y69" s="39"/>
      <c r="Z69" s="39"/>
      <c r="AA69" s="39"/>
      <c r="AB69" s="39"/>
      <c r="AC69" s="39"/>
      <c r="AD69" s="39"/>
      <c r="AE69" s="39"/>
      <c r="AF69" s="39"/>
      <c r="AG69" s="115">
        <f>SUM(D69:AF69)</f>
        <v>100</v>
      </c>
      <c r="AJ69" s="91"/>
      <c r="AN69" s="39">
        <f>AVERAGE(125.7,125.53)</f>
        <v>125.61500000000001</v>
      </c>
      <c r="AO69" s="39">
        <f>AVERAGE(16.86,16.86)</f>
        <v>16.86</v>
      </c>
      <c r="AP69" s="39">
        <v>145.92099999999999</v>
      </c>
      <c r="AQ69" s="39"/>
      <c r="AR69" s="39"/>
      <c r="AS69" s="39"/>
      <c r="AT69" s="39"/>
      <c r="AU69" s="39"/>
    </row>
    <row r="70" spans="1:47">
      <c r="A70" s="81">
        <v>67</v>
      </c>
      <c r="B70" s="45" t="s">
        <v>124</v>
      </c>
      <c r="C70" s="36" t="s">
        <v>125</v>
      </c>
      <c r="D70" s="36"/>
      <c r="E70" s="36"/>
      <c r="F70" s="40">
        <v>3.75</v>
      </c>
      <c r="G70" s="36"/>
      <c r="H70" s="48">
        <v>7.15</v>
      </c>
      <c r="I70" s="40"/>
      <c r="J70" s="36"/>
      <c r="K70" s="48">
        <v>2.5</v>
      </c>
      <c r="L70" s="36">
        <v>31.6</v>
      </c>
      <c r="M70" s="36"/>
      <c r="N70" s="36"/>
      <c r="O70" s="36"/>
      <c r="P70" s="36"/>
      <c r="Q70" s="36"/>
      <c r="R70" s="36"/>
      <c r="S70" s="36"/>
      <c r="T70" s="36"/>
      <c r="U70" s="36">
        <v>5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113">
        <f>SUM(D70:AF70)</f>
        <v>50</v>
      </c>
      <c r="AJ70" s="91"/>
      <c r="AN70" s="36">
        <f>AVERAGE(91.34,91.24)</f>
        <v>91.289999999999992</v>
      </c>
      <c r="AO70" s="36">
        <f>AVERAGE(13.39)</f>
        <v>13.39</v>
      </c>
      <c r="AP70" s="36">
        <v>147.43100000000001</v>
      </c>
      <c r="AQ70" s="36"/>
      <c r="AR70" s="36"/>
      <c r="AS70" s="36"/>
      <c r="AT70" s="36"/>
      <c r="AU70" s="36"/>
    </row>
    <row r="71" spans="1:47">
      <c r="A71" s="117">
        <v>68</v>
      </c>
      <c r="B71" s="45" t="s">
        <v>124</v>
      </c>
      <c r="C71" s="36" t="s">
        <v>126</v>
      </c>
      <c r="D71" s="36"/>
      <c r="E71" s="36">
        <v>2.5</v>
      </c>
      <c r="F71" s="40">
        <v>5</v>
      </c>
      <c r="G71" s="36"/>
      <c r="H71" s="48">
        <v>7.15</v>
      </c>
      <c r="I71" s="40"/>
      <c r="J71" s="36"/>
      <c r="K71" s="48"/>
      <c r="L71" s="36">
        <v>30.35</v>
      </c>
      <c r="M71" s="36"/>
      <c r="N71" s="36"/>
      <c r="O71" s="36"/>
      <c r="P71" s="36"/>
      <c r="Q71" s="36"/>
      <c r="R71" s="36"/>
      <c r="S71" s="36"/>
      <c r="T71" s="36"/>
      <c r="U71" s="36">
        <v>5</v>
      </c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113">
        <f>SUM(D71:AF71)</f>
        <v>50</v>
      </c>
      <c r="AJ71" s="91"/>
      <c r="AN71" s="36" t="s">
        <v>69</v>
      </c>
      <c r="AO71" s="36">
        <f>AVERAGE(13.15,13.15)</f>
        <v>13.15</v>
      </c>
      <c r="AP71" s="36" t="s">
        <v>69</v>
      </c>
      <c r="AQ71" s="36"/>
      <c r="AR71" s="36"/>
      <c r="AS71" s="36"/>
      <c r="AT71" s="36"/>
      <c r="AU71" s="36"/>
    </row>
    <row r="72" spans="1:47">
      <c r="A72" s="117">
        <v>69</v>
      </c>
      <c r="B72" s="45" t="s">
        <v>124</v>
      </c>
      <c r="C72" s="36" t="s">
        <v>127</v>
      </c>
      <c r="D72" s="36"/>
      <c r="E72" s="36"/>
      <c r="F72" s="40">
        <v>5</v>
      </c>
      <c r="G72" s="36"/>
      <c r="H72" s="48">
        <v>7.15</v>
      </c>
      <c r="I72" s="40"/>
      <c r="J72" s="36"/>
      <c r="K72" s="48"/>
      <c r="L72" s="36">
        <v>30.35</v>
      </c>
      <c r="M72" s="36"/>
      <c r="N72" s="36"/>
      <c r="O72" s="36"/>
      <c r="P72" s="36"/>
      <c r="Q72" s="36"/>
      <c r="R72" s="36">
        <v>2.5</v>
      </c>
      <c r="S72" s="36"/>
      <c r="T72" s="36"/>
      <c r="U72" s="36">
        <v>5</v>
      </c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113">
        <f>SUM(D72:AF72)</f>
        <v>50</v>
      </c>
      <c r="AJ72" s="91"/>
      <c r="AN72" s="36" t="s">
        <v>69</v>
      </c>
      <c r="AO72" s="36">
        <f>AVERAGE(13.29,13.3)</f>
        <v>13.295</v>
      </c>
      <c r="AP72" s="36" t="s">
        <v>69</v>
      </c>
      <c r="AQ72" s="36"/>
      <c r="AR72" s="36"/>
      <c r="AS72" s="36"/>
      <c r="AT72" s="36"/>
      <c r="AU72" s="36"/>
    </row>
    <row r="73" spans="1:47">
      <c r="A73" s="117">
        <v>70</v>
      </c>
      <c r="B73" s="45" t="s">
        <v>124</v>
      </c>
      <c r="C73" s="36" t="s">
        <v>128</v>
      </c>
      <c r="D73" s="36"/>
      <c r="E73" s="36">
        <v>2.5</v>
      </c>
      <c r="F73" s="40">
        <v>7.5</v>
      </c>
      <c r="G73" s="36"/>
      <c r="H73" s="48">
        <v>14.3</v>
      </c>
      <c r="I73" s="40"/>
      <c r="J73" s="36"/>
      <c r="K73" s="48"/>
      <c r="L73" s="36">
        <v>65.7</v>
      </c>
      <c r="M73" s="36"/>
      <c r="N73" s="36"/>
      <c r="O73" s="36"/>
      <c r="P73" s="36"/>
      <c r="Q73" s="36"/>
      <c r="R73" s="36"/>
      <c r="S73" s="36"/>
      <c r="T73" s="36"/>
      <c r="U73" s="36">
        <v>10</v>
      </c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113">
        <f>SUM(D73:AF73)</f>
        <v>100</v>
      </c>
      <c r="AJ73" s="91"/>
      <c r="AN73" s="36" t="s">
        <v>69</v>
      </c>
      <c r="AO73" s="36">
        <f>AVERAGE(13.09,13.09)</f>
        <v>13.09</v>
      </c>
      <c r="AP73" s="36" t="s">
        <v>69</v>
      </c>
      <c r="AQ73" s="36"/>
      <c r="AR73" s="36"/>
      <c r="AS73" s="36"/>
      <c r="AT73" s="36"/>
      <c r="AU73" s="36"/>
    </row>
    <row r="74" spans="1:47">
      <c r="A74" s="117">
        <v>71</v>
      </c>
      <c r="B74" s="45" t="s">
        <v>124</v>
      </c>
      <c r="C74" s="36" t="s">
        <v>129</v>
      </c>
      <c r="D74" s="36"/>
      <c r="E74" s="36">
        <v>2.5</v>
      </c>
      <c r="F74" s="40">
        <v>7.5</v>
      </c>
      <c r="G74" s="36"/>
      <c r="H74" s="48">
        <v>14.3</v>
      </c>
      <c r="I74" s="40"/>
      <c r="J74" s="36"/>
      <c r="K74" s="48"/>
      <c r="L74" s="36">
        <v>68.7</v>
      </c>
      <c r="M74" s="36"/>
      <c r="N74" s="36"/>
      <c r="O74" s="36"/>
      <c r="P74" s="36"/>
      <c r="Q74" s="36"/>
      <c r="R74" s="36"/>
      <c r="S74" s="36"/>
      <c r="T74" s="36"/>
      <c r="U74" s="36">
        <v>7</v>
      </c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113">
        <f>SUM(D74:AF74)</f>
        <v>100</v>
      </c>
      <c r="AJ74" s="91"/>
      <c r="AN74" s="36">
        <f>AVERAGE(81.78,81.88)</f>
        <v>81.83</v>
      </c>
      <c r="AO74" s="36">
        <f>AVERAGE(11.67,11.7)</f>
        <v>11.684999999999999</v>
      </c>
      <c r="AP74" s="36">
        <v>135.06299999999999</v>
      </c>
      <c r="AQ74" s="36"/>
      <c r="AR74" s="36"/>
      <c r="AS74" s="36"/>
      <c r="AT74" s="36"/>
      <c r="AU74" s="36"/>
    </row>
    <row r="75" spans="1:47">
      <c r="A75" s="117">
        <v>72</v>
      </c>
      <c r="B75" s="45" t="s">
        <v>124</v>
      </c>
      <c r="C75" s="36" t="s">
        <v>130</v>
      </c>
      <c r="D75" s="36"/>
      <c r="E75" s="36"/>
      <c r="F75" s="40">
        <v>10</v>
      </c>
      <c r="G75" s="36"/>
      <c r="H75" s="48">
        <v>14.3</v>
      </c>
      <c r="I75" s="40"/>
      <c r="J75" s="36"/>
      <c r="K75" s="48">
        <v>5</v>
      </c>
      <c r="L75" s="36">
        <v>62.7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>
        <v>8</v>
      </c>
      <c r="X75" s="36"/>
      <c r="Y75" s="36"/>
      <c r="Z75" s="36"/>
      <c r="AA75" s="36"/>
      <c r="AB75" s="36"/>
      <c r="AC75" s="36"/>
      <c r="AD75" s="36"/>
      <c r="AE75" s="36"/>
      <c r="AF75" s="36"/>
      <c r="AG75" s="113">
        <f>SUM(D75:AF75)</f>
        <v>100</v>
      </c>
      <c r="AJ75" s="91"/>
      <c r="AN75" s="36" t="s">
        <v>69</v>
      </c>
      <c r="AO75" s="36">
        <f>AVERAGE(15.89,15.9)</f>
        <v>15.895</v>
      </c>
      <c r="AP75" s="36" t="s">
        <v>69</v>
      </c>
      <c r="AQ75" s="36"/>
      <c r="AR75" s="36"/>
      <c r="AS75" s="36"/>
      <c r="AT75" s="36"/>
      <c r="AU75" s="36"/>
    </row>
    <row r="76" spans="1:47">
      <c r="A76" s="117">
        <v>73</v>
      </c>
      <c r="B76" s="45" t="s">
        <v>124</v>
      </c>
      <c r="C76" s="36" t="s">
        <v>131</v>
      </c>
      <c r="D76" s="36"/>
      <c r="E76" s="36">
        <v>5</v>
      </c>
      <c r="F76" s="40">
        <v>5</v>
      </c>
      <c r="G76" s="36"/>
      <c r="H76" s="48">
        <v>14.3</v>
      </c>
      <c r="I76" s="40"/>
      <c r="J76" s="36"/>
      <c r="K76" s="48"/>
      <c r="L76" s="36">
        <v>68.7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>
        <v>7</v>
      </c>
      <c r="X76" s="36"/>
      <c r="Y76" s="36"/>
      <c r="Z76" s="36"/>
      <c r="AA76" s="36"/>
      <c r="AB76" s="36"/>
      <c r="AC76" s="36"/>
      <c r="AD76" s="36"/>
      <c r="AE76" s="36"/>
      <c r="AF76" s="36"/>
      <c r="AG76" s="113">
        <f>SUM(D76:AF76)</f>
        <v>100</v>
      </c>
      <c r="AJ76" s="91"/>
      <c r="AN76" s="36">
        <f>AVERAGE(87.62,87.82)</f>
        <v>87.72</v>
      </c>
      <c r="AO76" s="36">
        <f>AVERAGE(13.46,13.42)</f>
        <v>13.440000000000001</v>
      </c>
      <c r="AP76" s="36">
        <v>154.821</v>
      </c>
      <c r="AQ76" s="36"/>
      <c r="AR76" s="36"/>
      <c r="AS76" s="36"/>
      <c r="AT76" s="36"/>
      <c r="AU76" s="36"/>
    </row>
    <row r="77" spans="1:47">
      <c r="A77" s="69">
        <v>74</v>
      </c>
      <c r="B77" s="46" t="s">
        <v>124</v>
      </c>
      <c r="C77" s="39" t="s">
        <v>132</v>
      </c>
      <c r="D77" s="39"/>
      <c r="E77" s="39">
        <v>2.5</v>
      </c>
      <c r="F77" s="41">
        <v>7.5</v>
      </c>
      <c r="G77" s="36"/>
      <c r="H77" s="50">
        <v>14.3</v>
      </c>
      <c r="I77" s="41"/>
      <c r="J77" s="36"/>
      <c r="K77" s="50">
        <v>5</v>
      </c>
      <c r="L77" s="39">
        <v>64.2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>
        <v>6.5</v>
      </c>
      <c r="X77" s="39"/>
      <c r="Y77" s="39"/>
      <c r="Z77" s="39"/>
      <c r="AA77" s="39"/>
      <c r="AB77" s="39"/>
      <c r="AC77" s="39"/>
      <c r="AD77" s="39"/>
      <c r="AE77" s="39"/>
      <c r="AF77" s="39"/>
      <c r="AG77" s="115">
        <f>SUM(D77:AF77)</f>
        <v>100</v>
      </c>
      <c r="AJ77" s="91"/>
      <c r="AN77" s="36">
        <f>AVERAGE(92.4,92.52)</f>
        <v>92.460000000000008</v>
      </c>
      <c r="AO77" s="36">
        <f>AVERAGE(14.27,14.26)</f>
        <v>14.265000000000001</v>
      </c>
      <c r="AP77" s="36">
        <v>159.38499999999999</v>
      </c>
      <c r="AQ77" s="36"/>
      <c r="AR77" s="36"/>
      <c r="AS77" s="36"/>
      <c r="AT77" s="36"/>
      <c r="AU77" s="36"/>
    </row>
    <row r="78" spans="1:47">
      <c r="A78" s="110">
        <v>75</v>
      </c>
      <c r="B78" s="46" t="s">
        <v>124</v>
      </c>
      <c r="C78" s="39" t="s">
        <v>133</v>
      </c>
      <c r="D78" s="39"/>
      <c r="E78" s="39"/>
      <c r="F78" s="41">
        <v>10</v>
      </c>
      <c r="G78" s="39"/>
      <c r="H78" s="50"/>
      <c r="I78" s="41"/>
      <c r="J78" s="39"/>
      <c r="K78" s="50"/>
      <c r="L78" s="39">
        <v>71.3</v>
      </c>
      <c r="M78" s="39">
        <v>10</v>
      </c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>
        <v>8.6999999999999993</v>
      </c>
      <c r="AD78" s="39"/>
      <c r="AE78" s="39"/>
      <c r="AF78" s="39"/>
      <c r="AG78" s="115">
        <f>SUM(D78:AF78)</f>
        <v>100</v>
      </c>
      <c r="AJ78" s="91"/>
      <c r="AN78" s="39">
        <f>AVERAGE(85.2,85.18)</f>
        <v>85.19</v>
      </c>
      <c r="AO78" s="39">
        <f>AVERAGE(13.1,13.07)</f>
        <v>13.085000000000001</v>
      </c>
      <c r="AP78" s="39">
        <v>154.02699999999999</v>
      </c>
      <c r="AQ78" s="39"/>
      <c r="AR78" s="39"/>
      <c r="AS78" s="39"/>
      <c r="AT78" s="39"/>
      <c r="AU78" s="39"/>
    </row>
    <row r="79" spans="1:47">
      <c r="A79" s="105">
        <v>76</v>
      </c>
      <c r="B79" s="45" t="s">
        <v>134</v>
      </c>
      <c r="C79" s="36" t="s">
        <v>135</v>
      </c>
      <c r="D79" s="36"/>
      <c r="E79" s="36"/>
      <c r="F79" s="36">
        <v>7.5</v>
      </c>
      <c r="G79" s="36">
        <v>2.5</v>
      </c>
      <c r="H79" s="36">
        <v>14.3</v>
      </c>
      <c r="I79" s="36"/>
      <c r="J79" s="36"/>
      <c r="K79" s="36"/>
      <c r="L79" s="36">
        <v>68.7</v>
      </c>
      <c r="M79" s="36"/>
      <c r="N79" s="36"/>
      <c r="O79" s="36"/>
      <c r="P79" s="36"/>
      <c r="Q79" s="36"/>
      <c r="R79" s="36"/>
      <c r="S79" s="36"/>
      <c r="T79" s="36"/>
      <c r="U79" s="36">
        <v>7</v>
      </c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113">
        <f>SUM(D79:AF79)</f>
        <v>100</v>
      </c>
      <c r="AJ79" s="91"/>
      <c r="AN79" s="36">
        <f>AVERAGE(89.17,89.5)</f>
        <v>89.335000000000008</v>
      </c>
      <c r="AO79" s="36">
        <f>AVERAGE(12.02,12)</f>
        <v>12.01</v>
      </c>
      <c r="AP79" s="36">
        <v>127.074</v>
      </c>
      <c r="AQ79" s="36"/>
      <c r="AR79" s="36"/>
      <c r="AS79" s="36"/>
      <c r="AT79" s="36"/>
      <c r="AU79" s="36"/>
    </row>
    <row r="80" spans="1:47">
      <c r="A80" s="105">
        <v>77</v>
      </c>
      <c r="B80" s="45" t="s">
        <v>134</v>
      </c>
      <c r="C80" s="36" t="s">
        <v>136</v>
      </c>
      <c r="D80" s="36"/>
      <c r="E80" s="36"/>
      <c r="F80" s="36">
        <v>5</v>
      </c>
      <c r="G80" s="36">
        <v>5</v>
      </c>
      <c r="H80" s="36">
        <v>14.3</v>
      </c>
      <c r="I80" s="36"/>
      <c r="J80" s="36"/>
      <c r="K80" s="36"/>
      <c r="L80" s="36">
        <v>67.7</v>
      </c>
      <c r="M80" s="36"/>
      <c r="N80" s="36"/>
      <c r="O80" s="36"/>
      <c r="P80" s="36"/>
      <c r="Q80" s="36"/>
      <c r="R80" s="36"/>
      <c r="S80" s="36"/>
      <c r="T80" s="36"/>
      <c r="U80" s="36">
        <v>8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113">
        <f>SUM(D80:AE80)</f>
        <v>100</v>
      </c>
      <c r="AJ80" s="91"/>
      <c r="AN80" s="36">
        <f>AVERAGE(80.23,80.26)</f>
        <v>80.245000000000005</v>
      </c>
      <c r="AO80" s="36">
        <f>AVERAGE(11.91,11.93)</f>
        <v>11.92</v>
      </c>
      <c r="AP80" s="36">
        <v>142.804</v>
      </c>
      <c r="AQ80" s="36"/>
      <c r="AR80" s="36"/>
      <c r="AS80" s="36"/>
      <c r="AT80" s="36"/>
      <c r="AU80" s="36"/>
    </row>
    <row r="81" spans="1:47">
      <c r="A81" s="105">
        <v>78</v>
      </c>
      <c r="B81" s="45" t="s">
        <v>134</v>
      </c>
      <c r="C81" s="36" t="s">
        <v>137</v>
      </c>
      <c r="D81" s="36"/>
      <c r="E81" s="36"/>
      <c r="F81" s="36">
        <v>10</v>
      </c>
      <c r="G81" s="36"/>
      <c r="H81" s="36"/>
      <c r="I81" s="36"/>
      <c r="J81" s="36">
        <v>59</v>
      </c>
      <c r="K81" s="36">
        <v>28</v>
      </c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>
        <v>3</v>
      </c>
      <c r="Y81" s="36"/>
      <c r="Z81" s="36"/>
      <c r="AA81" s="36"/>
      <c r="AB81" s="36"/>
      <c r="AC81" s="36"/>
      <c r="AD81" s="36"/>
      <c r="AE81" s="36"/>
      <c r="AF81" s="36">
        <v>8.2799999999999994</v>
      </c>
      <c r="AG81" s="113">
        <f>SUM(D81:AE81)</f>
        <v>100</v>
      </c>
      <c r="AJ81" s="91"/>
      <c r="AN81" s="36" t="s">
        <v>69</v>
      </c>
      <c r="AO81" s="36">
        <f>AVERAGE(6.9,6.9)</f>
        <v>6.9</v>
      </c>
      <c r="AP81" s="36" t="s">
        <v>69</v>
      </c>
      <c r="AQ81" s="36">
        <v>2.3935066699999998</v>
      </c>
      <c r="AR81" s="36"/>
      <c r="AS81" s="36"/>
      <c r="AT81" s="61">
        <v>0.1187</v>
      </c>
      <c r="AU81" s="36"/>
    </row>
    <row r="82" spans="1:47">
      <c r="A82" s="105">
        <v>79</v>
      </c>
      <c r="B82" s="45" t="s">
        <v>134</v>
      </c>
      <c r="C82" s="36" t="s">
        <v>138</v>
      </c>
      <c r="D82" s="36"/>
      <c r="E82" s="36">
        <v>10</v>
      </c>
      <c r="F82" s="36"/>
      <c r="G82" s="36"/>
      <c r="H82" s="36"/>
      <c r="I82" s="36"/>
      <c r="J82" s="36">
        <v>59</v>
      </c>
      <c r="K82" s="36">
        <v>28</v>
      </c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>
        <v>3</v>
      </c>
      <c r="Y82" s="36"/>
      <c r="Z82" s="36"/>
      <c r="AA82" s="36"/>
      <c r="AB82" s="36"/>
      <c r="AC82" s="36"/>
      <c r="AD82" s="36"/>
      <c r="AE82" s="36"/>
      <c r="AF82" s="36">
        <v>8.2799999999999994</v>
      </c>
      <c r="AG82" s="113">
        <f>SUM(D82:AE82)</f>
        <v>100</v>
      </c>
      <c r="AJ82" s="91"/>
      <c r="AN82" s="36" t="s">
        <v>69</v>
      </c>
      <c r="AO82" s="36">
        <f>AVERAGE(6.21,6.22)</f>
        <v>6.2149999999999999</v>
      </c>
      <c r="AP82" s="36" t="s">
        <v>69</v>
      </c>
      <c r="AQ82" s="36">
        <v>2.3017249999999998</v>
      </c>
      <c r="AR82" s="36"/>
      <c r="AS82" s="36"/>
      <c r="AT82" s="61">
        <v>0.12970000000000001</v>
      </c>
      <c r="AU82" s="36"/>
    </row>
    <row r="83" spans="1:47">
      <c r="A83" s="105">
        <v>80</v>
      </c>
      <c r="B83" s="45" t="s">
        <v>134</v>
      </c>
      <c r="C83" s="36" t="s">
        <v>139</v>
      </c>
      <c r="D83" s="36"/>
      <c r="E83" s="36">
        <v>5</v>
      </c>
      <c r="F83" s="36">
        <v>5</v>
      </c>
      <c r="G83" s="36"/>
      <c r="H83" s="36"/>
      <c r="I83" s="36"/>
      <c r="J83" s="36">
        <v>59</v>
      </c>
      <c r="K83" s="36">
        <v>28</v>
      </c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>
        <v>3</v>
      </c>
      <c r="Y83" s="36"/>
      <c r="Z83" s="36"/>
      <c r="AA83" s="36"/>
      <c r="AB83" s="36"/>
      <c r="AC83" s="36"/>
      <c r="AD83" s="36"/>
      <c r="AE83" s="36"/>
      <c r="AF83" s="36">
        <v>8.2799999999999994</v>
      </c>
      <c r="AG83" s="113">
        <f>SUM(D83:AE83)</f>
        <v>100</v>
      </c>
      <c r="AJ83" s="91"/>
      <c r="AN83" s="36" t="s">
        <v>69</v>
      </c>
      <c r="AO83" s="36">
        <f>AVERAGE(6.51,6.51)</f>
        <v>6.51</v>
      </c>
      <c r="AP83" s="36" t="s">
        <v>69</v>
      </c>
      <c r="AQ83" s="36">
        <v>2.3108149999999998</v>
      </c>
      <c r="AR83" s="36"/>
      <c r="AS83" s="36"/>
      <c r="AT83" s="61">
        <v>0.1308</v>
      </c>
      <c r="AU83" s="36"/>
    </row>
    <row r="84" spans="1:47">
      <c r="A84" s="105">
        <v>81</v>
      </c>
      <c r="B84" s="45" t="s">
        <v>134</v>
      </c>
      <c r="C84" s="36" t="s">
        <v>140</v>
      </c>
      <c r="D84" s="36"/>
      <c r="E84" s="36"/>
      <c r="F84" s="36"/>
      <c r="G84" s="36">
        <v>10</v>
      </c>
      <c r="H84" s="36"/>
      <c r="I84" s="36"/>
      <c r="J84" s="36">
        <v>59</v>
      </c>
      <c r="K84" s="36">
        <v>28</v>
      </c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>
        <v>3</v>
      </c>
      <c r="Y84" s="36"/>
      <c r="Z84" s="36"/>
      <c r="AA84" s="36"/>
      <c r="AB84" s="36"/>
      <c r="AC84" s="36"/>
      <c r="AD84" s="36"/>
      <c r="AE84" s="36"/>
      <c r="AF84" s="36">
        <v>8.2799999999999994</v>
      </c>
      <c r="AG84" s="113">
        <f>SUM(D84:AE84)</f>
        <v>100</v>
      </c>
      <c r="AJ84" s="91"/>
      <c r="AN84" s="36" t="s">
        <v>69</v>
      </c>
      <c r="AO84" s="36">
        <f>AVERAGE(6.36,6.37)</f>
        <v>6.3650000000000002</v>
      </c>
      <c r="AP84" s="36" t="s">
        <v>69</v>
      </c>
      <c r="AQ84" s="36">
        <v>2.3403999999999998</v>
      </c>
      <c r="AR84" s="36"/>
      <c r="AS84" s="36"/>
      <c r="AT84" s="61">
        <v>0.1125</v>
      </c>
      <c r="AU84" s="36"/>
    </row>
    <row r="85" spans="1:47">
      <c r="A85" s="105">
        <v>82</v>
      </c>
      <c r="B85" s="45" t="s">
        <v>134</v>
      </c>
      <c r="C85" s="36" t="s">
        <v>141</v>
      </c>
      <c r="D85" s="36"/>
      <c r="E85" s="36"/>
      <c r="F85" s="36">
        <v>10</v>
      </c>
      <c r="G85" s="36"/>
      <c r="H85" s="36"/>
      <c r="I85" s="36"/>
      <c r="J85" s="36">
        <v>58</v>
      </c>
      <c r="K85" s="36">
        <v>26</v>
      </c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>
        <v>6</v>
      </c>
      <c r="Y85" s="36"/>
      <c r="Z85" s="36"/>
      <c r="AA85" s="36"/>
      <c r="AB85" s="36"/>
      <c r="AC85" s="36"/>
      <c r="AD85" s="36"/>
      <c r="AE85" s="36"/>
      <c r="AF85" s="36">
        <v>8.2799999999999994</v>
      </c>
      <c r="AG85" s="113">
        <f>SUM(D85:AE85)</f>
        <v>100</v>
      </c>
      <c r="AJ85" s="91"/>
      <c r="AN85" s="36" t="s">
        <v>69</v>
      </c>
      <c r="AO85" s="36">
        <f>AVERAGE(7.52,7.52)</f>
        <v>7.52</v>
      </c>
      <c r="AP85" s="36" t="s">
        <v>69</v>
      </c>
      <c r="AQ85" s="36">
        <v>2.4986000000000002</v>
      </c>
      <c r="AR85" s="36"/>
      <c r="AS85" s="36"/>
      <c r="AT85" s="61">
        <v>0.1187</v>
      </c>
      <c r="AU85" s="36"/>
    </row>
    <row r="86" spans="1:47">
      <c r="A86" s="110">
        <v>83</v>
      </c>
      <c r="B86" s="46" t="s">
        <v>134</v>
      </c>
      <c r="C86" s="39" t="s">
        <v>142</v>
      </c>
      <c r="D86" s="39"/>
      <c r="E86" s="39"/>
      <c r="F86" s="39">
        <v>10</v>
      </c>
      <c r="G86" s="39"/>
      <c r="H86" s="39"/>
      <c r="I86" s="39"/>
      <c r="J86" s="39">
        <v>57</v>
      </c>
      <c r="K86" s="39">
        <v>26</v>
      </c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>
        <v>7</v>
      </c>
      <c r="Y86" s="39"/>
      <c r="Z86" s="39"/>
      <c r="AA86" s="39"/>
      <c r="AB86" s="39"/>
      <c r="AC86" s="39"/>
      <c r="AD86" s="39"/>
      <c r="AE86" s="39"/>
      <c r="AF86" s="39">
        <v>8.2799999999999994</v>
      </c>
      <c r="AG86" s="115">
        <f>SUM(D86:AE86)</f>
        <v>100</v>
      </c>
      <c r="AJ86" s="91"/>
      <c r="AN86" s="36">
        <f>AVERAGE(42.95,42.98)</f>
        <v>42.965000000000003</v>
      </c>
      <c r="AO86" s="36">
        <f>AVERAGE(8.26,8.2)</f>
        <v>8.23</v>
      </c>
      <c r="AP86" s="36">
        <v>169.797</v>
      </c>
      <c r="AQ86" s="36">
        <v>2.5971099999999998</v>
      </c>
      <c r="AR86" s="36"/>
      <c r="AS86" s="36"/>
      <c r="AT86" s="61">
        <v>0.1202</v>
      </c>
      <c r="AU86" s="36"/>
    </row>
    <row r="87" spans="1:47">
      <c r="A87" s="105">
        <v>84</v>
      </c>
      <c r="B87" s="45" t="s">
        <v>143</v>
      </c>
      <c r="C87" s="36" t="s">
        <v>144</v>
      </c>
      <c r="D87" s="36"/>
      <c r="E87" s="36"/>
      <c r="F87" s="36">
        <v>10</v>
      </c>
      <c r="G87" s="36"/>
      <c r="H87" s="36"/>
      <c r="I87" s="36"/>
      <c r="J87" s="36">
        <v>57</v>
      </c>
      <c r="K87" s="36">
        <v>26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>
        <v>7</v>
      </c>
      <c r="Y87" s="36"/>
      <c r="Z87" s="36"/>
      <c r="AA87" s="36"/>
      <c r="AB87" s="36"/>
      <c r="AC87" s="36"/>
      <c r="AD87" s="36"/>
      <c r="AE87" s="36"/>
      <c r="AF87" s="36">
        <v>8.2799999999999994</v>
      </c>
      <c r="AG87" s="113">
        <f>SUM(D87:AE87)</f>
        <v>100</v>
      </c>
      <c r="AJ87" s="91"/>
      <c r="AN87" s="36">
        <f>AVERAGE(64.04,64.11)</f>
        <v>64.075000000000003</v>
      </c>
      <c r="AO87" s="36">
        <f>AVERAGE(11.06,11.06)</f>
        <v>11.06</v>
      </c>
      <c r="AP87" s="36">
        <v>166.05199999999999</v>
      </c>
      <c r="AQ87" s="36">
        <v>3.4759250000000002</v>
      </c>
      <c r="AR87" s="36"/>
      <c r="AS87" s="36"/>
      <c r="AT87" s="36"/>
      <c r="AU87" s="36"/>
    </row>
    <row r="88" spans="1:47">
      <c r="A88" s="105">
        <v>85</v>
      </c>
      <c r="B88" s="45" t="s">
        <v>143</v>
      </c>
      <c r="C88" s="36" t="s">
        <v>145</v>
      </c>
      <c r="D88" s="36"/>
      <c r="E88" s="36"/>
      <c r="F88" s="36">
        <v>10</v>
      </c>
      <c r="G88" s="36"/>
      <c r="H88" s="36"/>
      <c r="I88" s="36"/>
      <c r="J88" s="36">
        <v>56.5</v>
      </c>
      <c r="K88" s="36">
        <v>26</v>
      </c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>
        <v>7.5</v>
      </c>
      <c r="Y88" s="36"/>
      <c r="Z88" s="36"/>
      <c r="AA88" s="36"/>
      <c r="AB88" s="36"/>
      <c r="AC88" s="36"/>
      <c r="AD88" s="36"/>
      <c r="AE88" s="36"/>
      <c r="AF88" s="36">
        <v>8.2799999999999994</v>
      </c>
      <c r="AG88" s="113">
        <f>SUM(D88:AE88)</f>
        <v>100</v>
      </c>
      <c r="AJ88" s="91"/>
      <c r="AN88" s="36">
        <f>AVERAGE(46.39,46.31)</f>
        <v>46.35</v>
      </c>
      <c r="AO88" s="36">
        <f>AVERAGE(8.04,8.05)</f>
        <v>8.0449999999999999</v>
      </c>
      <c r="AP88" s="36">
        <v>146.517</v>
      </c>
      <c r="AQ88" s="36">
        <v>2.7435100000000001</v>
      </c>
      <c r="AR88" s="36"/>
      <c r="AS88" s="36"/>
      <c r="AT88" s="36"/>
      <c r="AU88" s="36"/>
    </row>
    <row r="89" spans="1:47">
      <c r="A89" s="105">
        <v>86</v>
      </c>
      <c r="B89" s="45" t="s">
        <v>143</v>
      </c>
      <c r="C89" s="36" t="s">
        <v>146</v>
      </c>
      <c r="D89" s="36"/>
      <c r="E89" s="36">
        <v>10</v>
      </c>
      <c r="F89" s="36"/>
      <c r="G89" s="36"/>
      <c r="H89" s="36"/>
      <c r="I89" s="36"/>
      <c r="J89" s="36">
        <v>37.549999999999997</v>
      </c>
      <c r="K89" s="36">
        <v>38</v>
      </c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>
        <v>6</v>
      </c>
      <c r="Y89" s="36"/>
      <c r="Z89" s="36"/>
      <c r="AA89" s="36"/>
      <c r="AB89" s="36">
        <v>7.65</v>
      </c>
      <c r="AC89" s="36"/>
      <c r="AD89" s="36">
        <v>0.6</v>
      </c>
      <c r="AE89" s="36">
        <v>0.2</v>
      </c>
      <c r="AF89" s="36"/>
      <c r="AG89" s="113">
        <f>SUM(D89:AE89)</f>
        <v>100</v>
      </c>
      <c r="AJ89" s="91"/>
      <c r="AN89" s="36">
        <f>AVERAGE(48.27,48.2)</f>
        <v>48.234999999999999</v>
      </c>
      <c r="AO89" s="36">
        <f>AVERAGE(8.12,8.14)</f>
        <v>8.129999999999999</v>
      </c>
      <c r="AP89" s="36">
        <v>141.441</v>
      </c>
      <c r="AQ89" s="36">
        <v>2.7290774999999998</v>
      </c>
      <c r="AR89" s="36"/>
      <c r="AS89" s="36"/>
      <c r="AT89" s="36"/>
      <c r="AU89" s="36"/>
    </row>
    <row r="90" spans="1:47">
      <c r="A90" s="105">
        <v>87</v>
      </c>
      <c r="B90" s="45" t="s">
        <v>143</v>
      </c>
      <c r="C90" s="36" t="s">
        <v>147</v>
      </c>
      <c r="D90" s="36"/>
      <c r="E90" s="36"/>
      <c r="F90" s="36">
        <v>7.5</v>
      </c>
      <c r="G90" s="36">
        <v>2.5</v>
      </c>
      <c r="H90" s="36">
        <v>14.3</v>
      </c>
      <c r="I90" s="36"/>
      <c r="J90" s="36">
        <v>5</v>
      </c>
      <c r="K90" s="36">
        <v>62.7</v>
      </c>
      <c r="L90" s="36"/>
      <c r="M90" s="36"/>
      <c r="N90" s="36"/>
      <c r="O90" s="36"/>
      <c r="P90" s="36"/>
      <c r="Q90" s="36"/>
      <c r="R90" s="36"/>
      <c r="S90" s="36"/>
      <c r="T90" s="36"/>
      <c r="U90" s="36">
        <v>8</v>
      </c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113">
        <f>SUM(D90:AE90)</f>
        <v>100</v>
      </c>
      <c r="AJ90" s="91"/>
      <c r="AN90" s="36">
        <f>AVERAGE(81.8,81.65)</f>
        <v>81.724999999999994</v>
      </c>
      <c r="AO90" s="36">
        <f>AVERAGE(12.08,12.2)</f>
        <v>12.14</v>
      </c>
      <c r="AP90" s="36">
        <v>143.97</v>
      </c>
      <c r="AQ90" s="36"/>
      <c r="AR90" s="36"/>
      <c r="AS90" s="36"/>
      <c r="AT90" s="36"/>
      <c r="AU90" s="36"/>
    </row>
    <row r="91" spans="1:47">
      <c r="A91" s="105">
        <v>88</v>
      </c>
      <c r="B91" s="45" t="s">
        <v>143</v>
      </c>
      <c r="C91" s="36" t="s">
        <v>148</v>
      </c>
      <c r="D91" s="36"/>
      <c r="E91" s="36"/>
      <c r="F91" s="36">
        <v>5</v>
      </c>
      <c r="G91" s="36">
        <v>5</v>
      </c>
      <c r="H91" s="36">
        <v>14.3</v>
      </c>
      <c r="I91" s="36"/>
      <c r="J91" s="36">
        <v>7.5</v>
      </c>
      <c r="K91" s="36">
        <v>58.2</v>
      </c>
      <c r="L91" s="36"/>
      <c r="M91" s="36"/>
      <c r="N91" s="36"/>
      <c r="O91" s="36"/>
      <c r="P91" s="36"/>
      <c r="Q91" s="36"/>
      <c r="R91" s="36"/>
      <c r="S91" s="36"/>
      <c r="T91" s="36"/>
      <c r="U91" s="36">
        <v>10</v>
      </c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113">
        <f>SUM(D91:AE91)</f>
        <v>100</v>
      </c>
      <c r="AJ91" s="91"/>
      <c r="AN91" s="36">
        <f>AVERAGE(82.57,82.54)</f>
        <v>82.555000000000007</v>
      </c>
      <c r="AO91" s="36">
        <f>AVERAGE(11.09,11.09)</f>
        <v>11.09</v>
      </c>
      <c r="AP91" s="36">
        <v>122.248</v>
      </c>
      <c r="AQ91" s="36"/>
      <c r="AR91" s="36"/>
      <c r="AS91" s="36"/>
      <c r="AT91" s="36"/>
      <c r="AU91" s="36"/>
    </row>
    <row r="92" spans="1:47">
      <c r="A92" s="105">
        <v>89</v>
      </c>
      <c r="B92" s="45" t="s">
        <v>143</v>
      </c>
      <c r="C92" s="36" t="s">
        <v>149</v>
      </c>
      <c r="D92" s="36"/>
      <c r="E92" s="36"/>
      <c r="F92" s="36">
        <v>5</v>
      </c>
      <c r="G92" s="36"/>
      <c r="H92" s="36">
        <v>14.3</v>
      </c>
      <c r="I92" s="36"/>
      <c r="J92" s="36">
        <v>15</v>
      </c>
      <c r="K92" s="36">
        <v>50.7</v>
      </c>
      <c r="L92" s="36"/>
      <c r="M92" s="36"/>
      <c r="N92" s="36"/>
      <c r="O92" s="36"/>
      <c r="P92" s="36"/>
      <c r="Q92" s="36"/>
      <c r="R92" s="36">
        <v>5</v>
      </c>
      <c r="S92" s="36"/>
      <c r="T92" s="36"/>
      <c r="U92" s="36">
        <v>10</v>
      </c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113">
        <f>SUM(D92:AE92)</f>
        <v>100</v>
      </c>
      <c r="AJ92" s="91"/>
      <c r="AN92" s="36">
        <f>AVERAGE(83.31,83.49)</f>
        <v>83.4</v>
      </c>
      <c r="AO92" s="36">
        <f>AVERAGE(11.68,11.67)</f>
        <v>11.675000000000001</v>
      </c>
      <c r="AP92" s="36">
        <v>131.78800000000001</v>
      </c>
      <c r="AQ92" s="36"/>
      <c r="AR92" s="36"/>
      <c r="AS92" s="36"/>
      <c r="AT92" s="36"/>
      <c r="AU92" s="36"/>
    </row>
    <row r="93" spans="1:47">
      <c r="A93" s="105">
        <v>90</v>
      </c>
      <c r="B93" s="45" t="s">
        <v>143</v>
      </c>
      <c r="C93" s="36" t="s">
        <v>150</v>
      </c>
      <c r="D93" s="36"/>
      <c r="E93" s="36"/>
      <c r="F93" s="36">
        <v>5</v>
      </c>
      <c r="G93" s="36"/>
      <c r="H93" s="36">
        <v>14.3</v>
      </c>
      <c r="I93" s="36"/>
      <c r="J93" s="36">
        <v>30</v>
      </c>
      <c r="K93" s="36">
        <v>35.700000000000003</v>
      </c>
      <c r="L93" s="36"/>
      <c r="M93" s="36"/>
      <c r="N93" s="36"/>
      <c r="O93" s="36"/>
      <c r="P93" s="36"/>
      <c r="Q93" s="36"/>
      <c r="R93" s="36">
        <v>5</v>
      </c>
      <c r="S93" s="36"/>
      <c r="T93" s="36"/>
      <c r="U93" s="36">
        <v>10</v>
      </c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113">
        <f>SUM(D93:AE93)</f>
        <v>100</v>
      </c>
      <c r="AJ93" s="91"/>
      <c r="AN93" s="36">
        <f>AVERAGE(75.53,75.49)</f>
        <v>75.509999999999991</v>
      </c>
      <c r="AO93" s="36">
        <f>AVERAGE(11.78,11.73)</f>
        <v>11.754999999999999</v>
      </c>
      <c r="AP93" s="36">
        <v>150.14599999999999</v>
      </c>
      <c r="AQ93" s="36"/>
      <c r="AR93" s="36"/>
      <c r="AS93" s="36"/>
      <c r="AT93" s="36"/>
      <c r="AU93" s="36"/>
    </row>
    <row r="94" spans="1:47">
      <c r="A94" s="105">
        <v>91</v>
      </c>
      <c r="B94" s="45" t="s">
        <v>143</v>
      </c>
      <c r="C94" s="36" t="s">
        <v>151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>
        <v>100</v>
      </c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113">
        <f>SUM(D94:AE94)</f>
        <v>100</v>
      </c>
      <c r="AJ94" s="91"/>
      <c r="AN94" s="36">
        <f>AVERAGE(1451.09,1452.25)</f>
        <v>1451.67</v>
      </c>
      <c r="AO94" s="36">
        <f>AVERAGE(153.32,153.16)</f>
        <v>153.24</v>
      </c>
      <c r="AP94" s="36">
        <v>221.09899999999999</v>
      </c>
      <c r="AQ94" s="36"/>
      <c r="AR94" s="36"/>
      <c r="AS94" s="36"/>
      <c r="AT94" s="36"/>
      <c r="AU94" s="36"/>
    </row>
    <row r="95" spans="1:47">
      <c r="A95" s="105">
        <v>92</v>
      </c>
      <c r="B95" s="45" t="s">
        <v>143</v>
      </c>
      <c r="C95" s="36" t="s">
        <v>152</v>
      </c>
      <c r="D95" s="36"/>
      <c r="E95" s="36"/>
      <c r="F95" s="36"/>
      <c r="G95" s="36"/>
      <c r="H95" s="36"/>
      <c r="I95" s="36"/>
      <c r="J95" s="36">
        <v>95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>
        <v>5</v>
      </c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113">
        <f>SUM(D95:AE95)</f>
        <v>100</v>
      </c>
      <c r="AJ95" s="91"/>
      <c r="AN95" s="36" t="s">
        <v>69</v>
      </c>
      <c r="AO95" s="36">
        <f>AVERAGE(5.24,5.23)</f>
        <v>5.2350000000000003</v>
      </c>
      <c r="AP95" s="36" t="s">
        <v>69</v>
      </c>
      <c r="AQ95" s="36"/>
      <c r="AR95" s="36"/>
      <c r="AS95" s="36"/>
      <c r="AT95" s="36"/>
      <c r="AU95" s="36"/>
    </row>
    <row r="96" spans="1:47">
      <c r="A96" s="105">
        <v>93</v>
      </c>
      <c r="B96" s="45" t="s">
        <v>143</v>
      </c>
      <c r="C96" s="36" t="s">
        <v>153</v>
      </c>
      <c r="D96" s="36"/>
      <c r="E96" s="36"/>
      <c r="F96" s="36"/>
      <c r="G96" s="36"/>
      <c r="H96" s="36"/>
      <c r="I96" s="36"/>
      <c r="J96" s="36">
        <v>90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>
        <v>10</v>
      </c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113">
        <f>SUM(D96:AE96)</f>
        <v>100</v>
      </c>
      <c r="AJ96" s="91"/>
      <c r="AN96" s="36" t="s">
        <v>69</v>
      </c>
      <c r="AO96" s="36">
        <f>AVERAGE(5.8,5.81)</f>
        <v>5.8049999999999997</v>
      </c>
      <c r="AP96" s="36" t="s">
        <v>69</v>
      </c>
      <c r="AQ96" s="36"/>
      <c r="AR96" s="36"/>
      <c r="AS96" s="36"/>
      <c r="AT96" s="36"/>
      <c r="AU96" s="36"/>
    </row>
    <row r="97" spans="1:47">
      <c r="A97" s="105">
        <v>94</v>
      </c>
      <c r="B97" s="45" t="s">
        <v>143</v>
      </c>
      <c r="C97" s="36" t="s">
        <v>154</v>
      </c>
      <c r="D97" s="36"/>
      <c r="E97" s="36"/>
      <c r="F97" s="36"/>
      <c r="G97" s="36"/>
      <c r="H97" s="36"/>
      <c r="I97" s="36"/>
      <c r="J97" s="36"/>
      <c r="K97" s="36">
        <v>95</v>
      </c>
      <c r="L97" s="36"/>
      <c r="M97" s="36"/>
      <c r="N97" s="36"/>
      <c r="O97" s="36"/>
      <c r="P97" s="36"/>
      <c r="Q97" s="36"/>
      <c r="R97" s="36"/>
      <c r="S97" s="36"/>
      <c r="T97" s="36"/>
      <c r="U97" s="36">
        <v>5</v>
      </c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113">
        <f>SUM(D97:AE97)</f>
        <v>100</v>
      </c>
      <c r="AJ97" s="91"/>
      <c r="AN97" s="36" t="s">
        <v>69</v>
      </c>
      <c r="AO97" s="36">
        <f>AVERAGE(6.95,696)</f>
        <v>351.47500000000002</v>
      </c>
      <c r="AP97" s="36" t="s">
        <v>69</v>
      </c>
      <c r="AQ97" s="36"/>
      <c r="AR97" s="36"/>
      <c r="AS97" s="36"/>
      <c r="AT97" s="36"/>
      <c r="AU97" s="36"/>
    </row>
    <row r="98" spans="1:47">
      <c r="A98" s="105">
        <v>95</v>
      </c>
      <c r="B98" s="45" t="s">
        <v>143</v>
      </c>
      <c r="C98" s="36" t="s">
        <v>155</v>
      </c>
      <c r="D98" s="36"/>
      <c r="E98" s="36"/>
      <c r="F98" s="36"/>
      <c r="G98" s="36"/>
      <c r="H98" s="36"/>
      <c r="I98" s="36"/>
      <c r="J98" s="36"/>
      <c r="K98" s="36">
        <v>90</v>
      </c>
      <c r="L98" s="36"/>
      <c r="M98" s="36"/>
      <c r="N98" s="36"/>
      <c r="O98" s="36"/>
      <c r="P98" s="36"/>
      <c r="Q98" s="36"/>
      <c r="R98" s="36"/>
      <c r="S98" s="36"/>
      <c r="T98" s="36"/>
      <c r="U98" s="36">
        <v>10</v>
      </c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113">
        <f>SUM(D98:AE98)</f>
        <v>100</v>
      </c>
      <c r="AJ98" s="91"/>
      <c r="AN98" s="36" t="s">
        <v>69</v>
      </c>
      <c r="AO98" s="36">
        <f>AVERAGE(7.48,7.49)</f>
        <v>7.4850000000000003</v>
      </c>
      <c r="AP98" s="36" t="s">
        <v>69</v>
      </c>
      <c r="AQ98" s="36"/>
      <c r="AR98" s="36"/>
      <c r="AS98" s="36"/>
      <c r="AT98" s="36"/>
      <c r="AU98" s="36"/>
    </row>
    <row r="99" spans="1:47">
      <c r="A99" s="105">
        <v>96</v>
      </c>
      <c r="B99" s="45" t="s">
        <v>143</v>
      </c>
      <c r="C99" s="36" t="s">
        <v>156</v>
      </c>
      <c r="D99" s="36"/>
      <c r="E99" s="36"/>
      <c r="F99" s="36"/>
      <c r="G99" s="36"/>
      <c r="H99" s="36"/>
      <c r="I99" s="36"/>
      <c r="J99" s="36"/>
      <c r="K99" s="36"/>
      <c r="L99" s="36">
        <v>95</v>
      </c>
      <c r="M99" s="36"/>
      <c r="N99" s="36"/>
      <c r="O99" s="36"/>
      <c r="P99" s="36"/>
      <c r="Q99" s="36"/>
      <c r="R99" s="36"/>
      <c r="S99" s="36"/>
      <c r="T99" s="36"/>
      <c r="U99" s="36">
        <v>5</v>
      </c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113">
        <f>SUM(D99:AE99)</f>
        <v>100</v>
      </c>
      <c r="AJ99" s="91"/>
      <c r="AN99" s="36" t="s">
        <v>69</v>
      </c>
      <c r="AO99" s="36">
        <f>AVERAGE(8.19,8.18)</f>
        <v>8.1849999999999987</v>
      </c>
      <c r="AP99" s="36" t="s">
        <v>69</v>
      </c>
      <c r="AQ99" s="36"/>
      <c r="AR99" s="36"/>
      <c r="AS99" s="36"/>
      <c r="AT99" s="36"/>
      <c r="AU99" s="36"/>
    </row>
    <row r="100" spans="1:47">
      <c r="A100" s="110">
        <v>97</v>
      </c>
      <c r="B100" s="46" t="s">
        <v>143</v>
      </c>
      <c r="C100" s="39" t="s">
        <v>157</v>
      </c>
      <c r="D100" s="39"/>
      <c r="E100" s="39"/>
      <c r="F100" s="39"/>
      <c r="G100" s="39"/>
      <c r="H100" s="39"/>
      <c r="I100" s="39"/>
      <c r="J100" s="39"/>
      <c r="K100" s="39"/>
      <c r="L100" s="39">
        <v>90</v>
      </c>
      <c r="M100" s="39"/>
      <c r="N100" s="39"/>
      <c r="O100" s="39"/>
      <c r="P100" s="39"/>
      <c r="Q100" s="39"/>
      <c r="R100" s="39"/>
      <c r="S100" s="39"/>
      <c r="T100" s="39"/>
      <c r="U100" s="39">
        <v>10</v>
      </c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115">
        <f>SUM(D100:AE100)</f>
        <v>100</v>
      </c>
      <c r="AJ100" s="91"/>
      <c r="AN100" s="36" t="s">
        <v>69</v>
      </c>
      <c r="AO100" s="36">
        <f>AVERAGE(8.86,8.86)</f>
        <v>8.86</v>
      </c>
      <c r="AP100" s="36" t="s">
        <v>69</v>
      </c>
      <c r="AQ100" s="36"/>
      <c r="AR100" s="36"/>
      <c r="AS100" s="36"/>
      <c r="AT100" s="36"/>
      <c r="AU100" s="36"/>
    </row>
    <row r="101" spans="1:47">
      <c r="A101" s="105">
        <v>98</v>
      </c>
      <c r="B101" s="45" t="s">
        <v>158</v>
      </c>
      <c r="C101" s="36" t="s">
        <v>159</v>
      </c>
      <c r="D101" s="36"/>
      <c r="E101" s="36"/>
      <c r="F101" s="36">
        <v>10</v>
      </c>
      <c r="G101" s="36"/>
      <c r="H101" s="36"/>
      <c r="I101" s="36"/>
      <c r="J101" s="36"/>
      <c r="K101" s="36">
        <v>37.549999999999997</v>
      </c>
      <c r="L101" s="36">
        <v>38.340000000000003</v>
      </c>
      <c r="M101" s="36"/>
      <c r="N101" s="36"/>
      <c r="O101" s="36"/>
      <c r="P101" s="36"/>
      <c r="Q101" s="36"/>
      <c r="R101" s="36"/>
      <c r="S101" s="36"/>
      <c r="T101" s="36"/>
      <c r="U101" s="36">
        <v>5.83</v>
      </c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>
        <v>8.2799999999999994</v>
      </c>
      <c r="AG101" s="113">
        <f>SUM(D101:AF101)</f>
        <v>100</v>
      </c>
      <c r="AJ101" s="91"/>
      <c r="AN101" s="36">
        <f>AVERAGE(62.37,62.44)</f>
        <v>62.405000000000001</v>
      </c>
      <c r="AO101" s="36">
        <f>AVERAGE(9.84,9.84)</f>
        <v>9.84</v>
      </c>
      <c r="AP101" s="36">
        <v>141.88200000000001</v>
      </c>
      <c r="AQ101" s="36">
        <v>3.2840066700000001</v>
      </c>
      <c r="AR101" s="36"/>
      <c r="AS101" s="36"/>
      <c r="AT101" s="36"/>
      <c r="AU101" s="36"/>
    </row>
    <row r="102" spans="1:47">
      <c r="A102" s="105">
        <v>99</v>
      </c>
      <c r="B102" s="45" t="s">
        <v>158</v>
      </c>
      <c r="C102" s="36" t="s">
        <v>160</v>
      </c>
      <c r="D102" s="36"/>
      <c r="E102" s="36"/>
      <c r="F102" s="36">
        <v>10</v>
      </c>
      <c r="G102" s="36"/>
      <c r="H102" s="36"/>
      <c r="I102" s="36"/>
      <c r="J102" s="36"/>
      <c r="K102" s="36"/>
      <c r="L102" s="36">
        <v>73.75</v>
      </c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>
        <v>7.55</v>
      </c>
      <c r="X102" s="36"/>
      <c r="Y102" s="36"/>
      <c r="Z102" s="36"/>
      <c r="AA102" s="36"/>
      <c r="AB102" s="36"/>
      <c r="AC102" s="36">
        <v>8.6999999999999993</v>
      </c>
      <c r="AD102" s="36"/>
      <c r="AE102" s="36"/>
      <c r="AF102" s="36"/>
      <c r="AG102" s="113">
        <f t="shared" ref="AG102:AG106" si="0">SUM(D102:AF102)</f>
        <v>100</v>
      </c>
      <c r="AJ102" s="91"/>
      <c r="AN102" s="36">
        <f>AVERAGE(87.37,87.44)</f>
        <v>87.405000000000001</v>
      </c>
      <c r="AO102" s="36">
        <f>AVERAGE(14.38,14.37)</f>
        <v>14.375</v>
      </c>
      <c r="AP102" s="36">
        <v>171.084</v>
      </c>
      <c r="AQ102" s="36">
        <v>4.0394474999999996</v>
      </c>
      <c r="AR102" s="36"/>
      <c r="AS102" s="36"/>
      <c r="AT102" s="36"/>
      <c r="AU102" s="36"/>
    </row>
    <row r="103" spans="1:47">
      <c r="A103" s="105">
        <v>100</v>
      </c>
      <c r="B103" s="45" t="s">
        <v>158</v>
      </c>
      <c r="C103" s="36" t="s">
        <v>161</v>
      </c>
      <c r="D103" s="36"/>
      <c r="E103" s="36"/>
      <c r="F103" s="36">
        <v>5</v>
      </c>
      <c r="G103" s="36"/>
      <c r="H103" s="36">
        <v>14.3</v>
      </c>
      <c r="I103" s="36"/>
      <c r="J103" s="36"/>
      <c r="K103" s="36">
        <v>40</v>
      </c>
      <c r="L103" s="36">
        <v>25.7</v>
      </c>
      <c r="M103" s="36"/>
      <c r="N103" s="36"/>
      <c r="O103" s="36"/>
      <c r="P103" s="36"/>
      <c r="Q103" s="36"/>
      <c r="R103" s="36">
        <v>5</v>
      </c>
      <c r="S103" s="36"/>
      <c r="T103" s="36"/>
      <c r="U103" s="36">
        <v>10</v>
      </c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113">
        <f t="shared" si="0"/>
        <v>100</v>
      </c>
      <c r="AJ103" s="91"/>
      <c r="AN103" s="36">
        <f>AVERAGE(75.33,75.31)</f>
        <v>75.319999999999993</v>
      </c>
      <c r="AO103" s="36">
        <f>AVERAGE(11.32,11.32)</f>
        <v>11.32</v>
      </c>
      <c r="AP103" s="36">
        <v>141.79599999999999</v>
      </c>
      <c r="AQ103" s="36"/>
      <c r="AR103" s="36"/>
      <c r="AS103" s="36"/>
      <c r="AT103" s="36"/>
      <c r="AU103" s="36"/>
    </row>
    <row r="104" spans="1:47">
      <c r="A104" s="105">
        <v>101</v>
      </c>
      <c r="B104" s="45" t="s">
        <v>158</v>
      </c>
      <c r="C104" s="36" t="s">
        <v>162</v>
      </c>
      <c r="D104" s="36"/>
      <c r="E104" s="36"/>
      <c r="F104" s="36"/>
      <c r="G104" s="36"/>
      <c r="H104" s="36">
        <v>14.3</v>
      </c>
      <c r="I104" s="36"/>
      <c r="J104" s="36"/>
      <c r="K104" s="36">
        <v>30</v>
      </c>
      <c r="L104" s="36">
        <v>35.700000000000003</v>
      </c>
      <c r="M104" s="36"/>
      <c r="N104" s="36"/>
      <c r="O104" s="36"/>
      <c r="P104" s="36"/>
      <c r="Q104" s="36"/>
      <c r="R104" s="36">
        <v>10</v>
      </c>
      <c r="S104" s="36"/>
      <c r="T104" s="36"/>
      <c r="U104" s="36">
        <v>10</v>
      </c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113">
        <f t="shared" si="0"/>
        <v>100</v>
      </c>
      <c r="AJ104" s="91"/>
      <c r="AN104" s="36">
        <f>AVERAGE(68.46,68.48)</f>
        <v>68.47</v>
      </c>
      <c r="AO104" s="36">
        <f>AVERAGE(10.48,10.46)</f>
        <v>10.47</v>
      </c>
      <c r="AP104" s="36">
        <v>140.17099999999999</v>
      </c>
      <c r="AQ104" s="36"/>
      <c r="AR104" s="36"/>
      <c r="AS104" s="36"/>
      <c r="AT104" s="36"/>
      <c r="AU104" s="36"/>
    </row>
    <row r="105" spans="1:47">
      <c r="A105" s="105">
        <v>102</v>
      </c>
      <c r="B105" s="45" t="s">
        <v>158</v>
      </c>
      <c r="C105" s="36" t="s">
        <v>163</v>
      </c>
      <c r="D105" s="36"/>
      <c r="E105" s="36"/>
      <c r="F105" s="36">
        <v>10</v>
      </c>
      <c r="G105" s="36"/>
      <c r="H105" s="36"/>
      <c r="I105" s="36"/>
      <c r="J105" s="36"/>
      <c r="K105" s="36">
        <v>38.72</v>
      </c>
      <c r="L105" s="36">
        <v>36</v>
      </c>
      <c r="M105" s="36"/>
      <c r="N105" s="36"/>
      <c r="O105" s="36"/>
      <c r="P105" s="36"/>
      <c r="Q105" s="36"/>
      <c r="R105" s="36"/>
      <c r="S105" s="36"/>
      <c r="T105" s="36"/>
      <c r="U105" s="36">
        <v>7</v>
      </c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>
        <v>8.2799999999999994</v>
      </c>
      <c r="AG105" s="113">
        <f t="shared" si="0"/>
        <v>100</v>
      </c>
      <c r="AJ105" s="91"/>
      <c r="AN105" s="36">
        <f>AVERAGE(65.98,65.55)</f>
        <v>65.765000000000001</v>
      </c>
      <c r="AO105" s="36">
        <f>AVERAGE(10.55,10.54)</f>
        <v>10.545</v>
      </c>
      <c r="AP105" s="36">
        <v>149.17599999999999</v>
      </c>
      <c r="AQ105" s="36">
        <v>3.36076</v>
      </c>
      <c r="AR105" s="36"/>
      <c r="AS105" s="36"/>
      <c r="AT105" s="36"/>
      <c r="AU105" s="36"/>
    </row>
    <row r="106" spans="1:47">
      <c r="A106" s="110">
        <v>103</v>
      </c>
      <c r="B106" s="46" t="s">
        <v>158</v>
      </c>
      <c r="C106" s="39" t="s">
        <v>164</v>
      </c>
      <c r="D106" s="39">
        <v>500</v>
      </c>
      <c r="E106" s="39"/>
      <c r="F106" s="39"/>
      <c r="G106" s="39"/>
      <c r="H106" s="39"/>
      <c r="I106" s="39"/>
      <c r="J106" s="39"/>
      <c r="K106" s="39">
        <v>1877.5</v>
      </c>
      <c r="L106" s="39">
        <v>1900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>
        <v>300</v>
      </c>
      <c r="Y106" s="39"/>
      <c r="Z106" s="39"/>
      <c r="AA106" s="39"/>
      <c r="AB106" s="39">
        <v>382.5</v>
      </c>
      <c r="AC106" s="39"/>
      <c r="AD106" s="39">
        <v>30</v>
      </c>
      <c r="AE106" s="39">
        <v>10</v>
      </c>
      <c r="AF106" s="39"/>
      <c r="AG106" s="115">
        <f>SUM(D106:AF106)</f>
        <v>5000</v>
      </c>
      <c r="AJ106" s="91"/>
      <c r="AN106" s="36">
        <f>AVERAGE(64.35,64.15)</f>
        <v>64.25</v>
      </c>
      <c r="AO106" s="36">
        <f>AVERAGE(9.74,9.72)</f>
        <v>9.73</v>
      </c>
      <c r="AP106" s="36">
        <v>133.92099999999999</v>
      </c>
      <c r="AQ106" s="36">
        <v>3.4759250000000002</v>
      </c>
      <c r="AR106" s="36"/>
      <c r="AS106" s="36"/>
      <c r="AT106" s="36"/>
      <c r="AU106" s="36"/>
    </row>
    <row r="107" spans="1:47">
      <c r="A107" s="105">
        <v>104</v>
      </c>
      <c r="B107" s="45" t="s">
        <v>165</v>
      </c>
      <c r="C107" s="36" t="s">
        <v>166</v>
      </c>
      <c r="D107" s="36"/>
      <c r="E107" s="36"/>
      <c r="F107" s="36">
        <v>5</v>
      </c>
      <c r="G107" s="36"/>
      <c r="H107" s="36">
        <v>14.3</v>
      </c>
      <c r="I107" s="36"/>
      <c r="J107" s="36"/>
      <c r="K107" s="36">
        <v>45</v>
      </c>
      <c r="L107" s="36">
        <v>20.7</v>
      </c>
      <c r="M107" s="36"/>
      <c r="N107" s="36"/>
      <c r="O107" s="36"/>
      <c r="P107" s="36"/>
      <c r="Q107" s="36"/>
      <c r="R107" s="36">
        <v>5</v>
      </c>
      <c r="S107" s="36"/>
      <c r="T107" s="36"/>
      <c r="U107" s="36">
        <v>10</v>
      </c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113">
        <f t="shared" ref="AG107:AG124" si="1">SUM(D107:AF107)</f>
        <v>100</v>
      </c>
      <c r="AJ107" s="91"/>
      <c r="AN107" s="36">
        <f>AVERAGE(74.4,74.45)</f>
        <v>74.425000000000011</v>
      </c>
      <c r="AO107" s="36" t="s">
        <v>69</v>
      </c>
      <c r="AP107" s="36" t="s">
        <v>69</v>
      </c>
      <c r="AQ107" s="36"/>
      <c r="AR107" s="36"/>
      <c r="AS107" s="36"/>
      <c r="AT107" s="36"/>
      <c r="AU107" s="36"/>
    </row>
    <row r="108" spans="1:47">
      <c r="A108" s="105">
        <v>105</v>
      </c>
      <c r="B108" s="45" t="s">
        <v>165</v>
      </c>
      <c r="C108" s="36" t="s">
        <v>167</v>
      </c>
      <c r="D108" s="36"/>
      <c r="E108" s="36"/>
      <c r="F108" s="36">
        <v>5</v>
      </c>
      <c r="G108" s="36"/>
      <c r="H108" s="36">
        <v>14.3</v>
      </c>
      <c r="I108" s="36"/>
      <c r="J108" s="36"/>
      <c r="K108" s="36">
        <v>50</v>
      </c>
      <c r="L108" s="36">
        <v>15.7</v>
      </c>
      <c r="M108" s="36"/>
      <c r="N108" s="36"/>
      <c r="O108" s="36"/>
      <c r="P108" s="36"/>
      <c r="Q108" s="36"/>
      <c r="R108" s="36">
        <v>5</v>
      </c>
      <c r="S108" s="36"/>
      <c r="T108" s="36"/>
      <c r="U108" s="36">
        <v>10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113">
        <f t="shared" si="1"/>
        <v>100</v>
      </c>
      <c r="AJ108" s="91"/>
      <c r="AN108" s="36">
        <f>AVERAGE(72.83,72.75)</f>
        <v>72.789999999999992</v>
      </c>
      <c r="AO108" s="36" t="s">
        <v>69</v>
      </c>
      <c r="AP108" s="36" t="s">
        <v>69</v>
      </c>
      <c r="AQ108" s="36"/>
      <c r="AR108" s="36"/>
      <c r="AS108" s="36"/>
      <c r="AT108" s="36"/>
      <c r="AU108" s="36"/>
    </row>
    <row r="109" spans="1:47">
      <c r="A109" s="105">
        <v>106</v>
      </c>
      <c r="B109" s="45" t="s">
        <v>165</v>
      </c>
      <c r="C109" s="36" t="s">
        <v>168</v>
      </c>
      <c r="D109" s="36"/>
      <c r="E109" s="36"/>
      <c r="F109" s="36">
        <v>5</v>
      </c>
      <c r="G109" s="36"/>
      <c r="H109" s="36">
        <v>14.3</v>
      </c>
      <c r="I109" s="36"/>
      <c r="J109" s="36"/>
      <c r="K109" s="36">
        <v>65.7</v>
      </c>
      <c r="L109" s="36"/>
      <c r="M109" s="36"/>
      <c r="N109" s="36"/>
      <c r="O109" s="36"/>
      <c r="P109" s="36"/>
      <c r="Q109" s="36"/>
      <c r="R109" s="36">
        <v>5</v>
      </c>
      <c r="S109" s="36"/>
      <c r="T109" s="36"/>
      <c r="U109" s="36">
        <v>10</v>
      </c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113">
        <f t="shared" si="1"/>
        <v>100</v>
      </c>
      <c r="AJ109" s="91"/>
      <c r="AN109" s="36">
        <f>AVERAGE(69.96,69.97)</f>
        <v>69.965000000000003</v>
      </c>
      <c r="AO109" s="36">
        <f>AVERAGE(10.78,10.72)</f>
        <v>10.75</v>
      </c>
      <c r="AP109" s="36">
        <v>142.56899999999999</v>
      </c>
      <c r="AQ109" s="36"/>
      <c r="AR109" s="36"/>
      <c r="AS109" s="36"/>
      <c r="AT109" s="36"/>
      <c r="AU109" s="36"/>
    </row>
    <row r="110" spans="1:47">
      <c r="A110" s="105">
        <v>107</v>
      </c>
      <c r="B110" s="45" t="s">
        <v>165</v>
      </c>
      <c r="C110" s="36" t="s">
        <v>169</v>
      </c>
      <c r="D110" s="36"/>
      <c r="E110" s="36"/>
      <c r="F110" s="36"/>
      <c r="G110" s="36"/>
      <c r="H110" s="36">
        <v>14.3</v>
      </c>
      <c r="I110" s="36"/>
      <c r="J110" s="36"/>
      <c r="K110" s="36">
        <v>65.7</v>
      </c>
      <c r="L110" s="36"/>
      <c r="M110" s="36"/>
      <c r="N110" s="36"/>
      <c r="O110" s="36"/>
      <c r="P110" s="36"/>
      <c r="Q110" s="36"/>
      <c r="R110" s="36">
        <v>10</v>
      </c>
      <c r="S110" s="36"/>
      <c r="T110" s="36"/>
      <c r="U110" s="36">
        <v>10</v>
      </c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113">
        <f t="shared" si="1"/>
        <v>100</v>
      </c>
      <c r="AJ110" s="91"/>
      <c r="AN110" s="36">
        <f>AVERAGE(62.1,61.95)</f>
        <v>62.025000000000006</v>
      </c>
      <c r="AO110" s="36">
        <f>AVERAGE(9.91,9.98)</f>
        <v>9.9450000000000003</v>
      </c>
      <c r="AP110" s="36">
        <v>145.64099999999999</v>
      </c>
      <c r="AQ110" s="36"/>
      <c r="AR110" s="36"/>
      <c r="AS110" s="36"/>
      <c r="AT110" s="36"/>
      <c r="AU110" s="36"/>
    </row>
    <row r="111" spans="1:47">
      <c r="A111" s="105">
        <v>108</v>
      </c>
      <c r="B111" s="45" t="s">
        <v>165</v>
      </c>
      <c r="C111" s="36" t="s">
        <v>170</v>
      </c>
      <c r="D111" s="36"/>
      <c r="E111" s="36"/>
      <c r="F111" s="36">
        <v>10</v>
      </c>
      <c r="G111" s="36"/>
      <c r="H111" s="36">
        <v>14.3</v>
      </c>
      <c r="I111" s="36"/>
      <c r="J111" s="36">
        <v>41.82</v>
      </c>
      <c r="K111" s="36">
        <v>27.88</v>
      </c>
      <c r="L111" s="36"/>
      <c r="M111" s="36"/>
      <c r="N111" s="36"/>
      <c r="O111" s="36"/>
      <c r="P111" s="36"/>
      <c r="Q111" s="36"/>
      <c r="R111" s="36"/>
      <c r="S111" s="36"/>
      <c r="T111" s="36"/>
      <c r="U111" s="36">
        <v>6</v>
      </c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113">
        <f t="shared" si="1"/>
        <v>100</v>
      </c>
      <c r="AJ111" s="91"/>
      <c r="AN111" s="36">
        <f>AVERAGE(53.42,53.46)</f>
        <v>53.44</v>
      </c>
      <c r="AO111" s="36">
        <f>AVERAGE(8.99,8.98)</f>
        <v>8.9849999999999994</v>
      </c>
      <c r="AP111" s="36">
        <v>148.34299999999999</v>
      </c>
      <c r="AQ111" s="36"/>
      <c r="AR111" s="36"/>
      <c r="AS111" s="36"/>
      <c r="AT111" s="36"/>
      <c r="AU111" s="36"/>
    </row>
    <row r="112" spans="1:47">
      <c r="A112" s="110">
        <v>109</v>
      </c>
      <c r="B112" s="46" t="s">
        <v>165</v>
      </c>
      <c r="C112" s="39" t="s">
        <v>171</v>
      </c>
      <c r="D112" s="39"/>
      <c r="E112" s="39"/>
      <c r="F112" s="39">
        <v>10</v>
      </c>
      <c r="G112" s="39"/>
      <c r="H112" s="39"/>
      <c r="I112" s="39"/>
      <c r="J112" s="39"/>
      <c r="K112" s="39">
        <v>45.22</v>
      </c>
      <c r="L112" s="39">
        <v>30</v>
      </c>
      <c r="M112" s="39"/>
      <c r="N112" s="39"/>
      <c r="O112" s="39"/>
      <c r="P112" s="39"/>
      <c r="Q112" s="39"/>
      <c r="R112" s="39"/>
      <c r="S112" s="39"/>
      <c r="T112" s="39"/>
      <c r="U112" s="39">
        <v>6.5</v>
      </c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>
        <v>8.2799999999999994</v>
      </c>
      <c r="AG112" s="115">
        <f t="shared" si="1"/>
        <v>100</v>
      </c>
      <c r="AJ112" s="91"/>
      <c r="AN112" s="36">
        <f>AVERAGE(64.26,64.16)</f>
        <v>64.210000000000008</v>
      </c>
      <c r="AO112" s="36">
        <f>AVERAGE(9.12,9.15)</f>
        <v>9.1349999999999998</v>
      </c>
      <c r="AP112" s="36">
        <v>119.236</v>
      </c>
      <c r="AQ112" s="36">
        <v>3.3675000000000002</v>
      </c>
      <c r="AR112" s="36"/>
      <c r="AS112" s="36"/>
      <c r="AT112" s="36"/>
      <c r="AU112" s="36"/>
    </row>
    <row r="113" spans="1:47">
      <c r="A113" s="105">
        <v>110</v>
      </c>
      <c r="B113" s="45" t="s">
        <v>172</v>
      </c>
      <c r="C113" s="36" t="s">
        <v>173</v>
      </c>
      <c r="D113" s="36"/>
      <c r="E113" s="36"/>
      <c r="F113" s="36">
        <v>10</v>
      </c>
      <c r="G113" s="36"/>
      <c r="H113" s="36">
        <v>14.3</v>
      </c>
      <c r="I113" s="36"/>
      <c r="J113" s="36">
        <v>39.42</v>
      </c>
      <c r="K113" s="36">
        <v>26.28</v>
      </c>
      <c r="L113" s="36"/>
      <c r="M113" s="36"/>
      <c r="N113" s="36"/>
      <c r="O113" s="36"/>
      <c r="P113" s="36"/>
      <c r="Q113" s="36"/>
      <c r="R113" s="36"/>
      <c r="S113" s="36"/>
      <c r="T113" s="36"/>
      <c r="U113" s="36">
        <v>10</v>
      </c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113">
        <f t="shared" si="1"/>
        <v>100</v>
      </c>
      <c r="AJ113" s="91"/>
      <c r="AN113" s="36">
        <f>AVERAGE(61.57,61.44)</f>
        <v>61.504999999999995</v>
      </c>
      <c r="AO113" s="36">
        <f>AVERAGE(9.92,9.97)</f>
        <v>9.9450000000000003</v>
      </c>
      <c r="AP113" s="36">
        <v>147.21299999999999</v>
      </c>
      <c r="AQ113" s="36"/>
      <c r="AR113" s="36"/>
      <c r="AS113" s="36"/>
      <c r="AT113" s="36"/>
      <c r="AU113" s="36"/>
    </row>
    <row r="114" spans="1:47">
      <c r="A114" s="105">
        <v>111</v>
      </c>
      <c r="B114" s="45" t="s">
        <v>172</v>
      </c>
      <c r="C114" s="36" t="s">
        <v>174</v>
      </c>
      <c r="D114" s="36"/>
      <c r="E114" s="36"/>
      <c r="F114" s="36">
        <v>5</v>
      </c>
      <c r="G114" s="36"/>
      <c r="H114" s="36">
        <v>14.3</v>
      </c>
      <c r="I114" s="36"/>
      <c r="J114" s="36">
        <v>39.42</v>
      </c>
      <c r="K114" s="36">
        <v>26.28</v>
      </c>
      <c r="L114" s="36"/>
      <c r="M114" s="36"/>
      <c r="N114" s="36"/>
      <c r="O114" s="36"/>
      <c r="P114" s="36"/>
      <c r="Q114" s="36"/>
      <c r="R114" s="36">
        <v>5</v>
      </c>
      <c r="S114" s="36"/>
      <c r="T114" s="36"/>
      <c r="U114" s="36">
        <v>10</v>
      </c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113">
        <f t="shared" si="1"/>
        <v>100</v>
      </c>
      <c r="AJ114" s="91"/>
      <c r="AN114" s="36">
        <f>AVERAGE(55.9,55.82)</f>
        <v>55.86</v>
      </c>
      <c r="AO114" s="36">
        <f>AVERAGE(9.32,9.29)</f>
        <v>9.3049999999999997</v>
      </c>
      <c r="AP114" s="36">
        <v>148.74700000000001</v>
      </c>
      <c r="AQ114" s="36"/>
      <c r="AR114" s="36"/>
      <c r="AS114" s="36"/>
      <c r="AT114" s="36"/>
      <c r="AU114" s="36"/>
    </row>
    <row r="115" spans="1:47">
      <c r="A115" s="105">
        <v>112</v>
      </c>
      <c r="B115" s="45" t="s">
        <v>172</v>
      </c>
      <c r="C115" s="36" t="s">
        <v>175</v>
      </c>
      <c r="D115" s="36"/>
      <c r="E115" s="36"/>
      <c r="F115" s="36">
        <v>10</v>
      </c>
      <c r="G115" s="36"/>
      <c r="H115" s="36">
        <v>14.3</v>
      </c>
      <c r="I115" s="36"/>
      <c r="J115" s="36"/>
      <c r="K115" s="36">
        <v>10</v>
      </c>
      <c r="L115" s="36">
        <v>65.7</v>
      </c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113">
        <f t="shared" si="1"/>
        <v>100</v>
      </c>
      <c r="AJ115" s="91"/>
      <c r="AN115" s="36"/>
      <c r="AO115" s="36">
        <f>AVERAGE(14.73,14.75)</f>
        <v>14.74</v>
      </c>
      <c r="AP115" s="36"/>
      <c r="AQ115" s="36"/>
      <c r="AR115" s="36"/>
      <c r="AS115" s="36"/>
      <c r="AT115" s="36"/>
      <c r="AU115" s="36"/>
    </row>
    <row r="116" spans="1:47">
      <c r="A116" s="105">
        <v>113</v>
      </c>
      <c r="B116" s="45" t="s">
        <v>172</v>
      </c>
      <c r="C116" s="36" t="s">
        <v>176</v>
      </c>
      <c r="D116" s="36"/>
      <c r="E116" s="36"/>
      <c r="F116" s="36">
        <v>10</v>
      </c>
      <c r="G116" s="36"/>
      <c r="H116" s="36">
        <v>14.3</v>
      </c>
      <c r="I116" s="36"/>
      <c r="J116" s="36"/>
      <c r="K116" s="36">
        <v>15</v>
      </c>
      <c r="L116" s="36">
        <v>60.7</v>
      </c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113">
        <f>SUM(D116:AF116)</f>
        <v>100</v>
      </c>
      <c r="AJ116" s="91"/>
      <c r="AN116" s="36"/>
      <c r="AO116" s="36">
        <f>AVERAGE(14.92,14.95)</f>
        <v>14.934999999999999</v>
      </c>
      <c r="AP116" s="36"/>
      <c r="AQ116" s="36"/>
      <c r="AR116" s="36"/>
      <c r="AS116" s="36"/>
      <c r="AT116" s="36"/>
      <c r="AU116" s="36"/>
    </row>
    <row r="117" spans="1:47">
      <c r="A117" s="105">
        <v>114</v>
      </c>
      <c r="B117" s="45" t="s">
        <v>172</v>
      </c>
      <c r="C117" s="36" t="s">
        <v>177</v>
      </c>
      <c r="D117" s="36"/>
      <c r="E117" s="36"/>
      <c r="F117" s="36">
        <v>10</v>
      </c>
      <c r="G117" s="36"/>
      <c r="H117" s="36"/>
      <c r="I117" s="36"/>
      <c r="J117" s="36"/>
      <c r="K117" s="36">
        <v>44.72</v>
      </c>
      <c r="L117" s="36">
        <v>30</v>
      </c>
      <c r="M117" s="36"/>
      <c r="N117" s="36"/>
      <c r="O117" s="36"/>
      <c r="P117" s="36"/>
      <c r="Q117" s="36"/>
      <c r="R117" s="36"/>
      <c r="S117" s="36"/>
      <c r="T117" s="36"/>
      <c r="U117" s="36">
        <v>7</v>
      </c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>
        <v>8.2799999999999994</v>
      </c>
      <c r="AG117" s="113">
        <f t="shared" si="1"/>
        <v>100</v>
      </c>
      <c r="AJ117" s="91"/>
      <c r="AN117" s="36">
        <f>AVERAGE(62.16,62.1)</f>
        <v>62.129999999999995</v>
      </c>
      <c r="AO117" s="36">
        <f>AVERAGE(9.76,9.72)</f>
        <v>9.74</v>
      </c>
      <c r="AP117" s="36">
        <v>140.17500000000001</v>
      </c>
      <c r="AQ117" s="36"/>
      <c r="AR117" s="36"/>
      <c r="AS117" s="36"/>
      <c r="AT117" s="36"/>
      <c r="AU117" s="36"/>
    </row>
    <row r="118" spans="1:47">
      <c r="A118" s="105">
        <v>115</v>
      </c>
      <c r="B118" s="45" t="s">
        <v>172</v>
      </c>
      <c r="C118" s="36" t="s">
        <v>178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>
        <v>100</v>
      </c>
      <c r="X118" s="36"/>
      <c r="Y118" s="36"/>
      <c r="Z118" s="36"/>
      <c r="AA118" s="36"/>
      <c r="AB118" s="36"/>
      <c r="AC118" s="36"/>
      <c r="AD118" s="36"/>
      <c r="AE118" s="36"/>
      <c r="AF118" s="36"/>
      <c r="AG118" s="113">
        <f t="shared" si="1"/>
        <v>100</v>
      </c>
      <c r="AJ118" s="91"/>
      <c r="AN118" s="36">
        <f>AVERAGE(1591.89,1594.15)</f>
        <v>1593.02</v>
      </c>
      <c r="AO118" s="36">
        <f>AVERAGE(220.31,222.42)</f>
        <v>221.36500000000001</v>
      </c>
      <c r="AP118" s="36">
        <v>276.19299999999998</v>
      </c>
      <c r="AQ118" s="36"/>
      <c r="AR118" s="36"/>
      <c r="AS118" s="36"/>
      <c r="AT118" s="36"/>
      <c r="AU118" s="36"/>
    </row>
    <row r="119" spans="1:47">
      <c r="A119" s="105">
        <v>116</v>
      </c>
      <c r="B119" s="45" t="s">
        <v>172</v>
      </c>
      <c r="C119" s="36" t="s">
        <v>179</v>
      </c>
      <c r="D119" s="36"/>
      <c r="E119" s="36"/>
      <c r="F119" s="36"/>
      <c r="G119" s="36"/>
      <c r="H119" s="36"/>
      <c r="I119" s="36"/>
      <c r="J119" s="36">
        <v>95</v>
      </c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>
        <v>5</v>
      </c>
      <c r="X119" s="36"/>
      <c r="Y119" s="36"/>
      <c r="Z119" s="36"/>
      <c r="AA119" s="36"/>
      <c r="AB119" s="36"/>
      <c r="AC119" s="36"/>
      <c r="AD119" s="36"/>
      <c r="AE119" s="36"/>
      <c r="AF119" s="36"/>
      <c r="AG119" s="113">
        <f t="shared" si="1"/>
        <v>100</v>
      </c>
      <c r="AJ119" s="91"/>
      <c r="AN119" s="36" t="s">
        <v>69</v>
      </c>
      <c r="AO119" s="36">
        <f>AVERAGE(7.73,7.73)</f>
        <v>7.73</v>
      </c>
      <c r="AP119" s="36" t="s">
        <v>69</v>
      </c>
      <c r="AQ119" s="36"/>
      <c r="AR119" s="36"/>
      <c r="AS119" s="36"/>
      <c r="AT119" s="36"/>
      <c r="AU119" s="36"/>
    </row>
    <row r="120" spans="1:47">
      <c r="A120" s="105">
        <v>117</v>
      </c>
      <c r="B120" s="45" t="s">
        <v>172</v>
      </c>
      <c r="C120" s="36" t="s">
        <v>180</v>
      </c>
      <c r="D120" s="36"/>
      <c r="E120" s="36"/>
      <c r="F120" s="36"/>
      <c r="G120" s="36"/>
      <c r="H120" s="36"/>
      <c r="I120" s="36"/>
      <c r="J120" s="36">
        <v>90</v>
      </c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>
        <v>10</v>
      </c>
      <c r="X120" s="36"/>
      <c r="Y120" s="36"/>
      <c r="Z120" s="36"/>
      <c r="AA120" s="36"/>
      <c r="AB120" s="36"/>
      <c r="AC120" s="36"/>
      <c r="AD120" s="36"/>
      <c r="AE120" s="36"/>
      <c r="AF120" s="36"/>
      <c r="AG120" s="113">
        <f t="shared" si="1"/>
        <v>100</v>
      </c>
      <c r="AJ120" s="91"/>
      <c r="AN120" s="36" t="s">
        <v>69</v>
      </c>
      <c r="AO120" s="36">
        <f>AVERAGE(11.79,11.79)</f>
        <v>11.79</v>
      </c>
      <c r="AP120" s="36" t="s">
        <v>69</v>
      </c>
      <c r="AQ120" s="36"/>
      <c r="AR120" s="36"/>
      <c r="AS120" s="36"/>
      <c r="AT120" s="36"/>
      <c r="AU120" s="36"/>
    </row>
    <row r="121" spans="1:47">
      <c r="A121" s="105">
        <v>118</v>
      </c>
      <c r="B121" s="45" t="s">
        <v>172</v>
      </c>
      <c r="C121" s="36" t="s">
        <v>181</v>
      </c>
      <c r="D121" s="36"/>
      <c r="E121" s="36"/>
      <c r="F121" s="36"/>
      <c r="G121" s="36"/>
      <c r="H121" s="36"/>
      <c r="I121" s="36"/>
      <c r="J121" s="36"/>
      <c r="K121" s="36">
        <v>95</v>
      </c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>
        <v>5</v>
      </c>
      <c r="X121" s="36"/>
      <c r="Y121" s="36"/>
      <c r="Z121" s="36"/>
      <c r="AA121" s="36"/>
      <c r="AB121" s="36"/>
      <c r="AC121" s="36"/>
      <c r="AD121" s="36"/>
      <c r="AE121" s="36"/>
      <c r="AF121" s="36"/>
      <c r="AG121" s="113">
        <f t="shared" si="1"/>
        <v>100</v>
      </c>
      <c r="AJ121" s="91"/>
      <c r="AN121" s="36" t="s">
        <v>69</v>
      </c>
      <c r="AO121" s="36">
        <f>AVERAGE(8.9,8.9)</f>
        <v>8.9</v>
      </c>
      <c r="AP121" s="36" t="s">
        <v>69</v>
      </c>
      <c r="AQ121" s="36"/>
      <c r="AR121" s="36"/>
      <c r="AS121" s="36"/>
      <c r="AT121" s="36"/>
      <c r="AU121" s="36"/>
    </row>
    <row r="122" spans="1:47">
      <c r="A122" s="105">
        <v>119</v>
      </c>
      <c r="B122" s="45" t="s">
        <v>172</v>
      </c>
      <c r="C122" s="36" t="s">
        <v>182</v>
      </c>
      <c r="D122" s="36"/>
      <c r="E122" s="36"/>
      <c r="F122" s="36"/>
      <c r="G122" s="36"/>
      <c r="H122" s="36"/>
      <c r="I122" s="36"/>
      <c r="J122" s="36"/>
      <c r="K122" s="36">
        <v>90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>
        <v>10</v>
      </c>
      <c r="X122" s="36"/>
      <c r="Y122" s="36"/>
      <c r="Z122" s="36"/>
      <c r="AA122" s="36"/>
      <c r="AB122" s="36"/>
      <c r="AC122" s="36"/>
      <c r="AD122" s="36"/>
      <c r="AE122" s="36"/>
      <c r="AF122" s="36"/>
      <c r="AG122" s="113">
        <f t="shared" si="1"/>
        <v>100</v>
      </c>
      <c r="AJ122" s="91"/>
      <c r="AN122" s="36" t="s">
        <v>69</v>
      </c>
      <c r="AO122" s="36">
        <f>AVERAGE(9.78,9.78)</f>
        <v>9.7799999999999994</v>
      </c>
      <c r="AP122" s="36" t="s">
        <v>69</v>
      </c>
      <c r="AQ122" s="36"/>
      <c r="AR122" s="36"/>
      <c r="AS122" s="36"/>
      <c r="AT122" s="36"/>
      <c r="AU122" s="36"/>
    </row>
    <row r="123" spans="1:47">
      <c r="A123" s="105">
        <v>120</v>
      </c>
      <c r="B123" s="45" t="s">
        <v>172</v>
      </c>
      <c r="C123" s="36" t="s">
        <v>183</v>
      </c>
      <c r="D123" s="36"/>
      <c r="E123" s="36"/>
      <c r="F123" s="36"/>
      <c r="G123" s="36"/>
      <c r="H123" s="36"/>
      <c r="I123" s="36"/>
      <c r="J123" s="36"/>
      <c r="K123" s="36"/>
      <c r="L123" s="36">
        <v>95</v>
      </c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>
        <v>5</v>
      </c>
      <c r="X123" s="36"/>
      <c r="Y123" s="36"/>
      <c r="Z123" s="36"/>
      <c r="AA123" s="36"/>
      <c r="AB123" s="36"/>
      <c r="AC123" s="36"/>
      <c r="AD123" s="36"/>
      <c r="AE123" s="36"/>
      <c r="AF123" s="36"/>
      <c r="AG123" s="113">
        <f t="shared" si="1"/>
        <v>100</v>
      </c>
      <c r="AJ123" s="91"/>
      <c r="AN123" s="36" t="s">
        <v>69</v>
      </c>
      <c r="AO123" s="36">
        <f>AVERAGE(9.21,9.21)</f>
        <v>9.2100000000000009</v>
      </c>
      <c r="AP123" s="36" t="s">
        <v>69</v>
      </c>
      <c r="AQ123" s="36"/>
      <c r="AR123" s="36"/>
      <c r="AS123" s="36"/>
      <c r="AT123" s="36"/>
      <c r="AU123" s="36"/>
    </row>
    <row r="124" spans="1:47">
      <c r="A124" s="105">
        <v>121</v>
      </c>
      <c r="B124" s="45" t="s">
        <v>172</v>
      </c>
      <c r="C124" s="36" t="s">
        <v>184</v>
      </c>
      <c r="D124" s="36"/>
      <c r="E124" s="36"/>
      <c r="F124" s="36"/>
      <c r="G124" s="36"/>
      <c r="H124" s="36"/>
      <c r="I124" s="36"/>
      <c r="J124" s="36"/>
      <c r="K124" s="36"/>
      <c r="L124" s="36">
        <v>90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>
        <v>10</v>
      </c>
      <c r="X124" s="36"/>
      <c r="Y124" s="36"/>
      <c r="Z124" s="36"/>
      <c r="AA124" s="36"/>
      <c r="AB124" s="36"/>
      <c r="AC124" s="36"/>
      <c r="AD124" s="36"/>
      <c r="AE124" s="36"/>
      <c r="AF124" s="36"/>
      <c r="AG124" s="113">
        <f t="shared" si="1"/>
        <v>100</v>
      </c>
      <c r="AJ124" s="91"/>
      <c r="AN124" s="36" t="s">
        <v>69</v>
      </c>
      <c r="AO124" s="36">
        <f>AVERAGE(19.63,19.59)</f>
        <v>19.61</v>
      </c>
      <c r="AP124" s="36" t="s">
        <v>69</v>
      </c>
      <c r="AQ124" s="36"/>
      <c r="AR124" s="36"/>
      <c r="AS124" s="36"/>
      <c r="AT124" s="36"/>
      <c r="AU124" s="36"/>
    </row>
    <row r="125" spans="1:47">
      <c r="AJ12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3"/>
  <sheetViews>
    <sheetView topLeftCell="A2" workbookViewId="0">
      <selection activeCell="A16" sqref="A16:I23"/>
    </sheetView>
  </sheetViews>
  <sheetFormatPr defaultRowHeight="15"/>
  <cols>
    <col min="1" max="1" width="4.42578125" customWidth="1"/>
    <col min="2" max="2" width="30.85546875" bestFit="1" customWidth="1"/>
    <col min="3" max="4" width="17.28515625" bestFit="1" customWidth="1"/>
    <col min="6" max="6" width="21.7109375" customWidth="1"/>
    <col min="7" max="7" width="13" customWidth="1"/>
    <col min="8" max="8" width="15.85546875" customWidth="1"/>
    <col min="9" max="9" width="22.42578125" bestFit="1" customWidth="1"/>
    <col min="12" max="12" width="22.42578125" bestFit="1" customWidth="1"/>
  </cols>
  <sheetData>
    <row r="2" spans="1:13">
      <c r="A2" s="2" t="s">
        <v>77</v>
      </c>
      <c r="F2" s="9" t="s">
        <v>410</v>
      </c>
    </row>
    <row r="4" spans="1:13">
      <c r="A4" s="122" t="s">
        <v>2</v>
      </c>
      <c r="B4" s="122" t="s">
        <v>215</v>
      </c>
      <c r="C4" s="99" t="s">
        <v>467</v>
      </c>
      <c r="D4" s="99" t="s">
        <v>468</v>
      </c>
      <c r="F4" s="135" t="s">
        <v>469</v>
      </c>
      <c r="G4" s="135"/>
      <c r="I4" s="135" t="s">
        <v>469</v>
      </c>
      <c r="J4" s="135"/>
      <c r="L4" s="135" t="s">
        <v>469</v>
      </c>
      <c r="M4" s="135"/>
    </row>
    <row r="5" spans="1:13">
      <c r="A5" s="122"/>
      <c r="B5" s="122"/>
      <c r="C5" s="99" t="s">
        <v>222</v>
      </c>
      <c r="D5" s="99" t="s">
        <v>223</v>
      </c>
      <c r="F5" s="5" t="s">
        <v>470</v>
      </c>
      <c r="G5" s="26">
        <v>0.76549999999999996</v>
      </c>
      <c r="I5" s="5" t="s">
        <v>470</v>
      </c>
      <c r="J5" s="26">
        <v>0.73550000000000004</v>
      </c>
      <c r="L5" s="5" t="s">
        <v>470</v>
      </c>
      <c r="M5" s="26">
        <v>0.73550000000000004</v>
      </c>
    </row>
    <row r="6" spans="1:13">
      <c r="A6" s="123">
        <v>1</v>
      </c>
      <c r="B6" s="124" t="s">
        <v>471</v>
      </c>
      <c r="C6" s="101" t="s">
        <v>472</v>
      </c>
      <c r="D6" s="101" t="s">
        <v>473</v>
      </c>
      <c r="F6" s="5" t="s">
        <v>200</v>
      </c>
      <c r="G6" s="23">
        <v>0.1</v>
      </c>
      <c r="I6" s="5" t="s">
        <v>200</v>
      </c>
      <c r="J6" s="23">
        <v>0.1</v>
      </c>
      <c r="L6" s="5" t="s">
        <v>200</v>
      </c>
      <c r="M6" s="23">
        <v>0.1</v>
      </c>
    </row>
    <row r="7" spans="1:13">
      <c r="A7" s="123"/>
      <c r="B7" s="124"/>
      <c r="C7" s="101" t="s">
        <v>474</v>
      </c>
      <c r="D7" s="101" t="s">
        <v>475</v>
      </c>
      <c r="F7" s="5" t="s">
        <v>29</v>
      </c>
      <c r="G7" s="26">
        <v>7.6499999999999999E-2</v>
      </c>
      <c r="I7" s="5" t="s">
        <v>29</v>
      </c>
      <c r="J7" s="26">
        <v>7.6499999999999999E-2</v>
      </c>
      <c r="L7" s="5" t="s">
        <v>29</v>
      </c>
      <c r="M7" s="26">
        <v>7.6499999999999999E-2</v>
      </c>
    </row>
    <row r="8" spans="1:13">
      <c r="A8" s="123">
        <v>2</v>
      </c>
      <c r="B8" s="124" t="s">
        <v>476</v>
      </c>
      <c r="C8" s="101" t="s">
        <v>477</v>
      </c>
      <c r="D8" s="101" t="s">
        <v>478</v>
      </c>
      <c r="F8" s="5" t="s">
        <v>31</v>
      </c>
      <c r="G8" s="26">
        <v>6.0000000000000001E-3</v>
      </c>
      <c r="I8" s="5" t="s">
        <v>31</v>
      </c>
      <c r="J8" s="26">
        <v>6.0000000000000001E-3</v>
      </c>
      <c r="L8" s="5" t="s">
        <v>31</v>
      </c>
      <c r="M8" s="26">
        <v>6.0000000000000001E-3</v>
      </c>
    </row>
    <row r="9" spans="1:13">
      <c r="A9" s="123"/>
      <c r="B9" s="124"/>
      <c r="C9" s="101" t="s">
        <v>479</v>
      </c>
      <c r="D9" s="101" t="s">
        <v>480</v>
      </c>
      <c r="F9" s="5" t="s">
        <v>32</v>
      </c>
      <c r="G9" s="26">
        <v>2E-3</v>
      </c>
      <c r="I9" s="5" t="s">
        <v>32</v>
      </c>
      <c r="J9" s="26">
        <v>2E-3</v>
      </c>
      <c r="L9" s="5" t="s">
        <v>32</v>
      </c>
      <c r="M9" s="26">
        <v>2E-3</v>
      </c>
    </row>
    <row r="10" spans="1:13">
      <c r="A10" s="123">
        <v>3</v>
      </c>
      <c r="B10" s="124" t="s">
        <v>481</v>
      </c>
      <c r="C10" s="101" t="s">
        <v>482</v>
      </c>
      <c r="D10" s="101" t="s">
        <v>483</v>
      </c>
      <c r="F10" s="5" t="s">
        <v>484</v>
      </c>
      <c r="G10" s="23">
        <v>0.05</v>
      </c>
      <c r="I10" s="5" t="s">
        <v>439</v>
      </c>
      <c r="J10" s="23">
        <v>0.08</v>
      </c>
      <c r="L10" s="5" t="s">
        <v>484</v>
      </c>
      <c r="M10" s="23">
        <v>0.08</v>
      </c>
    </row>
    <row r="11" spans="1:13">
      <c r="A11" s="123"/>
      <c r="B11" s="124"/>
      <c r="C11" s="101" t="s">
        <v>485</v>
      </c>
      <c r="D11" s="101" t="s">
        <v>486</v>
      </c>
      <c r="F11" s="10" t="s">
        <v>34</v>
      </c>
      <c r="G11" s="23">
        <f>SUM(G5:G10)</f>
        <v>1</v>
      </c>
      <c r="I11" s="10" t="s">
        <v>34</v>
      </c>
      <c r="J11" s="23">
        <f>SUM(J5:J10)</f>
        <v>1</v>
      </c>
      <c r="L11" s="10" t="s">
        <v>34</v>
      </c>
      <c r="M11" s="23">
        <f>SUM(M5:M10)</f>
        <v>1</v>
      </c>
    </row>
    <row r="16" spans="1:13">
      <c r="A16" s="122" t="s">
        <v>2</v>
      </c>
      <c r="B16" s="122" t="s">
        <v>215</v>
      </c>
      <c r="C16" s="122" t="s">
        <v>467</v>
      </c>
      <c r="D16" s="122" t="s">
        <v>468</v>
      </c>
      <c r="E16" s="134" t="s">
        <v>40</v>
      </c>
      <c r="F16" s="122" t="s">
        <v>38</v>
      </c>
      <c r="G16" s="134" t="s">
        <v>487</v>
      </c>
      <c r="H16" s="134" t="s">
        <v>488</v>
      </c>
      <c r="I16" s="134" t="s">
        <v>489</v>
      </c>
    </row>
    <row r="17" spans="1:9">
      <c r="A17" s="122"/>
      <c r="B17" s="122"/>
      <c r="C17" s="122"/>
      <c r="D17" s="122"/>
      <c r="E17" s="134"/>
      <c r="F17" s="122"/>
      <c r="G17" s="134"/>
      <c r="H17" s="134"/>
      <c r="I17" s="134"/>
    </row>
    <row r="18" spans="1:9">
      <c r="A18" s="123">
        <v>1</v>
      </c>
      <c r="B18" s="124" t="s">
        <v>471</v>
      </c>
      <c r="C18" s="101" t="s">
        <v>472</v>
      </c>
      <c r="D18" s="101" t="s">
        <v>473</v>
      </c>
      <c r="E18" s="136" t="s">
        <v>490</v>
      </c>
      <c r="F18" s="123" t="s">
        <v>491</v>
      </c>
      <c r="G18" s="123" t="s">
        <v>492</v>
      </c>
      <c r="H18" s="137" t="s">
        <v>493</v>
      </c>
      <c r="I18" s="138">
        <v>4.6831299999999999E-2</v>
      </c>
    </row>
    <row r="19" spans="1:9">
      <c r="A19" s="123"/>
      <c r="B19" s="124"/>
      <c r="C19" s="101" t="s">
        <v>474</v>
      </c>
      <c r="D19" s="101" t="s">
        <v>475</v>
      </c>
      <c r="E19" s="123"/>
      <c r="F19" s="123"/>
      <c r="G19" s="123"/>
      <c r="H19" s="137"/>
      <c r="I19" s="123"/>
    </row>
    <row r="20" spans="1:9">
      <c r="A20" s="123">
        <v>2</v>
      </c>
      <c r="B20" s="124" t="s">
        <v>476</v>
      </c>
      <c r="C20" s="101" t="s">
        <v>477</v>
      </c>
      <c r="D20" s="101" t="s">
        <v>478</v>
      </c>
      <c r="E20" s="136" t="s">
        <v>494</v>
      </c>
      <c r="F20" s="123" t="s">
        <v>495</v>
      </c>
      <c r="G20" s="123" t="s">
        <v>492</v>
      </c>
      <c r="H20" s="137" t="s">
        <v>496</v>
      </c>
      <c r="I20" s="138">
        <v>4.8904000000000003E-2</v>
      </c>
    </row>
    <row r="21" spans="1:9">
      <c r="A21" s="123"/>
      <c r="B21" s="124"/>
      <c r="C21" s="101" t="s">
        <v>479</v>
      </c>
      <c r="D21" s="101" t="s">
        <v>480</v>
      </c>
      <c r="E21" s="123"/>
      <c r="F21" s="123"/>
      <c r="G21" s="123"/>
      <c r="H21" s="137"/>
      <c r="I21" s="123"/>
    </row>
    <row r="22" spans="1:9">
      <c r="A22" s="123">
        <v>3</v>
      </c>
      <c r="B22" s="124" t="s">
        <v>481</v>
      </c>
      <c r="C22" s="101" t="s">
        <v>482</v>
      </c>
      <c r="D22" s="101" t="s">
        <v>483</v>
      </c>
      <c r="E22" s="123" t="s">
        <v>69</v>
      </c>
      <c r="F22" s="123" t="s">
        <v>497</v>
      </c>
      <c r="G22" s="123" t="s">
        <v>69</v>
      </c>
      <c r="H22" s="123" t="s">
        <v>69</v>
      </c>
      <c r="I22" s="123" t="s">
        <v>69</v>
      </c>
    </row>
    <row r="23" spans="1:9">
      <c r="A23" s="123"/>
      <c r="B23" s="124"/>
      <c r="C23" s="101" t="s">
        <v>485</v>
      </c>
      <c r="D23" s="101" t="s">
        <v>486</v>
      </c>
      <c r="E23" s="123"/>
      <c r="F23" s="123"/>
      <c r="G23" s="123"/>
      <c r="H23" s="123"/>
      <c r="I23" s="123"/>
    </row>
  </sheetData>
  <mergeCells count="41">
    <mergeCell ref="H22:H23"/>
    <mergeCell ref="I18:I19"/>
    <mergeCell ref="I20:I21"/>
    <mergeCell ref="I22:I23"/>
    <mergeCell ref="E22:E23"/>
    <mergeCell ref="F18:F19"/>
    <mergeCell ref="F20:F21"/>
    <mergeCell ref="F22:F23"/>
    <mergeCell ref="G18:G19"/>
    <mergeCell ref="G20:G21"/>
    <mergeCell ref="G22:G23"/>
    <mergeCell ref="E20:E21"/>
    <mergeCell ref="H20:H21"/>
    <mergeCell ref="F16:F17"/>
    <mergeCell ref="G16:G17"/>
    <mergeCell ref="H16:H17"/>
    <mergeCell ref="I16:I17"/>
    <mergeCell ref="E18:E19"/>
    <mergeCell ref="H18:H19"/>
    <mergeCell ref="A18:A19"/>
    <mergeCell ref="B18:B19"/>
    <mergeCell ref="A20:A21"/>
    <mergeCell ref="B20:B21"/>
    <mergeCell ref="A22:A23"/>
    <mergeCell ref="B22:B23"/>
    <mergeCell ref="A10:A11"/>
    <mergeCell ref="B10:B11"/>
    <mergeCell ref="F4:G4"/>
    <mergeCell ref="I4:J4"/>
    <mergeCell ref="L4:M4"/>
    <mergeCell ref="A4:A5"/>
    <mergeCell ref="B4:B5"/>
    <mergeCell ref="A6:A7"/>
    <mergeCell ref="B6:B7"/>
    <mergeCell ref="A8:A9"/>
    <mergeCell ref="B8:B9"/>
    <mergeCell ref="A16:A17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1"/>
  <sheetViews>
    <sheetView workbookViewId="0">
      <selection activeCell="B4" sqref="B4:B5"/>
    </sheetView>
  </sheetViews>
  <sheetFormatPr defaultRowHeight="15"/>
  <cols>
    <col min="1" max="1" width="4.140625" customWidth="1"/>
    <col min="2" max="2" width="30.42578125" bestFit="1" customWidth="1"/>
    <col min="3" max="3" width="34.42578125" customWidth="1"/>
    <col min="4" max="4" width="31.42578125" customWidth="1"/>
    <col min="6" max="6" width="3.5703125" bestFit="1" customWidth="1"/>
    <col min="7" max="7" width="14.5703125" bestFit="1" customWidth="1"/>
    <col min="8" max="9" width="20.28515625" bestFit="1" customWidth="1"/>
  </cols>
  <sheetData>
    <row r="2" spans="1:9">
      <c r="A2" s="2" t="s">
        <v>83</v>
      </c>
    </row>
    <row r="4" spans="1:9">
      <c r="A4" s="122" t="s">
        <v>2</v>
      </c>
      <c r="B4" s="122" t="s">
        <v>215</v>
      </c>
      <c r="C4" s="99" t="s">
        <v>467</v>
      </c>
      <c r="D4" s="99" t="s">
        <v>468</v>
      </c>
      <c r="F4" s="99" t="s">
        <v>2</v>
      </c>
      <c r="G4" s="99" t="s">
        <v>186</v>
      </c>
      <c r="H4" s="19" t="s">
        <v>498</v>
      </c>
      <c r="I4" s="19" t="s">
        <v>499</v>
      </c>
    </row>
    <row r="5" spans="1:9">
      <c r="A5" s="122"/>
      <c r="B5" s="122"/>
      <c r="C5" s="99" t="s">
        <v>222</v>
      </c>
      <c r="D5" s="99" t="s">
        <v>223</v>
      </c>
      <c r="F5" s="101">
        <v>1</v>
      </c>
      <c r="G5" s="8" t="s">
        <v>470</v>
      </c>
      <c r="H5" s="31" t="s">
        <v>500</v>
      </c>
      <c r="I5" s="31" t="s">
        <v>501</v>
      </c>
    </row>
    <row r="6" spans="1:9">
      <c r="A6" s="123">
        <v>1</v>
      </c>
      <c r="B6" s="124" t="s">
        <v>502</v>
      </c>
      <c r="C6" s="101" t="s">
        <v>503</v>
      </c>
      <c r="D6" s="101" t="s">
        <v>504</v>
      </c>
      <c r="F6" s="101">
        <v>2</v>
      </c>
      <c r="G6" s="8" t="s">
        <v>200</v>
      </c>
      <c r="H6" s="31" t="s">
        <v>505</v>
      </c>
      <c r="I6" s="31" t="s">
        <v>505</v>
      </c>
    </row>
    <row r="7" spans="1:9">
      <c r="A7" s="123"/>
      <c r="B7" s="124"/>
      <c r="C7" s="101" t="s">
        <v>506</v>
      </c>
      <c r="D7" s="101" t="s">
        <v>507</v>
      </c>
      <c r="F7" s="21">
        <v>3</v>
      </c>
      <c r="G7" s="86" t="s">
        <v>29</v>
      </c>
      <c r="H7" s="31" t="s">
        <v>508</v>
      </c>
      <c r="I7" s="31" t="s">
        <v>508</v>
      </c>
    </row>
    <row r="8" spans="1:9">
      <c r="A8" s="123">
        <v>2</v>
      </c>
      <c r="B8" s="124" t="s">
        <v>509</v>
      </c>
      <c r="C8" s="101" t="s">
        <v>510</v>
      </c>
      <c r="D8" s="101" t="s">
        <v>511</v>
      </c>
      <c r="F8" s="5">
        <v>4</v>
      </c>
      <c r="G8" s="5" t="s">
        <v>31</v>
      </c>
      <c r="H8" s="32" t="s">
        <v>512</v>
      </c>
      <c r="I8" s="32" t="s">
        <v>512</v>
      </c>
    </row>
    <row r="9" spans="1:9">
      <c r="A9" s="123"/>
      <c r="B9" s="124"/>
      <c r="C9" s="101" t="s">
        <v>513</v>
      </c>
      <c r="D9" s="101" t="s">
        <v>514</v>
      </c>
      <c r="F9" s="5">
        <v>5</v>
      </c>
      <c r="G9" s="5" t="s">
        <v>32</v>
      </c>
      <c r="H9" s="32" t="s">
        <v>515</v>
      </c>
      <c r="I9" s="32" t="s">
        <v>515</v>
      </c>
    </row>
    <row r="10" spans="1:9">
      <c r="A10" s="30"/>
      <c r="B10" s="30"/>
      <c r="C10" s="118"/>
      <c r="D10" s="118"/>
      <c r="F10" s="5">
        <v>6</v>
      </c>
      <c r="G10" s="5" t="s">
        <v>439</v>
      </c>
      <c r="H10" s="32" t="s">
        <v>516</v>
      </c>
      <c r="I10" s="32" t="s">
        <v>517</v>
      </c>
    </row>
    <row r="11" spans="1:9">
      <c r="A11" s="30"/>
      <c r="B11" s="30"/>
      <c r="C11" s="118"/>
      <c r="D11" s="118"/>
      <c r="F11" s="125" t="s">
        <v>34</v>
      </c>
      <c r="G11" s="125"/>
      <c r="H11" s="32" t="s">
        <v>518</v>
      </c>
      <c r="I11" s="32" t="s">
        <v>518</v>
      </c>
    </row>
  </sheetData>
  <mergeCells count="7">
    <mergeCell ref="F11:G11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B532-FE15-4FED-984E-847E696D3722}">
  <dimension ref="A2:M22"/>
  <sheetViews>
    <sheetView workbookViewId="0">
      <selection activeCell="A2" sqref="A2"/>
    </sheetView>
  </sheetViews>
  <sheetFormatPr defaultRowHeight="15"/>
  <cols>
    <col min="1" max="1" width="4.42578125" customWidth="1"/>
    <col min="2" max="2" width="36.7109375" customWidth="1"/>
    <col min="3" max="3" width="34.7109375" customWidth="1"/>
    <col min="4" max="4" width="31.42578125" customWidth="1"/>
    <col min="6" max="6" width="5.140625" customWidth="1"/>
    <col min="7" max="7" width="14.28515625" bestFit="1" customWidth="1"/>
    <col min="8" max="8" width="24.42578125" bestFit="1" customWidth="1"/>
  </cols>
  <sheetData>
    <row r="2" spans="1:13">
      <c r="A2" s="1" t="s">
        <v>86</v>
      </c>
    </row>
    <row r="4" spans="1:13">
      <c r="A4" s="122" t="s">
        <v>2</v>
      </c>
      <c r="B4" s="122" t="s">
        <v>215</v>
      </c>
      <c r="C4" s="99" t="s">
        <v>467</v>
      </c>
      <c r="D4" s="99" t="s">
        <v>468</v>
      </c>
      <c r="F4" t="s">
        <v>519</v>
      </c>
      <c r="J4" t="s">
        <v>520</v>
      </c>
      <c r="M4" t="s">
        <v>521</v>
      </c>
    </row>
    <row r="5" spans="1:13">
      <c r="A5" s="122"/>
      <c r="B5" s="122"/>
      <c r="C5" s="99" t="s">
        <v>69</v>
      </c>
      <c r="D5" s="99" t="s">
        <v>223</v>
      </c>
      <c r="F5" s="99" t="s">
        <v>2</v>
      </c>
      <c r="G5" s="99" t="s">
        <v>186</v>
      </c>
      <c r="H5" s="19" t="s">
        <v>522</v>
      </c>
      <c r="J5" t="s">
        <v>523</v>
      </c>
      <c r="M5" t="s">
        <v>524</v>
      </c>
    </row>
    <row r="6" spans="1:13">
      <c r="A6" s="123">
        <v>1</v>
      </c>
      <c r="B6" s="124" t="s">
        <v>525</v>
      </c>
      <c r="C6" s="101" t="s">
        <v>69</v>
      </c>
      <c r="D6" s="101" t="s">
        <v>526</v>
      </c>
      <c r="F6" s="101">
        <v>1</v>
      </c>
      <c r="G6" s="10" t="s">
        <v>470</v>
      </c>
      <c r="H6" s="31" t="s">
        <v>527</v>
      </c>
      <c r="J6" t="s">
        <v>528</v>
      </c>
      <c r="M6" t="s">
        <v>529</v>
      </c>
    </row>
    <row r="7" spans="1:13">
      <c r="A7" s="123"/>
      <c r="B7" s="124"/>
      <c r="C7" s="101" t="s">
        <v>69</v>
      </c>
      <c r="D7" s="101" t="s">
        <v>530</v>
      </c>
      <c r="F7" s="101">
        <v>2</v>
      </c>
      <c r="G7" s="10" t="s">
        <v>200</v>
      </c>
      <c r="H7" s="31" t="s">
        <v>531</v>
      </c>
      <c r="J7" t="s">
        <v>532</v>
      </c>
      <c r="M7" t="s">
        <v>532</v>
      </c>
    </row>
    <row r="8" spans="1:13">
      <c r="A8" s="123">
        <v>2</v>
      </c>
      <c r="B8" s="124" t="s">
        <v>533</v>
      </c>
      <c r="C8" s="101" t="s">
        <v>69</v>
      </c>
      <c r="D8" s="101" t="s">
        <v>534</v>
      </c>
      <c r="F8" s="33">
        <v>3</v>
      </c>
      <c r="G8" s="19" t="s">
        <v>29</v>
      </c>
      <c r="H8" s="31" t="s">
        <v>535</v>
      </c>
    </row>
    <row r="9" spans="1:13">
      <c r="A9" s="141"/>
      <c r="B9" s="142"/>
      <c r="C9" s="104" t="s">
        <v>69</v>
      </c>
      <c r="D9" s="104" t="s">
        <v>536</v>
      </c>
      <c r="F9" s="101">
        <v>4</v>
      </c>
      <c r="G9" s="5" t="s">
        <v>31</v>
      </c>
      <c r="H9" s="32" t="s">
        <v>537</v>
      </c>
    </row>
    <row r="10" spans="1:13">
      <c r="A10" s="140">
        <v>3</v>
      </c>
      <c r="B10" s="139" t="s">
        <v>538</v>
      </c>
      <c r="C10" s="113" t="s">
        <v>69</v>
      </c>
      <c r="D10" s="113" t="s">
        <v>539</v>
      </c>
      <c r="F10" s="101">
        <v>5</v>
      </c>
      <c r="G10" s="5" t="s">
        <v>32</v>
      </c>
      <c r="H10" s="32" t="s">
        <v>540</v>
      </c>
    </row>
    <row r="11" spans="1:13">
      <c r="A11" s="140"/>
      <c r="B11" s="139"/>
      <c r="C11" s="113" t="s">
        <v>69</v>
      </c>
      <c r="D11" s="113" t="s">
        <v>297</v>
      </c>
      <c r="F11" s="101">
        <v>6</v>
      </c>
      <c r="G11" s="5" t="s">
        <v>439</v>
      </c>
      <c r="H11" s="32" t="s">
        <v>541</v>
      </c>
    </row>
    <row r="12" spans="1:13">
      <c r="A12" s="140">
        <v>4</v>
      </c>
      <c r="B12" s="139" t="s">
        <v>542</v>
      </c>
      <c r="C12" s="113" t="s">
        <v>69</v>
      </c>
      <c r="D12" s="113" t="s">
        <v>543</v>
      </c>
      <c r="F12" s="125" t="s">
        <v>34</v>
      </c>
      <c r="G12" s="125"/>
      <c r="H12" s="32" t="s">
        <v>544</v>
      </c>
    </row>
    <row r="13" spans="1:13">
      <c r="A13" s="140"/>
      <c r="B13" s="139"/>
      <c r="C13" s="113" t="s">
        <v>69</v>
      </c>
      <c r="D13" s="113" t="s">
        <v>545</v>
      </c>
    </row>
    <row r="14" spans="1:13">
      <c r="F14" t="s">
        <v>546</v>
      </c>
    </row>
    <row r="15" spans="1:13">
      <c r="F15" s="99" t="s">
        <v>2</v>
      </c>
      <c r="G15" s="99" t="s">
        <v>186</v>
      </c>
      <c r="H15" s="19" t="s">
        <v>547</v>
      </c>
    </row>
    <row r="16" spans="1:13">
      <c r="F16" s="101">
        <v>1</v>
      </c>
      <c r="G16" s="10" t="s">
        <v>470</v>
      </c>
      <c r="H16" s="31" t="s">
        <v>548</v>
      </c>
    </row>
    <row r="17" spans="6:8">
      <c r="F17" s="101">
        <v>2</v>
      </c>
      <c r="G17" s="10" t="s">
        <v>200</v>
      </c>
      <c r="H17" s="31" t="s">
        <v>531</v>
      </c>
    </row>
    <row r="18" spans="6:8">
      <c r="F18" s="33">
        <v>3</v>
      </c>
      <c r="G18" s="19" t="s">
        <v>29</v>
      </c>
      <c r="H18" s="31" t="s">
        <v>535</v>
      </c>
    </row>
    <row r="19" spans="6:8">
      <c r="F19" s="101">
        <v>4</v>
      </c>
      <c r="G19" s="5" t="s">
        <v>31</v>
      </c>
      <c r="H19" s="32" t="s">
        <v>537</v>
      </c>
    </row>
    <row r="20" spans="6:8">
      <c r="F20" s="101">
        <v>5</v>
      </c>
      <c r="G20" s="5" t="s">
        <v>32</v>
      </c>
      <c r="H20" s="32" t="s">
        <v>540</v>
      </c>
    </row>
    <row r="21" spans="6:8">
      <c r="F21" s="101">
        <v>6</v>
      </c>
      <c r="G21" s="5" t="s">
        <v>549</v>
      </c>
      <c r="H21" s="32" t="s">
        <v>505</v>
      </c>
    </row>
    <row r="22" spans="6:8">
      <c r="F22" s="125" t="s">
        <v>34</v>
      </c>
      <c r="G22" s="125"/>
      <c r="H22" s="32" t="s">
        <v>544</v>
      </c>
    </row>
  </sheetData>
  <mergeCells count="12">
    <mergeCell ref="A4:A5"/>
    <mergeCell ref="B4:B5"/>
    <mergeCell ref="A6:A7"/>
    <mergeCell ref="B6:B7"/>
    <mergeCell ref="A8:A9"/>
    <mergeCell ref="B8:B9"/>
    <mergeCell ref="F12:G12"/>
    <mergeCell ref="F22:G22"/>
    <mergeCell ref="B10:B11"/>
    <mergeCell ref="A10:A11"/>
    <mergeCell ref="A12:A13"/>
    <mergeCell ref="B12:B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1029-1C99-4B22-86D7-1F57489D0E79}">
  <dimension ref="A2:K27"/>
  <sheetViews>
    <sheetView topLeftCell="A2" workbookViewId="0">
      <selection activeCell="A2" sqref="A2"/>
    </sheetView>
  </sheetViews>
  <sheetFormatPr defaultRowHeight="15"/>
  <cols>
    <col min="1" max="1" width="4.140625" customWidth="1"/>
    <col min="2" max="2" width="32" bestFit="1" customWidth="1"/>
    <col min="3" max="3" width="26.5703125" customWidth="1"/>
    <col min="4" max="4" width="27" customWidth="1"/>
    <col min="6" max="6" width="4.5703125" customWidth="1"/>
    <col min="7" max="7" width="14.140625" bestFit="1" customWidth="1"/>
  </cols>
  <sheetData>
    <row r="2" spans="1:11">
      <c r="A2" s="2" t="s">
        <v>90</v>
      </c>
    </row>
    <row r="4" spans="1:11">
      <c r="A4" s="147" t="s">
        <v>2</v>
      </c>
      <c r="B4" s="147" t="s">
        <v>215</v>
      </c>
      <c r="C4" s="106" t="s">
        <v>467</v>
      </c>
      <c r="D4" s="106" t="s">
        <v>468</v>
      </c>
      <c r="F4" t="s">
        <v>550</v>
      </c>
    </row>
    <row r="5" spans="1:11">
      <c r="A5" s="147"/>
      <c r="B5" s="147"/>
      <c r="C5" s="106" t="s">
        <v>551</v>
      </c>
      <c r="D5" s="106" t="s">
        <v>552</v>
      </c>
      <c r="F5" s="107" t="s">
        <v>2</v>
      </c>
      <c r="G5" s="107" t="s">
        <v>553</v>
      </c>
      <c r="H5" s="107" t="s">
        <v>554</v>
      </c>
      <c r="I5" s="107" t="s">
        <v>555</v>
      </c>
      <c r="J5" s="107" t="s">
        <v>556</v>
      </c>
      <c r="K5" s="107" t="s">
        <v>557</v>
      </c>
    </row>
    <row r="6" spans="1:11">
      <c r="A6" s="140">
        <v>1</v>
      </c>
      <c r="B6" s="139" t="s">
        <v>558</v>
      </c>
      <c r="C6" s="113" t="s">
        <v>559</v>
      </c>
      <c r="D6" s="105" t="s">
        <v>560</v>
      </c>
      <c r="F6" s="105">
        <v>1</v>
      </c>
      <c r="G6" s="114" t="s">
        <v>470</v>
      </c>
      <c r="H6" s="105" t="s">
        <v>561</v>
      </c>
      <c r="I6" s="105" t="s">
        <v>69</v>
      </c>
      <c r="J6" s="105" t="s">
        <v>561</v>
      </c>
      <c r="K6" s="105" t="s">
        <v>69</v>
      </c>
    </row>
    <row r="7" spans="1:11">
      <c r="A7" s="140"/>
      <c r="B7" s="139"/>
      <c r="C7" s="113" t="s">
        <v>562</v>
      </c>
      <c r="D7" s="105" t="s">
        <v>563</v>
      </c>
      <c r="F7" s="105">
        <v>2</v>
      </c>
      <c r="G7" s="114" t="s">
        <v>564</v>
      </c>
      <c r="H7" s="105" t="s">
        <v>565</v>
      </c>
      <c r="I7" s="105" t="s">
        <v>566</v>
      </c>
      <c r="J7" s="105" t="s">
        <v>567</v>
      </c>
      <c r="K7" s="105" t="s">
        <v>568</v>
      </c>
    </row>
    <row r="8" spans="1:11">
      <c r="A8" s="140">
        <v>2</v>
      </c>
      <c r="B8" s="139" t="s">
        <v>569</v>
      </c>
      <c r="C8" s="113" t="s">
        <v>570</v>
      </c>
      <c r="D8" s="105" t="s">
        <v>571</v>
      </c>
      <c r="F8" s="105">
        <v>3</v>
      </c>
      <c r="G8" s="114" t="s">
        <v>572</v>
      </c>
      <c r="H8" s="105" t="s">
        <v>531</v>
      </c>
      <c r="I8" s="105" t="s">
        <v>531</v>
      </c>
      <c r="J8" s="105" t="s">
        <v>531</v>
      </c>
      <c r="K8" s="105" t="s">
        <v>531</v>
      </c>
    </row>
    <row r="9" spans="1:11">
      <c r="A9" s="140"/>
      <c r="B9" s="139"/>
      <c r="C9" s="113" t="s">
        <v>573</v>
      </c>
      <c r="D9" s="105" t="s">
        <v>368</v>
      </c>
      <c r="F9" s="105">
        <v>4</v>
      </c>
      <c r="G9" s="114" t="s">
        <v>33</v>
      </c>
      <c r="H9" s="105" t="s">
        <v>574</v>
      </c>
      <c r="I9" s="105" t="s">
        <v>574</v>
      </c>
      <c r="J9" s="105" t="s">
        <v>574</v>
      </c>
      <c r="K9" s="105" t="s">
        <v>574</v>
      </c>
    </row>
    <row r="10" spans="1:11">
      <c r="A10" s="140">
        <v>3</v>
      </c>
      <c r="B10" s="139" t="s">
        <v>575</v>
      </c>
      <c r="C10" s="113" t="s">
        <v>576</v>
      </c>
      <c r="D10" s="113" t="s">
        <v>577</v>
      </c>
      <c r="F10" s="105">
        <v>5</v>
      </c>
      <c r="G10" s="114" t="s">
        <v>549</v>
      </c>
      <c r="H10" s="105" t="s">
        <v>578</v>
      </c>
      <c r="I10" s="105" t="s">
        <v>578</v>
      </c>
      <c r="J10" s="105" t="s">
        <v>579</v>
      </c>
      <c r="K10" s="105" t="s">
        <v>579</v>
      </c>
    </row>
    <row r="11" spans="1:11">
      <c r="A11" s="140"/>
      <c r="B11" s="139"/>
      <c r="C11" s="113" t="s">
        <v>580</v>
      </c>
      <c r="D11" s="113" t="s">
        <v>581</v>
      </c>
      <c r="F11" s="143" t="s">
        <v>34</v>
      </c>
      <c r="G11" s="143"/>
      <c r="H11" s="105" t="s">
        <v>544</v>
      </c>
      <c r="I11" s="105" t="s">
        <v>544</v>
      </c>
      <c r="J11" s="105" t="s">
        <v>544</v>
      </c>
      <c r="K11" s="105" t="s">
        <v>544</v>
      </c>
    </row>
    <row r="12" spans="1:11">
      <c r="A12" s="140">
        <v>4</v>
      </c>
      <c r="B12" s="139" t="s">
        <v>582</v>
      </c>
      <c r="C12" s="113" t="s">
        <v>583</v>
      </c>
      <c r="D12" s="113" t="s">
        <v>584</v>
      </c>
    </row>
    <row r="13" spans="1:11">
      <c r="A13" s="140"/>
      <c r="B13" s="139"/>
      <c r="C13" s="113" t="s">
        <v>585</v>
      </c>
      <c r="D13" s="113" t="s">
        <v>586</v>
      </c>
      <c r="F13" t="s">
        <v>587</v>
      </c>
    </row>
    <row r="14" spans="1:11">
      <c r="A14" s="140">
        <v>5</v>
      </c>
      <c r="B14" s="146" t="s">
        <v>588</v>
      </c>
      <c r="C14" s="113" t="s">
        <v>589</v>
      </c>
      <c r="D14" s="113" t="s">
        <v>590</v>
      </c>
      <c r="F14" s="107" t="s">
        <v>2</v>
      </c>
      <c r="G14" s="107" t="s">
        <v>553</v>
      </c>
      <c r="H14" s="107" t="s">
        <v>591</v>
      </c>
      <c r="I14" s="107" t="s">
        <v>592</v>
      </c>
    </row>
    <row r="15" spans="1:11">
      <c r="A15" s="140"/>
      <c r="B15" s="146"/>
      <c r="C15" s="113" t="s">
        <v>593</v>
      </c>
      <c r="D15" s="113" t="s">
        <v>594</v>
      </c>
      <c r="F15" s="105">
        <v>1</v>
      </c>
      <c r="G15" s="114" t="s">
        <v>470</v>
      </c>
      <c r="H15" s="105" t="s">
        <v>595</v>
      </c>
      <c r="I15" s="105" t="s">
        <v>566</v>
      </c>
    </row>
    <row r="16" spans="1:11">
      <c r="A16" s="140">
        <v>6</v>
      </c>
      <c r="B16" s="139" t="s">
        <v>596</v>
      </c>
      <c r="C16" s="113" t="s">
        <v>597</v>
      </c>
      <c r="D16" s="113" t="s">
        <v>598</v>
      </c>
      <c r="F16" s="105">
        <v>2</v>
      </c>
      <c r="G16" s="114" t="s">
        <v>572</v>
      </c>
      <c r="H16" s="105" t="s">
        <v>531</v>
      </c>
      <c r="I16" s="105" t="s">
        <v>531</v>
      </c>
    </row>
    <row r="17" spans="1:9">
      <c r="A17" s="140"/>
      <c r="B17" s="139"/>
      <c r="C17" s="113" t="s">
        <v>321</v>
      </c>
      <c r="D17" s="113" t="s">
        <v>599</v>
      </c>
      <c r="F17" s="105">
        <v>3</v>
      </c>
      <c r="G17" s="114" t="s">
        <v>33</v>
      </c>
      <c r="H17" s="105" t="s">
        <v>574</v>
      </c>
      <c r="I17" s="105" t="s">
        <v>574</v>
      </c>
    </row>
    <row r="18" spans="1:9">
      <c r="A18" s="140">
        <v>7</v>
      </c>
      <c r="B18" s="139" t="s">
        <v>600</v>
      </c>
      <c r="C18" s="105" t="s">
        <v>601</v>
      </c>
      <c r="D18" s="113" t="s">
        <v>602</v>
      </c>
      <c r="F18" s="105">
        <v>4</v>
      </c>
      <c r="G18" s="114" t="s">
        <v>603</v>
      </c>
      <c r="H18" s="105" t="s">
        <v>604</v>
      </c>
      <c r="I18" s="105" t="s">
        <v>578</v>
      </c>
    </row>
    <row r="19" spans="1:9">
      <c r="A19" s="140"/>
      <c r="B19" s="139"/>
      <c r="C19" s="105" t="s">
        <v>605</v>
      </c>
      <c r="D19" s="113" t="s">
        <v>606</v>
      </c>
      <c r="F19" s="144" t="s">
        <v>34</v>
      </c>
      <c r="G19" s="145"/>
      <c r="H19" s="105" t="s">
        <v>544</v>
      </c>
      <c r="I19" s="105" t="s">
        <v>544</v>
      </c>
    </row>
    <row r="20" spans="1:9">
      <c r="A20" s="140">
        <v>8</v>
      </c>
      <c r="B20" s="139" t="s">
        <v>607</v>
      </c>
      <c r="C20" s="105" t="s">
        <v>608</v>
      </c>
      <c r="D20" s="113" t="s">
        <v>609</v>
      </c>
    </row>
    <row r="21" spans="1:9">
      <c r="A21" s="140"/>
      <c r="B21" s="139"/>
      <c r="C21" s="105" t="s">
        <v>610</v>
      </c>
      <c r="D21" s="113" t="s">
        <v>611</v>
      </c>
      <c r="F21" t="s">
        <v>612</v>
      </c>
    </row>
    <row r="22" spans="1:9">
      <c r="F22" s="107" t="s">
        <v>2</v>
      </c>
      <c r="G22" s="107" t="s">
        <v>553</v>
      </c>
      <c r="H22" s="107" t="s">
        <v>613</v>
      </c>
      <c r="I22" s="107" t="s">
        <v>614</v>
      </c>
    </row>
    <row r="23" spans="1:9">
      <c r="F23" s="105">
        <v>1</v>
      </c>
      <c r="G23" s="114" t="s">
        <v>470</v>
      </c>
      <c r="H23" s="105" t="s">
        <v>615</v>
      </c>
      <c r="I23" s="105" t="s">
        <v>616</v>
      </c>
    </row>
    <row r="24" spans="1:9">
      <c r="F24" s="105">
        <v>2</v>
      </c>
      <c r="G24" s="114" t="s">
        <v>572</v>
      </c>
      <c r="H24" s="105" t="s">
        <v>531</v>
      </c>
      <c r="I24" s="105" t="s">
        <v>531</v>
      </c>
    </row>
    <row r="25" spans="1:9">
      <c r="F25" s="105">
        <v>3</v>
      </c>
      <c r="G25" s="114" t="s">
        <v>30</v>
      </c>
      <c r="H25" s="105" t="s">
        <v>617</v>
      </c>
      <c r="I25" s="105" t="s">
        <v>617</v>
      </c>
    </row>
    <row r="26" spans="1:9">
      <c r="F26" s="105">
        <v>4</v>
      </c>
      <c r="G26" s="114" t="s">
        <v>618</v>
      </c>
      <c r="H26" s="105" t="s">
        <v>619</v>
      </c>
      <c r="I26" s="105" t="s">
        <v>531</v>
      </c>
    </row>
    <row r="27" spans="1:9">
      <c r="F27" s="144" t="s">
        <v>34</v>
      </c>
      <c r="G27" s="145"/>
      <c r="H27" s="105" t="s">
        <v>544</v>
      </c>
      <c r="I27" s="105" t="s">
        <v>544</v>
      </c>
    </row>
  </sheetData>
  <mergeCells count="21">
    <mergeCell ref="A4:A5"/>
    <mergeCell ref="B4:B5"/>
    <mergeCell ref="A6:A7"/>
    <mergeCell ref="B6:B7"/>
    <mergeCell ref="A8:A9"/>
    <mergeCell ref="B8:B9"/>
    <mergeCell ref="F11:G11"/>
    <mergeCell ref="F19:G19"/>
    <mergeCell ref="F27:G27"/>
    <mergeCell ref="A14:A15"/>
    <mergeCell ref="A16:A17"/>
    <mergeCell ref="A18:A19"/>
    <mergeCell ref="A20:A21"/>
    <mergeCell ref="B14:B15"/>
    <mergeCell ref="B16:B17"/>
    <mergeCell ref="B18:B19"/>
    <mergeCell ref="B20:B21"/>
    <mergeCell ref="A10:A11"/>
    <mergeCell ref="B10:B11"/>
    <mergeCell ref="A12:A13"/>
    <mergeCell ref="B12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6F7A-F187-4AC0-B7DD-7C48AEDCADC0}">
  <dimension ref="A1:N35"/>
  <sheetViews>
    <sheetView workbookViewId="0">
      <selection activeCell="B4" sqref="B4:B5"/>
    </sheetView>
  </sheetViews>
  <sheetFormatPr defaultRowHeight="15"/>
  <cols>
    <col min="1" max="1" width="3.7109375" customWidth="1"/>
    <col min="2" max="2" width="27.140625" customWidth="1"/>
    <col min="3" max="3" width="22.42578125" bestFit="1" customWidth="1"/>
    <col min="4" max="4" width="22.42578125" customWidth="1"/>
    <col min="6" max="6" width="4.42578125" customWidth="1"/>
    <col min="7" max="7" width="14.140625" bestFit="1" customWidth="1"/>
    <col min="8" max="9" width="10.5703125" bestFit="1" customWidth="1"/>
    <col min="11" max="11" width="4.7109375" customWidth="1"/>
    <col min="12" max="12" width="16.42578125" customWidth="1"/>
    <col min="13" max="13" width="11.85546875" customWidth="1"/>
    <col min="14" max="14" width="12.7109375" customWidth="1"/>
  </cols>
  <sheetData>
    <row r="1" spans="1:14">
      <c r="L1" t="s">
        <v>620</v>
      </c>
    </row>
    <row r="2" spans="1:14">
      <c r="A2" s="2" t="s">
        <v>99</v>
      </c>
    </row>
    <row r="4" spans="1:14">
      <c r="A4" s="147" t="s">
        <v>2</v>
      </c>
      <c r="B4" s="147" t="s">
        <v>215</v>
      </c>
      <c r="C4" s="106" t="s">
        <v>467</v>
      </c>
      <c r="D4" s="106" t="s">
        <v>468</v>
      </c>
      <c r="F4" t="s">
        <v>621</v>
      </c>
      <c r="K4" t="s">
        <v>622</v>
      </c>
    </row>
    <row r="5" spans="1:14">
      <c r="A5" s="147"/>
      <c r="B5" s="147"/>
      <c r="C5" s="106" t="s">
        <v>551</v>
      </c>
      <c r="D5" s="106" t="s">
        <v>552</v>
      </c>
      <c r="F5" s="107" t="s">
        <v>2</v>
      </c>
      <c r="G5" s="107" t="s">
        <v>553</v>
      </c>
      <c r="H5" s="107" t="s">
        <v>623</v>
      </c>
      <c r="I5" s="107" t="s">
        <v>624</v>
      </c>
      <c r="K5" s="107" t="s">
        <v>2</v>
      </c>
      <c r="L5" s="107" t="s">
        <v>553</v>
      </c>
      <c r="M5" s="107">
        <v>1</v>
      </c>
      <c r="N5" s="107">
        <v>2</v>
      </c>
    </row>
    <row r="6" spans="1:14">
      <c r="A6" s="140">
        <v>1</v>
      </c>
      <c r="B6" s="139" t="s">
        <v>625</v>
      </c>
      <c r="C6" s="113" t="s">
        <v>626</v>
      </c>
      <c r="D6" s="105" t="s">
        <v>627</v>
      </c>
      <c r="F6" s="105">
        <v>1</v>
      </c>
      <c r="G6" s="114" t="s">
        <v>628</v>
      </c>
      <c r="H6" s="105" t="s">
        <v>629</v>
      </c>
      <c r="I6" s="105" t="s">
        <v>69</v>
      </c>
      <c r="K6" s="105">
        <v>1</v>
      </c>
      <c r="L6" s="114" t="s">
        <v>630</v>
      </c>
      <c r="M6" s="105" t="s">
        <v>548</v>
      </c>
      <c r="N6" s="105" t="s">
        <v>548</v>
      </c>
    </row>
    <row r="7" spans="1:14">
      <c r="A7" s="140"/>
      <c r="B7" s="139"/>
      <c r="C7" s="113" t="s">
        <v>631</v>
      </c>
      <c r="D7" s="105" t="s">
        <v>632</v>
      </c>
      <c r="F7" s="105">
        <v>2</v>
      </c>
      <c r="G7" s="114" t="s">
        <v>633</v>
      </c>
      <c r="H7" s="105" t="s">
        <v>567</v>
      </c>
      <c r="I7" s="105" t="s">
        <v>568</v>
      </c>
      <c r="K7" s="105">
        <v>2</v>
      </c>
      <c r="L7" s="114" t="s">
        <v>200</v>
      </c>
      <c r="M7" s="105" t="s">
        <v>531</v>
      </c>
      <c r="N7" s="105" t="s">
        <v>531</v>
      </c>
    </row>
    <row r="8" spans="1:14">
      <c r="A8" s="140">
        <v>2</v>
      </c>
      <c r="B8" s="139" t="s">
        <v>634</v>
      </c>
      <c r="C8" s="113" t="s">
        <v>635</v>
      </c>
      <c r="D8" s="105" t="s">
        <v>636</v>
      </c>
      <c r="F8" s="105">
        <v>3</v>
      </c>
      <c r="G8" s="114" t="s">
        <v>637</v>
      </c>
      <c r="H8" s="105" t="s">
        <v>531</v>
      </c>
      <c r="I8" s="105" t="s">
        <v>531</v>
      </c>
      <c r="K8" s="105">
        <v>3</v>
      </c>
      <c r="L8" s="114" t="s">
        <v>28</v>
      </c>
      <c r="M8" s="105" t="s">
        <v>535</v>
      </c>
      <c r="N8" s="105" t="s">
        <v>535</v>
      </c>
    </row>
    <row r="9" spans="1:14">
      <c r="A9" s="140"/>
      <c r="B9" s="139"/>
      <c r="C9" s="113" t="s">
        <v>638</v>
      </c>
      <c r="D9" s="105" t="s">
        <v>639</v>
      </c>
      <c r="F9" s="105">
        <v>4</v>
      </c>
      <c r="G9" s="114" t="s">
        <v>33</v>
      </c>
      <c r="H9" s="105" t="s">
        <v>574</v>
      </c>
      <c r="I9" s="105" t="s">
        <v>574</v>
      </c>
      <c r="K9" s="105">
        <v>4</v>
      </c>
      <c r="L9" s="114" t="s">
        <v>31</v>
      </c>
      <c r="M9" s="105" t="s">
        <v>537</v>
      </c>
      <c r="N9" s="105" t="s">
        <v>537</v>
      </c>
    </row>
    <row r="10" spans="1:14">
      <c r="A10" s="140">
        <v>3</v>
      </c>
      <c r="B10" s="139" t="s">
        <v>640</v>
      </c>
      <c r="C10" s="113" t="s">
        <v>641</v>
      </c>
      <c r="D10" s="113" t="s">
        <v>642</v>
      </c>
      <c r="F10" s="105">
        <v>5</v>
      </c>
      <c r="G10" s="114" t="s">
        <v>549</v>
      </c>
      <c r="H10" s="105" t="s">
        <v>643</v>
      </c>
      <c r="I10" s="105" t="s">
        <v>579</v>
      </c>
      <c r="K10" s="110">
        <v>5</v>
      </c>
      <c r="L10" s="66" t="s">
        <v>32</v>
      </c>
      <c r="M10" s="110" t="s">
        <v>540</v>
      </c>
      <c r="N10" s="110" t="s">
        <v>540</v>
      </c>
    </row>
    <row r="11" spans="1:14">
      <c r="A11" s="140"/>
      <c r="B11" s="139"/>
      <c r="C11" s="113" t="s">
        <v>475</v>
      </c>
      <c r="D11" s="113" t="s">
        <v>644</v>
      </c>
      <c r="F11" s="143" t="s">
        <v>34</v>
      </c>
      <c r="G11" s="143"/>
      <c r="H11" s="105" t="s">
        <v>544</v>
      </c>
      <c r="I11" s="105" t="s">
        <v>544</v>
      </c>
      <c r="K11" s="113">
        <v>6</v>
      </c>
      <c r="L11" s="36" t="s">
        <v>26</v>
      </c>
      <c r="M11" s="105" t="s">
        <v>505</v>
      </c>
      <c r="N11" s="105" t="s">
        <v>645</v>
      </c>
    </row>
    <row r="12" spans="1:14">
      <c r="A12" s="140">
        <v>4</v>
      </c>
      <c r="B12" s="139" t="s">
        <v>646</v>
      </c>
      <c r="C12" s="113" t="s">
        <v>647</v>
      </c>
      <c r="D12" s="113" t="s">
        <v>648</v>
      </c>
      <c r="K12" s="113">
        <v>7</v>
      </c>
      <c r="L12" s="36" t="s">
        <v>649</v>
      </c>
      <c r="M12" s="105" t="s">
        <v>645</v>
      </c>
      <c r="N12" s="105" t="s">
        <v>505</v>
      </c>
    </row>
    <row r="13" spans="1:14">
      <c r="A13" s="140"/>
      <c r="B13" s="139"/>
      <c r="C13" s="113" t="s">
        <v>650</v>
      </c>
      <c r="D13" s="113" t="s">
        <v>651</v>
      </c>
      <c r="F13" t="s">
        <v>652</v>
      </c>
      <c r="K13" s="150" t="s">
        <v>34</v>
      </c>
      <c r="L13" s="150"/>
      <c r="M13" s="105" t="s">
        <v>544</v>
      </c>
      <c r="N13" s="105" t="s">
        <v>544</v>
      </c>
    </row>
    <row r="14" spans="1:14">
      <c r="A14" s="140">
        <v>5</v>
      </c>
      <c r="B14" s="146" t="s">
        <v>653</v>
      </c>
      <c r="C14" s="113" t="s">
        <v>654</v>
      </c>
      <c r="D14" s="113" t="s">
        <v>655</v>
      </c>
      <c r="F14" s="107" t="s">
        <v>2</v>
      </c>
      <c r="G14" s="107" t="s">
        <v>553</v>
      </c>
      <c r="H14" s="107" t="s">
        <v>623</v>
      </c>
      <c r="I14" s="107" t="s">
        <v>624</v>
      </c>
    </row>
    <row r="15" spans="1:14">
      <c r="A15" s="140"/>
      <c r="B15" s="146"/>
      <c r="C15" s="113" t="s">
        <v>656</v>
      </c>
      <c r="D15" s="113" t="s">
        <v>657</v>
      </c>
      <c r="F15" s="105">
        <v>1</v>
      </c>
      <c r="G15" s="114" t="s">
        <v>628</v>
      </c>
      <c r="H15" s="105" t="s">
        <v>561</v>
      </c>
      <c r="I15" s="105" t="s">
        <v>561</v>
      </c>
      <c r="K15" t="s">
        <v>658</v>
      </c>
    </row>
    <row r="16" spans="1:14">
      <c r="A16" s="140">
        <v>6</v>
      </c>
      <c r="B16" s="139" t="s">
        <v>659</v>
      </c>
      <c r="C16" s="113" t="s">
        <v>660</v>
      </c>
      <c r="D16" s="113" t="s">
        <v>661</v>
      </c>
      <c r="F16" s="105">
        <v>2</v>
      </c>
      <c r="G16" s="114" t="s">
        <v>633</v>
      </c>
      <c r="H16" s="105" t="s">
        <v>662</v>
      </c>
      <c r="I16" s="105" t="s">
        <v>565</v>
      </c>
      <c r="K16" s="107" t="s">
        <v>2</v>
      </c>
      <c r="L16" s="107" t="s">
        <v>553</v>
      </c>
      <c r="M16" s="107" t="s">
        <v>663</v>
      </c>
      <c r="N16" s="107" t="s">
        <v>664</v>
      </c>
    </row>
    <row r="17" spans="1:14">
      <c r="A17" s="140"/>
      <c r="B17" s="139"/>
      <c r="C17" s="113" t="s">
        <v>665</v>
      </c>
      <c r="D17" s="113" t="s">
        <v>594</v>
      </c>
      <c r="F17" s="105">
        <v>3</v>
      </c>
      <c r="G17" s="114" t="s">
        <v>572</v>
      </c>
      <c r="H17" s="105" t="s">
        <v>531</v>
      </c>
      <c r="I17" s="105" t="s">
        <v>531</v>
      </c>
      <c r="K17" s="105">
        <v>1</v>
      </c>
      <c r="L17" s="114" t="s">
        <v>470</v>
      </c>
      <c r="M17" s="105" t="s">
        <v>548</v>
      </c>
      <c r="N17" s="105" t="s">
        <v>548</v>
      </c>
    </row>
    <row r="18" spans="1:14">
      <c r="A18" s="140">
        <v>7</v>
      </c>
      <c r="B18" s="139" t="s">
        <v>666</v>
      </c>
      <c r="C18" s="105"/>
      <c r="D18" s="113" t="s">
        <v>667</v>
      </c>
      <c r="F18" s="105">
        <v>4</v>
      </c>
      <c r="G18" s="114" t="s">
        <v>33</v>
      </c>
      <c r="H18" s="105" t="s">
        <v>574</v>
      </c>
      <c r="I18" s="105" t="s">
        <v>574</v>
      </c>
      <c r="K18" s="105">
        <v>2</v>
      </c>
      <c r="L18" s="114" t="s">
        <v>200</v>
      </c>
      <c r="M18" s="105" t="s">
        <v>531</v>
      </c>
      <c r="N18" s="105" t="s">
        <v>531</v>
      </c>
    </row>
    <row r="19" spans="1:14">
      <c r="A19" s="140"/>
      <c r="B19" s="139"/>
      <c r="C19" s="105"/>
      <c r="D19" s="113" t="s">
        <v>668</v>
      </c>
      <c r="F19" s="105">
        <v>5</v>
      </c>
      <c r="G19" s="114" t="s">
        <v>549</v>
      </c>
      <c r="H19" s="105" t="s">
        <v>669</v>
      </c>
      <c r="I19" s="105" t="s">
        <v>578</v>
      </c>
      <c r="K19" s="105">
        <v>3</v>
      </c>
      <c r="L19" s="114" t="s">
        <v>29</v>
      </c>
      <c r="M19" s="105" t="s">
        <v>535</v>
      </c>
      <c r="N19" s="105" t="s">
        <v>535</v>
      </c>
    </row>
    <row r="20" spans="1:14">
      <c r="A20" s="140">
        <v>8</v>
      </c>
      <c r="B20" s="139" t="s">
        <v>670</v>
      </c>
      <c r="C20" s="105"/>
      <c r="D20" s="113" t="s">
        <v>671</v>
      </c>
      <c r="F20" s="143" t="s">
        <v>34</v>
      </c>
      <c r="G20" s="143"/>
      <c r="H20" s="105" t="s">
        <v>544</v>
      </c>
      <c r="I20" s="105" t="s">
        <v>544</v>
      </c>
      <c r="K20" s="105">
        <v>4</v>
      </c>
      <c r="L20" s="114" t="s">
        <v>31</v>
      </c>
      <c r="M20" s="105" t="s">
        <v>537</v>
      </c>
      <c r="N20" s="105" t="s">
        <v>537</v>
      </c>
    </row>
    <row r="21" spans="1:14">
      <c r="A21" s="152"/>
      <c r="B21" s="153"/>
      <c r="C21" s="110"/>
      <c r="D21" s="115" t="s">
        <v>672</v>
      </c>
      <c r="K21" s="110">
        <v>5</v>
      </c>
      <c r="L21" s="66" t="s">
        <v>32</v>
      </c>
      <c r="M21" s="110" t="s">
        <v>540</v>
      </c>
      <c r="N21" s="110" t="s">
        <v>540</v>
      </c>
    </row>
    <row r="22" spans="1:14">
      <c r="A22" s="151">
        <v>9</v>
      </c>
      <c r="B22" s="146" t="s">
        <v>673</v>
      </c>
      <c r="C22" s="36"/>
      <c r="D22" s="105" t="s">
        <v>674</v>
      </c>
      <c r="K22" s="113">
        <v>6</v>
      </c>
      <c r="L22" s="36" t="s">
        <v>26</v>
      </c>
      <c r="M22" s="105" t="s">
        <v>505</v>
      </c>
      <c r="N22" s="105" t="s">
        <v>645</v>
      </c>
    </row>
    <row r="23" spans="1:14">
      <c r="A23" s="151"/>
      <c r="B23" s="146"/>
      <c r="C23" s="36"/>
      <c r="D23" s="105" t="s">
        <v>426</v>
      </c>
      <c r="K23" s="113">
        <v>7</v>
      </c>
      <c r="L23" s="36" t="s">
        <v>649</v>
      </c>
      <c r="M23" s="105" t="s">
        <v>645</v>
      </c>
      <c r="N23" s="105" t="s">
        <v>505</v>
      </c>
    </row>
    <row r="24" spans="1:14">
      <c r="A24" s="151">
        <v>10</v>
      </c>
      <c r="B24" s="146" t="s">
        <v>675</v>
      </c>
      <c r="C24" s="36"/>
      <c r="D24" s="105" t="s">
        <v>676</v>
      </c>
      <c r="K24" s="150" t="s">
        <v>34</v>
      </c>
      <c r="L24" s="150"/>
      <c r="M24" s="105" t="s">
        <v>544</v>
      </c>
      <c r="N24" s="105" t="s">
        <v>544</v>
      </c>
    </row>
    <row r="25" spans="1:14">
      <c r="A25" s="151"/>
      <c r="B25" s="146"/>
      <c r="C25" s="36"/>
      <c r="D25" s="105" t="s">
        <v>354</v>
      </c>
    </row>
    <row r="26" spans="1:14">
      <c r="K26" t="s">
        <v>677</v>
      </c>
    </row>
    <row r="27" spans="1:14">
      <c r="K27" s="107" t="s">
        <v>2</v>
      </c>
      <c r="L27" s="107" t="s">
        <v>553</v>
      </c>
      <c r="M27" s="107" t="s">
        <v>663</v>
      </c>
      <c r="N27" s="107" t="s">
        <v>664</v>
      </c>
    </row>
    <row r="28" spans="1:14">
      <c r="K28" s="105">
        <v>1</v>
      </c>
      <c r="L28" s="114" t="s">
        <v>470</v>
      </c>
      <c r="M28" s="105" t="s">
        <v>678</v>
      </c>
      <c r="N28" s="105" t="s">
        <v>679</v>
      </c>
    </row>
    <row r="29" spans="1:14">
      <c r="K29" s="105">
        <v>2</v>
      </c>
      <c r="L29" s="114" t="s">
        <v>200</v>
      </c>
      <c r="M29" s="105" t="s">
        <v>680</v>
      </c>
      <c r="N29" s="105" t="s">
        <v>680</v>
      </c>
    </row>
    <row r="30" spans="1:14">
      <c r="K30" s="105">
        <v>3</v>
      </c>
      <c r="L30" s="114" t="s">
        <v>29</v>
      </c>
      <c r="M30" s="105" t="s">
        <v>681</v>
      </c>
      <c r="N30" s="105" t="s">
        <v>681</v>
      </c>
    </row>
    <row r="31" spans="1:14">
      <c r="K31" s="105">
        <v>4</v>
      </c>
      <c r="L31" s="114" t="s">
        <v>31</v>
      </c>
      <c r="M31" s="105" t="s">
        <v>682</v>
      </c>
      <c r="N31" s="105" t="s">
        <v>682</v>
      </c>
    </row>
    <row r="32" spans="1:14">
      <c r="K32" s="110">
        <v>5</v>
      </c>
      <c r="L32" s="66" t="s">
        <v>32</v>
      </c>
      <c r="M32" s="110" t="s">
        <v>683</v>
      </c>
      <c r="N32" s="110" t="s">
        <v>683</v>
      </c>
    </row>
    <row r="33" spans="11:14">
      <c r="K33" s="113">
        <v>6</v>
      </c>
      <c r="L33" s="36" t="s">
        <v>649</v>
      </c>
      <c r="M33" s="105" t="s">
        <v>684</v>
      </c>
      <c r="N33" s="105" t="s">
        <v>685</v>
      </c>
    </row>
    <row r="34" spans="11:14">
      <c r="K34" s="148" t="s">
        <v>34</v>
      </c>
      <c r="L34" s="149"/>
      <c r="M34" s="105" t="s">
        <v>544</v>
      </c>
      <c r="N34" s="105" t="s">
        <v>544</v>
      </c>
    </row>
    <row r="35" spans="11:14">
      <c r="K35" s="68"/>
      <c r="L35" s="68"/>
      <c r="M35" s="118"/>
      <c r="N35" s="118"/>
    </row>
  </sheetData>
  <mergeCells count="27">
    <mergeCell ref="A4:A5"/>
    <mergeCell ref="B4:B5"/>
    <mergeCell ref="A6:A7"/>
    <mergeCell ref="B6:B7"/>
    <mergeCell ref="A8:A9"/>
    <mergeCell ref="B8:B9"/>
    <mergeCell ref="F11:G11"/>
    <mergeCell ref="F20:G20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K34:L34"/>
    <mergeCell ref="K13:L13"/>
    <mergeCell ref="K24:L24"/>
    <mergeCell ref="A22:A23"/>
    <mergeCell ref="A24:A25"/>
    <mergeCell ref="B22:B23"/>
    <mergeCell ref="B24:B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B330-4274-4008-BC04-4D21EC8F581E}">
  <dimension ref="A2:J47"/>
  <sheetViews>
    <sheetView workbookViewId="0">
      <selection activeCell="B4" sqref="B4:B5"/>
    </sheetView>
  </sheetViews>
  <sheetFormatPr defaultRowHeight="15"/>
  <cols>
    <col min="1" max="1" width="3.7109375" customWidth="1"/>
    <col min="2" max="2" width="29.42578125" customWidth="1"/>
    <col min="3" max="3" width="30.5703125" customWidth="1"/>
    <col min="4" max="4" width="26.7109375" customWidth="1"/>
    <col min="6" max="6" width="4.140625" customWidth="1"/>
    <col min="7" max="7" width="14.140625" bestFit="1" customWidth="1"/>
    <col min="8" max="9" width="10.5703125" bestFit="1" customWidth="1"/>
  </cols>
  <sheetData>
    <row r="2" spans="1:10">
      <c r="A2" s="2" t="s">
        <v>110</v>
      </c>
    </row>
    <row r="3" spans="1:10">
      <c r="F3" t="s">
        <v>686</v>
      </c>
    </row>
    <row r="4" spans="1:10">
      <c r="A4" s="147" t="s">
        <v>2</v>
      </c>
      <c r="B4" s="147" t="s">
        <v>215</v>
      </c>
      <c r="C4" s="106" t="s">
        <v>467</v>
      </c>
      <c r="D4" s="106" t="s">
        <v>468</v>
      </c>
      <c r="F4" s="107" t="s">
        <v>2</v>
      </c>
      <c r="G4" s="107" t="s">
        <v>553</v>
      </c>
      <c r="H4" s="107" t="s">
        <v>687</v>
      </c>
      <c r="I4" s="107" t="s">
        <v>688</v>
      </c>
    </row>
    <row r="5" spans="1:10">
      <c r="A5" s="147"/>
      <c r="B5" s="147"/>
      <c r="C5" s="106" t="s">
        <v>551</v>
      </c>
      <c r="D5" s="106" t="s">
        <v>552</v>
      </c>
      <c r="F5" s="105">
        <v>1</v>
      </c>
      <c r="G5" s="114" t="s">
        <v>628</v>
      </c>
      <c r="H5" s="105" t="s">
        <v>689</v>
      </c>
      <c r="I5" s="105" t="s">
        <v>690</v>
      </c>
    </row>
    <row r="6" spans="1:10">
      <c r="A6" s="140">
        <v>1</v>
      </c>
      <c r="B6" s="139" t="s">
        <v>691</v>
      </c>
      <c r="C6" s="113" t="s">
        <v>692</v>
      </c>
      <c r="D6" s="105" t="s">
        <v>693</v>
      </c>
      <c r="F6" s="105">
        <v>2</v>
      </c>
      <c r="G6" s="114" t="s">
        <v>633</v>
      </c>
      <c r="H6" s="105" t="s">
        <v>694</v>
      </c>
      <c r="I6" s="105" t="s">
        <v>695</v>
      </c>
    </row>
    <row r="7" spans="1:10">
      <c r="A7" s="140"/>
      <c r="B7" s="139"/>
      <c r="C7" s="113" t="s">
        <v>696</v>
      </c>
      <c r="D7" s="105" t="s">
        <v>354</v>
      </c>
      <c r="F7" s="105">
        <v>3</v>
      </c>
      <c r="G7" s="114" t="s">
        <v>637</v>
      </c>
      <c r="H7" s="105" t="s">
        <v>531</v>
      </c>
      <c r="I7" s="105" t="s">
        <v>531</v>
      </c>
    </row>
    <row r="8" spans="1:10">
      <c r="A8" s="140">
        <v>2</v>
      </c>
      <c r="B8" s="139" t="s">
        <v>697</v>
      </c>
      <c r="C8" s="113" t="s">
        <v>698</v>
      </c>
      <c r="D8" s="105" t="s">
        <v>699</v>
      </c>
      <c r="F8" s="105">
        <v>4</v>
      </c>
      <c r="G8" s="114" t="s">
        <v>33</v>
      </c>
      <c r="H8" s="105" t="s">
        <v>574</v>
      </c>
      <c r="I8" s="105" t="s">
        <v>574</v>
      </c>
    </row>
    <row r="9" spans="1:10">
      <c r="A9" s="140"/>
      <c r="B9" s="139"/>
      <c r="C9" s="113" t="s">
        <v>700</v>
      </c>
      <c r="D9" s="105" t="s">
        <v>586</v>
      </c>
      <c r="F9" s="105">
        <v>5</v>
      </c>
      <c r="G9" s="114" t="s">
        <v>549</v>
      </c>
      <c r="H9" s="105" t="s">
        <v>643</v>
      </c>
      <c r="I9" s="105" t="s">
        <v>643</v>
      </c>
    </row>
    <row r="10" spans="1:10">
      <c r="A10" s="140">
        <v>3</v>
      </c>
      <c r="B10" s="139" t="s">
        <v>701</v>
      </c>
      <c r="C10" s="113" t="s">
        <v>702</v>
      </c>
      <c r="D10" s="113" t="s">
        <v>703</v>
      </c>
      <c r="F10" s="143" t="s">
        <v>34</v>
      </c>
      <c r="G10" s="143"/>
      <c r="H10" s="105" t="s">
        <v>544</v>
      </c>
      <c r="I10" s="105" t="s">
        <v>544</v>
      </c>
    </row>
    <row r="11" spans="1:10">
      <c r="A11" s="140"/>
      <c r="B11" s="139"/>
      <c r="C11" s="113" t="s">
        <v>704</v>
      </c>
      <c r="D11" s="113" t="s">
        <v>312</v>
      </c>
    </row>
    <row r="12" spans="1:10">
      <c r="A12" s="140">
        <v>4</v>
      </c>
      <c r="B12" s="139" t="s">
        <v>705</v>
      </c>
      <c r="C12" s="113" t="s">
        <v>706</v>
      </c>
      <c r="D12" s="113" t="s">
        <v>707</v>
      </c>
      <c r="F12" t="s">
        <v>708</v>
      </c>
    </row>
    <row r="13" spans="1:10">
      <c r="A13" s="140"/>
      <c r="B13" s="139"/>
      <c r="C13" s="113" t="s">
        <v>709</v>
      </c>
      <c r="D13" s="113" t="s">
        <v>710</v>
      </c>
      <c r="F13" s="107" t="s">
        <v>2</v>
      </c>
      <c r="G13" s="107" t="s">
        <v>553</v>
      </c>
      <c r="H13" s="107">
        <v>2</v>
      </c>
      <c r="I13" s="108">
        <v>3</v>
      </c>
      <c r="J13" s="112">
        <v>4</v>
      </c>
    </row>
    <row r="14" spans="1:10" ht="15" customHeight="1">
      <c r="A14" s="140">
        <v>5</v>
      </c>
      <c r="B14" s="139" t="s">
        <v>711</v>
      </c>
      <c r="C14" s="113" t="s">
        <v>712</v>
      </c>
      <c r="D14" s="113" t="s">
        <v>713</v>
      </c>
      <c r="F14" s="105">
        <v>1</v>
      </c>
      <c r="G14" s="114" t="s">
        <v>630</v>
      </c>
      <c r="H14" s="105" t="s">
        <v>548</v>
      </c>
      <c r="I14" s="117" t="s">
        <v>714</v>
      </c>
      <c r="J14" s="113" t="s">
        <v>715</v>
      </c>
    </row>
    <row r="15" spans="1:10">
      <c r="A15" s="140"/>
      <c r="B15" s="139"/>
      <c r="C15" s="113" t="s">
        <v>716</v>
      </c>
      <c r="D15" s="113" t="s">
        <v>249</v>
      </c>
      <c r="F15" s="105">
        <v>2</v>
      </c>
      <c r="G15" s="114" t="s">
        <v>200</v>
      </c>
      <c r="H15" s="105" t="s">
        <v>531</v>
      </c>
      <c r="I15" s="117" t="s">
        <v>531</v>
      </c>
      <c r="J15" s="113" t="s">
        <v>531</v>
      </c>
    </row>
    <row r="16" spans="1:10" ht="15" customHeight="1">
      <c r="A16" s="140">
        <v>6</v>
      </c>
      <c r="B16" s="139" t="s">
        <v>717</v>
      </c>
      <c r="C16" s="113" t="s">
        <v>718</v>
      </c>
      <c r="D16" s="113" t="s">
        <v>719</v>
      </c>
      <c r="F16" s="105">
        <v>3</v>
      </c>
      <c r="G16" s="114" t="s">
        <v>28</v>
      </c>
      <c r="H16" s="105" t="s">
        <v>535</v>
      </c>
      <c r="I16" s="117" t="s">
        <v>535</v>
      </c>
      <c r="J16" s="113" t="s">
        <v>535</v>
      </c>
    </row>
    <row r="17" spans="1:10">
      <c r="A17" s="140"/>
      <c r="B17" s="139"/>
      <c r="C17" s="113" t="s">
        <v>720</v>
      </c>
      <c r="D17" s="113" t="s">
        <v>721</v>
      </c>
      <c r="F17" s="105">
        <v>4</v>
      </c>
      <c r="G17" s="114" t="s">
        <v>31</v>
      </c>
      <c r="H17" s="105" t="s">
        <v>537</v>
      </c>
      <c r="I17" s="117" t="s">
        <v>537</v>
      </c>
      <c r="J17" s="113" t="s">
        <v>537</v>
      </c>
    </row>
    <row r="18" spans="1:10" ht="15" customHeight="1">
      <c r="A18" s="140">
        <v>7</v>
      </c>
      <c r="B18" s="139" t="s">
        <v>722</v>
      </c>
      <c r="C18" s="105" t="s">
        <v>723</v>
      </c>
      <c r="D18" s="113" t="s">
        <v>724</v>
      </c>
      <c r="F18" s="110">
        <v>5</v>
      </c>
      <c r="G18" s="66" t="s">
        <v>32</v>
      </c>
      <c r="H18" s="110" t="s">
        <v>540</v>
      </c>
      <c r="I18" s="69" t="s">
        <v>540</v>
      </c>
      <c r="J18" s="113" t="s">
        <v>540</v>
      </c>
    </row>
    <row r="19" spans="1:10">
      <c r="A19" s="152"/>
      <c r="B19" s="153"/>
      <c r="C19" s="110" t="s">
        <v>725</v>
      </c>
      <c r="D19" s="115" t="s">
        <v>726</v>
      </c>
      <c r="F19" s="113">
        <v>6</v>
      </c>
      <c r="G19" s="36" t="s">
        <v>649</v>
      </c>
      <c r="H19" s="105" t="s">
        <v>505</v>
      </c>
      <c r="I19" s="117" t="s">
        <v>643</v>
      </c>
      <c r="J19" s="113" t="s">
        <v>727</v>
      </c>
    </row>
    <row r="20" spans="1:10" ht="15" customHeight="1">
      <c r="A20" s="140">
        <v>8</v>
      </c>
      <c r="B20" s="139" t="s">
        <v>728</v>
      </c>
      <c r="C20" s="105" t="s">
        <v>729</v>
      </c>
      <c r="D20" s="113" t="s">
        <v>730</v>
      </c>
      <c r="F20" s="148" t="s">
        <v>34</v>
      </c>
      <c r="G20" s="149"/>
      <c r="H20" s="105" t="s">
        <v>544</v>
      </c>
      <c r="I20" s="117" t="s">
        <v>544</v>
      </c>
      <c r="J20" s="113" t="s">
        <v>544</v>
      </c>
    </row>
    <row r="21" spans="1:10">
      <c r="A21" s="140"/>
      <c r="B21" s="139"/>
      <c r="C21" s="105" t="s">
        <v>731</v>
      </c>
      <c r="D21" s="113" t="s">
        <v>732</v>
      </c>
    </row>
    <row r="22" spans="1:10">
      <c r="A22" s="151">
        <v>9</v>
      </c>
      <c r="B22" s="154" t="s">
        <v>733</v>
      </c>
      <c r="C22" s="113" t="s">
        <v>734</v>
      </c>
      <c r="D22" s="113" t="s">
        <v>703</v>
      </c>
      <c r="F22" t="s">
        <v>735</v>
      </c>
    </row>
    <row r="23" spans="1:10">
      <c r="A23" s="151"/>
      <c r="B23" s="154"/>
      <c r="C23" s="113" t="s">
        <v>736</v>
      </c>
      <c r="D23" s="113" t="s">
        <v>737</v>
      </c>
      <c r="F23" s="107" t="s">
        <v>2</v>
      </c>
      <c r="G23" s="107" t="s">
        <v>553</v>
      </c>
      <c r="H23" s="107" t="s">
        <v>738</v>
      </c>
    </row>
    <row r="24" spans="1:10">
      <c r="F24" s="105">
        <v>1</v>
      </c>
      <c r="G24" s="114" t="s">
        <v>628</v>
      </c>
      <c r="H24" s="105" t="s">
        <v>739</v>
      </c>
    </row>
    <row r="25" spans="1:10">
      <c r="F25" s="105">
        <v>2</v>
      </c>
      <c r="G25" s="114" t="s">
        <v>633</v>
      </c>
      <c r="H25" s="105" t="s">
        <v>740</v>
      </c>
    </row>
    <row r="26" spans="1:10">
      <c r="F26" s="105">
        <v>3</v>
      </c>
      <c r="G26" s="114" t="s">
        <v>572</v>
      </c>
      <c r="H26" s="105" t="s">
        <v>531</v>
      </c>
    </row>
    <row r="27" spans="1:10">
      <c r="F27" s="105">
        <v>4</v>
      </c>
      <c r="G27" s="114" t="s">
        <v>33</v>
      </c>
      <c r="H27" s="105" t="s">
        <v>574</v>
      </c>
    </row>
    <row r="28" spans="1:10">
      <c r="F28" s="105">
        <v>5</v>
      </c>
      <c r="G28" s="114" t="s">
        <v>549</v>
      </c>
      <c r="H28" s="105" t="s">
        <v>579</v>
      </c>
    </row>
    <row r="29" spans="1:10">
      <c r="F29" s="143" t="s">
        <v>34</v>
      </c>
      <c r="G29" s="143"/>
      <c r="H29" s="105" t="s">
        <v>544</v>
      </c>
    </row>
    <row r="31" spans="1:10">
      <c r="F31" t="s">
        <v>741</v>
      </c>
    </row>
    <row r="32" spans="1:10">
      <c r="F32" s="107" t="s">
        <v>2</v>
      </c>
      <c r="G32" s="107" t="s">
        <v>553</v>
      </c>
      <c r="H32" s="107" t="s">
        <v>742</v>
      </c>
    </row>
    <row r="33" spans="6:8">
      <c r="F33" s="105">
        <v>1</v>
      </c>
      <c r="G33" s="114" t="s">
        <v>628</v>
      </c>
      <c r="H33" s="105" t="s">
        <v>743</v>
      </c>
    </row>
    <row r="34" spans="6:8">
      <c r="F34" s="105">
        <v>2</v>
      </c>
      <c r="G34" s="114" t="s">
        <v>633</v>
      </c>
      <c r="H34" s="105" t="s">
        <v>744</v>
      </c>
    </row>
    <row r="35" spans="6:8">
      <c r="F35" s="105">
        <v>3</v>
      </c>
      <c r="G35" s="114" t="s">
        <v>200</v>
      </c>
      <c r="H35" s="105" t="s">
        <v>505</v>
      </c>
    </row>
    <row r="36" spans="6:8">
      <c r="F36" s="105">
        <v>4</v>
      </c>
      <c r="G36" s="114" t="s">
        <v>33</v>
      </c>
      <c r="H36" s="105" t="s">
        <v>745</v>
      </c>
    </row>
    <row r="37" spans="6:8">
      <c r="F37" s="105">
        <v>5</v>
      </c>
      <c r="G37" s="114" t="s">
        <v>549</v>
      </c>
      <c r="H37" s="105" t="s">
        <v>746</v>
      </c>
    </row>
    <row r="38" spans="6:8">
      <c r="F38" s="143" t="s">
        <v>34</v>
      </c>
      <c r="G38" s="143"/>
      <c r="H38" s="105" t="s">
        <v>544</v>
      </c>
    </row>
    <row r="40" spans="6:8">
      <c r="F40" t="s">
        <v>747</v>
      </c>
    </row>
    <row r="41" spans="6:8">
      <c r="F41" s="107" t="s">
        <v>2</v>
      </c>
      <c r="G41" s="107" t="s">
        <v>553</v>
      </c>
      <c r="H41" s="107" t="s">
        <v>748</v>
      </c>
    </row>
    <row r="42" spans="6:8">
      <c r="F42" s="105">
        <v>1</v>
      </c>
      <c r="G42" s="114" t="s">
        <v>628</v>
      </c>
      <c r="H42" s="105" t="s">
        <v>749</v>
      </c>
    </row>
    <row r="43" spans="6:8">
      <c r="F43" s="105">
        <v>2</v>
      </c>
      <c r="G43" s="114" t="s">
        <v>200</v>
      </c>
      <c r="H43" s="105" t="s">
        <v>750</v>
      </c>
    </row>
    <row r="44" spans="6:8">
      <c r="F44" s="105">
        <v>3</v>
      </c>
      <c r="G44" s="114" t="s">
        <v>572</v>
      </c>
      <c r="H44" s="105" t="s">
        <v>750</v>
      </c>
    </row>
    <row r="45" spans="6:8">
      <c r="F45" s="105">
        <v>4</v>
      </c>
      <c r="G45" s="114" t="s">
        <v>33</v>
      </c>
      <c r="H45" s="105" t="s">
        <v>745</v>
      </c>
    </row>
    <row r="46" spans="6:8">
      <c r="F46" s="105">
        <v>5</v>
      </c>
      <c r="G46" s="114" t="s">
        <v>549</v>
      </c>
      <c r="H46" s="105" t="s">
        <v>751</v>
      </c>
    </row>
    <row r="47" spans="6:8">
      <c r="F47" s="143" t="s">
        <v>34</v>
      </c>
      <c r="G47" s="143"/>
      <c r="H47" s="105" t="s">
        <v>518</v>
      </c>
    </row>
  </sheetData>
  <mergeCells count="25">
    <mergeCell ref="F38:G38"/>
    <mergeCell ref="F47:G47"/>
    <mergeCell ref="A22:A23"/>
    <mergeCell ref="B22:B23"/>
    <mergeCell ref="F10:G10"/>
    <mergeCell ref="F20:G20"/>
    <mergeCell ref="F29:G2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CDB6-F720-4D30-8B11-A2475B3A677B}">
  <dimension ref="A2:S32"/>
  <sheetViews>
    <sheetView workbookViewId="0">
      <selection activeCell="A3" sqref="A3"/>
    </sheetView>
  </sheetViews>
  <sheetFormatPr defaultRowHeight="15"/>
  <cols>
    <col min="1" max="1" width="3.7109375" customWidth="1"/>
    <col min="2" max="2" width="31.140625" customWidth="1"/>
    <col min="3" max="3" width="31" customWidth="1"/>
    <col min="4" max="4" width="28.140625" customWidth="1"/>
    <col min="6" max="6" width="3.85546875" customWidth="1"/>
    <col min="7" max="7" width="17.42578125" bestFit="1" customWidth="1"/>
  </cols>
  <sheetData>
    <row r="2" spans="1:19">
      <c r="A2" s="2" t="s">
        <v>752</v>
      </c>
    </row>
    <row r="4" spans="1:19">
      <c r="A4" s="147" t="s">
        <v>2</v>
      </c>
      <c r="B4" s="147" t="s">
        <v>215</v>
      </c>
      <c r="C4" s="106" t="s">
        <v>467</v>
      </c>
      <c r="D4" s="106" t="s">
        <v>468</v>
      </c>
      <c r="F4" t="s">
        <v>753</v>
      </c>
    </row>
    <row r="5" spans="1:19">
      <c r="A5" s="147"/>
      <c r="B5" s="147"/>
      <c r="C5" s="106" t="s">
        <v>551</v>
      </c>
      <c r="D5" s="106" t="s">
        <v>754</v>
      </c>
      <c r="F5" s="107" t="s">
        <v>2</v>
      </c>
      <c r="G5" s="107" t="s">
        <v>553</v>
      </c>
      <c r="H5" s="107">
        <v>1</v>
      </c>
      <c r="I5" s="108">
        <v>2</v>
      </c>
      <c r="J5" s="111">
        <v>3</v>
      </c>
      <c r="K5" s="112">
        <v>4</v>
      </c>
      <c r="L5" s="70"/>
      <c r="M5" s="70"/>
      <c r="N5" s="70"/>
      <c r="O5" s="70"/>
      <c r="P5" s="70"/>
    </row>
    <row r="6" spans="1:19">
      <c r="A6" s="140">
        <v>1</v>
      </c>
      <c r="B6" s="139" t="s">
        <v>755</v>
      </c>
      <c r="C6" s="113" t="s">
        <v>756</v>
      </c>
      <c r="D6" s="105" t="s">
        <v>757</v>
      </c>
      <c r="F6" s="105">
        <v>1</v>
      </c>
      <c r="G6" s="114" t="s">
        <v>470</v>
      </c>
      <c r="H6" s="105" t="s">
        <v>758</v>
      </c>
      <c r="I6" s="117" t="s">
        <v>759</v>
      </c>
      <c r="J6" s="121" t="s">
        <v>759</v>
      </c>
      <c r="K6" s="113" t="s">
        <v>758</v>
      </c>
      <c r="L6" s="65"/>
      <c r="M6" s="65"/>
      <c r="N6" s="65"/>
      <c r="O6" s="65"/>
      <c r="P6" s="65"/>
      <c r="Q6" s="91"/>
      <c r="R6" s="91"/>
      <c r="S6" s="91"/>
    </row>
    <row r="7" spans="1:19">
      <c r="A7" s="140"/>
      <c r="B7" s="139"/>
      <c r="C7" s="113" t="s">
        <v>760</v>
      </c>
      <c r="D7" s="105" t="s">
        <v>761</v>
      </c>
      <c r="F7" s="105">
        <v>2</v>
      </c>
      <c r="G7" s="114" t="s">
        <v>572</v>
      </c>
      <c r="H7" s="105" t="s">
        <v>531</v>
      </c>
      <c r="I7" s="117" t="s">
        <v>531</v>
      </c>
      <c r="J7" s="121" t="s">
        <v>531</v>
      </c>
      <c r="K7" s="113" t="s">
        <v>531</v>
      </c>
      <c r="L7" s="65"/>
      <c r="M7" s="65"/>
      <c r="N7" s="65"/>
      <c r="O7" s="65"/>
      <c r="P7" s="65"/>
      <c r="Q7" s="91"/>
      <c r="R7" s="91"/>
      <c r="S7" s="91"/>
    </row>
    <row r="8" spans="1:19">
      <c r="A8" s="140">
        <v>2</v>
      </c>
      <c r="B8" s="139" t="s">
        <v>762</v>
      </c>
      <c r="C8" s="113" t="s">
        <v>763</v>
      </c>
      <c r="D8" s="105" t="s">
        <v>764</v>
      </c>
      <c r="F8" s="105">
        <v>3</v>
      </c>
      <c r="G8" s="114" t="s">
        <v>9</v>
      </c>
      <c r="H8" s="105" t="s">
        <v>765</v>
      </c>
      <c r="I8" s="117" t="s">
        <v>765</v>
      </c>
      <c r="J8" s="121" t="s">
        <v>765</v>
      </c>
      <c r="K8" s="113" t="s">
        <v>765</v>
      </c>
      <c r="L8" s="65"/>
      <c r="M8" s="65"/>
      <c r="N8" s="65"/>
      <c r="O8" s="65"/>
      <c r="P8" s="65"/>
      <c r="Q8" s="91"/>
      <c r="R8" s="91"/>
      <c r="S8" s="91"/>
    </row>
    <row r="9" spans="1:19">
      <c r="A9" s="140"/>
      <c r="B9" s="139"/>
      <c r="C9" s="113" t="s">
        <v>766</v>
      </c>
      <c r="D9" s="105" t="s">
        <v>767</v>
      </c>
      <c r="F9" s="105">
        <v>4</v>
      </c>
      <c r="G9" s="114" t="s">
        <v>22</v>
      </c>
      <c r="H9" s="105" t="s">
        <v>531</v>
      </c>
      <c r="I9" s="117" t="s">
        <v>645</v>
      </c>
      <c r="J9" s="121" t="s">
        <v>727</v>
      </c>
      <c r="K9" s="113" t="s">
        <v>645</v>
      </c>
      <c r="L9" s="65"/>
      <c r="M9" s="65"/>
      <c r="N9" s="65"/>
      <c r="O9" s="65"/>
      <c r="P9" s="65"/>
      <c r="Q9" s="91"/>
      <c r="R9" s="91"/>
      <c r="S9" s="91"/>
    </row>
    <row r="10" spans="1:19">
      <c r="A10" s="140">
        <v>3</v>
      </c>
      <c r="B10" s="139" t="s">
        <v>768</v>
      </c>
      <c r="C10" s="113" t="s">
        <v>769</v>
      </c>
      <c r="D10" s="113" t="s">
        <v>770</v>
      </c>
      <c r="F10" s="110">
        <v>5</v>
      </c>
      <c r="G10" s="66" t="s">
        <v>771</v>
      </c>
      <c r="H10" s="110" t="s">
        <v>645</v>
      </c>
      <c r="I10" s="69" t="s">
        <v>727</v>
      </c>
      <c r="J10" s="121" t="s">
        <v>645</v>
      </c>
      <c r="K10" s="113" t="s">
        <v>531</v>
      </c>
      <c r="L10" s="65"/>
      <c r="M10" s="65"/>
      <c r="N10" s="65"/>
      <c r="O10" s="65"/>
      <c r="P10" s="65"/>
      <c r="Q10" s="91"/>
      <c r="R10" s="91"/>
      <c r="S10" s="91"/>
    </row>
    <row r="11" spans="1:19">
      <c r="A11" s="140"/>
      <c r="B11" s="139"/>
      <c r="C11" s="113" t="s">
        <v>772</v>
      </c>
      <c r="D11" s="113" t="s">
        <v>773</v>
      </c>
      <c r="F11" s="148" t="s">
        <v>34</v>
      </c>
      <c r="G11" s="149"/>
      <c r="H11" s="105" t="s">
        <v>544</v>
      </c>
      <c r="I11" s="117" t="s">
        <v>544</v>
      </c>
      <c r="J11" s="121" t="s">
        <v>544</v>
      </c>
      <c r="K11" s="113" t="s">
        <v>544</v>
      </c>
      <c r="L11" s="65"/>
      <c r="M11" s="65"/>
      <c r="N11" s="65"/>
      <c r="O11" s="65"/>
      <c r="P11" s="65"/>
      <c r="Q11" s="91"/>
      <c r="R11" s="91"/>
      <c r="S11" s="91"/>
    </row>
    <row r="12" spans="1:19">
      <c r="A12" s="140">
        <v>4</v>
      </c>
      <c r="B12" s="139" t="s">
        <v>774</v>
      </c>
      <c r="C12" s="113" t="s">
        <v>775</v>
      </c>
      <c r="D12" s="113" t="s">
        <v>776</v>
      </c>
    </row>
    <row r="13" spans="1:19">
      <c r="A13" s="140"/>
      <c r="B13" s="139"/>
      <c r="C13" s="113" t="s">
        <v>777</v>
      </c>
      <c r="D13" s="113" t="s">
        <v>778</v>
      </c>
      <c r="F13" t="s">
        <v>753</v>
      </c>
    </row>
    <row r="14" spans="1:19">
      <c r="A14" s="140">
        <v>5</v>
      </c>
      <c r="B14" s="146" t="s">
        <v>779</v>
      </c>
      <c r="C14" s="113"/>
      <c r="D14" s="113" t="s">
        <v>780</v>
      </c>
      <c r="F14" s="107" t="s">
        <v>2</v>
      </c>
      <c r="G14" s="107" t="s">
        <v>553</v>
      </c>
      <c r="H14" s="107">
        <v>5</v>
      </c>
      <c r="I14" s="108">
        <v>6</v>
      </c>
      <c r="J14" s="111">
        <v>7</v>
      </c>
      <c r="K14" s="108">
        <v>8</v>
      </c>
      <c r="L14" s="107">
        <v>9</v>
      </c>
      <c r="M14" s="71"/>
      <c r="N14" s="71"/>
      <c r="O14" s="71"/>
    </row>
    <row r="15" spans="1:19">
      <c r="A15" s="140"/>
      <c r="B15" s="146"/>
      <c r="C15" s="113"/>
      <c r="D15" s="113" t="s">
        <v>781</v>
      </c>
      <c r="F15" s="105">
        <v>1</v>
      </c>
      <c r="G15" s="114" t="s">
        <v>470</v>
      </c>
      <c r="H15" s="105" t="s">
        <v>782</v>
      </c>
      <c r="I15" s="117" t="s">
        <v>783</v>
      </c>
      <c r="J15" s="121" t="s">
        <v>783</v>
      </c>
      <c r="K15" s="117" t="s">
        <v>758</v>
      </c>
      <c r="L15" s="105" t="s">
        <v>759</v>
      </c>
      <c r="M15" s="118"/>
      <c r="N15" s="118"/>
      <c r="O15" s="118"/>
    </row>
    <row r="16" spans="1:19">
      <c r="A16" s="140">
        <v>6</v>
      </c>
      <c r="B16" s="139" t="s">
        <v>784</v>
      </c>
      <c r="C16" s="113"/>
      <c r="D16" s="113" t="s">
        <v>785</v>
      </c>
      <c r="F16" s="105">
        <v>2</v>
      </c>
      <c r="G16" s="114" t="s">
        <v>564</v>
      </c>
      <c r="H16" s="105" t="s">
        <v>750</v>
      </c>
      <c r="I16" s="117" t="s">
        <v>645</v>
      </c>
      <c r="J16" s="121" t="s">
        <v>645</v>
      </c>
      <c r="K16" s="117" t="s">
        <v>645</v>
      </c>
      <c r="L16" s="105" t="s">
        <v>645</v>
      </c>
      <c r="M16" s="65"/>
      <c r="N16" s="118"/>
      <c r="O16" s="118"/>
    </row>
    <row r="17" spans="1:15">
      <c r="A17" s="140"/>
      <c r="B17" s="139"/>
      <c r="C17" s="113"/>
      <c r="D17" s="113" t="s">
        <v>786</v>
      </c>
      <c r="F17" s="105">
        <v>3</v>
      </c>
      <c r="G17" s="114" t="s">
        <v>637</v>
      </c>
      <c r="H17" s="105" t="s">
        <v>645</v>
      </c>
      <c r="I17" s="117" t="s">
        <v>750</v>
      </c>
      <c r="J17" s="121" t="s">
        <v>645</v>
      </c>
      <c r="K17" s="117" t="s">
        <v>750</v>
      </c>
      <c r="L17" s="105" t="s">
        <v>750</v>
      </c>
      <c r="M17" s="118"/>
      <c r="N17" s="118"/>
      <c r="O17" s="118"/>
    </row>
    <row r="18" spans="1:15">
      <c r="A18" s="140">
        <v>7</v>
      </c>
      <c r="B18" s="139" t="s">
        <v>787</v>
      </c>
      <c r="C18" s="105"/>
      <c r="D18" s="113" t="s">
        <v>788</v>
      </c>
      <c r="F18" s="105">
        <v>4</v>
      </c>
      <c r="G18" s="114" t="s">
        <v>572</v>
      </c>
      <c r="H18" s="105" t="s">
        <v>517</v>
      </c>
      <c r="I18" s="117" t="s">
        <v>505</v>
      </c>
      <c r="J18" s="121" t="s">
        <v>505</v>
      </c>
      <c r="K18" s="117" t="s">
        <v>743</v>
      </c>
      <c r="L18" s="105" t="s">
        <v>743</v>
      </c>
      <c r="M18" s="118"/>
      <c r="N18" s="118"/>
      <c r="O18" s="118"/>
    </row>
    <row r="19" spans="1:15">
      <c r="A19" s="140"/>
      <c r="B19" s="139"/>
      <c r="C19" s="105"/>
      <c r="D19" s="113" t="s">
        <v>789</v>
      </c>
      <c r="F19" s="110">
        <v>5</v>
      </c>
      <c r="G19" s="66" t="s">
        <v>790</v>
      </c>
      <c r="H19" s="110" t="s">
        <v>645</v>
      </c>
      <c r="I19" s="69" t="s">
        <v>645</v>
      </c>
      <c r="J19" s="121" t="s">
        <v>750</v>
      </c>
      <c r="K19" s="117" t="s">
        <v>645</v>
      </c>
      <c r="L19" s="105" t="s">
        <v>645</v>
      </c>
      <c r="M19" s="118"/>
      <c r="N19" s="118"/>
      <c r="O19" s="118"/>
    </row>
    <row r="20" spans="1:15">
      <c r="A20" s="140">
        <v>8</v>
      </c>
      <c r="B20" s="139" t="s">
        <v>791</v>
      </c>
      <c r="C20" s="105"/>
      <c r="D20" s="113" t="s">
        <v>792</v>
      </c>
      <c r="F20" s="73">
        <v>6</v>
      </c>
      <c r="G20" s="74" t="s">
        <v>9</v>
      </c>
      <c r="H20" s="75" t="s">
        <v>793</v>
      </c>
      <c r="I20" s="69" t="s">
        <v>793</v>
      </c>
      <c r="J20" s="72" t="s">
        <v>793</v>
      </c>
      <c r="K20" s="117" t="s">
        <v>765</v>
      </c>
      <c r="L20" s="105" t="s">
        <v>765</v>
      </c>
      <c r="M20" s="118"/>
      <c r="N20" s="118"/>
      <c r="O20" s="118"/>
    </row>
    <row r="21" spans="1:15">
      <c r="A21" s="152"/>
      <c r="B21" s="153"/>
      <c r="C21" s="110"/>
      <c r="D21" s="115" t="s">
        <v>794</v>
      </c>
      <c r="F21" s="116">
        <v>7</v>
      </c>
      <c r="G21" s="76" t="s">
        <v>22</v>
      </c>
      <c r="H21" s="113" t="s">
        <v>505</v>
      </c>
      <c r="I21" s="113" t="s">
        <v>505</v>
      </c>
      <c r="J21" s="121" t="s">
        <v>505</v>
      </c>
      <c r="K21" s="117" t="s">
        <v>531</v>
      </c>
      <c r="L21" s="105" t="s">
        <v>727</v>
      </c>
      <c r="M21" s="118"/>
      <c r="N21" s="118"/>
      <c r="O21" s="118"/>
    </row>
    <row r="22" spans="1:15">
      <c r="A22" s="140">
        <v>9</v>
      </c>
      <c r="B22" s="139" t="s">
        <v>795</v>
      </c>
      <c r="C22" s="36"/>
      <c r="D22" s="105" t="s">
        <v>796</v>
      </c>
      <c r="F22" s="150" t="s">
        <v>34</v>
      </c>
      <c r="G22" s="150"/>
      <c r="H22" s="113" t="s">
        <v>518</v>
      </c>
      <c r="I22" s="113" t="s">
        <v>518</v>
      </c>
      <c r="J22" s="121" t="s">
        <v>518</v>
      </c>
      <c r="K22" s="117" t="s">
        <v>544</v>
      </c>
      <c r="L22" s="105" t="s">
        <v>544</v>
      </c>
      <c r="M22" s="118"/>
      <c r="N22" s="118"/>
      <c r="O22" s="118"/>
    </row>
    <row r="23" spans="1:15">
      <c r="A23" s="140"/>
      <c r="B23" s="139"/>
      <c r="C23" s="36"/>
      <c r="D23" s="105" t="s">
        <v>797</v>
      </c>
    </row>
    <row r="24" spans="1:15">
      <c r="A24" s="140">
        <v>10</v>
      </c>
      <c r="B24" s="139" t="s">
        <v>798</v>
      </c>
      <c r="C24" s="36"/>
      <c r="D24" s="105" t="s">
        <v>799</v>
      </c>
      <c r="F24" t="s">
        <v>753</v>
      </c>
    </row>
    <row r="25" spans="1:15">
      <c r="A25" s="152"/>
      <c r="B25" s="153"/>
      <c r="C25" s="39"/>
      <c r="D25" s="110" t="s">
        <v>800</v>
      </c>
      <c r="F25" s="107" t="s">
        <v>2</v>
      </c>
      <c r="G25" s="107" t="s">
        <v>553</v>
      </c>
      <c r="H25" s="107">
        <v>10</v>
      </c>
      <c r="I25" s="108">
        <v>11</v>
      </c>
      <c r="J25" s="112">
        <v>12</v>
      </c>
    </row>
    <row r="26" spans="1:15">
      <c r="A26" s="140">
        <v>11</v>
      </c>
      <c r="B26" s="139" t="s">
        <v>801</v>
      </c>
      <c r="C26" s="36"/>
      <c r="D26" s="105" t="s">
        <v>802</v>
      </c>
      <c r="F26" s="105">
        <v>1</v>
      </c>
      <c r="G26" s="114" t="s">
        <v>470</v>
      </c>
      <c r="H26" s="105" t="s">
        <v>803</v>
      </c>
      <c r="I26" s="117" t="s">
        <v>759</v>
      </c>
      <c r="J26" s="113" t="s">
        <v>804</v>
      </c>
    </row>
    <row r="27" spans="1:15">
      <c r="A27" s="140"/>
      <c r="B27" s="139"/>
      <c r="C27" s="36"/>
      <c r="D27" s="105" t="s">
        <v>805</v>
      </c>
      <c r="F27" s="105">
        <v>2</v>
      </c>
      <c r="G27" s="114" t="s">
        <v>564</v>
      </c>
      <c r="H27" s="105" t="s">
        <v>505</v>
      </c>
      <c r="I27" s="117" t="s">
        <v>645</v>
      </c>
      <c r="J27" s="113" t="s">
        <v>505</v>
      </c>
    </row>
    <row r="28" spans="1:15">
      <c r="A28" s="140">
        <v>12</v>
      </c>
      <c r="B28" s="139" t="s">
        <v>806</v>
      </c>
      <c r="C28" s="36"/>
      <c r="D28" s="105" t="s">
        <v>807</v>
      </c>
      <c r="F28" s="105">
        <v>3</v>
      </c>
      <c r="G28" s="114" t="s">
        <v>572</v>
      </c>
      <c r="H28" s="105" t="s">
        <v>531</v>
      </c>
      <c r="I28" s="117" t="s">
        <v>505</v>
      </c>
      <c r="J28" s="113" t="s">
        <v>743</v>
      </c>
    </row>
    <row r="29" spans="1:15">
      <c r="A29" s="140"/>
      <c r="B29" s="139"/>
      <c r="C29" s="36"/>
      <c r="D29" s="105" t="s">
        <v>650</v>
      </c>
      <c r="F29" s="105">
        <v>4</v>
      </c>
      <c r="G29" s="114" t="s">
        <v>9</v>
      </c>
      <c r="H29" s="105" t="s">
        <v>765</v>
      </c>
      <c r="I29" s="117" t="s">
        <v>765</v>
      </c>
      <c r="J29" s="113" t="s">
        <v>765</v>
      </c>
    </row>
    <row r="30" spans="1:15">
      <c r="A30" s="140">
        <v>13</v>
      </c>
      <c r="B30" s="155" t="s">
        <v>808</v>
      </c>
      <c r="C30" s="36"/>
      <c r="D30" s="105" t="s">
        <v>809</v>
      </c>
      <c r="F30" s="110">
        <v>5</v>
      </c>
      <c r="G30" s="66" t="s">
        <v>810</v>
      </c>
      <c r="H30" s="110" t="s">
        <v>811</v>
      </c>
      <c r="I30" s="69" t="s">
        <v>727</v>
      </c>
      <c r="J30" s="113" t="s">
        <v>812</v>
      </c>
    </row>
    <row r="31" spans="1:15">
      <c r="A31" s="140"/>
      <c r="B31" s="155"/>
      <c r="C31" s="36"/>
      <c r="D31" s="105" t="s">
        <v>813</v>
      </c>
      <c r="F31" s="73">
        <v>6</v>
      </c>
      <c r="G31" s="74" t="s">
        <v>637</v>
      </c>
      <c r="H31" s="75" t="s">
        <v>645</v>
      </c>
      <c r="I31" s="69" t="s">
        <v>505</v>
      </c>
      <c r="J31" s="113" t="s">
        <v>750</v>
      </c>
    </row>
    <row r="32" spans="1:15">
      <c r="F32" s="148" t="s">
        <v>34</v>
      </c>
      <c r="G32" s="149"/>
      <c r="H32" s="113" t="s">
        <v>544</v>
      </c>
      <c r="I32" s="121" t="s">
        <v>544</v>
      </c>
      <c r="J32" s="113" t="s">
        <v>544</v>
      </c>
    </row>
  </sheetData>
  <mergeCells count="31">
    <mergeCell ref="B30:B31"/>
    <mergeCell ref="A30:A31"/>
    <mergeCell ref="F11:G11"/>
    <mergeCell ref="F22:G22"/>
    <mergeCell ref="F32:G32"/>
    <mergeCell ref="A22:A23"/>
    <mergeCell ref="B22:B23"/>
    <mergeCell ref="A24:A25"/>
    <mergeCell ref="B24:B25"/>
    <mergeCell ref="A26:A27"/>
    <mergeCell ref="A28:A29"/>
    <mergeCell ref="B26:B27"/>
    <mergeCell ref="B28:B29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17A-EEBA-44A2-BC2F-692F061ECC0D}">
  <dimension ref="A2:K52"/>
  <sheetViews>
    <sheetView topLeftCell="A38" workbookViewId="0">
      <selection activeCell="E45" sqref="E45:E46"/>
    </sheetView>
  </sheetViews>
  <sheetFormatPr defaultRowHeight="15"/>
  <cols>
    <col min="1" max="1" width="3.7109375" customWidth="1"/>
    <col min="2" max="2" width="20.140625" customWidth="1"/>
    <col min="3" max="3" width="22.42578125" bestFit="1" customWidth="1"/>
    <col min="4" max="4" width="22.7109375" customWidth="1"/>
    <col min="6" max="6" width="3.85546875" customWidth="1"/>
    <col min="7" max="7" width="15.42578125" customWidth="1"/>
    <col min="8" max="8" width="10.7109375" bestFit="1" customWidth="1"/>
    <col min="9" max="9" width="11.7109375" customWidth="1"/>
    <col min="10" max="10" width="11.85546875" customWidth="1"/>
    <col min="11" max="11" width="12.7109375" customWidth="1"/>
    <col min="13" max="13" width="5.28515625" customWidth="1"/>
    <col min="14" max="14" width="13.7109375" bestFit="1" customWidth="1"/>
  </cols>
  <sheetData>
    <row r="2" spans="1:9">
      <c r="A2" s="2" t="s">
        <v>134</v>
      </c>
    </row>
    <row r="3" spans="1:9">
      <c r="F3" s="62" t="s">
        <v>814</v>
      </c>
    </row>
    <row r="4" spans="1:9">
      <c r="A4" s="147" t="s">
        <v>2</v>
      </c>
      <c r="B4" s="147" t="s">
        <v>215</v>
      </c>
      <c r="C4" s="106" t="s">
        <v>467</v>
      </c>
      <c r="D4" s="106" t="s">
        <v>468</v>
      </c>
      <c r="F4" s="107" t="s">
        <v>2</v>
      </c>
      <c r="G4" s="107" t="s">
        <v>553</v>
      </c>
      <c r="H4" s="108">
        <v>13</v>
      </c>
      <c r="I4" s="107">
        <v>14</v>
      </c>
    </row>
    <row r="5" spans="1:9">
      <c r="A5" s="147"/>
      <c r="B5" s="147"/>
      <c r="C5" s="106" t="s">
        <v>551</v>
      </c>
      <c r="D5" s="106" t="s">
        <v>552</v>
      </c>
      <c r="F5" s="105">
        <v>1</v>
      </c>
      <c r="G5" s="114" t="s">
        <v>470</v>
      </c>
      <c r="H5" s="117" t="s">
        <v>759</v>
      </c>
      <c r="I5" s="105" t="s">
        <v>815</v>
      </c>
    </row>
    <row r="6" spans="1:9">
      <c r="A6" s="140">
        <v>1</v>
      </c>
      <c r="B6" s="139" t="s">
        <v>816</v>
      </c>
      <c r="C6" s="113" t="s">
        <v>817</v>
      </c>
      <c r="D6" s="105" t="s">
        <v>818</v>
      </c>
      <c r="F6" s="105">
        <v>2</v>
      </c>
      <c r="G6" s="114" t="s">
        <v>564</v>
      </c>
      <c r="H6" s="117" t="s">
        <v>645</v>
      </c>
      <c r="I6" s="105" t="s">
        <v>645</v>
      </c>
    </row>
    <row r="7" spans="1:9">
      <c r="A7" s="140"/>
      <c r="B7" s="139"/>
      <c r="C7" s="113" t="s">
        <v>819</v>
      </c>
      <c r="D7" s="105" t="s">
        <v>820</v>
      </c>
      <c r="F7" s="105">
        <v>3</v>
      </c>
      <c r="G7" s="114" t="s">
        <v>637</v>
      </c>
      <c r="H7" s="117" t="s">
        <v>645</v>
      </c>
      <c r="I7" s="105" t="s">
        <v>645</v>
      </c>
    </row>
    <row r="8" spans="1:9">
      <c r="A8" s="140">
        <v>2</v>
      </c>
      <c r="B8" s="139" t="s">
        <v>821</v>
      </c>
      <c r="C8" s="113" t="s">
        <v>822</v>
      </c>
      <c r="D8" s="105" t="s">
        <v>823</v>
      </c>
      <c r="F8" s="105">
        <v>4</v>
      </c>
      <c r="G8" s="114" t="s">
        <v>572</v>
      </c>
      <c r="H8" s="117" t="s">
        <v>743</v>
      </c>
      <c r="I8" s="105" t="s">
        <v>505</v>
      </c>
    </row>
    <row r="9" spans="1:9">
      <c r="A9" s="140"/>
      <c r="B9" s="139"/>
      <c r="C9" s="113" t="s">
        <v>824</v>
      </c>
      <c r="D9" s="105" t="s">
        <v>825</v>
      </c>
      <c r="F9" s="110">
        <v>5</v>
      </c>
      <c r="G9" s="66" t="s">
        <v>790</v>
      </c>
      <c r="H9" s="69" t="s">
        <v>750</v>
      </c>
      <c r="I9" s="105" t="s">
        <v>505</v>
      </c>
    </row>
    <row r="10" spans="1:9">
      <c r="A10" s="140">
        <v>3</v>
      </c>
      <c r="B10" s="139" t="s">
        <v>826</v>
      </c>
      <c r="C10" s="113"/>
      <c r="D10" s="113" t="s">
        <v>827</v>
      </c>
      <c r="F10" s="73">
        <v>6</v>
      </c>
      <c r="G10" s="74" t="s">
        <v>9</v>
      </c>
      <c r="H10" s="83" t="s">
        <v>765</v>
      </c>
      <c r="I10" s="105" t="s">
        <v>765</v>
      </c>
    </row>
    <row r="11" spans="1:9">
      <c r="A11" s="140"/>
      <c r="B11" s="139"/>
      <c r="C11" s="113"/>
      <c r="D11" s="113" t="s">
        <v>828</v>
      </c>
      <c r="F11" s="116">
        <v>7</v>
      </c>
      <c r="G11" s="76" t="s">
        <v>22</v>
      </c>
      <c r="H11" s="121" t="s">
        <v>727</v>
      </c>
      <c r="I11" s="113" t="s">
        <v>811</v>
      </c>
    </row>
    <row r="12" spans="1:9">
      <c r="A12" s="140">
        <v>4</v>
      </c>
      <c r="B12" s="139" t="s">
        <v>829</v>
      </c>
      <c r="C12" s="113"/>
      <c r="D12" s="113" t="s">
        <v>830</v>
      </c>
      <c r="F12" s="150" t="s">
        <v>34</v>
      </c>
      <c r="G12" s="150"/>
      <c r="H12" s="121" t="s">
        <v>544</v>
      </c>
      <c r="I12" s="113" t="s">
        <v>544</v>
      </c>
    </row>
    <row r="13" spans="1:9">
      <c r="A13" s="140"/>
      <c r="B13" s="139"/>
      <c r="C13" s="113"/>
      <c r="D13" s="113" t="s">
        <v>831</v>
      </c>
    </row>
    <row r="14" spans="1:9">
      <c r="A14" s="140">
        <v>5</v>
      </c>
      <c r="B14" s="146" t="s">
        <v>832</v>
      </c>
      <c r="C14" s="113"/>
      <c r="D14" s="113" t="s">
        <v>833</v>
      </c>
      <c r="F14" s="62" t="s">
        <v>834</v>
      </c>
    </row>
    <row r="15" spans="1:9">
      <c r="A15" s="140"/>
      <c r="B15" s="146"/>
      <c r="C15" s="113"/>
      <c r="D15" s="113" t="s">
        <v>835</v>
      </c>
      <c r="F15" t="s">
        <v>836</v>
      </c>
    </row>
    <row r="16" spans="1:9">
      <c r="A16" s="140">
        <v>6</v>
      </c>
      <c r="B16" s="139" t="s">
        <v>837</v>
      </c>
      <c r="C16" s="113"/>
      <c r="D16" s="113" t="s">
        <v>838</v>
      </c>
      <c r="F16" s="107" t="s">
        <v>2</v>
      </c>
      <c r="G16" s="108" t="s">
        <v>553</v>
      </c>
      <c r="H16" s="107" t="s">
        <v>839</v>
      </c>
    </row>
    <row r="17" spans="1:11">
      <c r="A17" s="140"/>
      <c r="B17" s="139"/>
      <c r="C17" s="113"/>
      <c r="D17" s="113" t="s">
        <v>840</v>
      </c>
      <c r="F17" s="105">
        <v>1</v>
      </c>
      <c r="G17" s="84" t="s">
        <v>841</v>
      </c>
      <c r="H17" s="105" t="s">
        <v>842</v>
      </c>
    </row>
    <row r="18" spans="1:11">
      <c r="A18" s="140">
        <v>7</v>
      </c>
      <c r="B18" s="139" t="s">
        <v>843</v>
      </c>
      <c r="C18" s="105"/>
      <c r="D18" s="113" t="s">
        <v>844</v>
      </c>
      <c r="F18" s="105">
        <v>2</v>
      </c>
      <c r="G18" s="84" t="s">
        <v>564</v>
      </c>
      <c r="H18" s="105" t="s">
        <v>690</v>
      </c>
    </row>
    <row r="19" spans="1:11">
      <c r="A19" s="152"/>
      <c r="B19" s="153"/>
      <c r="C19" s="110"/>
      <c r="D19" s="115" t="s">
        <v>845</v>
      </c>
      <c r="F19" s="105">
        <v>3</v>
      </c>
      <c r="G19" s="84" t="s">
        <v>470</v>
      </c>
      <c r="H19" s="105" t="s">
        <v>645</v>
      </c>
    </row>
    <row r="20" spans="1:11">
      <c r="A20" s="140">
        <v>8</v>
      </c>
      <c r="B20" s="139" t="s">
        <v>846</v>
      </c>
      <c r="C20" s="105" t="s">
        <v>847</v>
      </c>
      <c r="D20" s="113" t="s">
        <v>848</v>
      </c>
      <c r="F20" s="144" t="s">
        <v>34</v>
      </c>
      <c r="G20" s="145"/>
      <c r="H20" s="105" t="s">
        <v>544</v>
      </c>
    </row>
    <row r="21" spans="1:11">
      <c r="A21" s="140"/>
      <c r="B21" s="139"/>
      <c r="C21" s="105" t="s">
        <v>849</v>
      </c>
      <c r="D21" s="113" t="s">
        <v>850</v>
      </c>
    </row>
    <row r="22" spans="1:11">
      <c r="F22" s="107" t="s">
        <v>2</v>
      </c>
      <c r="G22" s="107" t="s">
        <v>553</v>
      </c>
      <c r="H22" s="108" t="s">
        <v>137</v>
      </c>
      <c r="I22" s="108" t="s">
        <v>138</v>
      </c>
      <c r="J22" s="107" t="s">
        <v>139</v>
      </c>
      <c r="K22" s="107" t="s">
        <v>140</v>
      </c>
    </row>
    <row r="23" spans="1:11">
      <c r="F23" s="105">
        <v>1</v>
      </c>
      <c r="G23" s="114" t="s">
        <v>839</v>
      </c>
      <c r="H23" s="117" t="s">
        <v>851</v>
      </c>
      <c r="I23" s="117" t="s">
        <v>851</v>
      </c>
      <c r="J23" s="105" t="s">
        <v>851</v>
      </c>
      <c r="K23" s="105" t="s">
        <v>851</v>
      </c>
    </row>
    <row r="24" spans="1:11">
      <c r="F24" s="105">
        <v>2</v>
      </c>
      <c r="G24" s="114" t="s">
        <v>572</v>
      </c>
      <c r="H24" s="117" t="s">
        <v>531</v>
      </c>
      <c r="I24" s="117" t="s">
        <v>645</v>
      </c>
      <c r="J24" s="105" t="s">
        <v>505</v>
      </c>
      <c r="K24" s="105" t="s">
        <v>645</v>
      </c>
    </row>
    <row r="25" spans="1:11">
      <c r="F25" s="105">
        <v>3</v>
      </c>
      <c r="G25" s="114" t="s">
        <v>637</v>
      </c>
      <c r="H25" s="117" t="s">
        <v>645</v>
      </c>
      <c r="I25" s="117" t="s">
        <v>531</v>
      </c>
      <c r="J25" s="105" t="s">
        <v>505</v>
      </c>
      <c r="K25" s="105" t="s">
        <v>645</v>
      </c>
    </row>
    <row r="26" spans="1:11">
      <c r="F26" s="105">
        <v>4</v>
      </c>
      <c r="G26" s="114" t="s">
        <v>790</v>
      </c>
      <c r="H26" s="117" t="s">
        <v>645</v>
      </c>
      <c r="I26" s="117" t="s">
        <v>645</v>
      </c>
      <c r="J26" s="105" t="s">
        <v>645</v>
      </c>
      <c r="K26" s="105" t="s">
        <v>531</v>
      </c>
    </row>
    <row r="27" spans="1:11">
      <c r="F27" s="110">
        <v>5</v>
      </c>
      <c r="G27" s="66" t="s">
        <v>33</v>
      </c>
      <c r="H27" s="69" t="s">
        <v>574</v>
      </c>
      <c r="I27" s="117" t="s">
        <v>574</v>
      </c>
      <c r="J27" s="105" t="s">
        <v>574</v>
      </c>
      <c r="K27" s="105" t="s">
        <v>574</v>
      </c>
    </row>
    <row r="28" spans="1:11">
      <c r="F28" s="73">
        <v>6</v>
      </c>
      <c r="G28" s="74" t="s">
        <v>618</v>
      </c>
      <c r="H28" s="83" t="s">
        <v>643</v>
      </c>
      <c r="I28" s="117" t="s">
        <v>643</v>
      </c>
      <c r="J28" s="105" t="s">
        <v>643</v>
      </c>
      <c r="K28" s="105" t="s">
        <v>643</v>
      </c>
    </row>
    <row r="29" spans="1:11">
      <c r="F29" s="148" t="s">
        <v>34</v>
      </c>
      <c r="G29" s="149"/>
      <c r="H29" s="121" t="s">
        <v>544</v>
      </c>
      <c r="I29" s="121" t="s">
        <v>544</v>
      </c>
      <c r="J29" s="105" t="s">
        <v>544</v>
      </c>
      <c r="K29" s="105" t="s">
        <v>544</v>
      </c>
    </row>
    <row r="31" spans="1:11">
      <c r="F31" s="62" t="s">
        <v>852</v>
      </c>
    </row>
    <row r="32" spans="1:11">
      <c r="F32" s="107" t="s">
        <v>2</v>
      </c>
      <c r="G32" s="107" t="s">
        <v>553</v>
      </c>
      <c r="H32" s="108" t="s">
        <v>141</v>
      </c>
      <c r="I32" s="107" t="s">
        <v>142</v>
      </c>
    </row>
    <row r="33" spans="1:9">
      <c r="F33" s="105">
        <v>1</v>
      </c>
      <c r="G33" s="114" t="s">
        <v>839</v>
      </c>
      <c r="H33" s="117" t="s">
        <v>853</v>
      </c>
      <c r="I33" s="105" t="s">
        <v>854</v>
      </c>
    </row>
    <row r="34" spans="1:9">
      <c r="F34" s="105">
        <v>2</v>
      </c>
      <c r="G34" s="114" t="s">
        <v>572</v>
      </c>
      <c r="H34" s="117" t="s">
        <v>531</v>
      </c>
      <c r="I34" s="105" t="s">
        <v>531</v>
      </c>
    </row>
    <row r="35" spans="1:9">
      <c r="F35" s="105">
        <v>3</v>
      </c>
      <c r="G35" s="114" t="s">
        <v>33</v>
      </c>
      <c r="H35" s="117" t="s">
        <v>574</v>
      </c>
      <c r="I35" s="105" t="s">
        <v>855</v>
      </c>
    </row>
    <row r="36" spans="1:9">
      <c r="F36" s="110">
        <v>4</v>
      </c>
      <c r="G36" s="66" t="s">
        <v>618</v>
      </c>
      <c r="H36" s="69" t="s">
        <v>856</v>
      </c>
      <c r="I36" s="110" t="s">
        <v>727</v>
      </c>
    </row>
    <row r="37" spans="1:9">
      <c r="F37" s="143" t="s">
        <v>34</v>
      </c>
      <c r="G37" s="143"/>
      <c r="H37" s="105" t="s">
        <v>544</v>
      </c>
      <c r="I37" s="105" t="s">
        <v>544</v>
      </c>
    </row>
    <row r="38" spans="1:9">
      <c r="F38" s="68"/>
      <c r="G38" s="68"/>
      <c r="H38" s="118"/>
      <c r="I38" s="118"/>
    </row>
    <row r="39" spans="1:9">
      <c r="A39" s="122" t="s">
        <v>2</v>
      </c>
      <c r="B39" s="122" t="s">
        <v>215</v>
      </c>
      <c r="C39" s="122" t="s">
        <v>467</v>
      </c>
      <c r="D39" s="122" t="s">
        <v>468</v>
      </c>
      <c r="E39" s="134" t="s">
        <v>489</v>
      </c>
      <c r="F39" s="129"/>
      <c r="G39" s="156" t="s">
        <v>38</v>
      </c>
      <c r="H39" s="158"/>
      <c r="I39" s="158"/>
    </row>
    <row r="40" spans="1:9">
      <c r="A40" s="122"/>
      <c r="B40" s="122"/>
      <c r="C40" s="122"/>
      <c r="D40" s="122"/>
      <c r="E40" s="134"/>
      <c r="F40" s="129"/>
      <c r="G40" s="157"/>
      <c r="H40" s="158"/>
      <c r="I40" s="158"/>
    </row>
    <row r="41" spans="1:9">
      <c r="A41" s="123">
        <v>1</v>
      </c>
      <c r="B41" s="139" t="s">
        <v>137</v>
      </c>
      <c r="C41" s="113"/>
      <c r="D41" s="113" t="s">
        <v>827</v>
      </c>
      <c r="E41" s="159">
        <v>0.11873599999999999</v>
      </c>
      <c r="F41" s="160"/>
      <c r="G41" s="140" t="s">
        <v>857</v>
      </c>
      <c r="H41" s="161"/>
      <c r="I41" s="162"/>
    </row>
    <row r="42" spans="1:9">
      <c r="A42" s="123"/>
      <c r="B42" s="139"/>
      <c r="C42" s="113"/>
      <c r="D42" s="113" t="s">
        <v>828</v>
      </c>
      <c r="E42" s="123"/>
      <c r="F42" s="160"/>
      <c r="G42" s="140"/>
      <c r="H42" s="161"/>
      <c r="I42" s="161"/>
    </row>
    <row r="43" spans="1:9">
      <c r="A43" s="123">
        <v>2</v>
      </c>
      <c r="B43" s="139" t="s">
        <v>138</v>
      </c>
      <c r="C43" s="113"/>
      <c r="D43" s="113" t="s">
        <v>830</v>
      </c>
      <c r="E43" s="159">
        <v>0.12967200000000001</v>
      </c>
      <c r="F43" s="160"/>
      <c r="G43" s="163" t="s">
        <v>858</v>
      </c>
      <c r="H43" s="164"/>
      <c r="I43" s="162"/>
    </row>
    <row r="44" spans="1:9">
      <c r="A44" s="123"/>
      <c r="B44" s="139"/>
      <c r="C44" s="113"/>
      <c r="D44" s="113" t="s">
        <v>831</v>
      </c>
      <c r="E44" s="123"/>
      <c r="F44" s="160"/>
      <c r="G44" s="140"/>
      <c r="H44" s="164"/>
      <c r="I44" s="161"/>
    </row>
    <row r="45" spans="1:9">
      <c r="A45" s="123">
        <v>3</v>
      </c>
      <c r="B45" s="139" t="s">
        <v>139</v>
      </c>
      <c r="C45" s="113"/>
      <c r="D45" s="113" t="s">
        <v>833</v>
      </c>
      <c r="E45" s="138">
        <v>0.13081699999999999</v>
      </c>
      <c r="F45" s="160"/>
      <c r="G45" s="140" t="s">
        <v>859</v>
      </c>
      <c r="H45" s="161"/>
      <c r="I45" s="161"/>
    </row>
    <row r="46" spans="1:9">
      <c r="A46" s="141"/>
      <c r="B46" s="139"/>
      <c r="C46" s="113"/>
      <c r="D46" s="113" t="s">
        <v>835</v>
      </c>
      <c r="E46" s="141"/>
      <c r="F46" s="169"/>
      <c r="G46" s="152"/>
      <c r="H46" s="161"/>
      <c r="I46" s="161"/>
    </row>
    <row r="47" spans="1:9">
      <c r="A47" s="140">
        <v>4</v>
      </c>
      <c r="B47" s="165" t="s">
        <v>140</v>
      </c>
      <c r="C47" s="113"/>
      <c r="D47" s="121" t="s">
        <v>838</v>
      </c>
      <c r="E47" s="170">
        <v>0.11251700000000001</v>
      </c>
      <c r="F47" s="167"/>
      <c r="G47" s="140" t="s">
        <v>860</v>
      </c>
    </row>
    <row r="48" spans="1:9">
      <c r="A48" s="140"/>
      <c r="B48" s="165"/>
      <c r="C48" s="113"/>
      <c r="D48" s="121" t="s">
        <v>840</v>
      </c>
      <c r="E48" s="171"/>
      <c r="F48" s="168"/>
      <c r="G48" s="140"/>
    </row>
    <row r="49" spans="1:7">
      <c r="A49" s="140">
        <v>5</v>
      </c>
      <c r="B49" s="165" t="s">
        <v>141</v>
      </c>
      <c r="C49" s="105"/>
      <c r="D49" s="121" t="s">
        <v>844</v>
      </c>
      <c r="E49" s="170">
        <v>0.118714</v>
      </c>
      <c r="F49" s="167"/>
      <c r="G49" s="140" t="s">
        <v>861</v>
      </c>
    </row>
    <row r="50" spans="1:7">
      <c r="A50" s="140"/>
      <c r="B50" s="166"/>
      <c r="C50" s="110"/>
      <c r="D50" s="72" t="s">
        <v>845</v>
      </c>
      <c r="E50" s="171"/>
      <c r="F50" s="168"/>
      <c r="G50" s="140"/>
    </row>
    <row r="51" spans="1:7">
      <c r="A51" s="140">
        <v>6</v>
      </c>
      <c r="B51" s="165" t="s">
        <v>142</v>
      </c>
      <c r="C51" s="105" t="s">
        <v>847</v>
      </c>
      <c r="D51" s="121" t="s">
        <v>848</v>
      </c>
      <c r="E51" s="170">
        <v>0.120238</v>
      </c>
      <c r="F51" s="167"/>
      <c r="G51" s="140" t="s">
        <v>862</v>
      </c>
    </row>
    <row r="52" spans="1:7">
      <c r="A52" s="140"/>
      <c r="B52" s="165"/>
      <c r="C52" s="105" t="s">
        <v>849</v>
      </c>
      <c r="D52" s="121" t="s">
        <v>850</v>
      </c>
      <c r="E52" s="171"/>
      <c r="F52" s="168"/>
      <c r="G52" s="140"/>
    </row>
  </sheetData>
  <mergeCells count="67">
    <mergeCell ref="G51:G52"/>
    <mergeCell ref="F47:F48"/>
    <mergeCell ref="F49:F50"/>
    <mergeCell ref="F51:F52"/>
    <mergeCell ref="A45:A46"/>
    <mergeCell ref="B45:B46"/>
    <mergeCell ref="E45:E46"/>
    <mergeCell ref="F45:F46"/>
    <mergeCell ref="G45:G46"/>
    <mergeCell ref="B51:B52"/>
    <mergeCell ref="A47:A48"/>
    <mergeCell ref="A49:A50"/>
    <mergeCell ref="A51:A52"/>
    <mergeCell ref="E49:E50"/>
    <mergeCell ref="E51:E52"/>
    <mergeCell ref="E47:E48"/>
    <mergeCell ref="H43:H44"/>
    <mergeCell ref="I43:I44"/>
    <mergeCell ref="I45:I46"/>
    <mergeCell ref="B47:B48"/>
    <mergeCell ref="B49:B50"/>
    <mergeCell ref="H45:H46"/>
    <mergeCell ref="G47:G48"/>
    <mergeCell ref="G49:G50"/>
    <mergeCell ref="A43:A44"/>
    <mergeCell ref="B43:B44"/>
    <mergeCell ref="E43:E44"/>
    <mergeCell ref="F43:F44"/>
    <mergeCell ref="G43:G44"/>
    <mergeCell ref="G39:G40"/>
    <mergeCell ref="H39:H40"/>
    <mergeCell ref="I39:I40"/>
    <mergeCell ref="A41:A42"/>
    <mergeCell ref="B41:B42"/>
    <mergeCell ref="E41:E42"/>
    <mergeCell ref="F41:F42"/>
    <mergeCell ref="G41:G42"/>
    <mergeCell ref="H41:H42"/>
    <mergeCell ref="I41:I42"/>
    <mergeCell ref="F12:G12"/>
    <mergeCell ref="F20:G20"/>
    <mergeCell ref="F29:G29"/>
    <mergeCell ref="F37:G37"/>
    <mergeCell ref="A39:A40"/>
    <mergeCell ref="B39:B40"/>
    <mergeCell ref="C39:C40"/>
    <mergeCell ref="D39:D40"/>
    <mergeCell ref="E39:E40"/>
    <mergeCell ref="A16:A17"/>
    <mergeCell ref="B16:B17"/>
    <mergeCell ref="A18:A19"/>
    <mergeCell ref="B18:B19"/>
    <mergeCell ref="A20:A21"/>
    <mergeCell ref="B20:B21"/>
    <mergeCell ref="F39:F40"/>
    <mergeCell ref="A10:A11"/>
    <mergeCell ref="B10:B11"/>
    <mergeCell ref="A12:A13"/>
    <mergeCell ref="B12:B13"/>
    <mergeCell ref="A14:A15"/>
    <mergeCell ref="B14:B15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B812-E02C-4515-970D-0D2BE99A41C4}">
  <dimension ref="A2:M76"/>
  <sheetViews>
    <sheetView topLeftCell="A50" workbookViewId="0">
      <selection activeCell="H51" sqref="H51:H52"/>
    </sheetView>
  </sheetViews>
  <sheetFormatPr defaultRowHeight="15"/>
  <cols>
    <col min="1" max="1" width="4.140625" customWidth="1"/>
    <col min="2" max="2" width="20" customWidth="1"/>
    <col min="3" max="3" width="22.42578125" bestFit="1" customWidth="1"/>
    <col min="4" max="4" width="22.85546875" customWidth="1"/>
    <col min="6" max="6" width="5.140625" customWidth="1"/>
    <col min="7" max="7" width="15.140625" customWidth="1"/>
    <col min="8" max="8" width="16" bestFit="1" customWidth="1"/>
    <col min="9" max="9" width="11.28515625" bestFit="1" customWidth="1"/>
  </cols>
  <sheetData>
    <row r="2" spans="1:11">
      <c r="A2" s="2" t="s">
        <v>143</v>
      </c>
    </row>
    <row r="3" spans="1:11">
      <c r="F3" s="62" t="s">
        <v>863</v>
      </c>
    </row>
    <row r="4" spans="1:11">
      <c r="A4" s="147" t="s">
        <v>2</v>
      </c>
      <c r="B4" s="147" t="s">
        <v>215</v>
      </c>
      <c r="C4" s="106" t="s">
        <v>467</v>
      </c>
      <c r="D4" s="106" t="s">
        <v>468</v>
      </c>
      <c r="F4" s="107" t="s">
        <v>2</v>
      </c>
      <c r="G4" s="108" t="s">
        <v>553</v>
      </c>
      <c r="H4" s="107" t="s">
        <v>864</v>
      </c>
    </row>
    <row r="5" spans="1:11">
      <c r="A5" s="147"/>
      <c r="B5" s="147"/>
      <c r="C5" s="106" t="s">
        <v>551</v>
      </c>
      <c r="D5" s="106" t="s">
        <v>552</v>
      </c>
      <c r="F5" s="105">
        <v>1</v>
      </c>
      <c r="G5" s="84" t="s">
        <v>564</v>
      </c>
      <c r="H5" s="105" t="s">
        <v>865</v>
      </c>
    </row>
    <row r="6" spans="1:11">
      <c r="A6" s="140">
        <v>1</v>
      </c>
      <c r="B6" s="139" t="s">
        <v>866</v>
      </c>
      <c r="C6" s="113" t="s">
        <v>867</v>
      </c>
      <c r="D6" s="105" t="s">
        <v>868</v>
      </c>
      <c r="F6" s="105">
        <v>2</v>
      </c>
      <c r="G6" s="84" t="s">
        <v>470</v>
      </c>
      <c r="H6" s="105" t="s">
        <v>869</v>
      </c>
    </row>
    <row r="7" spans="1:11">
      <c r="A7" s="140"/>
      <c r="B7" s="139"/>
      <c r="C7" s="113" t="s">
        <v>870</v>
      </c>
      <c r="D7" s="105" t="s">
        <v>672</v>
      </c>
      <c r="F7" s="105">
        <v>3</v>
      </c>
      <c r="G7" s="84" t="s">
        <v>200</v>
      </c>
      <c r="H7" s="105" t="s">
        <v>531</v>
      </c>
    </row>
    <row r="8" spans="1:11">
      <c r="A8" s="140">
        <v>2</v>
      </c>
      <c r="B8" s="139" t="s">
        <v>871</v>
      </c>
      <c r="C8" s="113" t="s">
        <v>872</v>
      </c>
      <c r="D8" s="105" t="s">
        <v>873</v>
      </c>
      <c r="F8" s="105">
        <v>4</v>
      </c>
      <c r="G8" s="84" t="s">
        <v>29</v>
      </c>
      <c r="H8" s="105" t="s">
        <v>535</v>
      </c>
    </row>
    <row r="9" spans="1:11">
      <c r="A9" s="140"/>
      <c r="B9" s="139"/>
      <c r="C9" s="113" t="s">
        <v>384</v>
      </c>
      <c r="D9" s="105" t="s">
        <v>874</v>
      </c>
      <c r="F9" s="110">
        <v>5</v>
      </c>
      <c r="G9" s="87" t="s">
        <v>31</v>
      </c>
      <c r="H9" s="105" t="s">
        <v>875</v>
      </c>
    </row>
    <row r="10" spans="1:11">
      <c r="A10" s="140">
        <v>3</v>
      </c>
      <c r="B10" s="139" t="s">
        <v>876</v>
      </c>
      <c r="C10" s="113" t="s">
        <v>877</v>
      </c>
      <c r="D10" s="113" t="s">
        <v>878</v>
      </c>
      <c r="F10" s="73">
        <v>6</v>
      </c>
      <c r="G10" s="85" t="s">
        <v>32</v>
      </c>
      <c r="H10" s="105" t="s">
        <v>879</v>
      </c>
    </row>
    <row r="11" spans="1:11">
      <c r="A11" s="140"/>
      <c r="B11" s="139"/>
      <c r="C11" s="113" t="s">
        <v>880</v>
      </c>
      <c r="D11" s="113" t="s">
        <v>881</v>
      </c>
      <c r="F11" s="116">
        <v>7</v>
      </c>
      <c r="G11" s="88" t="s">
        <v>882</v>
      </c>
      <c r="H11" s="113" t="s">
        <v>856</v>
      </c>
    </row>
    <row r="12" spans="1:11">
      <c r="A12" s="140">
        <v>4</v>
      </c>
      <c r="B12" s="139" t="s">
        <v>883</v>
      </c>
      <c r="C12" s="113" t="s">
        <v>884</v>
      </c>
      <c r="D12" s="113" t="s">
        <v>885</v>
      </c>
      <c r="F12" s="150" t="s">
        <v>34</v>
      </c>
      <c r="G12" s="148"/>
      <c r="H12" s="113" t="s">
        <v>544</v>
      </c>
    </row>
    <row r="13" spans="1:11">
      <c r="A13" s="140"/>
      <c r="B13" s="139"/>
      <c r="C13" s="113" t="s">
        <v>886</v>
      </c>
      <c r="D13" s="113" t="s">
        <v>887</v>
      </c>
    </row>
    <row r="14" spans="1:11">
      <c r="A14" s="140">
        <v>5</v>
      </c>
      <c r="B14" s="146" t="s">
        <v>888</v>
      </c>
      <c r="C14" s="113" t="s">
        <v>889</v>
      </c>
      <c r="D14" s="113" t="s">
        <v>890</v>
      </c>
      <c r="F14" s="62" t="s">
        <v>814</v>
      </c>
    </row>
    <row r="15" spans="1:11">
      <c r="A15" s="140"/>
      <c r="B15" s="146"/>
      <c r="C15" s="113" t="s">
        <v>891</v>
      </c>
      <c r="D15" s="113" t="s">
        <v>892</v>
      </c>
      <c r="F15" s="107" t="s">
        <v>2</v>
      </c>
      <c r="G15" s="107" t="s">
        <v>553</v>
      </c>
      <c r="H15" s="108">
        <v>15</v>
      </c>
      <c r="I15" s="108">
        <v>16</v>
      </c>
      <c r="J15" s="112">
        <v>17</v>
      </c>
      <c r="K15" s="112">
        <v>18</v>
      </c>
    </row>
    <row r="16" spans="1:11">
      <c r="A16" s="140">
        <v>6</v>
      </c>
      <c r="B16" s="139" t="s">
        <v>893</v>
      </c>
      <c r="C16" s="113" t="s">
        <v>894</v>
      </c>
      <c r="D16" s="113" t="s">
        <v>895</v>
      </c>
      <c r="F16" s="105">
        <v>1</v>
      </c>
      <c r="G16" s="114" t="s">
        <v>470</v>
      </c>
      <c r="H16" s="117" t="s">
        <v>803</v>
      </c>
      <c r="I16" s="117" t="s">
        <v>896</v>
      </c>
      <c r="J16" s="113" t="s">
        <v>897</v>
      </c>
      <c r="K16" s="113" t="s">
        <v>898</v>
      </c>
    </row>
    <row r="17" spans="1:11">
      <c r="A17" s="140"/>
      <c r="B17" s="139"/>
      <c r="C17" s="113" t="s">
        <v>899</v>
      </c>
      <c r="D17" s="113" t="s">
        <v>820</v>
      </c>
      <c r="F17" s="105">
        <v>2</v>
      </c>
      <c r="G17" s="114" t="s">
        <v>564</v>
      </c>
      <c r="H17" s="117" t="s">
        <v>505</v>
      </c>
      <c r="I17" s="117" t="s">
        <v>743</v>
      </c>
      <c r="J17" s="113" t="s">
        <v>739</v>
      </c>
      <c r="K17" s="113" t="s">
        <v>690</v>
      </c>
    </row>
    <row r="18" spans="1:11">
      <c r="A18" s="140">
        <v>7</v>
      </c>
      <c r="B18" s="139" t="s">
        <v>900</v>
      </c>
      <c r="C18" s="105" t="s">
        <v>901</v>
      </c>
      <c r="D18" s="113" t="s">
        <v>902</v>
      </c>
      <c r="F18" s="105">
        <v>3</v>
      </c>
      <c r="G18" s="114" t="s">
        <v>637</v>
      </c>
      <c r="H18" s="117" t="s">
        <v>645</v>
      </c>
      <c r="I18" s="117" t="s">
        <v>645</v>
      </c>
      <c r="J18" s="113" t="s">
        <v>645</v>
      </c>
      <c r="K18" s="113" t="s">
        <v>645</v>
      </c>
    </row>
    <row r="19" spans="1:11">
      <c r="A19" s="152"/>
      <c r="B19" s="153"/>
      <c r="C19" s="110" t="s">
        <v>903</v>
      </c>
      <c r="D19" s="115" t="s">
        <v>904</v>
      </c>
      <c r="F19" s="105">
        <v>4</v>
      </c>
      <c r="G19" s="114" t="s">
        <v>572</v>
      </c>
      <c r="H19" s="117" t="s">
        <v>743</v>
      </c>
      <c r="I19" s="117" t="s">
        <v>505</v>
      </c>
      <c r="J19" s="113" t="s">
        <v>505</v>
      </c>
      <c r="K19" s="113" t="s">
        <v>505</v>
      </c>
    </row>
    <row r="20" spans="1:11">
      <c r="A20" s="140">
        <v>8</v>
      </c>
      <c r="B20" s="172" t="s">
        <v>905</v>
      </c>
      <c r="C20" s="105"/>
      <c r="D20" s="105" t="s">
        <v>906</v>
      </c>
      <c r="F20" s="110">
        <v>5</v>
      </c>
      <c r="G20" s="66" t="s">
        <v>790</v>
      </c>
      <c r="H20" s="69" t="s">
        <v>750</v>
      </c>
      <c r="I20" s="117" t="s">
        <v>505</v>
      </c>
      <c r="J20" s="113" t="s">
        <v>505</v>
      </c>
      <c r="K20" s="113" t="s">
        <v>505</v>
      </c>
    </row>
    <row r="21" spans="1:11">
      <c r="A21" s="140"/>
      <c r="B21" s="172"/>
      <c r="C21" s="105"/>
      <c r="D21" s="105" t="s">
        <v>907</v>
      </c>
      <c r="F21" s="73">
        <v>6</v>
      </c>
      <c r="G21" s="74" t="s">
        <v>9</v>
      </c>
      <c r="H21" s="83" t="s">
        <v>765</v>
      </c>
      <c r="I21" s="117" t="s">
        <v>765</v>
      </c>
      <c r="J21" s="113" t="s">
        <v>908</v>
      </c>
      <c r="K21" s="113" t="s">
        <v>765</v>
      </c>
    </row>
    <row r="22" spans="1:11">
      <c r="A22" s="140">
        <v>0</v>
      </c>
      <c r="B22" s="172" t="s">
        <v>909</v>
      </c>
      <c r="C22" s="105"/>
      <c r="D22" s="105" t="s">
        <v>910</v>
      </c>
      <c r="F22" s="116">
        <v>7</v>
      </c>
      <c r="G22" s="76" t="s">
        <v>22</v>
      </c>
      <c r="H22" s="121" t="s">
        <v>811</v>
      </c>
      <c r="I22" s="121" t="s">
        <v>531</v>
      </c>
      <c r="J22" s="113" t="s">
        <v>531</v>
      </c>
      <c r="K22" s="113" t="s">
        <v>531</v>
      </c>
    </row>
    <row r="23" spans="1:11">
      <c r="A23" s="140"/>
      <c r="B23" s="172"/>
      <c r="C23" s="105"/>
      <c r="D23" s="105" t="s">
        <v>911</v>
      </c>
      <c r="F23" s="150" t="s">
        <v>34</v>
      </c>
      <c r="G23" s="150"/>
      <c r="H23" s="121" t="s">
        <v>544</v>
      </c>
      <c r="I23" s="121" t="s">
        <v>544</v>
      </c>
      <c r="J23" s="113" t="s">
        <v>544</v>
      </c>
      <c r="K23" s="113" t="s">
        <v>544</v>
      </c>
    </row>
    <row r="24" spans="1:11">
      <c r="A24" s="140">
        <v>10</v>
      </c>
      <c r="B24" s="172" t="s">
        <v>912</v>
      </c>
      <c r="C24" s="105"/>
      <c r="D24" s="105" t="s">
        <v>913</v>
      </c>
    </row>
    <row r="25" spans="1:11">
      <c r="A25" s="140"/>
      <c r="B25" s="172"/>
      <c r="C25" s="105"/>
      <c r="D25" s="105" t="s">
        <v>914</v>
      </c>
      <c r="F25" s="62" t="s">
        <v>915</v>
      </c>
    </row>
    <row r="26" spans="1:11">
      <c r="A26" s="140">
        <v>11</v>
      </c>
      <c r="B26" s="172" t="s">
        <v>916</v>
      </c>
      <c r="C26" s="105"/>
      <c r="D26" s="105" t="s">
        <v>917</v>
      </c>
      <c r="F26" t="s">
        <v>918</v>
      </c>
    </row>
    <row r="27" spans="1:11">
      <c r="A27" s="140"/>
      <c r="B27" s="172"/>
      <c r="C27" s="105"/>
      <c r="D27" s="105" t="s">
        <v>919</v>
      </c>
      <c r="F27" s="107" t="s">
        <v>2</v>
      </c>
      <c r="G27" s="108" t="s">
        <v>553</v>
      </c>
      <c r="H27" s="107" t="s">
        <v>839</v>
      </c>
    </row>
    <row r="28" spans="1:11">
      <c r="A28" s="140">
        <v>12</v>
      </c>
      <c r="B28" s="172" t="s">
        <v>920</v>
      </c>
      <c r="C28" s="105"/>
      <c r="D28" s="105" t="s">
        <v>921</v>
      </c>
      <c r="F28" s="105">
        <v>1</v>
      </c>
      <c r="G28" s="84" t="s">
        <v>841</v>
      </c>
      <c r="H28" s="105" t="s">
        <v>561</v>
      </c>
    </row>
    <row r="29" spans="1:11">
      <c r="A29" s="140"/>
      <c r="B29" s="172"/>
      <c r="C29" s="105"/>
      <c r="D29" s="105" t="s">
        <v>922</v>
      </c>
      <c r="F29" s="105">
        <v>2</v>
      </c>
      <c r="G29" s="84" t="s">
        <v>564</v>
      </c>
      <c r="H29" s="105" t="s">
        <v>689</v>
      </c>
    </row>
    <row r="30" spans="1:11">
      <c r="A30" s="140">
        <v>13</v>
      </c>
      <c r="B30" s="172" t="s">
        <v>923</v>
      </c>
      <c r="C30" s="105"/>
      <c r="D30" s="105" t="s">
        <v>924</v>
      </c>
      <c r="F30" s="105">
        <v>3</v>
      </c>
      <c r="G30" s="84" t="s">
        <v>470</v>
      </c>
      <c r="H30" s="105" t="s">
        <v>645</v>
      </c>
    </row>
    <row r="31" spans="1:11">
      <c r="A31" s="140"/>
      <c r="B31" s="172"/>
      <c r="C31" s="105"/>
      <c r="D31" s="105" t="s">
        <v>325</v>
      </c>
      <c r="F31" s="144" t="s">
        <v>34</v>
      </c>
      <c r="G31" s="145"/>
      <c r="H31" s="105" t="s">
        <v>544</v>
      </c>
    </row>
    <row r="33" spans="6:13">
      <c r="F33" s="107" t="s">
        <v>2</v>
      </c>
      <c r="G33" s="107" t="s">
        <v>553</v>
      </c>
      <c r="H33" s="107" t="s">
        <v>925</v>
      </c>
      <c r="I33" s="112" t="s">
        <v>145</v>
      </c>
    </row>
    <row r="34" spans="6:13">
      <c r="F34" s="105">
        <v>1</v>
      </c>
      <c r="G34" s="114" t="s">
        <v>926</v>
      </c>
      <c r="H34" s="105" t="s">
        <v>854</v>
      </c>
      <c r="I34" s="113" t="s">
        <v>927</v>
      </c>
    </row>
    <row r="35" spans="6:13">
      <c r="F35" s="105">
        <v>2</v>
      </c>
      <c r="G35" s="114" t="s">
        <v>572</v>
      </c>
      <c r="H35" s="105" t="s">
        <v>531</v>
      </c>
      <c r="I35" s="113" t="s">
        <v>531</v>
      </c>
    </row>
    <row r="36" spans="6:13">
      <c r="F36" s="105">
        <v>3</v>
      </c>
      <c r="G36" s="114" t="s">
        <v>33</v>
      </c>
      <c r="H36" s="105" t="s">
        <v>574</v>
      </c>
      <c r="I36" s="113" t="s">
        <v>574</v>
      </c>
    </row>
    <row r="37" spans="6:13">
      <c r="F37" s="89">
        <v>4</v>
      </c>
      <c r="G37" s="90" t="s">
        <v>882</v>
      </c>
      <c r="H37" s="105" t="s">
        <v>727</v>
      </c>
      <c r="I37" s="113" t="s">
        <v>928</v>
      </c>
    </row>
    <row r="38" spans="6:13">
      <c r="F38" s="150" t="s">
        <v>34</v>
      </c>
      <c r="G38" s="150"/>
      <c r="H38" s="105" t="s">
        <v>544</v>
      </c>
      <c r="I38" s="113" t="s">
        <v>544</v>
      </c>
    </row>
    <row r="40" spans="6:13">
      <c r="F40" s="62" t="s">
        <v>929</v>
      </c>
    </row>
    <row r="41" spans="6:13">
      <c r="F41" s="107" t="s">
        <v>2</v>
      </c>
      <c r="G41" s="107" t="s">
        <v>553</v>
      </c>
      <c r="H41" s="107" t="s">
        <v>930</v>
      </c>
      <c r="I41" s="107" t="s">
        <v>931</v>
      </c>
      <c r="J41" s="107" t="s">
        <v>932</v>
      </c>
      <c r="K41" s="107" t="s">
        <v>933</v>
      </c>
      <c r="L41" s="107" t="s">
        <v>934</v>
      </c>
      <c r="M41" s="107" t="s">
        <v>935</v>
      </c>
    </row>
    <row r="42" spans="6:13">
      <c r="F42" s="105">
        <v>1</v>
      </c>
      <c r="G42" s="114" t="s">
        <v>841</v>
      </c>
      <c r="H42" s="105" t="s">
        <v>936</v>
      </c>
      <c r="I42" s="105" t="s">
        <v>937</v>
      </c>
      <c r="J42" s="105" t="s">
        <v>645</v>
      </c>
      <c r="K42" s="105" t="s">
        <v>645</v>
      </c>
      <c r="L42" s="105" t="s">
        <v>645</v>
      </c>
      <c r="M42" s="105" t="s">
        <v>645</v>
      </c>
    </row>
    <row r="43" spans="6:13">
      <c r="F43" s="105">
        <v>2</v>
      </c>
      <c r="G43" s="114" t="s">
        <v>564</v>
      </c>
      <c r="H43" s="105" t="s">
        <v>645</v>
      </c>
      <c r="I43" s="105" t="s">
        <v>645</v>
      </c>
      <c r="J43" s="105" t="s">
        <v>936</v>
      </c>
      <c r="K43" s="105" t="s">
        <v>937</v>
      </c>
      <c r="L43" s="105" t="s">
        <v>645</v>
      </c>
      <c r="M43" s="105" t="s">
        <v>645</v>
      </c>
    </row>
    <row r="44" spans="6:13">
      <c r="F44" s="105">
        <v>3</v>
      </c>
      <c r="G44" s="114" t="s">
        <v>470</v>
      </c>
      <c r="H44" s="105" t="s">
        <v>645</v>
      </c>
      <c r="I44" s="105" t="s">
        <v>645</v>
      </c>
      <c r="J44" s="105" t="s">
        <v>645</v>
      </c>
      <c r="K44" s="105" t="s">
        <v>645</v>
      </c>
      <c r="L44" s="105" t="s">
        <v>936</v>
      </c>
      <c r="M44" s="105" t="s">
        <v>937</v>
      </c>
    </row>
    <row r="45" spans="6:13">
      <c r="F45" s="105">
        <v>4</v>
      </c>
      <c r="G45" s="114" t="s">
        <v>22</v>
      </c>
      <c r="H45" s="105" t="s">
        <v>505</v>
      </c>
      <c r="I45" s="105" t="s">
        <v>531</v>
      </c>
      <c r="J45" s="105" t="s">
        <v>505</v>
      </c>
      <c r="K45" s="105" t="s">
        <v>531</v>
      </c>
      <c r="L45" s="105" t="s">
        <v>505</v>
      </c>
      <c r="M45" s="105" t="s">
        <v>531</v>
      </c>
    </row>
    <row r="46" spans="6:13">
      <c r="F46" s="143" t="s">
        <v>34</v>
      </c>
      <c r="G46" s="143"/>
      <c r="H46" s="105" t="s">
        <v>544</v>
      </c>
      <c r="I46" s="105" t="s">
        <v>544</v>
      </c>
      <c r="J46" s="105" t="s">
        <v>544</v>
      </c>
      <c r="K46" s="105" t="s">
        <v>544</v>
      </c>
      <c r="L46" s="105" t="s">
        <v>544</v>
      </c>
      <c r="M46" s="105" t="s">
        <v>544</v>
      </c>
    </row>
    <row r="49" spans="1:8" ht="30" customHeight="1">
      <c r="A49" s="147" t="s">
        <v>2</v>
      </c>
      <c r="B49" s="147" t="s">
        <v>215</v>
      </c>
      <c r="C49" s="106" t="s">
        <v>467</v>
      </c>
      <c r="D49" s="120" t="s">
        <v>468</v>
      </c>
      <c r="E49" s="151"/>
      <c r="F49" s="151"/>
      <c r="G49" s="173" t="s">
        <v>489</v>
      </c>
      <c r="H49" s="143" t="s">
        <v>38</v>
      </c>
    </row>
    <row r="50" spans="1:8">
      <c r="A50" s="147"/>
      <c r="B50" s="147"/>
      <c r="C50" s="106" t="s">
        <v>551</v>
      </c>
      <c r="D50" s="120" t="s">
        <v>552</v>
      </c>
      <c r="E50" s="151"/>
      <c r="F50" s="151"/>
      <c r="G50" s="173"/>
      <c r="H50" s="143"/>
    </row>
    <row r="51" spans="1:8">
      <c r="A51" s="140">
        <v>1</v>
      </c>
      <c r="B51" s="139" t="s">
        <v>866</v>
      </c>
      <c r="C51" s="113" t="s">
        <v>867</v>
      </c>
      <c r="D51" s="117" t="s">
        <v>868</v>
      </c>
      <c r="E51" s="36"/>
      <c r="F51" s="36"/>
      <c r="G51" s="151" t="s">
        <v>69</v>
      </c>
      <c r="H51" s="151">
        <f>AVERAGE(3.53815,3.3867,3.51348,3.46537)</f>
        <v>3.4759249999999997</v>
      </c>
    </row>
    <row r="52" spans="1:8">
      <c r="A52" s="140"/>
      <c r="B52" s="139"/>
      <c r="C52" s="113" t="s">
        <v>870</v>
      </c>
      <c r="D52" s="117" t="s">
        <v>672</v>
      </c>
      <c r="E52" s="36"/>
      <c r="F52" s="36"/>
      <c r="G52" s="151"/>
      <c r="H52" s="151"/>
    </row>
    <row r="53" spans="1:8">
      <c r="A53" s="140">
        <v>2</v>
      </c>
      <c r="B53" s="139" t="s">
        <v>871</v>
      </c>
      <c r="C53" s="113" t="s">
        <v>872</v>
      </c>
      <c r="D53" s="117" t="s">
        <v>873</v>
      </c>
      <c r="E53" s="36"/>
      <c r="F53" s="36"/>
      <c r="G53" s="151" t="s">
        <v>69</v>
      </c>
      <c r="H53" s="151">
        <v>2.7435100000000001</v>
      </c>
    </row>
    <row r="54" spans="1:8">
      <c r="A54" s="140"/>
      <c r="B54" s="139"/>
      <c r="C54" s="113" t="s">
        <v>384</v>
      </c>
      <c r="D54" s="117" t="s">
        <v>874</v>
      </c>
      <c r="E54" s="36"/>
      <c r="F54" s="36"/>
      <c r="G54" s="151"/>
      <c r="H54" s="167"/>
    </row>
    <row r="55" spans="1:8">
      <c r="A55" s="140">
        <v>3</v>
      </c>
      <c r="B55" s="139" t="s">
        <v>876</v>
      </c>
      <c r="C55" s="113" t="s">
        <v>877</v>
      </c>
      <c r="D55" s="121" t="s">
        <v>878</v>
      </c>
      <c r="E55" s="36"/>
      <c r="F55" s="36"/>
      <c r="G55" s="174" t="s">
        <v>69</v>
      </c>
      <c r="H55" s="151">
        <f>AVERAGE(2.78278,2.75434,2.72498,2.65421)</f>
        <v>2.7290774999999998</v>
      </c>
    </row>
    <row r="56" spans="1:8">
      <c r="A56" s="140"/>
      <c r="B56" s="139"/>
      <c r="C56" s="113" t="s">
        <v>880</v>
      </c>
      <c r="D56" s="121" t="s">
        <v>881</v>
      </c>
      <c r="E56" s="36"/>
      <c r="F56" s="36"/>
      <c r="G56" s="174"/>
      <c r="H56" s="151"/>
    </row>
    <row r="57" spans="1:8">
      <c r="A57" s="140">
        <v>4</v>
      </c>
      <c r="B57" s="139" t="s">
        <v>883</v>
      </c>
      <c r="C57" s="113" t="s">
        <v>884</v>
      </c>
      <c r="D57" s="121" t="s">
        <v>885</v>
      </c>
      <c r="E57" s="36"/>
      <c r="F57" s="36"/>
      <c r="G57" s="151" t="s">
        <v>69</v>
      </c>
      <c r="H57" s="168" t="s">
        <v>69</v>
      </c>
    </row>
    <row r="58" spans="1:8">
      <c r="A58" s="140"/>
      <c r="B58" s="139"/>
      <c r="C58" s="113" t="s">
        <v>886</v>
      </c>
      <c r="D58" s="121" t="s">
        <v>887</v>
      </c>
      <c r="E58" s="36"/>
      <c r="F58" s="36"/>
      <c r="G58" s="151"/>
      <c r="H58" s="151"/>
    </row>
    <row r="59" spans="1:8">
      <c r="A59" s="140">
        <v>5</v>
      </c>
      <c r="B59" s="146" t="s">
        <v>888</v>
      </c>
      <c r="C59" s="113" t="s">
        <v>889</v>
      </c>
      <c r="D59" s="121" t="s">
        <v>890</v>
      </c>
      <c r="E59" s="36"/>
      <c r="F59" s="36"/>
      <c r="G59" s="151" t="s">
        <v>69</v>
      </c>
      <c r="H59" s="151" t="s">
        <v>69</v>
      </c>
    </row>
    <row r="60" spans="1:8">
      <c r="A60" s="140"/>
      <c r="B60" s="146"/>
      <c r="C60" s="113" t="s">
        <v>891</v>
      </c>
      <c r="D60" s="121" t="s">
        <v>892</v>
      </c>
      <c r="E60" s="36"/>
      <c r="F60" s="36"/>
      <c r="G60" s="151"/>
      <c r="H60" s="151"/>
    </row>
    <row r="61" spans="1:8">
      <c r="A61" s="140">
        <v>6</v>
      </c>
      <c r="B61" s="139" t="s">
        <v>893</v>
      </c>
      <c r="C61" s="113" t="s">
        <v>894</v>
      </c>
      <c r="D61" s="121" t="s">
        <v>895</v>
      </c>
      <c r="E61" s="36"/>
      <c r="F61" s="36"/>
      <c r="G61" s="151" t="s">
        <v>69</v>
      </c>
      <c r="H61" s="151" t="s">
        <v>69</v>
      </c>
    </row>
    <row r="62" spans="1:8">
      <c r="A62" s="140"/>
      <c r="B62" s="139"/>
      <c r="C62" s="113" t="s">
        <v>899</v>
      </c>
      <c r="D62" s="121" t="s">
        <v>820</v>
      </c>
      <c r="E62" s="36"/>
      <c r="F62" s="36"/>
      <c r="G62" s="151"/>
      <c r="H62" s="151"/>
    </row>
    <row r="63" spans="1:8">
      <c r="A63" s="140">
        <v>7</v>
      </c>
      <c r="B63" s="139" t="s">
        <v>900</v>
      </c>
      <c r="C63" s="105" t="s">
        <v>901</v>
      </c>
      <c r="D63" s="121" t="s">
        <v>902</v>
      </c>
      <c r="E63" s="36"/>
      <c r="F63" s="36"/>
      <c r="G63" s="151" t="s">
        <v>69</v>
      </c>
      <c r="H63" s="151" t="s">
        <v>69</v>
      </c>
    </row>
    <row r="64" spans="1:8">
      <c r="A64" s="152"/>
      <c r="B64" s="153"/>
      <c r="C64" s="110" t="s">
        <v>903</v>
      </c>
      <c r="D64" s="72" t="s">
        <v>904</v>
      </c>
      <c r="E64" s="36"/>
      <c r="F64" s="36"/>
      <c r="G64" s="151"/>
      <c r="H64" s="151"/>
    </row>
    <row r="65" spans="1:8">
      <c r="A65" s="140">
        <v>8</v>
      </c>
      <c r="B65" s="172" t="s">
        <v>905</v>
      </c>
      <c r="C65" s="105"/>
      <c r="D65" s="117" t="s">
        <v>906</v>
      </c>
      <c r="E65" s="36"/>
      <c r="F65" s="36"/>
      <c r="G65" s="151" t="s">
        <v>69</v>
      </c>
      <c r="H65" s="151" t="s">
        <v>69</v>
      </c>
    </row>
    <row r="66" spans="1:8">
      <c r="A66" s="140"/>
      <c r="B66" s="172"/>
      <c r="C66" s="105"/>
      <c r="D66" s="117" t="s">
        <v>907</v>
      </c>
      <c r="E66" s="36"/>
      <c r="F66" s="36"/>
      <c r="G66" s="151"/>
      <c r="H66" s="151"/>
    </row>
    <row r="67" spans="1:8">
      <c r="A67" s="140">
        <v>0</v>
      </c>
      <c r="B67" s="172" t="s">
        <v>909</v>
      </c>
      <c r="C67" s="105"/>
      <c r="D67" s="117" t="s">
        <v>910</v>
      </c>
      <c r="E67" s="36"/>
      <c r="F67" s="36"/>
      <c r="G67" s="151" t="s">
        <v>69</v>
      </c>
      <c r="H67" s="151" t="s">
        <v>69</v>
      </c>
    </row>
    <row r="68" spans="1:8">
      <c r="A68" s="140"/>
      <c r="B68" s="172"/>
      <c r="C68" s="105"/>
      <c r="D68" s="117" t="s">
        <v>911</v>
      </c>
      <c r="E68" s="36"/>
      <c r="F68" s="36"/>
      <c r="G68" s="151"/>
      <c r="H68" s="151"/>
    </row>
    <row r="69" spans="1:8">
      <c r="A69" s="140">
        <v>10</v>
      </c>
      <c r="B69" s="172" t="s">
        <v>912</v>
      </c>
      <c r="C69" s="105"/>
      <c r="D69" s="117" t="s">
        <v>913</v>
      </c>
      <c r="E69" s="36"/>
      <c r="F69" s="36"/>
      <c r="G69" s="151" t="s">
        <v>69</v>
      </c>
      <c r="H69" s="151" t="s">
        <v>69</v>
      </c>
    </row>
    <row r="70" spans="1:8">
      <c r="A70" s="140"/>
      <c r="B70" s="172"/>
      <c r="C70" s="105"/>
      <c r="D70" s="117" t="s">
        <v>914</v>
      </c>
      <c r="E70" s="36"/>
      <c r="F70" s="36"/>
      <c r="G70" s="151"/>
      <c r="H70" s="151"/>
    </row>
    <row r="71" spans="1:8">
      <c r="A71" s="140">
        <v>11</v>
      </c>
      <c r="B71" s="172" t="s">
        <v>916</v>
      </c>
      <c r="C71" s="105"/>
      <c r="D71" s="117" t="s">
        <v>917</v>
      </c>
      <c r="E71" s="36"/>
      <c r="F71" s="36"/>
      <c r="G71" s="151" t="s">
        <v>69</v>
      </c>
      <c r="H71" s="151" t="s">
        <v>69</v>
      </c>
    </row>
    <row r="72" spans="1:8">
      <c r="A72" s="140"/>
      <c r="B72" s="172"/>
      <c r="C72" s="105"/>
      <c r="D72" s="117" t="s">
        <v>919</v>
      </c>
      <c r="E72" s="36"/>
      <c r="F72" s="36"/>
      <c r="G72" s="151"/>
      <c r="H72" s="151"/>
    </row>
    <row r="73" spans="1:8">
      <c r="A73" s="140">
        <v>12</v>
      </c>
      <c r="B73" s="172" t="s">
        <v>920</v>
      </c>
      <c r="C73" s="105"/>
      <c r="D73" s="117" t="s">
        <v>921</v>
      </c>
      <c r="E73" s="36"/>
      <c r="F73" s="36"/>
      <c r="G73" s="151" t="s">
        <v>69</v>
      </c>
      <c r="H73" s="151" t="s">
        <v>69</v>
      </c>
    </row>
    <row r="74" spans="1:8">
      <c r="A74" s="140"/>
      <c r="B74" s="172"/>
      <c r="C74" s="105"/>
      <c r="D74" s="117" t="s">
        <v>922</v>
      </c>
      <c r="E74" s="36"/>
      <c r="F74" s="36"/>
      <c r="G74" s="151"/>
      <c r="H74" s="151"/>
    </row>
    <row r="75" spans="1:8">
      <c r="A75" s="140">
        <v>13</v>
      </c>
      <c r="B75" s="172" t="s">
        <v>923</v>
      </c>
      <c r="C75" s="105"/>
      <c r="D75" s="117" t="s">
        <v>924</v>
      </c>
      <c r="E75" s="36"/>
      <c r="F75" s="36"/>
      <c r="G75" s="151" t="s">
        <v>69</v>
      </c>
      <c r="H75" s="151" t="s">
        <v>69</v>
      </c>
    </row>
    <row r="76" spans="1:8">
      <c r="A76" s="140"/>
      <c r="B76" s="172"/>
      <c r="C76" s="105"/>
      <c r="D76" s="117" t="s">
        <v>325</v>
      </c>
      <c r="E76" s="36"/>
      <c r="F76" s="36"/>
      <c r="G76" s="151"/>
      <c r="H76" s="151"/>
    </row>
  </sheetData>
  <mergeCells count="91">
    <mergeCell ref="F12:G12"/>
    <mergeCell ref="F23:G23"/>
    <mergeCell ref="F46:G46"/>
    <mergeCell ref="F31:G31"/>
    <mergeCell ref="F38:G38"/>
    <mergeCell ref="B22:B23"/>
    <mergeCell ref="B24:B25"/>
    <mergeCell ref="B26:B27"/>
    <mergeCell ref="B28:B29"/>
    <mergeCell ref="B30:B31"/>
    <mergeCell ref="A22:A23"/>
    <mergeCell ref="A24:A25"/>
    <mergeCell ref="A26:A27"/>
    <mergeCell ref="A28:A29"/>
    <mergeCell ref="A30:A31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4:A5"/>
    <mergeCell ref="B4:B5"/>
    <mergeCell ref="A6:A7"/>
    <mergeCell ref="B6:B7"/>
    <mergeCell ref="A8:A9"/>
    <mergeCell ref="B8:B9"/>
    <mergeCell ref="A59:A60"/>
    <mergeCell ref="B59:B60"/>
    <mergeCell ref="A49:A50"/>
    <mergeCell ref="B49:B50"/>
    <mergeCell ref="A51:A52"/>
    <mergeCell ref="B51:B52"/>
    <mergeCell ref="A53:A54"/>
    <mergeCell ref="B53:B54"/>
    <mergeCell ref="A75:A76"/>
    <mergeCell ref="B75:B76"/>
    <mergeCell ref="G49:G50"/>
    <mergeCell ref="G55:G56"/>
    <mergeCell ref="G61:G62"/>
    <mergeCell ref="G71:G72"/>
    <mergeCell ref="G73:G74"/>
    <mergeCell ref="G75:G76"/>
    <mergeCell ref="E49:E50"/>
    <mergeCell ref="F49:F50"/>
    <mergeCell ref="A67:A68"/>
    <mergeCell ref="B67:B68"/>
    <mergeCell ref="A69:A70"/>
    <mergeCell ref="B69:B70"/>
    <mergeCell ref="A71:A72"/>
    <mergeCell ref="B71:B72"/>
    <mergeCell ref="H49:H50"/>
    <mergeCell ref="G51:G52"/>
    <mergeCell ref="G53:G54"/>
    <mergeCell ref="H53:H54"/>
    <mergeCell ref="A73:A74"/>
    <mergeCell ref="B73:B74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H51:H52"/>
    <mergeCell ref="G57:G58"/>
    <mergeCell ref="H57:H58"/>
    <mergeCell ref="G59:G60"/>
    <mergeCell ref="H59:H60"/>
    <mergeCell ref="H55:H56"/>
    <mergeCell ref="H61:H62"/>
    <mergeCell ref="G63:G64"/>
    <mergeCell ref="G65:G66"/>
    <mergeCell ref="G67:G68"/>
    <mergeCell ref="G69:G70"/>
    <mergeCell ref="H65:H66"/>
    <mergeCell ref="H63:H64"/>
    <mergeCell ref="H75:H76"/>
    <mergeCell ref="H73:H74"/>
    <mergeCell ref="H71:H72"/>
    <mergeCell ref="H69:H70"/>
    <mergeCell ref="H67:H6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C360-996F-45EA-9696-E13B3DD829D0}">
  <dimension ref="A2:L99"/>
  <sheetViews>
    <sheetView topLeftCell="A76" workbookViewId="0">
      <selection activeCell="H76" sqref="H76:H77"/>
    </sheetView>
  </sheetViews>
  <sheetFormatPr defaultRowHeight="15"/>
  <cols>
    <col min="1" max="1" width="4.140625" customWidth="1"/>
    <col min="2" max="2" width="33" customWidth="1"/>
    <col min="3" max="3" width="29.42578125" customWidth="1"/>
    <col min="4" max="4" width="28.7109375" customWidth="1"/>
    <col min="6" max="6" width="5.85546875" customWidth="1"/>
    <col min="7" max="7" width="14" customWidth="1"/>
    <col min="8" max="8" width="10.7109375" customWidth="1"/>
  </cols>
  <sheetData>
    <row r="2" spans="1:8">
      <c r="A2" s="2" t="s">
        <v>938</v>
      </c>
    </row>
    <row r="4" spans="1:8">
      <c r="A4" s="147" t="s">
        <v>2</v>
      </c>
      <c r="B4" s="147" t="s">
        <v>215</v>
      </c>
      <c r="C4" s="106" t="s">
        <v>467</v>
      </c>
      <c r="D4" s="106" t="s">
        <v>468</v>
      </c>
      <c r="F4" s="62" t="s">
        <v>939</v>
      </c>
    </row>
    <row r="5" spans="1:8">
      <c r="A5" s="147"/>
      <c r="B5" s="147"/>
      <c r="C5" s="106" t="s">
        <v>551</v>
      </c>
      <c r="D5" s="106" t="s">
        <v>552</v>
      </c>
      <c r="F5" s="107" t="s">
        <v>2</v>
      </c>
      <c r="G5" s="107" t="s">
        <v>553</v>
      </c>
      <c r="H5" s="107" t="s">
        <v>940</v>
      </c>
    </row>
    <row r="6" spans="1:8">
      <c r="A6" s="140">
        <v>1</v>
      </c>
      <c r="B6" s="139" t="s">
        <v>941</v>
      </c>
      <c r="C6" s="113" t="s">
        <v>942</v>
      </c>
      <c r="D6" s="105" t="s">
        <v>943</v>
      </c>
      <c r="F6" s="105">
        <v>1</v>
      </c>
      <c r="G6" s="114" t="s">
        <v>564</v>
      </c>
      <c r="H6" s="105" t="s">
        <v>944</v>
      </c>
    </row>
    <row r="7" spans="1:8">
      <c r="A7" s="140"/>
      <c r="B7" s="139"/>
      <c r="C7" s="113" t="s">
        <v>945</v>
      </c>
      <c r="D7" s="105" t="s">
        <v>946</v>
      </c>
      <c r="F7" s="105">
        <v>2</v>
      </c>
      <c r="G7" s="114" t="s">
        <v>470</v>
      </c>
      <c r="H7" s="105" t="s">
        <v>947</v>
      </c>
    </row>
    <row r="8" spans="1:8" ht="15" customHeight="1">
      <c r="A8" s="140">
        <v>2</v>
      </c>
      <c r="B8" s="139" t="s">
        <v>948</v>
      </c>
      <c r="C8" s="113" t="s">
        <v>949</v>
      </c>
      <c r="D8" s="105" t="s">
        <v>950</v>
      </c>
      <c r="F8" s="105">
        <v>3</v>
      </c>
      <c r="G8" s="114" t="s">
        <v>572</v>
      </c>
      <c r="H8" s="105" t="s">
        <v>531</v>
      </c>
    </row>
    <row r="9" spans="1:8">
      <c r="A9" s="140"/>
      <c r="B9" s="139"/>
      <c r="C9" s="113" t="s">
        <v>951</v>
      </c>
      <c r="D9" s="105" t="s">
        <v>952</v>
      </c>
      <c r="F9" s="89">
        <v>4</v>
      </c>
      <c r="G9" s="90" t="s">
        <v>33</v>
      </c>
      <c r="H9" s="105" t="s">
        <v>953</v>
      </c>
    </row>
    <row r="10" spans="1:8">
      <c r="A10" s="140">
        <v>3</v>
      </c>
      <c r="B10" s="139" t="s">
        <v>954</v>
      </c>
      <c r="C10" s="113" t="s">
        <v>955</v>
      </c>
      <c r="D10" s="113" t="s">
        <v>956</v>
      </c>
      <c r="F10" s="94">
        <v>5</v>
      </c>
      <c r="G10" s="95" t="s">
        <v>420</v>
      </c>
      <c r="H10" s="110" t="s">
        <v>957</v>
      </c>
    </row>
    <row r="11" spans="1:8">
      <c r="A11" s="140"/>
      <c r="B11" s="139"/>
      <c r="C11" s="113" t="s">
        <v>358</v>
      </c>
      <c r="D11" s="113" t="s">
        <v>958</v>
      </c>
      <c r="F11" s="150" t="s">
        <v>34</v>
      </c>
      <c r="G11" s="150"/>
      <c r="H11" s="105" t="s">
        <v>544</v>
      </c>
    </row>
    <row r="12" spans="1:8">
      <c r="A12" s="140">
        <v>4</v>
      </c>
      <c r="B12" s="139" t="s">
        <v>959</v>
      </c>
      <c r="C12" s="113" t="s">
        <v>960</v>
      </c>
      <c r="D12" s="113" t="s">
        <v>961</v>
      </c>
    </row>
    <row r="13" spans="1:8">
      <c r="A13" s="152"/>
      <c r="B13" s="153"/>
      <c r="C13" s="115" t="s">
        <v>962</v>
      </c>
      <c r="D13" s="115" t="s">
        <v>963</v>
      </c>
      <c r="F13" s="62" t="s">
        <v>964</v>
      </c>
    </row>
    <row r="14" spans="1:8">
      <c r="A14" s="140">
        <v>5</v>
      </c>
      <c r="B14" s="146" t="s">
        <v>965</v>
      </c>
      <c r="C14" s="92" t="s">
        <v>966</v>
      </c>
      <c r="D14" s="105" t="s">
        <v>967</v>
      </c>
      <c r="F14" s="107" t="s">
        <v>2</v>
      </c>
      <c r="G14" s="107" t="s">
        <v>553</v>
      </c>
      <c r="H14" s="107" t="s">
        <v>968</v>
      </c>
    </row>
    <row r="15" spans="1:8">
      <c r="A15" s="140"/>
      <c r="B15" s="146"/>
      <c r="C15" s="92" t="s">
        <v>969</v>
      </c>
      <c r="D15" s="105" t="s">
        <v>970</v>
      </c>
      <c r="F15" s="105">
        <v>1</v>
      </c>
      <c r="G15" s="114" t="s">
        <v>564</v>
      </c>
      <c r="H15" s="105" t="s">
        <v>527</v>
      </c>
    </row>
    <row r="16" spans="1:8" ht="15" customHeight="1">
      <c r="A16" s="140">
        <v>6</v>
      </c>
      <c r="B16" s="154" t="s">
        <v>971</v>
      </c>
      <c r="C16" s="92" t="s">
        <v>972</v>
      </c>
      <c r="D16" s="105" t="s">
        <v>973</v>
      </c>
      <c r="F16" s="105">
        <v>2</v>
      </c>
      <c r="G16" s="114" t="s">
        <v>572</v>
      </c>
      <c r="H16" s="105" t="s">
        <v>531</v>
      </c>
    </row>
    <row r="17" spans="1:8">
      <c r="A17" s="140"/>
      <c r="B17" s="154"/>
      <c r="C17" s="92" t="s">
        <v>974</v>
      </c>
      <c r="D17" s="105" t="s">
        <v>325</v>
      </c>
      <c r="F17" s="105">
        <v>3</v>
      </c>
      <c r="G17" s="114" t="s">
        <v>30</v>
      </c>
      <c r="H17" s="105" t="s">
        <v>617</v>
      </c>
    </row>
    <row r="18" spans="1:8">
      <c r="A18" s="140">
        <v>7</v>
      </c>
      <c r="B18" s="139" t="s">
        <v>975</v>
      </c>
      <c r="C18" s="92" t="s">
        <v>976</v>
      </c>
      <c r="D18" s="105"/>
      <c r="F18" s="96">
        <v>4</v>
      </c>
      <c r="G18" s="97" t="s">
        <v>977</v>
      </c>
      <c r="H18" s="110" t="s">
        <v>978</v>
      </c>
    </row>
    <row r="19" spans="1:8">
      <c r="A19" s="140"/>
      <c r="B19" s="139"/>
      <c r="C19" s="92" t="s">
        <v>979</v>
      </c>
      <c r="D19" s="105"/>
      <c r="F19" s="150" t="s">
        <v>34</v>
      </c>
      <c r="G19" s="150"/>
      <c r="H19" s="105" t="s">
        <v>544</v>
      </c>
    </row>
    <row r="20" spans="1:8">
      <c r="A20" s="140">
        <v>8</v>
      </c>
      <c r="B20" s="139" t="s">
        <v>980</v>
      </c>
      <c r="C20" s="92" t="s">
        <v>981</v>
      </c>
      <c r="D20" s="105"/>
    </row>
    <row r="21" spans="1:8">
      <c r="A21" s="140"/>
      <c r="B21" s="139"/>
      <c r="C21" s="92" t="s">
        <v>982</v>
      </c>
      <c r="D21" s="105"/>
      <c r="F21" s="62" t="s">
        <v>983</v>
      </c>
    </row>
    <row r="22" spans="1:8">
      <c r="A22" s="140">
        <v>9</v>
      </c>
      <c r="B22" s="139" t="s">
        <v>984</v>
      </c>
      <c r="C22" s="92" t="s">
        <v>985</v>
      </c>
      <c r="D22" s="105" t="s">
        <v>986</v>
      </c>
      <c r="F22" s="107" t="s">
        <v>2</v>
      </c>
      <c r="G22" s="107" t="s">
        <v>553</v>
      </c>
      <c r="H22" s="107" t="s">
        <v>987</v>
      </c>
    </row>
    <row r="23" spans="1:8">
      <c r="A23" s="140"/>
      <c r="B23" s="139"/>
      <c r="C23" s="92" t="s">
        <v>988</v>
      </c>
      <c r="D23" s="105" t="s">
        <v>989</v>
      </c>
      <c r="F23" s="105">
        <v>1</v>
      </c>
      <c r="G23" s="114" t="s">
        <v>564</v>
      </c>
      <c r="H23" s="105" t="s">
        <v>694</v>
      </c>
    </row>
    <row r="24" spans="1:8">
      <c r="A24" s="140">
        <v>10</v>
      </c>
      <c r="B24" s="139" t="s">
        <v>990</v>
      </c>
      <c r="C24" s="92" t="s">
        <v>991</v>
      </c>
      <c r="D24" s="105" t="s">
        <v>992</v>
      </c>
      <c r="F24" s="105">
        <v>2</v>
      </c>
      <c r="G24" s="114" t="s">
        <v>470</v>
      </c>
      <c r="H24" s="105" t="s">
        <v>993</v>
      </c>
    </row>
    <row r="25" spans="1:8">
      <c r="A25" s="140"/>
      <c r="B25" s="139"/>
      <c r="C25" s="92" t="s">
        <v>994</v>
      </c>
      <c r="D25" s="105" t="s">
        <v>995</v>
      </c>
      <c r="F25" s="105">
        <v>3</v>
      </c>
      <c r="G25" s="114" t="s">
        <v>572</v>
      </c>
      <c r="H25" s="105" t="s">
        <v>531</v>
      </c>
    </row>
    <row r="26" spans="1:8" ht="15" customHeight="1">
      <c r="A26" s="140">
        <v>11</v>
      </c>
      <c r="B26" s="139" t="s">
        <v>996</v>
      </c>
      <c r="C26" s="105" t="s">
        <v>997</v>
      </c>
      <c r="D26" s="105" t="s">
        <v>998</v>
      </c>
      <c r="F26" s="89">
        <v>4</v>
      </c>
      <c r="G26" s="90" t="s">
        <v>33</v>
      </c>
      <c r="H26" s="105" t="s">
        <v>574</v>
      </c>
    </row>
    <row r="27" spans="1:8">
      <c r="A27" s="140"/>
      <c r="B27" s="139"/>
      <c r="C27" s="105" t="s">
        <v>443</v>
      </c>
      <c r="D27" s="105" t="s">
        <v>999</v>
      </c>
      <c r="F27" s="94">
        <v>5</v>
      </c>
      <c r="G27" s="95" t="s">
        <v>420</v>
      </c>
      <c r="H27" s="110" t="s">
        <v>1000</v>
      </c>
    </row>
    <row r="28" spans="1:8">
      <c r="A28" s="140">
        <v>12</v>
      </c>
      <c r="B28" s="139" t="s">
        <v>1001</v>
      </c>
      <c r="C28" s="105" t="s">
        <v>1002</v>
      </c>
      <c r="D28" s="105" t="s">
        <v>1003</v>
      </c>
      <c r="F28" s="150" t="s">
        <v>34</v>
      </c>
      <c r="G28" s="150"/>
      <c r="H28" s="105" t="s">
        <v>544</v>
      </c>
    </row>
    <row r="29" spans="1:8">
      <c r="A29" s="140"/>
      <c r="B29" s="139"/>
      <c r="C29" s="105" t="s">
        <v>1004</v>
      </c>
      <c r="D29" s="105" t="s">
        <v>672</v>
      </c>
    </row>
    <row r="30" spans="1:8">
      <c r="F30" s="62" t="s">
        <v>1005</v>
      </c>
    </row>
    <row r="31" spans="1:8">
      <c r="F31" s="107" t="s">
        <v>2</v>
      </c>
      <c r="G31" s="107" t="s">
        <v>553</v>
      </c>
      <c r="H31" s="107" t="s">
        <v>1006</v>
      </c>
    </row>
    <row r="32" spans="1:8">
      <c r="F32" s="105">
        <v>1</v>
      </c>
      <c r="G32" s="114" t="s">
        <v>564</v>
      </c>
      <c r="H32" s="105" t="s">
        <v>1007</v>
      </c>
    </row>
    <row r="33" spans="6:8">
      <c r="F33" s="105">
        <v>2</v>
      </c>
      <c r="G33" s="114" t="s">
        <v>470</v>
      </c>
      <c r="H33" s="105" t="s">
        <v>1008</v>
      </c>
    </row>
    <row r="34" spans="6:8">
      <c r="F34" s="105">
        <v>3</v>
      </c>
      <c r="G34" s="114" t="s">
        <v>200</v>
      </c>
      <c r="H34" s="105" t="s">
        <v>1009</v>
      </c>
    </row>
    <row r="35" spans="6:8">
      <c r="F35" s="96">
        <v>4</v>
      </c>
      <c r="G35" s="97" t="s">
        <v>29</v>
      </c>
      <c r="H35" s="110" t="s">
        <v>1010</v>
      </c>
    </row>
    <row r="36" spans="6:8">
      <c r="F36" s="73">
        <v>5</v>
      </c>
      <c r="G36" s="93" t="s">
        <v>31</v>
      </c>
      <c r="H36" s="105" t="s">
        <v>690</v>
      </c>
    </row>
    <row r="37" spans="6:8">
      <c r="F37" s="105">
        <v>6</v>
      </c>
      <c r="G37" s="36" t="s">
        <v>32</v>
      </c>
      <c r="H37" s="113" t="s">
        <v>531</v>
      </c>
    </row>
    <row r="38" spans="6:8">
      <c r="F38" s="105">
        <v>7</v>
      </c>
      <c r="G38" s="36" t="s">
        <v>618</v>
      </c>
      <c r="H38" s="113" t="s">
        <v>1011</v>
      </c>
    </row>
    <row r="39" spans="6:8">
      <c r="F39" s="150" t="s">
        <v>34</v>
      </c>
      <c r="G39" s="150"/>
      <c r="H39" s="113" t="s">
        <v>1012</v>
      </c>
    </row>
    <row r="41" spans="6:8">
      <c r="F41" s="62" t="s">
        <v>1013</v>
      </c>
    </row>
    <row r="42" spans="6:8">
      <c r="F42" s="107" t="s">
        <v>2</v>
      </c>
      <c r="G42" s="107" t="s">
        <v>553</v>
      </c>
      <c r="H42" s="107" t="s">
        <v>1014</v>
      </c>
    </row>
    <row r="43" spans="6:8">
      <c r="F43" s="105">
        <v>1</v>
      </c>
      <c r="G43" s="114" t="s">
        <v>564</v>
      </c>
      <c r="H43" s="105" t="s">
        <v>1015</v>
      </c>
    </row>
    <row r="44" spans="6:8">
      <c r="F44" s="105">
        <v>2</v>
      </c>
      <c r="G44" s="114" t="s">
        <v>470</v>
      </c>
      <c r="H44" s="105" t="s">
        <v>690</v>
      </c>
    </row>
    <row r="45" spans="6:8">
      <c r="F45" s="105">
        <v>3</v>
      </c>
      <c r="G45" s="114" t="s">
        <v>572</v>
      </c>
      <c r="H45" s="105" t="s">
        <v>531</v>
      </c>
    </row>
    <row r="46" spans="6:8">
      <c r="F46" s="89">
        <v>4</v>
      </c>
      <c r="G46" s="90" t="s">
        <v>33</v>
      </c>
      <c r="H46" s="105" t="s">
        <v>574</v>
      </c>
    </row>
    <row r="47" spans="6:8">
      <c r="F47" s="94">
        <v>5</v>
      </c>
      <c r="G47" s="95" t="s">
        <v>420</v>
      </c>
      <c r="H47" s="110" t="s">
        <v>1016</v>
      </c>
    </row>
    <row r="48" spans="6:8">
      <c r="F48" s="150" t="s">
        <v>34</v>
      </c>
      <c r="G48" s="150"/>
      <c r="H48" s="105" t="s">
        <v>544</v>
      </c>
    </row>
    <row r="50" spans="6:12">
      <c r="F50" s="62" t="s">
        <v>1017</v>
      </c>
    </row>
    <row r="51" spans="6:12">
      <c r="F51" s="107" t="s">
        <v>2</v>
      </c>
      <c r="G51" s="107" t="s">
        <v>553</v>
      </c>
      <c r="H51" s="108">
        <v>19</v>
      </c>
      <c r="I51" s="107">
        <v>20</v>
      </c>
    </row>
    <row r="52" spans="6:12">
      <c r="F52" s="105">
        <v>1</v>
      </c>
      <c r="G52" s="114" t="s">
        <v>470</v>
      </c>
      <c r="H52" s="117" t="s">
        <v>1018</v>
      </c>
      <c r="I52" s="105" t="s">
        <v>898</v>
      </c>
    </row>
    <row r="53" spans="6:12">
      <c r="F53" s="105">
        <v>2</v>
      </c>
      <c r="G53" s="114" t="s">
        <v>564</v>
      </c>
      <c r="H53" s="117" t="s">
        <v>689</v>
      </c>
      <c r="I53" s="105" t="s">
        <v>690</v>
      </c>
    </row>
    <row r="54" spans="6:12">
      <c r="F54" s="105">
        <v>3</v>
      </c>
      <c r="G54" s="114" t="s">
        <v>637</v>
      </c>
      <c r="H54" s="117" t="s">
        <v>645</v>
      </c>
      <c r="I54" s="105" t="s">
        <v>645</v>
      </c>
    </row>
    <row r="55" spans="6:12">
      <c r="F55" s="105">
        <v>4</v>
      </c>
      <c r="G55" s="114" t="s">
        <v>572</v>
      </c>
      <c r="H55" s="117" t="s">
        <v>505</v>
      </c>
      <c r="I55" s="105" t="s">
        <v>645</v>
      </c>
    </row>
    <row r="56" spans="6:12">
      <c r="F56" s="110">
        <v>5</v>
      </c>
      <c r="G56" s="66" t="s">
        <v>790</v>
      </c>
      <c r="H56" s="69" t="s">
        <v>505</v>
      </c>
      <c r="I56" s="105" t="s">
        <v>531</v>
      </c>
    </row>
    <row r="57" spans="6:12">
      <c r="F57" s="73">
        <v>6</v>
      </c>
      <c r="G57" s="74" t="s">
        <v>9</v>
      </c>
      <c r="H57" s="83" t="s">
        <v>765</v>
      </c>
      <c r="I57" s="105" t="s">
        <v>765</v>
      </c>
    </row>
    <row r="58" spans="6:12">
      <c r="F58" s="116">
        <v>7</v>
      </c>
      <c r="G58" s="76" t="s">
        <v>22</v>
      </c>
      <c r="H58" s="121">
        <v>10</v>
      </c>
      <c r="I58" s="113" t="s">
        <v>531</v>
      </c>
    </row>
    <row r="59" spans="6:12">
      <c r="F59" s="150" t="s">
        <v>34</v>
      </c>
      <c r="G59" s="150"/>
      <c r="H59" s="121" t="s">
        <v>544</v>
      </c>
      <c r="I59" s="113" t="s">
        <v>544</v>
      </c>
    </row>
    <row r="61" spans="6:12">
      <c r="F61" s="62" t="s">
        <v>1019</v>
      </c>
    </row>
    <row r="62" spans="6:12">
      <c r="F62" s="107" t="s">
        <v>2</v>
      </c>
      <c r="G62" s="107" t="s">
        <v>553</v>
      </c>
      <c r="H62" s="107">
        <v>21</v>
      </c>
      <c r="I62" s="107">
        <v>22</v>
      </c>
      <c r="J62" s="112">
        <v>23</v>
      </c>
      <c r="K62" s="112">
        <v>24</v>
      </c>
      <c r="L62" s="112">
        <v>25</v>
      </c>
    </row>
    <row r="63" spans="6:12">
      <c r="F63" s="105">
        <v>1</v>
      </c>
      <c r="G63" s="114" t="s">
        <v>470</v>
      </c>
      <c r="H63" s="105" t="s">
        <v>1020</v>
      </c>
      <c r="I63" s="105" t="s">
        <v>1021</v>
      </c>
      <c r="J63" s="113" t="s">
        <v>645</v>
      </c>
      <c r="K63" s="113" t="s">
        <v>645</v>
      </c>
      <c r="L63" s="113" t="s">
        <v>645</v>
      </c>
    </row>
    <row r="64" spans="6:12">
      <c r="F64" s="105">
        <v>2</v>
      </c>
      <c r="G64" s="114" t="s">
        <v>564</v>
      </c>
      <c r="H64" s="105" t="s">
        <v>1022</v>
      </c>
      <c r="I64" s="105" t="s">
        <v>518</v>
      </c>
      <c r="J64" s="113" t="s">
        <v>758</v>
      </c>
      <c r="K64" s="113" t="s">
        <v>1023</v>
      </c>
      <c r="L64" s="113" t="s">
        <v>645</v>
      </c>
    </row>
    <row r="65" spans="1:12">
      <c r="F65" s="105">
        <v>3</v>
      </c>
      <c r="G65" s="114" t="s">
        <v>637</v>
      </c>
      <c r="H65" s="105" t="s">
        <v>645</v>
      </c>
      <c r="I65" s="105" t="s">
        <v>645</v>
      </c>
      <c r="J65" s="113" t="s">
        <v>645</v>
      </c>
      <c r="K65" s="113" t="s">
        <v>645</v>
      </c>
      <c r="L65" s="113" t="s">
        <v>645</v>
      </c>
    </row>
    <row r="66" spans="1:12">
      <c r="F66" s="105">
        <v>4</v>
      </c>
      <c r="G66" s="114" t="s">
        <v>572</v>
      </c>
      <c r="H66" s="105" t="s">
        <v>505</v>
      </c>
      <c r="I66" s="105" t="s">
        <v>505</v>
      </c>
      <c r="J66" s="113" t="s">
        <v>505</v>
      </c>
      <c r="K66" s="113" t="s">
        <v>645</v>
      </c>
      <c r="L66" s="113" t="s">
        <v>531</v>
      </c>
    </row>
    <row r="67" spans="1:12">
      <c r="F67" s="105">
        <v>5</v>
      </c>
      <c r="G67" s="114" t="s">
        <v>790</v>
      </c>
      <c r="H67" s="105" t="s">
        <v>505</v>
      </c>
      <c r="I67" s="105" t="s">
        <v>505</v>
      </c>
      <c r="J67" s="113" t="s">
        <v>505</v>
      </c>
      <c r="K67" s="113" t="s">
        <v>531</v>
      </c>
      <c r="L67" s="113" t="s">
        <v>645</v>
      </c>
    </row>
    <row r="68" spans="1:12">
      <c r="F68" s="73">
        <v>6</v>
      </c>
      <c r="G68" s="74" t="s">
        <v>9</v>
      </c>
      <c r="H68" s="105" t="s">
        <v>765</v>
      </c>
      <c r="I68" s="105" t="s">
        <v>765</v>
      </c>
      <c r="J68" s="113" t="s">
        <v>765</v>
      </c>
      <c r="K68" s="113" t="s">
        <v>765</v>
      </c>
      <c r="L68" s="113" t="s">
        <v>765</v>
      </c>
    </row>
    <row r="69" spans="1:12">
      <c r="F69" s="113">
        <v>7</v>
      </c>
      <c r="G69" s="98" t="s">
        <v>22</v>
      </c>
      <c r="H69" s="113">
        <v>10</v>
      </c>
      <c r="I69" s="113" t="s">
        <v>531</v>
      </c>
      <c r="J69" s="113" t="s">
        <v>531</v>
      </c>
      <c r="K69" s="113" t="s">
        <v>531</v>
      </c>
      <c r="L69" s="113" t="s">
        <v>856</v>
      </c>
    </row>
    <row r="70" spans="1:12">
      <c r="F70" s="113">
        <v>8</v>
      </c>
      <c r="G70" s="36" t="s">
        <v>926</v>
      </c>
      <c r="H70" s="113" t="s">
        <v>645</v>
      </c>
      <c r="I70" s="113" t="s">
        <v>645</v>
      </c>
      <c r="J70" s="113" t="s">
        <v>645</v>
      </c>
      <c r="K70" s="113" t="s">
        <v>1024</v>
      </c>
      <c r="L70" s="113" t="s">
        <v>1025</v>
      </c>
    </row>
    <row r="71" spans="1:12">
      <c r="F71" s="150" t="s">
        <v>34</v>
      </c>
      <c r="G71" s="150"/>
      <c r="H71" s="113" t="s">
        <v>544</v>
      </c>
      <c r="I71" s="113" t="s">
        <v>544</v>
      </c>
      <c r="J71" s="113" t="s">
        <v>544</v>
      </c>
      <c r="K71" s="113" t="s">
        <v>544</v>
      </c>
      <c r="L71" s="113" t="s">
        <v>544</v>
      </c>
    </row>
    <row r="74" spans="1:12">
      <c r="A74" s="147" t="s">
        <v>2</v>
      </c>
      <c r="B74" s="147" t="s">
        <v>215</v>
      </c>
      <c r="C74" s="106" t="s">
        <v>467</v>
      </c>
      <c r="D74" s="106" t="s">
        <v>468</v>
      </c>
      <c r="G74" s="175" t="s">
        <v>489</v>
      </c>
      <c r="H74" s="143" t="s">
        <v>38</v>
      </c>
    </row>
    <row r="75" spans="1:12">
      <c r="A75" s="147"/>
      <c r="B75" s="147"/>
      <c r="C75" s="106" t="s">
        <v>551</v>
      </c>
      <c r="D75" s="106" t="s">
        <v>552</v>
      </c>
      <c r="G75" s="175"/>
      <c r="H75" s="143"/>
    </row>
    <row r="76" spans="1:12">
      <c r="A76" s="140">
        <v>1</v>
      </c>
      <c r="B76" s="139" t="s">
        <v>941</v>
      </c>
      <c r="C76" s="113" t="s">
        <v>942</v>
      </c>
      <c r="D76" s="105" t="s">
        <v>943</v>
      </c>
      <c r="G76" s="151" t="s">
        <v>69</v>
      </c>
      <c r="H76" s="151">
        <f>AVERAGE(3.39159,3.27901,3.18142)</f>
        <v>3.2840066666666665</v>
      </c>
    </row>
    <row r="77" spans="1:12">
      <c r="A77" s="140"/>
      <c r="B77" s="139"/>
      <c r="C77" s="113" t="s">
        <v>945</v>
      </c>
      <c r="D77" s="105" t="s">
        <v>946</v>
      </c>
      <c r="G77" s="151"/>
      <c r="H77" s="151"/>
    </row>
    <row r="78" spans="1:12">
      <c r="A78" s="140">
        <v>2</v>
      </c>
      <c r="B78" s="139" t="s">
        <v>948</v>
      </c>
      <c r="C78" s="113" t="s">
        <v>949</v>
      </c>
      <c r="D78" s="105" t="s">
        <v>950</v>
      </c>
      <c r="G78" s="151" t="s">
        <v>69</v>
      </c>
      <c r="H78" s="151">
        <f>AVERAGE(3.99916,4.06774,4.06764,4.02325)</f>
        <v>4.0394475000000005</v>
      </c>
    </row>
    <row r="79" spans="1:12">
      <c r="A79" s="140"/>
      <c r="B79" s="139"/>
      <c r="C79" s="113" t="s">
        <v>951</v>
      </c>
      <c r="D79" s="105" t="s">
        <v>952</v>
      </c>
      <c r="G79" s="167"/>
      <c r="H79" s="167"/>
    </row>
    <row r="80" spans="1:12">
      <c r="A80" s="140">
        <v>3</v>
      </c>
      <c r="B80" s="139" t="s">
        <v>954</v>
      </c>
      <c r="C80" s="113" t="s">
        <v>955</v>
      </c>
      <c r="D80" s="113" t="s">
        <v>956</v>
      </c>
      <c r="G80" s="151" t="s">
        <v>69</v>
      </c>
      <c r="H80" s="151" t="s">
        <v>69</v>
      </c>
    </row>
    <row r="81" spans="1:8">
      <c r="A81" s="140"/>
      <c r="B81" s="139"/>
      <c r="C81" s="113" t="s">
        <v>358</v>
      </c>
      <c r="D81" s="113" t="s">
        <v>958</v>
      </c>
      <c r="G81" s="151"/>
      <c r="H81" s="151"/>
    </row>
    <row r="82" spans="1:8">
      <c r="A82" s="140">
        <v>4</v>
      </c>
      <c r="B82" s="139" t="s">
        <v>959</v>
      </c>
      <c r="C82" s="113" t="s">
        <v>960</v>
      </c>
      <c r="D82" s="113" t="s">
        <v>961</v>
      </c>
      <c r="G82" s="151" t="s">
        <v>69</v>
      </c>
      <c r="H82" s="151" t="s">
        <v>69</v>
      </c>
    </row>
    <row r="83" spans="1:8">
      <c r="A83" s="152"/>
      <c r="B83" s="153"/>
      <c r="C83" s="115" t="s">
        <v>962</v>
      </c>
      <c r="D83" s="115" t="s">
        <v>963</v>
      </c>
      <c r="G83" s="151"/>
      <c r="H83" s="151"/>
    </row>
    <row r="84" spans="1:8">
      <c r="A84" s="140">
        <v>5</v>
      </c>
      <c r="B84" s="146" t="s">
        <v>965</v>
      </c>
      <c r="C84" s="92" t="s">
        <v>966</v>
      </c>
      <c r="D84" s="105" t="s">
        <v>967</v>
      </c>
      <c r="G84" s="151" t="s">
        <v>69</v>
      </c>
      <c r="H84" s="151">
        <f>AVERAGE(3.38182,3.38643,3.31403)</f>
        <v>3.3607600000000004</v>
      </c>
    </row>
    <row r="85" spans="1:8">
      <c r="A85" s="140"/>
      <c r="B85" s="146"/>
      <c r="C85" s="92" t="s">
        <v>969</v>
      </c>
      <c r="D85" s="105" t="s">
        <v>970</v>
      </c>
      <c r="G85" s="151"/>
      <c r="H85" s="151"/>
    </row>
    <row r="86" spans="1:8">
      <c r="A86" s="140">
        <v>6</v>
      </c>
      <c r="B86" s="154" t="s">
        <v>971</v>
      </c>
      <c r="C86" s="92" t="s">
        <v>972</v>
      </c>
      <c r="D86" s="105" t="s">
        <v>973</v>
      </c>
      <c r="G86" s="151" t="s">
        <v>69</v>
      </c>
      <c r="H86" s="151">
        <f>AVERAGE(3.53815,3.3867,3.51348,3.46537)</f>
        <v>3.4759249999999997</v>
      </c>
    </row>
    <row r="87" spans="1:8">
      <c r="A87" s="140"/>
      <c r="B87" s="154"/>
      <c r="C87" s="92" t="s">
        <v>974</v>
      </c>
      <c r="D87" s="105" t="s">
        <v>325</v>
      </c>
      <c r="G87" s="151"/>
      <c r="H87" s="151"/>
    </row>
    <row r="88" spans="1:8">
      <c r="A88" s="140">
        <v>7</v>
      </c>
      <c r="B88" s="139" t="s">
        <v>975</v>
      </c>
      <c r="C88" s="92" t="s">
        <v>976</v>
      </c>
      <c r="D88" s="105"/>
      <c r="G88" s="151" t="s">
        <v>69</v>
      </c>
      <c r="H88" s="151" t="s">
        <v>69</v>
      </c>
    </row>
    <row r="89" spans="1:8">
      <c r="A89" s="140"/>
      <c r="B89" s="139"/>
      <c r="C89" s="92" t="s">
        <v>979</v>
      </c>
      <c r="D89" s="105"/>
      <c r="G89" s="151"/>
      <c r="H89" s="151"/>
    </row>
    <row r="90" spans="1:8">
      <c r="A90" s="140">
        <v>8</v>
      </c>
      <c r="B90" s="139" t="s">
        <v>980</v>
      </c>
      <c r="C90" s="92" t="s">
        <v>981</v>
      </c>
      <c r="D90" s="105"/>
      <c r="G90" s="151" t="s">
        <v>69</v>
      </c>
      <c r="H90" s="151" t="s">
        <v>69</v>
      </c>
    </row>
    <row r="91" spans="1:8">
      <c r="A91" s="140"/>
      <c r="B91" s="139"/>
      <c r="C91" s="92" t="s">
        <v>982</v>
      </c>
      <c r="D91" s="105"/>
      <c r="G91" s="151"/>
      <c r="H91" s="151"/>
    </row>
    <row r="92" spans="1:8">
      <c r="A92" s="140">
        <v>9</v>
      </c>
      <c r="B92" s="139" t="s">
        <v>984</v>
      </c>
      <c r="C92" s="92" t="s">
        <v>985</v>
      </c>
      <c r="D92" s="105" t="s">
        <v>986</v>
      </c>
      <c r="G92" s="151" t="s">
        <v>69</v>
      </c>
      <c r="H92" s="151" t="s">
        <v>69</v>
      </c>
    </row>
    <row r="93" spans="1:8">
      <c r="A93" s="140"/>
      <c r="B93" s="139"/>
      <c r="C93" s="92" t="s">
        <v>988</v>
      </c>
      <c r="D93" s="105" t="s">
        <v>989</v>
      </c>
      <c r="G93" s="151"/>
      <c r="H93" s="151"/>
    </row>
    <row r="94" spans="1:8">
      <c r="A94" s="140">
        <v>10</v>
      </c>
      <c r="B94" s="139" t="s">
        <v>990</v>
      </c>
      <c r="C94" s="92" t="s">
        <v>991</v>
      </c>
      <c r="D94" s="105" t="s">
        <v>992</v>
      </c>
      <c r="G94" s="151" t="s">
        <v>69</v>
      </c>
      <c r="H94" s="151" t="s">
        <v>69</v>
      </c>
    </row>
    <row r="95" spans="1:8">
      <c r="A95" s="140"/>
      <c r="B95" s="139"/>
      <c r="C95" s="92" t="s">
        <v>994</v>
      </c>
      <c r="D95" s="105" t="s">
        <v>995</v>
      </c>
      <c r="G95" s="151"/>
      <c r="H95" s="151"/>
    </row>
    <row r="96" spans="1:8">
      <c r="A96" s="140">
        <v>11</v>
      </c>
      <c r="B96" s="139" t="s">
        <v>996</v>
      </c>
      <c r="C96" s="105" t="s">
        <v>997</v>
      </c>
      <c r="D96" s="105" t="s">
        <v>998</v>
      </c>
      <c r="G96" s="151" t="s">
        <v>69</v>
      </c>
      <c r="H96" s="151" t="s">
        <v>69</v>
      </c>
    </row>
    <row r="97" spans="1:8">
      <c r="A97" s="140"/>
      <c r="B97" s="139"/>
      <c r="C97" s="105" t="s">
        <v>443</v>
      </c>
      <c r="D97" s="105" t="s">
        <v>999</v>
      </c>
      <c r="G97" s="151"/>
      <c r="H97" s="151"/>
    </row>
    <row r="98" spans="1:8">
      <c r="A98" s="140">
        <v>12</v>
      </c>
      <c r="B98" s="139" t="s">
        <v>1001</v>
      </c>
      <c r="C98" s="105" t="s">
        <v>1002</v>
      </c>
      <c r="D98" s="105" t="s">
        <v>1003</v>
      </c>
      <c r="G98" s="151" t="s">
        <v>69</v>
      </c>
      <c r="H98" s="151">
        <f>AVERAGE(3.37554,3.35946)</f>
        <v>3.3674999999999997</v>
      </c>
    </row>
    <row r="99" spans="1:8">
      <c r="A99" s="140"/>
      <c r="B99" s="139"/>
      <c r="C99" s="105" t="s">
        <v>1004</v>
      </c>
      <c r="D99" s="105" t="s">
        <v>672</v>
      </c>
      <c r="G99" s="151"/>
      <c r="H99" s="151"/>
    </row>
  </sheetData>
  <mergeCells count="85">
    <mergeCell ref="F48:G48"/>
    <mergeCell ref="F59:G59"/>
    <mergeCell ref="F71:G71"/>
    <mergeCell ref="F11:G11"/>
    <mergeCell ref="F19:G19"/>
    <mergeCell ref="F28:G28"/>
    <mergeCell ref="F39:G39"/>
    <mergeCell ref="B28:B29"/>
    <mergeCell ref="A24:A25"/>
    <mergeCell ref="B16:B17"/>
    <mergeCell ref="B18:B19"/>
    <mergeCell ref="B20:B21"/>
    <mergeCell ref="B22:B23"/>
    <mergeCell ref="B24:B25"/>
    <mergeCell ref="B26:B27"/>
    <mergeCell ref="B14:B15"/>
    <mergeCell ref="A10:A11"/>
    <mergeCell ref="B10:B11"/>
    <mergeCell ref="A12:A13"/>
    <mergeCell ref="B12:B13"/>
    <mergeCell ref="A14:A15"/>
    <mergeCell ref="A4:A5"/>
    <mergeCell ref="B4:B5"/>
    <mergeCell ref="A6:A7"/>
    <mergeCell ref="B6:B7"/>
    <mergeCell ref="A8:A9"/>
    <mergeCell ref="B8:B9"/>
    <mergeCell ref="A16:A17"/>
    <mergeCell ref="A18:A19"/>
    <mergeCell ref="A20:A21"/>
    <mergeCell ref="A22:A23"/>
    <mergeCell ref="A74:A75"/>
    <mergeCell ref="A28:A29"/>
    <mergeCell ref="A26:A27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B92:B93"/>
    <mergeCell ref="A94:A95"/>
    <mergeCell ref="B94:B95"/>
    <mergeCell ref="A96:A97"/>
    <mergeCell ref="B96:B97"/>
    <mergeCell ref="A98:A99"/>
    <mergeCell ref="B98:B99"/>
    <mergeCell ref="G74:G75"/>
    <mergeCell ref="H74:H75"/>
    <mergeCell ref="G76:G77"/>
    <mergeCell ref="H76:H77"/>
    <mergeCell ref="G78:G79"/>
    <mergeCell ref="H78:H79"/>
    <mergeCell ref="H84:H85"/>
    <mergeCell ref="H86:H87"/>
    <mergeCell ref="H98:H99"/>
    <mergeCell ref="G80:G81"/>
    <mergeCell ref="H80:H81"/>
    <mergeCell ref="G82:G83"/>
    <mergeCell ref="H82:H83"/>
    <mergeCell ref="A92:A93"/>
    <mergeCell ref="G84:G85"/>
    <mergeCell ref="G86:G87"/>
    <mergeCell ref="G88:G89"/>
    <mergeCell ref="H88:H89"/>
    <mergeCell ref="G90:G91"/>
    <mergeCell ref="H90:H91"/>
    <mergeCell ref="G92:G93"/>
    <mergeCell ref="H92:H93"/>
    <mergeCell ref="G98:G99"/>
    <mergeCell ref="G96:G97"/>
    <mergeCell ref="G94:G95"/>
    <mergeCell ref="H94:H95"/>
    <mergeCell ref="H96:H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workbookViewId="0">
      <selection activeCell="B5" sqref="B5"/>
    </sheetView>
  </sheetViews>
  <sheetFormatPr defaultRowHeight="15"/>
  <cols>
    <col min="1" max="1" width="4.28515625" customWidth="1"/>
    <col min="2" max="2" width="26.28515625" customWidth="1"/>
    <col min="3" max="3" width="25" customWidth="1"/>
    <col min="4" max="4" width="24" customWidth="1"/>
    <col min="5" max="5" width="25.140625" customWidth="1"/>
    <col min="6" max="6" width="22.42578125" customWidth="1"/>
  </cols>
  <sheetData>
    <row r="2" spans="1:6">
      <c r="A2" s="9"/>
      <c r="B2" s="11">
        <v>44074</v>
      </c>
      <c r="C2" s="9" t="s">
        <v>185</v>
      </c>
    </row>
    <row r="4" spans="1:6">
      <c r="A4" s="99" t="s">
        <v>2</v>
      </c>
      <c r="B4" s="99" t="s">
        <v>186</v>
      </c>
      <c r="C4" s="99" t="s">
        <v>187</v>
      </c>
      <c r="D4" s="99" t="s">
        <v>188</v>
      </c>
      <c r="E4" s="99" t="s">
        <v>189</v>
      </c>
      <c r="F4" s="99" t="s">
        <v>190</v>
      </c>
    </row>
    <row r="5" spans="1:6">
      <c r="A5" s="5">
        <v>1</v>
      </c>
      <c r="B5" s="5" t="s">
        <v>191</v>
      </c>
      <c r="C5" s="5" t="s">
        <v>192</v>
      </c>
      <c r="D5" s="5" t="s">
        <v>193</v>
      </c>
      <c r="E5" s="5" t="s">
        <v>194</v>
      </c>
      <c r="F5" s="5" t="s">
        <v>69</v>
      </c>
    </row>
    <row r="6" spans="1:6">
      <c r="A6" s="5">
        <v>2</v>
      </c>
      <c r="B6" s="5" t="s">
        <v>195</v>
      </c>
      <c r="C6" s="5" t="s">
        <v>196</v>
      </c>
      <c r="D6" s="5" t="s">
        <v>197</v>
      </c>
      <c r="E6" s="5" t="s">
        <v>198</v>
      </c>
      <c r="F6" s="5" t="s">
        <v>199</v>
      </c>
    </row>
    <row r="7" spans="1:6">
      <c r="A7" s="5">
        <v>3</v>
      </c>
      <c r="B7" s="5" t="s">
        <v>200</v>
      </c>
      <c r="C7" s="5" t="s">
        <v>201</v>
      </c>
      <c r="D7" s="5" t="s">
        <v>202</v>
      </c>
      <c r="E7" s="5" t="s">
        <v>203</v>
      </c>
      <c r="F7" s="5" t="s">
        <v>204</v>
      </c>
    </row>
    <row r="8" spans="1:6">
      <c r="A8" s="5">
        <v>4</v>
      </c>
      <c r="B8" s="5" t="s">
        <v>205</v>
      </c>
      <c r="C8" s="5" t="s">
        <v>206</v>
      </c>
      <c r="D8" s="5" t="s">
        <v>207</v>
      </c>
      <c r="E8" s="5" t="s">
        <v>208</v>
      </c>
      <c r="F8" s="5" t="s">
        <v>208</v>
      </c>
    </row>
    <row r="9" spans="1:6">
      <c r="A9" s="122" t="s">
        <v>34</v>
      </c>
      <c r="B9" s="122"/>
      <c r="C9" s="99" t="s">
        <v>209</v>
      </c>
      <c r="D9" s="99" t="s">
        <v>210</v>
      </c>
      <c r="E9" s="99" t="s">
        <v>211</v>
      </c>
      <c r="F9" s="99" t="s">
        <v>211</v>
      </c>
    </row>
    <row r="11" spans="1:6">
      <c r="B11" s="12" t="s">
        <v>205</v>
      </c>
      <c r="C11" s="12"/>
      <c r="D11" s="12"/>
    </row>
    <row r="12" spans="1:6">
      <c r="B12" s="5" t="s">
        <v>29</v>
      </c>
      <c r="C12" s="5">
        <v>7.65</v>
      </c>
      <c r="D12" s="5">
        <v>181.07</v>
      </c>
    </row>
    <row r="13" spans="1:6">
      <c r="B13" s="5" t="s">
        <v>31</v>
      </c>
      <c r="C13" s="5">
        <v>0.6</v>
      </c>
      <c r="D13" s="5">
        <v>14.2</v>
      </c>
    </row>
    <row r="14" spans="1:6">
      <c r="B14" s="5" t="s">
        <v>32</v>
      </c>
      <c r="C14" s="5">
        <v>0.2</v>
      </c>
      <c r="D14" s="5">
        <v>4.7300000000000004</v>
      </c>
    </row>
    <row r="15" spans="1:6">
      <c r="B15" s="99" t="s">
        <v>34</v>
      </c>
      <c r="C15" s="99" t="s">
        <v>212</v>
      </c>
      <c r="D15" s="99" t="s">
        <v>213</v>
      </c>
    </row>
  </sheetData>
  <mergeCells count="1">
    <mergeCell ref="A9:B9"/>
  </mergeCell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E721-1D3F-45FF-ABC8-EB8E657CC371}">
  <dimension ref="A2:M43"/>
  <sheetViews>
    <sheetView topLeftCell="A32" workbookViewId="0">
      <selection activeCell="I41" sqref="I41"/>
    </sheetView>
  </sheetViews>
  <sheetFormatPr defaultRowHeight="15"/>
  <cols>
    <col min="1" max="1" width="3.7109375" customWidth="1"/>
    <col min="2" max="2" width="33" customWidth="1"/>
    <col min="3" max="3" width="22.42578125" bestFit="1" customWidth="1"/>
    <col min="4" max="4" width="26.42578125" customWidth="1"/>
    <col min="6" max="6" width="5.28515625" customWidth="1"/>
    <col min="7" max="7" width="13.7109375" bestFit="1" customWidth="1"/>
    <col min="8" max="8" width="11" customWidth="1"/>
  </cols>
  <sheetData>
    <row r="2" spans="1:11">
      <c r="A2" s="2" t="s">
        <v>172</v>
      </c>
    </row>
    <row r="4" spans="1:11">
      <c r="A4" s="147" t="s">
        <v>2</v>
      </c>
      <c r="B4" s="147" t="s">
        <v>215</v>
      </c>
      <c r="C4" s="106" t="s">
        <v>467</v>
      </c>
      <c r="D4" s="106" t="s">
        <v>468</v>
      </c>
      <c r="F4" s="62" t="s">
        <v>1026</v>
      </c>
    </row>
    <row r="5" spans="1:11">
      <c r="A5" s="147"/>
      <c r="B5" s="147"/>
      <c r="C5" s="106" t="s">
        <v>551</v>
      </c>
      <c r="D5" s="106" t="s">
        <v>552</v>
      </c>
      <c r="F5" s="107" t="s">
        <v>2</v>
      </c>
      <c r="G5" s="107" t="s">
        <v>553</v>
      </c>
      <c r="H5" s="107">
        <v>21</v>
      </c>
      <c r="I5" s="107">
        <v>22</v>
      </c>
      <c r="J5" s="112">
        <v>23</v>
      </c>
      <c r="K5" s="112">
        <v>24</v>
      </c>
    </row>
    <row r="6" spans="1:11" ht="15" customHeight="1">
      <c r="A6" s="140">
        <v>1</v>
      </c>
      <c r="B6" s="139" t="s">
        <v>1027</v>
      </c>
      <c r="C6" s="113" t="s">
        <v>1028</v>
      </c>
      <c r="D6" s="105" t="s">
        <v>1029</v>
      </c>
      <c r="F6" s="105">
        <v>1</v>
      </c>
      <c r="G6" s="114" t="s">
        <v>564</v>
      </c>
      <c r="H6" s="105" t="s">
        <v>645</v>
      </c>
      <c r="I6" s="105" t="s">
        <v>645</v>
      </c>
      <c r="J6" s="113" t="s">
        <v>531</v>
      </c>
      <c r="K6" s="113" t="s">
        <v>739</v>
      </c>
    </row>
    <row r="7" spans="1:11">
      <c r="A7" s="140"/>
      <c r="B7" s="139"/>
      <c r="C7" s="113" t="s">
        <v>421</v>
      </c>
      <c r="D7" s="105" t="s">
        <v>1030</v>
      </c>
      <c r="F7" s="105">
        <v>2</v>
      </c>
      <c r="G7" s="114" t="s">
        <v>470</v>
      </c>
      <c r="H7" s="105" t="s">
        <v>645</v>
      </c>
      <c r="I7" s="105" t="s">
        <v>645</v>
      </c>
      <c r="J7" s="113" t="s">
        <v>1031</v>
      </c>
      <c r="K7" s="113" t="s">
        <v>1032</v>
      </c>
    </row>
    <row r="8" spans="1:11" ht="15" customHeight="1">
      <c r="A8" s="140">
        <v>2</v>
      </c>
      <c r="B8" s="139" t="s">
        <v>1033</v>
      </c>
      <c r="C8" s="113" t="s">
        <v>1034</v>
      </c>
      <c r="D8" s="105" t="s">
        <v>1035</v>
      </c>
      <c r="F8" s="105">
        <v>3</v>
      </c>
      <c r="G8" s="114" t="s">
        <v>926</v>
      </c>
      <c r="H8" s="105" t="s">
        <v>1036</v>
      </c>
      <c r="I8" s="105" t="s">
        <v>1036</v>
      </c>
      <c r="J8" s="113" t="s">
        <v>645</v>
      </c>
      <c r="K8" s="113" t="s">
        <v>645</v>
      </c>
    </row>
    <row r="9" spans="1:11">
      <c r="A9" s="140"/>
      <c r="B9" s="153"/>
      <c r="C9" s="113" t="s">
        <v>1037</v>
      </c>
      <c r="D9" s="105" t="s">
        <v>1038</v>
      </c>
      <c r="F9" s="105">
        <v>4</v>
      </c>
      <c r="G9" s="114" t="s">
        <v>637</v>
      </c>
      <c r="H9" s="105" t="s">
        <v>645</v>
      </c>
      <c r="I9" s="105" t="s">
        <v>645</v>
      </c>
      <c r="J9" s="113" t="s">
        <v>645</v>
      </c>
      <c r="K9" s="113" t="s">
        <v>645</v>
      </c>
    </row>
    <row r="10" spans="1:11">
      <c r="A10" s="140">
        <v>3</v>
      </c>
      <c r="B10" s="139" t="s">
        <v>1039</v>
      </c>
      <c r="C10" s="113"/>
      <c r="D10" s="113" t="s">
        <v>1040</v>
      </c>
      <c r="F10" s="105">
        <v>5</v>
      </c>
      <c r="G10" s="114" t="s">
        <v>572</v>
      </c>
      <c r="H10" s="105" t="s">
        <v>531</v>
      </c>
      <c r="I10" s="105" t="s">
        <v>505</v>
      </c>
      <c r="J10" s="113" t="s">
        <v>531</v>
      </c>
      <c r="K10" s="113" t="s">
        <v>531</v>
      </c>
    </row>
    <row r="11" spans="1:11">
      <c r="A11" s="140"/>
      <c r="B11" s="139"/>
      <c r="C11" s="113"/>
      <c r="D11" s="113" t="s">
        <v>1041</v>
      </c>
      <c r="F11" s="73">
        <v>6</v>
      </c>
      <c r="G11" s="74" t="s">
        <v>1042</v>
      </c>
      <c r="H11" s="105" t="s">
        <v>645</v>
      </c>
      <c r="I11" s="105" t="s">
        <v>505</v>
      </c>
      <c r="J11" s="113" t="s">
        <v>645</v>
      </c>
      <c r="K11" s="113" t="s">
        <v>645</v>
      </c>
    </row>
    <row r="12" spans="1:11">
      <c r="A12" s="140">
        <v>4</v>
      </c>
      <c r="B12" s="139" t="s">
        <v>1043</v>
      </c>
      <c r="C12" s="113"/>
      <c r="D12" s="113" t="s">
        <v>1044</v>
      </c>
      <c r="F12" s="113">
        <v>7</v>
      </c>
      <c r="G12" s="98" t="s">
        <v>9</v>
      </c>
      <c r="H12" s="113" t="s">
        <v>765</v>
      </c>
      <c r="I12" s="113" t="s">
        <v>765</v>
      </c>
      <c r="J12" s="113" t="s">
        <v>765</v>
      </c>
      <c r="K12" s="113" t="s">
        <v>765</v>
      </c>
    </row>
    <row r="13" spans="1:11">
      <c r="A13" s="152"/>
      <c r="B13" s="153"/>
      <c r="C13" s="115"/>
      <c r="D13" s="115" t="s">
        <v>353</v>
      </c>
      <c r="F13" s="115">
        <v>8</v>
      </c>
      <c r="G13" s="39" t="s">
        <v>22</v>
      </c>
      <c r="H13" s="115" t="s">
        <v>531</v>
      </c>
      <c r="I13" s="115" t="s">
        <v>531</v>
      </c>
      <c r="J13" s="115" t="s">
        <v>645</v>
      </c>
      <c r="K13" s="115" t="s">
        <v>1024</v>
      </c>
    </row>
    <row r="14" spans="1:11">
      <c r="A14" s="140">
        <v>5</v>
      </c>
      <c r="B14" s="146" t="s">
        <v>1045</v>
      </c>
      <c r="C14" s="92" t="s">
        <v>1046</v>
      </c>
      <c r="D14" s="105" t="s">
        <v>1047</v>
      </c>
      <c r="F14" s="113">
        <v>9</v>
      </c>
      <c r="G14" s="98" t="s">
        <v>810</v>
      </c>
      <c r="H14" s="113" t="s">
        <v>645</v>
      </c>
      <c r="I14" s="113" t="s">
        <v>645</v>
      </c>
      <c r="J14" s="113" t="s">
        <v>811</v>
      </c>
      <c r="K14" s="113" t="s">
        <v>811</v>
      </c>
    </row>
    <row r="15" spans="1:11">
      <c r="A15" s="140"/>
      <c r="B15" s="146"/>
      <c r="C15" s="92" t="s">
        <v>1048</v>
      </c>
      <c r="D15" s="105" t="s">
        <v>530</v>
      </c>
      <c r="F15" s="150" t="s">
        <v>34</v>
      </c>
      <c r="G15" s="150"/>
      <c r="H15" s="113" t="s">
        <v>544</v>
      </c>
      <c r="I15" s="113" t="s">
        <v>544</v>
      </c>
      <c r="J15" s="113" t="s">
        <v>544</v>
      </c>
      <c r="K15" s="113" t="s">
        <v>544</v>
      </c>
    </row>
    <row r="16" spans="1:11">
      <c r="A16" s="140">
        <v>6</v>
      </c>
      <c r="B16" s="154" t="s">
        <v>1049</v>
      </c>
      <c r="C16" s="92"/>
      <c r="D16" s="105" t="s">
        <v>1047</v>
      </c>
    </row>
    <row r="17" spans="1:8">
      <c r="A17" s="140"/>
      <c r="B17" s="154"/>
      <c r="C17" s="92"/>
      <c r="D17" s="105" t="s">
        <v>325</v>
      </c>
      <c r="F17" s="62" t="s">
        <v>1050</v>
      </c>
    </row>
    <row r="18" spans="1:8">
      <c r="A18" s="140">
        <v>7</v>
      </c>
      <c r="B18" s="154" t="s">
        <v>1051</v>
      </c>
      <c r="C18" s="92"/>
      <c r="D18" s="105" t="s">
        <v>1052</v>
      </c>
      <c r="F18" s="107" t="s">
        <v>2</v>
      </c>
      <c r="G18" s="107" t="s">
        <v>553</v>
      </c>
      <c r="H18" s="107" t="s">
        <v>1053</v>
      </c>
    </row>
    <row r="19" spans="1:8">
      <c r="A19" s="140"/>
      <c r="B19" s="154"/>
      <c r="C19" s="92"/>
      <c r="D19" s="105" t="s">
        <v>1054</v>
      </c>
      <c r="F19" s="105">
        <v>1</v>
      </c>
      <c r="G19" s="114" t="s">
        <v>564</v>
      </c>
      <c r="H19" s="105" t="s">
        <v>1055</v>
      </c>
    </row>
    <row r="20" spans="1:8">
      <c r="A20" s="140">
        <v>8</v>
      </c>
      <c r="B20" s="154" t="s">
        <v>1056</v>
      </c>
      <c r="C20" s="92"/>
      <c r="D20" s="105" t="s">
        <v>1057</v>
      </c>
      <c r="F20" s="105">
        <v>2</v>
      </c>
      <c r="G20" s="114" t="s">
        <v>470</v>
      </c>
      <c r="H20" s="105" t="s">
        <v>690</v>
      </c>
    </row>
    <row r="21" spans="1:8">
      <c r="A21" s="140"/>
      <c r="B21" s="154"/>
      <c r="C21" s="92"/>
      <c r="D21" s="105" t="s">
        <v>1058</v>
      </c>
      <c r="F21" s="105">
        <v>3</v>
      </c>
      <c r="G21" s="114" t="s">
        <v>572</v>
      </c>
      <c r="H21" s="105" t="s">
        <v>531</v>
      </c>
    </row>
    <row r="22" spans="1:8">
      <c r="A22" s="140">
        <v>9</v>
      </c>
      <c r="B22" s="139" t="s">
        <v>1059</v>
      </c>
      <c r="C22" s="92" t="s">
        <v>1060</v>
      </c>
      <c r="D22" s="105" t="s">
        <v>1061</v>
      </c>
      <c r="F22" s="89">
        <v>4</v>
      </c>
      <c r="G22" s="90" t="s">
        <v>33</v>
      </c>
      <c r="H22" s="105" t="s">
        <v>574</v>
      </c>
    </row>
    <row r="23" spans="1:8">
      <c r="A23" s="140"/>
      <c r="B23" s="139"/>
      <c r="C23" s="92" t="s">
        <v>1062</v>
      </c>
      <c r="D23" s="105" t="s">
        <v>1063</v>
      </c>
      <c r="F23" s="94">
        <v>5</v>
      </c>
      <c r="G23" s="95" t="s">
        <v>420</v>
      </c>
      <c r="H23" s="110" t="s">
        <v>727</v>
      </c>
    </row>
    <row r="24" spans="1:8">
      <c r="A24" s="140">
        <v>10</v>
      </c>
      <c r="B24" s="139" t="s">
        <v>1064</v>
      </c>
      <c r="C24" s="92"/>
      <c r="D24" s="105" t="s">
        <v>1065</v>
      </c>
      <c r="F24" s="150" t="s">
        <v>34</v>
      </c>
      <c r="G24" s="150"/>
      <c r="H24" s="105" t="s">
        <v>544</v>
      </c>
    </row>
    <row r="25" spans="1:8">
      <c r="A25" s="140"/>
      <c r="B25" s="139"/>
      <c r="C25" s="92"/>
      <c r="D25" s="105" t="s">
        <v>1066</v>
      </c>
    </row>
    <row r="26" spans="1:8">
      <c r="A26" s="140">
        <v>11</v>
      </c>
      <c r="B26" s="139" t="s">
        <v>1067</v>
      </c>
      <c r="C26" s="105"/>
      <c r="D26" s="105" t="s">
        <v>1068</v>
      </c>
      <c r="F26" s="62" t="s">
        <v>1005</v>
      </c>
    </row>
    <row r="27" spans="1:8">
      <c r="A27" s="140"/>
      <c r="B27" s="139"/>
      <c r="C27" s="105"/>
      <c r="D27" s="105" t="s">
        <v>1069</v>
      </c>
      <c r="F27" s="107" t="s">
        <v>2</v>
      </c>
      <c r="G27" s="107" t="s">
        <v>553</v>
      </c>
      <c r="H27" s="107" t="s">
        <v>1006</v>
      </c>
    </row>
    <row r="28" spans="1:8">
      <c r="A28" s="140">
        <v>12</v>
      </c>
      <c r="B28" s="139" t="s">
        <v>1070</v>
      </c>
      <c r="C28" s="105"/>
      <c r="D28" s="105" t="s">
        <v>1071</v>
      </c>
      <c r="F28" s="105">
        <v>1</v>
      </c>
      <c r="G28" s="114" t="s">
        <v>564</v>
      </c>
      <c r="H28" s="105" t="s">
        <v>1007</v>
      </c>
    </row>
    <row r="29" spans="1:8">
      <c r="A29" s="152"/>
      <c r="B29" s="153"/>
      <c r="C29" s="110"/>
      <c r="D29" s="110" t="s">
        <v>1072</v>
      </c>
      <c r="F29" s="105">
        <v>2</v>
      </c>
      <c r="G29" s="114" t="s">
        <v>470</v>
      </c>
      <c r="H29" s="105" t="s">
        <v>1008</v>
      </c>
    </row>
    <row r="30" spans="1:8">
      <c r="A30" s="140">
        <v>13</v>
      </c>
      <c r="B30" s="155" t="s">
        <v>1073</v>
      </c>
      <c r="C30" s="36"/>
      <c r="D30" s="113" t="s">
        <v>1074</v>
      </c>
      <c r="F30" s="105">
        <v>3</v>
      </c>
      <c r="G30" s="114" t="s">
        <v>200</v>
      </c>
      <c r="H30" s="105" t="s">
        <v>1009</v>
      </c>
    </row>
    <row r="31" spans="1:8">
      <c r="A31" s="140"/>
      <c r="B31" s="155"/>
      <c r="C31" s="36"/>
      <c r="D31" s="113" t="s">
        <v>307</v>
      </c>
      <c r="F31" s="96">
        <v>4</v>
      </c>
      <c r="G31" s="97" t="s">
        <v>29</v>
      </c>
      <c r="H31" s="110" t="s">
        <v>1010</v>
      </c>
    </row>
    <row r="32" spans="1:8">
      <c r="A32" s="140">
        <v>14</v>
      </c>
      <c r="B32" s="155" t="s">
        <v>1075</v>
      </c>
      <c r="C32" s="36"/>
      <c r="D32" s="113" t="s">
        <v>1076</v>
      </c>
      <c r="F32" s="73">
        <v>5</v>
      </c>
      <c r="G32" s="93" t="s">
        <v>31</v>
      </c>
      <c r="H32" s="105" t="s">
        <v>690</v>
      </c>
    </row>
    <row r="33" spans="1:13">
      <c r="A33" s="140"/>
      <c r="B33" s="155"/>
      <c r="C33" s="36"/>
      <c r="D33" s="113" t="s">
        <v>599</v>
      </c>
      <c r="F33" s="105">
        <v>6</v>
      </c>
      <c r="G33" s="36" t="s">
        <v>32</v>
      </c>
      <c r="H33" s="113" t="s">
        <v>531</v>
      </c>
    </row>
    <row r="34" spans="1:13">
      <c r="A34" s="140">
        <v>15</v>
      </c>
      <c r="B34" s="155" t="s">
        <v>1077</v>
      </c>
      <c r="C34" s="36"/>
      <c r="D34" s="113" t="s">
        <v>1078</v>
      </c>
      <c r="F34" s="105">
        <v>7</v>
      </c>
      <c r="G34" s="36" t="s">
        <v>618</v>
      </c>
      <c r="H34" s="113" t="s">
        <v>1011</v>
      </c>
    </row>
    <row r="35" spans="1:13">
      <c r="A35" s="140"/>
      <c r="B35" s="155"/>
      <c r="C35" s="36"/>
      <c r="D35" s="113" t="s">
        <v>1079</v>
      </c>
      <c r="F35" s="150" t="s">
        <v>34</v>
      </c>
      <c r="G35" s="150"/>
      <c r="H35" s="113" t="s">
        <v>1012</v>
      </c>
    </row>
    <row r="37" spans="1:13">
      <c r="F37" s="62" t="s">
        <v>1080</v>
      </c>
    </row>
    <row r="38" spans="1:13">
      <c r="F38" s="107" t="s">
        <v>2</v>
      </c>
      <c r="G38" s="107" t="s">
        <v>553</v>
      </c>
      <c r="H38" s="107" t="s">
        <v>179</v>
      </c>
      <c r="I38" s="107" t="s">
        <v>180</v>
      </c>
      <c r="J38" s="112" t="s">
        <v>181</v>
      </c>
      <c r="K38" s="112" t="s">
        <v>182</v>
      </c>
      <c r="L38" s="112" t="s">
        <v>183</v>
      </c>
      <c r="M38" s="112" t="s">
        <v>184</v>
      </c>
    </row>
    <row r="39" spans="1:13">
      <c r="F39" s="105">
        <v>1</v>
      </c>
      <c r="G39" s="114" t="s">
        <v>841</v>
      </c>
      <c r="H39" s="105" t="s">
        <v>936</v>
      </c>
      <c r="I39" s="105" t="s">
        <v>937</v>
      </c>
      <c r="J39" s="113" t="s">
        <v>645</v>
      </c>
      <c r="K39" s="113" t="s">
        <v>645</v>
      </c>
      <c r="L39" s="113" t="s">
        <v>645</v>
      </c>
      <c r="M39" s="113" t="s">
        <v>645</v>
      </c>
    </row>
    <row r="40" spans="1:13">
      <c r="F40" s="105">
        <v>2</v>
      </c>
      <c r="G40" s="114" t="s">
        <v>564</v>
      </c>
      <c r="H40" s="105" t="s">
        <v>645</v>
      </c>
      <c r="I40" s="105" t="s">
        <v>645</v>
      </c>
      <c r="J40" s="113" t="s">
        <v>936</v>
      </c>
      <c r="K40" s="113" t="s">
        <v>937</v>
      </c>
      <c r="L40" s="113" t="s">
        <v>645</v>
      </c>
      <c r="M40" s="113" t="s">
        <v>645</v>
      </c>
    </row>
    <row r="41" spans="1:13">
      <c r="F41" s="105">
        <v>3</v>
      </c>
      <c r="G41" s="114" t="s">
        <v>470</v>
      </c>
      <c r="H41" s="105" t="s">
        <v>645</v>
      </c>
      <c r="I41" s="105" t="s">
        <v>645</v>
      </c>
      <c r="J41" s="113" t="s">
        <v>645</v>
      </c>
      <c r="K41" s="113" t="s">
        <v>645</v>
      </c>
      <c r="L41" s="113" t="s">
        <v>936</v>
      </c>
      <c r="M41" s="113" t="s">
        <v>937</v>
      </c>
    </row>
    <row r="42" spans="1:13">
      <c r="F42" s="105">
        <v>4</v>
      </c>
      <c r="G42" s="114" t="s">
        <v>1081</v>
      </c>
      <c r="H42" s="105" t="s">
        <v>505</v>
      </c>
      <c r="I42" s="105" t="s">
        <v>531</v>
      </c>
      <c r="J42" s="113" t="s">
        <v>505</v>
      </c>
      <c r="K42" s="113" t="s">
        <v>531</v>
      </c>
      <c r="L42" s="113" t="s">
        <v>505</v>
      </c>
      <c r="M42" s="113" t="s">
        <v>531</v>
      </c>
    </row>
    <row r="43" spans="1:13">
      <c r="F43" s="150" t="s">
        <v>34</v>
      </c>
      <c r="G43" s="150"/>
      <c r="H43" s="113" t="s">
        <v>544</v>
      </c>
      <c r="I43" s="113" t="s">
        <v>544</v>
      </c>
      <c r="J43" s="113" t="s">
        <v>544</v>
      </c>
      <c r="K43" s="113" t="s">
        <v>544</v>
      </c>
      <c r="L43" s="113" t="s">
        <v>544</v>
      </c>
      <c r="M43" s="113" t="s">
        <v>544</v>
      </c>
    </row>
  </sheetData>
  <mergeCells count="36">
    <mergeCell ref="F15:G15"/>
    <mergeCell ref="F24:G24"/>
    <mergeCell ref="F35:G35"/>
    <mergeCell ref="F43:G43"/>
    <mergeCell ref="A28:A29"/>
    <mergeCell ref="B28:B29"/>
    <mergeCell ref="A30:A31"/>
    <mergeCell ref="A32:A33"/>
    <mergeCell ref="A34:A35"/>
    <mergeCell ref="B30:B31"/>
    <mergeCell ref="B32:B33"/>
    <mergeCell ref="B34:B35"/>
    <mergeCell ref="A22:A23"/>
    <mergeCell ref="B22:B23"/>
    <mergeCell ref="A24:A25"/>
    <mergeCell ref="B24:B25"/>
    <mergeCell ref="A26:A27"/>
    <mergeCell ref="B26:B27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8"/>
  <sheetViews>
    <sheetView workbookViewId="0">
      <selection activeCell="A2" sqref="A2"/>
    </sheetView>
  </sheetViews>
  <sheetFormatPr defaultRowHeight="15"/>
  <cols>
    <col min="1" max="1" width="4" customWidth="1"/>
    <col min="2" max="2" width="28.42578125" customWidth="1"/>
    <col min="3" max="3" width="31.140625" customWidth="1"/>
    <col min="4" max="4" width="30.85546875" customWidth="1"/>
    <col min="6" max="6" width="3.5703125" bestFit="1" customWidth="1"/>
    <col min="7" max="7" width="22.7109375" bestFit="1" customWidth="1"/>
    <col min="8" max="8" width="11.85546875" customWidth="1"/>
    <col min="9" max="9" width="11.7109375" customWidth="1"/>
    <col min="10" max="10" width="12" customWidth="1"/>
    <col min="11" max="11" width="12.140625" customWidth="1"/>
  </cols>
  <sheetData>
    <row r="2" spans="1:11">
      <c r="A2" s="1" t="s">
        <v>43</v>
      </c>
      <c r="G2" s="9" t="s">
        <v>214</v>
      </c>
    </row>
    <row r="4" spans="1:11">
      <c r="A4" s="122" t="s">
        <v>2</v>
      </c>
      <c r="B4" s="122" t="s">
        <v>215</v>
      </c>
      <c r="C4" s="99" t="s">
        <v>216</v>
      </c>
      <c r="D4" s="99" t="s">
        <v>217</v>
      </c>
      <c r="F4" s="99" t="s">
        <v>2</v>
      </c>
      <c r="G4" s="99" t="s">
        <v>186</v>
      </c>
      <c r="H4" s="99" t="s">
        <v>218</v>
      </c>
      <c r="I4" s="99" t="s">
        <v>219</v>
      </c>
      <c r="J4" s="99" t="s">
        <v>220</v>
      </c>
      <c r="K4" s="99" t="s">
        <v>221</v>
      </c>
    </row>
    <row r="5" spans="1:11">
      <c r="A5" s="122"/>
      <c r="B5" s="122"/>
      <c r="C5" s="99" t="s">
        <v>222</v>
      </c>
      <c r="D5" s="99" t="s">
        <v>223</v>
      </c>
      <c r="F5" s="101">
        <v>1</v>
      </c>
      <c r="G5" s="10" t="s">
        <v>187</v>
      </c>
      <c r="H5" s="103">
        <v>0.97499999999999998</v>
      </c>
      <c r="I5" s="101" t="s">
        <v>69</v>
      </c>
      <c r="J5" s="101" t="s">
        <v>69</v>
      </c>
      <c r="K5" s="101" t="s">
        <v>69</v>
      </c>
    </row>
    <row r="6" spans="1:11">
      <c r="A6" s="123">
        <v>1</v>
      </c>
      <c r="B6" s="124" t="s">
        <v>44</v>
      </c>
      <c r="C6" s="101" t="s">
        <v>224</v>
      </c>
      <c r="D6" s="101" t="s">
        <v>225</v>
      </c>
      <c r="F6" s="101">
        <v>2</v>
      </c>
      <c r="G6" s="10" t="s">
        <v>188</v>
      </c>
      <c r="H6" s="101" t="s">
        <v>69</v>
      </c>
      <c r="I6" s="103">
        <v>0.95499999999999996</v>
      </c>
      <c r="J6" s="101" t="s">
        <v>69</v>
      </c>
      <c r="K6" s="101" t="s">
        <v>69</v>
      </c>
    </row>
    <row r="7" spans="1:11">
      <c r="A7" s="123"/>
      <c r="B7" s="124"/>
      <c r="C7" s="101" t="s">
        <v>226</v>
      </c>
      <c r="D7" s="101" t="s">
        <v>227</v>
      </c>
      <c r="F7" s="101">
        <v>3</v>
      </c>
      <c r="G7" s="10" t="s">
        <v>189</v>
      </c>
      <c r="H7" s="101" t="s">
        <v>69</v>
      </c>
      <c r="I7" s="101" t="s">
        <v>69</v>
      </c>
      <c r="J7" s="103">
        <v>0.93500000000000005</v>
      </c>
      <c r="K7" s="101" t="s">
        <v>69</v>
      </c>
    </row>
    <row r="8" spans="1:11">
      <c r="A8" s="123">
        <v>2</v>
      </c>
      <c r="B8" s="124" t="s">
        <v>45</v>
      </c>
      <c r="C8" s="101" t="s">
        <v>228</v>
      </c>
      <c r="D8" s="101" t="s">
        <v>229</v>
      </c>
      <c r="F8" s="101">
        <v>4</v>
      </c>
      <c r="G8" s="10" t="s">
        <v>190</v>
      </c>
      <c r="H8" s="101" t="s">
        <v>69</v>
      </c>
      <c r="I8" s="101" t="s">
        <v>69</v>
      </c>
      <c r="J8" s="101" t="s">
        <v>69</v>
      </c>
      <c r="K8" s="103">
        <v>0.93500000000000005</v>
      </c>
    </row>
    <row r="9" spans="1:11">
      <c r="A9" s="123"/>
      <c r="B9" s="124"/>
      <c r="C9" s="101" t="s">
        <v>230</v>
      </c>
      <c r="D9" s="101" t="s">
        <v>231</v>
      </c>
      <c r="F9" s="101">
        <v>5</v>
      </c>
      <c r="G9" s="10" t="s">
        <v>232</v>
      </c>
      <c r="H9" s="103">
        <v>2.5000000000000001E-2</v>
      </c>
      <c r="I9" s="103">
        <v>4.4999999999999998E-2</v>
      </c>
      <c r="J9" s="103">
        <v>6.5000000000000002E-2</v>
      </c>
      <c r="K9" s="103">
        <v>6.5000000000000002E-2</v>
      </c>
    </row>
    <row r="10" spans="1:11">
      <c r="A10" s="123">
        <v>3</v>
      </c>
      <c r="B10" s="124" t="s">
        <v>46</v>
      </c>
      <c r="C10" s="101" t="s">
        <v>233</v>
      </c>
      <c r="D10" s="101" t="s">
        <v>234</v>
      </c>
      <c r="F10" s="125" t="s">
        <v>34</v>
      </c>
      <c r="G10" s="125"/>
      <c r="H10" s="20">
        <v>1</v>
      </c>
      <c r="I10" s="20">
        <v>1</v>
      </c>
      <c r="J10" s="20">
        <v>1</v>
      </c>
      <c r="K10" s="20">
        <v>1</v>
      </c>
    </row>
    <row r="11" spans="1:11">
      <c r="A11" s="123"/>
      <c r="B11" s="124"/>
      <c r="C11" s="101" t="s">
        <v>235</v>
      </c>
      <c r="D11" s="101" t="s">
        <v>236</v>
      </c>
    </row>
    <row r="12" spans="1:11">
      <c r="A12" s="123">
        <v>4</v>
      </c>
      <c r="B12" s="124" t="s">
        <v>47</v>
      </c>
      <c r="C12" s="101" t="s">
        <v>237</v>
      </c>
      <c r="D12" s="101" t="s">
        <v>238</v>
      </c>
    </row>
    <row r="13" spans="1:11">
      <c r="A13" s="123"/>
      <c r="B13" s="124"/>
      <c r="C13" s="101" t="s">
        <v>239</v>
      </c>
      <c r="D13" s="101" t="s">
        <v>240</v>
      </c>
      <c r="F13" s="99" t="s">
        <v>2</v>
      </c>
      <c r="G13" s="99" t="s">
        <v>186</v>
      </c>
      <c r="H13" s="99" t="s">
        <v>241</v>
      </c>
      <c r="I13" s="99" t="s">
        <v>242</v>
      </c>
      <c r="J13" s="99" t="s">
        <v>243</v>
      </c>
      <c r="K13" s="99" t="s">
        <v>244</v>
      </c>
    </row>
    <row r="14" spans="1:11">
      <c r="A14" s="123">
        <v>5</v>
      </c>
      <c r="B14" s="124" t="s">
        <v>245</v>
      </c>
      <c r="C14" s="101" t="s">
        <v>246</v>
      </c>
      <c r="D14" s="101" t="s">
        <v>247</v>
      </c>
      <c r="F14" s="101">
        <v>1</v>
      </c>
      <c r="G14" s="10" t="s">
        <v>188</v>
      </c>
      <c r="H14" s="103">
        <v>0.97499999999999998</v>
      </c>
      <c r="I14" s="101" t="s">
        <v>69</v>
      </c>
      <c r="J14" s="103">
        <v>0.94499999999999995</v>
      </c>
      <c r="K14" s="101" t="s">
        <v>69</v>
      </c>
    </row>
    <row r="15" spans="1:11">
      <c r="A15" s="123"/>
      <c r="B15" s="124"/>
      <c r="C15" s="101" t="s">
        <v>248</v>
      </c>
      <c r="D15" s="101" t="s">
        <v>249</v>
      </c>
      <c r="F15" s="101">
        <v>2</v>
      </c>
      <c r="G15" s="10" t="s">
        <v>190</v>
      </c>
      <c r="H15" s="101" t="s">
        <v>69</v>
      </c>
      <c r="I15" s="20">
        <v>0.93</v>
      </c>
      <c r="J15" s="101" t="s">
        <v>69</v>
      </c>
      <c r="K15" s="103">
        <v>0.92500000000000004</v>
      </c>
    </row>
    <row r="16" spans="1:11">
      <c r="A16" s="123">
        <v>6</v>
      </c>
      <c r="B16" s="124" t="s">
        <v>250</v>
      </c>
      <c r="C16" s="101" t="s">
        <v>251</v>
      </c>
      <c r="D16" s="101" t="s">
        <v>252</v>
      </c>
      <c r="F16" s="101">
        <v>3</v>
      </c>
      <c r="G16" s="10" t="s">
        <v>232</v>
      </c>
      <c r="H16" s="20">
        <v>0.05</v>
      </c>
      <c r="I16" s="20">
        <v>7.0000000000000007E-2</v>
      </c>
      <c r="J16" s="103">
        <v>5.5E-2</v>
      </c>
      <c r="K16" s="103">
        <v>7.4999999999999997E-2</v>
      </c>
    </row>
    <row r="17" spans="1:11">
      <c r="A17" s="123"/>
      <c r="B17" s="124"/>
      <c r="C17" s="101" t="s">
        <v>253</v>
      </c>
      <c r="D17" s="101" t="s">
        <v>254</v>
      </c>
      <c r="F17" s="126" t="s">
        <v>34</v>
      </c>
      <c r="G17" s="127"/>
      <c r="H17" s="20">
        <v>1</v>
      </c>
      <c r="I17" s="20">
        <v>1</v>
      </c>
      <c r="J17" s="20">
        <v>1</v>
      </c>
      <c r="K17" s="20">
        <v>1</v>
      </c>
    </row>
    <row r="18" spans="1:11">
      <c r="A18" s="123">
        <v>7</v>
      </c>
      <c r="B18" s="124" t="s">
        <v>255</v>
      </c>
      <c r="C18" s="101" t="s">
        <v>256</v>
      </c>
      <c r="D18" s="101" t="s">
        <v>257</v>
      </c>
    </row>
    <row r="19" spans="1:11">
      <c r="A19" s="123"/>
      <c r="B19" s="124"/>
      <c r="C19" s="101" t="s">
        <v>258</v>
      </c>
      <c r="D19" s="101" t="s">
        <v>254</v>
      </c>
      <c r="G19" s="13" t="s">
        <v>259</v>
      </c>
    </row>
    <row r="20" spans="1:11">
      <c r="A20" s="123">
        <v>8</v>
      </c>
      <c r="B20" s="124" t="s">
        <v>260</v>
      </c>
      <c r="C20" s="101" t="s">
        <v>261</v>
      </c>
      <c r="D20" s="101" t="s">
        <v>262</v>
      </c>
      <c r="F20" s="99" t="s">
        <v>2</v>
      </c>
      <c r="G20" s="99" t="s">
        <v>186</v>
      </c>
      <c r="H20" s="99" t="s">
        <v>263</v>
      </c>
      <c r="I20" s="99" t="s">
        <v>264</v>
      </c>
      <c r="J20" s="99" t="s">
        <v>265</v>
      </c>
      <c r="K20" s="99" t="s">
        <v>266</v>
      </c>
    </row>
    <row r="21" spans="1:11">
      <c r="A21" s="123"/>
      <c r="B21" s="124"/>
      <c r="C21" s="101" t="s">
        <v>267</v>
      </c>
      <c r="D21" s="101" t="s">
        <v>268</v>
      </c>
      <c r="F21" s="101">
        <v>1</v>
      </c>
      <c r="G21" s="10" t="s">
        <v>269</v>
      </c>
      <c r="H21" s="103">
        <v>0.97499999999999998</v>
      </c>
      <c r="I21" s="101" t="s">
        <v>69</v>
      </c>
      <c r="J21" s="101" t="s">
        <v>69</v>
      </c>
      <c r="K21" s="101" t="s">
        <v>69</v>
      </c>
    </row>
    <row r="22" spans="1:11">
      <c r="A22" s="123">
        <v>9</v>
      </c>
      <c r="B22" s="124" t="s">
        <v>270</v>
      </c>
      <c r="C22" s="101" t="s">
        <v>271</v>
      </c>
      <c r="D22" s="101" t="s">
        <v>69</v>
      </c>
      <c r="F22" s="101">
        <v>2</v>
      </c>
      <c r="G22" s="10" t="s">
        <v>269</v>
      </c>
      <c r="H22" s="101" t="s">
        <v>69</v>
      </c>
      <c r="I22" s="20">
        <v>0.97</v>
      </c>
      <c r="J22" s="101" t="s">
        <v>69</v>
      </c>
      <c r="K22" s="101" t="s">
        <v>69</v>
      </c>
    </row>
    <row r="23" spans="1:11">
      <c r="A23" s="123"/>
      <c r="B23" s="124"/>
      <c r="C23" s="101" t="s">
        <v>272</v>
      </c>
      <c r="D23" s="101" t="s">
        <v>69</v>
      </c>
      <c r="F23" s="101">
        <v>3</v>
      </c>
      <c r="G23" s="10" t="s">
        <v>273</v>
      </c>
      <c r="H23" s="101" t="s">
        <v>69</v>
      </c>
      <c r="I23" s="101" t="s">
        <v>69</v>
      </c>
      <c r="J23" s="103">
        <v>0.93500000000000005</v>
      </c>
      <c r="K23" s="101" t="s">
        <v>69</v>
      </c>
    </row>
    <row r="24" spans="1:11">
      <c r="A24" s="123">
        <v>10</v>
      </c>
      <c r="B24" s="124" t="s">
        <v>274</v>
      </c>
      <c r="C24" s="101" t="s">
        <v>275</v>
      </c>
      <c r="D24" s="101" t="s">
        <v>69</v>
      </c>
      <c r="F24" s="101">
        <v>4</v>
      </c>
      <c r="G24" s="10" t="s">
        <v>273</v>
      </c>
      <c r="H24" s="101" t="s">
        <v>69</v>
      </c>
      <c r="I24" s="101" t="s">
        <v>69</v>
      </c>
      <c r="J24" s="101" t="s">
        <v>69</v>
      </c>
      <c r="K24" s="20">
        <v>0.93</v>
      </c>
    </row>
    <row r="25" spans="1:11">
      <c r="A25" s="123"/>
      <c r="B25" s="124"/>
      <c r="C25" s="101" t="s">
        <v>276</v>
      </c>
      <c r="D25" s="101" t="s">
        <v>69</v>
      </c>
      <c r="F25" s="101">
        <v>5</v>
      </c>
      <c r="G25" s="10" t="s">
        <v>232</v>
      </c>
      <c r="H25" s="103">
        <v>2.5000000000000001E-2</v>
      </c>
      <c r="I25" s="20">
        <v>0.03</v>
      </c>
      <c r="J25" s="103">
        <v>6.5000000000000002E-2</v>
      </c>
      <c r="K25" s="20">
        <v>7.0000000000000007E-2</v>
      </c>
    </row>
    <row r="26" spans="1:11">
      <c r="F26" s="125" t="s">
        <v>34</v>
      </c>
      <c r="G26" s="125"/>
      <c r="H26" s="20">
        <v>1</v>
      </c>
      <c r="I26" s="20">
        <v>1</v>
      </c>
      <c r="J26" s="20">
        <v>1</v>
      </c>
      <c r="K26" s="20">
        <v>1</v>
      </c>
    </row>
    <row r="28" spans="1:11">
      <c r="A28">
        <v>1</v>
      </c>
      <c r="B28" t="s">
        <v>277</v>
      </c>
    </row>
    <row r="29" spans="1:11">
      <c r="B29" t="s">
        <v>278</v>
      </c>
      <c r="C29" s="25">
        <v>0.50800000000000001</v>
      </c>
      <c r="F29" s="99" t="s">
        <v>2</v>
      </c>
      <c r="G29" s="99" t="s">
        <v>186</v>
      </c>
      <c r="H29" s="99" t="s">
        <v>279</v>
      </c>
      <c r="I29" s="99" t="s">
        <v>274</v>
      </c>
      <c r="J29" s="102"/>
      <c r="K29" s="102"/>
    </row>
    <row r="30" spans="1:11">
      <c r="B30" t="s">
        <v>280</v>
      </c>
      <c r="C30" s="25">
        <v>0.30449999999999999</v>
      </c>
      <c r="F30" s="101">
        <v>1</v>
      </c>
      <c r="G30" s="10" t="s">
        <v>281</v>
      </c>
      <c r="H30" s="20">
        <v>0.99</v>
      </c>
      <c r="I30" s="101" t="s">
        <v>69</v>
      </c>
      <c r="J30" s="118"/>
      <c r="K30" s="118"/>
    </row>
    <row r="31" spans="1:11">
      <c r="B31" t="s">
        <v>282</v>
      </c>
      <c r="C31" s="25">
        <v>0.10150000000000001</v>
      </c>
      <c r="F31" s="101">
        <v>2</v>
      </c>
      <c r="G31" s="10" t="s">
        <v>281</v>
      </c>
      <c r="H31" s="101" t="s">
        <v>69</v>
      </c>
      <c r="I31" s="103">
        <v>0.98499999999999999</v>
      </c>
      <c r="J31" s="118"/>
      <c r="K31" s="118"/>
    </row>
    <row r="32" spans="1:11">
      <c r="B32" t="s">
        <v>33</v>
      </c>
      <c r="C32" s="25">
        <v>8.4000000000000005E-2</v>
      </c>
      <c r="F32" s="101">
        <v>3</v>
      </c>
      <c r="G32" s="10" t="s">
        <v>232</v>
      </c>
      <c r="H32" s="20">
        <v>0.01</v>
      </c>
      <c r="I32" s="103">
        <v>1.4999999999999999E-2</v>
      </c>
      <c r="J32" s="118"/>
      <c r="K32" s="118"/>
    </row>
    <row r="33" spans="1:11">
      <c r="B33" t="s">
        <v>283</v>
      </c>
      <c r="C33" s="25">
        <v>2E-3</v>
      </c>
      <c r="F33" s="126" t="s">
        <v>34</v>
      </c>
      <c r="G33" s="127"/>
      <c r="H33" s="20">
        <v>1</v>
      </c>
      <c r="I33" s="20">
        <v>1</v>
      </c>
      <c r="J33" s="118"/>
      <c r="K33" s="118"/>
    </row>
    <row r="34" spans="1:11">
      <c r="B34" t="s">
        <v>34</v>
      </c>
      <c r="C34" s="22">
        <v>1</v>
      </c>
    </row>
    <row r="36" spans="1:11">
      <c r="A36">
        <v>2</v>
      </c>
      <c r="B36" t="s">
        <v>284</v>
      </c>
    </row>
    <row r="37" spans="1:11">
      <c r="B37" t="s">
        <v>278</v>
      </c>
      <c r="C37" s="25">
        <v>0.19500000000000001</v>
      </c>
    </row>
    <row r="38" spans="1:11">
      <c r="B38" t="s">
        <v>280</v>
      </c>
      <c r="C38" s="25">
        <v>0.61550000000000005</v>
      </c>
    </row>
    <row r="39" spans="1:11">
      <c r="B39" t="s">
        <v>282</v>
      </c>
      <c r="C39" s="25">
        <v>0.10249999999999999</v>
      </c>
    </row>
    <row r="40" spans="1:11">
      <c r="B40" t="s">
        <v>33</v>
      </c>
      <c r="C40" s="25">
        <v>8.5000000000000006E-2</v>
      </c>
    </row>
    <row r="41" spans="1:11">
      <c r="B41" t="s">
        <v>32</v>
      </c>
      <c r="C41" s="25">
        <v>2E-3</v>
      </c>
    </row>
    <row r="42" spans="1:11">
      <c r="B42" t="s">
        <v>34</v>
      </c>
      <c r="C42" s="22">
        <v>1</v>
      </c>
    </row>
    <row r="44" spans="1:11">
      <c r="A44">
        <v>3</v>
      </c>
      <c r="B44" t="s">
        <v>285</v>
      </c>
    </row>
    <row r="45" spans="1:11">
      <c r="B45" t="s">
        <v>280</v>
      </c>
      <c r="C45" s="22">
        <v>0.8</v>
      </c>
    </row>
    <row r="46" spans="1:11">
      <c r="B46" t="s">
        <v>282</v>
      </c>
      <c r="C46" s="25">
        <v>0.107</v>
      </c>
    </row>
    <row r="47" spans="1:11">
      <c r="B47" t="s">
        <v>30</v>
      </c>
      <c r="C47" s="25">
        <v>9.2999999999999999E-2</v>
      </c>
    </row>
    <row r="48" spans="1:11">
      <c r="B48" t="s">
        <v>34</v>
      </c>
      <c r="C48" s="22">
        <v>1</v>
      </c>
    </row>
  </sheetData>
  <mergeCells count="26">
    <mergeCell ref="F10:G10"/>
    <mergeCell ref="F17:G17"/>
    <mergeCell ref="F26:G26"/>
    <mergeCell ref="F33:G3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22:A23"/>
    <mergeCell ref="B22:B23"/>
    <mergeCell ref="A24:A25"/>
    <mergeCell ref="B24:B25"/>
    <mergeCell ref="A16:A17"/>
    <mergeCell ref="B16:B17"/>
    <mergeCell ref="A18:A19"/>
    <mergeCell ref="B18:B19"/>
    <mergeCell ref="A20:A21"/>
    <mergeCell ref="B20:B2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workbookViewId="0">
      <selection activeCell="A2" sqref="A2"/>
    </sheetView>
  </sheetViews>
  <sheetFormatPr defaultRowHeight="15"/>
  <cols>
    <col min="1" max="1" width="3.42578125" customWidth="1"/>
    <col min="2" max="2" width="27.42578125" customWidth="1"/>
    <col min="3" max="3" width="27.5703125" customWidth="1"/>
    <col min="4" max="4" width="27.42578125" customWidth="1"/>
  </cols>
  <sheetData>
    <row r="2" spans="1:4">
      <c r="A2" s="2" t="s">
        <v>286</v>
      </c>
    </row>
    <row r="4" spans="1:4">
      <c r="A4" s="122" t="s">
        <v>2</v>
      </c>
      <c r="B4" s="122" t="s">
        <v>215</v>
      </c>
      <c r="C4" s="99" t="s">
        <v>216</v>
      </c>
      <c r="D4" s="99" t="s">
        <v>217</v>
      </c>
    </row>
    <row r="5" spans="1:4">
      <c r="A5" s="122"/>
      <c r="B5" s="122"/>
      <c r="C5" s="99" t="s">
        <v>222</v>
      </c>
      <c r="D5" s="99" t="s">
        <v>223</v>
      </c>
    </row>
    <row r="6" spans="1:4">
      <c r="A6" s="123">
        <v>1</v>
      </c>
      <c r="B6" s="124" t="s">
        <v>49</v>
      </c>
      <c r="C6" s="101" t="s">
        <v>287</v>
      </c>
      <c r="D6" s="101" t="s">
        <v>288</v>
      </c>
    </row>
    <row r="7" spans="1:4">
      <c r="A7" s="123"/>
      <c r="B7" s="124"/>
      <c r="C7" s="101" t="s">
        <v>289</v>
      </c>
      <c r="D7" s="101" t="s">
        <v>290</v>
      </c>
    </row>
    <row r="8" spans="1:4">
      <c r="A8" s="123">
        <v>2</v>
      </c>
      <c r="B8" s="124" t="s">
        <v>51</v>
      </c>
      <c r="C8" s="101" t="s">
        <v>291</v>
      </c>
      <c r="D8" s="101" t="s">
        <v>229</v>
      </c>
    </row>
    <row r="9" spans="1:4">
      <c r="A9" s="123"/>
      <c r="B9" s="124"/>
      <c r="C9" s="101" t="s">
        <v>292</v>
      </c>
      <c r="D9" s="101" t="s">
        <v>293</v>
      </c>
    </row>
    <row r="10" spans="1:4">
      <c r="A10" s="123">
        <v>3</v>
      </c>
      <c r="B10" s="124" t="s">
        <v>50</v>
      </c>
      <c r="C10" s="101" t="s">
        <v>294</v>
      </c>
      <c r="D10" s="101" t="s">
        <v>295</v>
      </c>
    </row>
    <row r="11" spans="1:4">
      <c r="A11" s="123"/>
      <c r="B11" s="124"/>
      <c r="C11" s="101" t="s">
        <v>296</v>
      </c>
      <c r="D11" s="101" t="s">
        <v>297</v>
      </c>
    </row>
    <row r="12" spans="1:4">
      <c r="A12" s="123">
        <v>4</v>
      </c>
      <c r="B12" s="124" t="s">
        <v>52</v>
      </c>
      <c r="C12" s="101" t="s">
        <v>298</v>
      </c>
      <c r="D12" s="101" t="s">
        <v>299</v>
      </c>
    </row>
    <row r="13" spans="1:4">
      <c r="A13" s="123"/>
      <c r="B13" s="124"/>
      <c r="C13" s="101" t="s">
        <v>300</v>
      </c>
      <c r="D13" s="101" t="s">
        <v>301</v>
      </c>
    </row>
  </sheetData>
  <mergeCells count="10">
    <mergeCell ref="A10:A11"/>
    <mergeCell ref="B10:B11"/>
    <mergeCell ref="A12:A13"/>
    <mergeCell ref="B12:B13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"/>
  <sheetViews>
    <sheetView workbookViewId="0">
      <selection activeCell="A2" sqref="A2"/>
    </sheetView>
  </sheetViews>
  <sheetFormatPr defaultRowHeight="15"/>
  <cols>
    <col min="1" max="1" width="3.42578125" customWidth="1"/>
    <col min="2" max="2" width="27.7109375" customWidth="1"/>
    <col min="3" max="3" width="34.5703125" customWidth="1"/>
    <col min="4" max="4" width="35.42578125" customWidth="1"/>
    <col min="6" max="6" width="3.5703125" bestFit="1" customWidth="1"/>
    <col min="7" max="7" width="18" customWidth="1"/>
    <col min="8" max="8" width="17.85546875" customWidth="1"/>
    <col min="9" max="9" width="18.28515625" customWidth="1"/>
  </cols>
  <sheetData>
    <row r="2" spans="1:9">
      <c r="A2" s="2" t="s">
        <v>302</v>
      </c>
    </row>
    <row r="4" spans="1:9">
      <c r="A4" s="122" t="s">
        <v>2</v>
      </c>
      <c r="B4" s="122" t="s">
        <v>215</v>
      </c>
      <c r="C4" s="99" t="s">
        <v>216</v>
      </c>
      <c r="D4" s="99" t="s">
        <v>217</v>
      </c>
      <c r="F4" s="102"/>
      <c r="G4" s="102"/>
      <c r="H4" s="102"/>
      <c r="I4" s="102"/>
    </row>
    <row r="5" spans="1:9">
      <c r="A5" s="122"/>
      <c r="B5" s="122"/>
      <c r="C5" s="99" t="s">
        <v>222</v>
      </c>
      <c r="D5" s="99" t="s">
        <v>223</v>
      </c>
      <c r="F5" s="118"/>
      <c r="G5" s="17"/>
      <c r="H5" s="118"/>
      <c r="I5" s="118"/>
    </row>
    <row r="6" spans="1:9">
      <c r="A6" s="123">
        <v>1</v>
      </c>
      <c r="B6" s="124" t="s">
        <v>303</v>
      </c>
      <c r="C6" s="101" t="s">
        <v>304</v>
      </c>
      <c r="D6" s="101" t="s">
        <v>305</v>
      </c>
      <c r="F6" s="118"/>
      <c r="G6" s="17"/>
      <c r="H6" s="118"/>
      <c r="I6" s="118"/>
    </row>
    <row r="7" spans="1:9">
      <c r="A7" s="123"/>
      <c r="B7" s="124"/>
      <c r="C7" s="101" t="s">
        <v>306</v>
      </c>
      <c r="D7" s="101" t="s">
        <v>307</v>
      </c>
      <c r="F7" s="118"/>
      <c r="G7" s="17"/>
      <c r="H7" s="118"/>
      <c r="I7" s="118"/>
    </row>
    <row r="8" spans="1:9">
      <c r="A8" s="123">
        <v>2</v>
      </c>
      <c r="B8" s="124" t="s">
        <v>308</v>
      </c>
      <c r="C8" s="101" t="s">
        <v>309</v>
      </c>
      <c r="D8" s="101" t="s">
        <v>310</v>
      </c>
      <c r="F8" s="128"/>
      <c r="G8" s="128"/>
      <c r="H8" s="118"/>
      <c r="I8" s="118"/>
    </row>
    <row r="9" spans="1:9">
      <c r="A9" s="123"/>
      <c r="B9" s="124"/>
      <c r="C9" s="101" t="s">
        <v>311</v>
      </c>
      <c r="D9" s="101" t="s">
        <v>312</v>
      </c>
    </row>
    <row r="10" spans="1:9">
      <c r="A10" s="123">
        <v>3</v>
      </c>
      <c r="B10" s="124" t="s">
        <v>313</v>
      </c>
      <c r="C10" s="101" t="s">
        <v>314</v>
      </c>
      <c r="D10" s="101" t="s">
        <v>315</v>
      </c>
    </row>
    <row r="11" spans="1:9">
      <c r="A11" s="123"/>
      <c r="B11" s="124"/>
      <c r="C11" s="101" t="s">
        <v>316</v>
      </c>
      <c r="D11" s="101" t="s">
        <v>230</v>
      </c>
    </row>
    <row r="12" spans="1:9">
      <c r="A12" s="123">
        <v>4</v>
      </c>
      <c r="B12" s="124" t="s">
        <v>317</v>
      </c>
      <c r="C12" s="101" t="s">
        <v>318</v>
      </c>
      <c r="D12" s="101" t="s">
        <v>319</v>
      </c>
    </row>
    <row r="13" spans="1:9">
      <c r="A13" s="123"/>
      <c r="B13" s="124"/>
      <c r="C13" s="101" t="s">
        <v>320</v>
      </c>
      <c r="D13" s="101" t="s">
        <v>321</v>
      </c>
    </row>
    <row r="14" spans="1:9">
      <c r="A14" s="123">
        <v>5</v>
      </c>
      <c r="B14" s="124" t="s">
        <v>322</v>
      </c>
      <c r="C14" s="3" t="s">
        <v>323</v>
      </c>
      <c r="D14" s="3" t="s">
        <v>288</v>
      </c>
    </row>
    <row r="15" spans="1:9">
      <c r="A15" s="123"/>
      <c r="B15" s="124"/>
      <c r="C15" s="3" t="s">
        <v>324</v>
      </c>
      <c r="D15" s="3" t="s">
        <v>325</v>
      </c>
    </row>
    <row r="17" spans="1:9">
      <c r="A17" s="122" t="s">
        <v>2</v>
      </c>
      <c r="B17" s="122" t="s">
        <v>215</v>
      </c>
      <c r="C17" s="99" t="s">
        <v>216</v>
      </c>
      <c r="D17" s="99" t="s">
        <v>217</v>
      </c>
      <c r="F17" s="99" t="s">
        <v>2</v>
      </c>
      <c r="G17" s="99" t="s">
        <v>186</v>
      </c>
      <c r="H17" s="99" t="s">
        <v>218</v>
      </c>
      <c r="I17" s="99" t="s">
        <v>219</v>
      </c>
    </row>
    <row r="18" spans="1:9">
      <c r="A18" s="122"/>
      <c r="B18" s="122"/>
      <c r="C18" s="99" t="s">
        <v>222</v>
      </c>
      <c r="D18" s="99" t="s">
        <v>223</v>
      </c>
      <c r="F18" s="101">
        <v>1</v>
      </c>
      <c r="G18" s="10" t="s">
        <v>188</v>
      </c>
      <c r="H18" s="20">
        <v>0.94</v>
      </c>
      <c r="I18" s="101" t="s">
        <v>69</v>
      </c>
    </row>
    <row r="19" spans="1:9">
      <c r="A19" s="123">
        <v>1</v>
      </c>
      <c r="B19" s="124" t="s">
        <v>326</v>
      </c>
      <c r="C19" s="101" t="s">
        <v>327</v>
      </c>
      <c r="D19" s="101" t="s">
        <v>328</v>
      </c>
      <c r="F19" s="101">
        <v>2</v>
      </c>
      <c r="G19" s="10" t="s">
        <v>190</v>
      </c>
      <c r="H19" s="101" t="s">
        <v>69</v>
      </c>
      <c r="I19" s="20">
        <v>0.92</v>
      </c>
    </row>
    <row r="20" spans="1:9">
      <c r="A20" s="123"/>
      <c r="B20" s="124"/>
      <c r="C20" s="101" t="s">
        <v>311</v>
      </c>
      <c r="D20" s="101" t="s">
        <v>329</v>
      </c>
      <c r="F20" s="101">
        <v>3</v>
      </c>
      <c r="G20" s="10" t="s">
        <v>330</v>
      </c>
      <c r="H20" s="20">
        <v>0.06</v>
      </c>
      <c r="I20" s="20">
        <v>0.08</v>
      </c>
    </row>
    <row r="21" spans="1:9">
      <c r="A21" s="123">
        <v>2</v>
      </c>
      <c r="B21" s="124" t="s">
        <v>331</v>
      </c>
      <c r="C21" s="101" t="s">
        <v>332</v>
      </c>
      <c r="D21" s="101" t="s">
        <v>333</v>
      </c>
      <c r="F21" s="126" t="s">
        <v>34</v>
      </c>
      <c r="G21" s="127"/>
      <c r="H21" s="20">
        <v>1</v>
      </c>
      <c r="I21" s="20">
        <v>1</v>
      </c>
    </row>
    <row r="22" spans="1:9">
      <c r="A22" s="123"/>
      <c r="B22" s="124"/>
      <c r="C22" s="101" t="s">
        <v>334</v>
      </c>
      <c r="D22" s="101" t="s">
        <v>335</v>
      </c>
    </row>
  </sheetData>
  <mergeCells count="20">
    <mergeCell ref="A4:A5"/>
    <mergeCell ref="B4:B5"/>
    <mergeCell ref="A6:A7"/>
    <mergeCell ref="B6:B7"/>
    <mergeCell ref="A8:A9"/>
    <mergeCell ref="B8:B9"/>
    <mergeCell ref="A19:A20"/>
    <mergeCell ref="B19:B20"/>
    <mergeCell ref="A21:A22"/>
    <mergeCell ref="B21:B22"/>
    <mergeCell ref="F8:G8"/>
    <mergeCell ref="F21:G21"/>
    <mergeCell ref="A10:A11"/>
    <mergeCell ref="B10:B11"/>
    <mergeCell ref="A12:A13"/>
    <mergeCell ref="B12:B13"/>
    <mergeCell ref="A14:A15"/>
    <mergeCell ref="B14:B15"/>
    <mergeCell ref="A17:A18"/>
    <mergeCell ref="B17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13"/>
  <sheetViews>
    <sheetView topLeftCell="A3" workbookViewId="0">
      <selection activeCell="A4" sqref="A4:A5"/>
    </sheetView>
  </sheetViews>
  <sheetFormatPr defaultRowHeight="15"/>
  <cols>
    <col min="1" max="1" width="4.85546875" customWidth="1"/>
    <col min="2" max="2" width="44.7109375" customWidth="1"/>
    <col min="3" max="3" width="34.42578125" customWidth="1"/>
    <col min="4" max="4" width="35.7109375" customWidth="1"/>
    <col min="6" max="6" width="3.5703125" bestFit="1" customWidth="1"/>
    <col min="7" max="7" width="24.7109375" bestFit="1" customWidth="1"/>
    <col min="9" max="9" width="9.140625" customWidth="1"/>
  </cols>
  <sheetData>
    <row r="2" spans="1:11">
      <c r="A2" s="2" t="s">
        <v>336</v>
      </c>
    </row>
    <row r="4" spans="1:11">
      <c r="A4" s="122" t="s">
        <v>2</v>
      </c>
      <c r="B4" s="122" t="s">
        <v>215</v>
      </c>
      <c r="C4" s="99" t="s">
        <v>216</v>
      </c>
      <c r="D4" s="99" t="s">
        <v>217</v>
      </c>
      <c r="F4" s="99" t="s">
        <v>2</v>
      </c>
      <c r="G4" s="99" t="s">
        <v>186</v>
      </c>
      <c r="H4" s="129" t="s">
        <v>337</v>
      </c>
      <c r="I4" s="130"/>
      <c r="J4" s="129" t="s">
        <v>338</v>
      </c>
      <c r="K4" s="130"/>
    </row>
    <row r="5" spans="1:11">
      <c r="A5" s="122"/>
      <c r="B5" s="122"/>
      <c r="C5" s="99" t="s">
        <v>222</v>
      </c>
      <c r="D5" s="99" t="s">
        <v>223</v>
      </c>
      <c r="F5" s="101">
        <v>1</v>
      </c>
      <c r="G5" s="10" t="s">
        <v>188</v>
      </c>
      <c r="H5" s="103">
        <v>0.95499999999999996</v>
      </c>
      <c r="I5" s="103">
        <v>0.94499999999999995</v>
      </c>
      <c r="J5" s="101" t="s">
        <v>69</v>
      </c>
      <c r="K5" s="101" t="s">
        <v>69</v>
      </c>
    </row>
    <row r="6" spans="1:11">
      <c r="A6" s="123">
        <v>1</v>
      </c>
      <c r="B6" s="124" t="s">
        <v>339</v>
      </c>
      <c r="C6" s="101" t="s">
        <v>340</v>
      </c>
      <c r="D6" s="101" t="s">
        <v>341</v>
      </c>
      <c r="F6" s="101">
        <v>2</v>
      </c>
      <c r="G6" s="10" t="s">
        <v>190</v>
      </c>
      <c r="H6" s="101" t="s">
        <v>69</v>
      </c>
      <c r="I6" s="101" t="s">
        <v>69</v>
      </c>
      <c r="J6" s="103">
        <v>0.94499999999999995</v>
      </c>
      <c r="K6" s="20">
        <v>0.93</v>
      </c>
    </row>
    <row r="7" spans="1:11">
      <c r="A7" s="123"/>
      <c r="B7" s="124"/>
      <c r="C7" s="101" t="s">
        <v>342</v>
      </c>
      <c r="D7" s="101" t="s">
        <v>343</v>
      </c>
      <c r="F7" s="101">
        <v>3</v>
      </c>
      <c r="G7" s="10" t="s">
        <v>344</v>
      </c>
      <c r="H7" s="103">
        <v>4.4999999999999998E-2</v>
      </c>
      <c r="I7" s="103">
        <v>5.5E-2</v>
      </c>
      <c r="J7" s="20">
        <v>0.06</v>
      </c>
      <c r="K7" s="20">
        <v>7.0000000000000007E-2</v>
      </c>
    </row>
    <row r="8" spans="1:11">
      <c r="A8" s="123">
        <v>2</v>
      </c>
      <c r="B8" s="124" t="s">
        <v>345</v>
      </c>
      <c r="C8" s="101" t="s">
        <v>346</v>
      </c>
      <c r="D8" s="101" t="s">
        <v>347</v>
      </c>
      <c r="F8" s="126" t="s">
        <v>34</v>
      </c>
      <c r="G8" s="127"/>
      <c r="H8" s="20">
        <v>1</v>
      </c>
      <c r="I8" s="20">
        <v>1</v>
      </c>
      <c r="J8" s="20">
        <v>1</v>
      </c>
      <c r="K8" s="20">
        <v>1</v>
      </c>
    </row>
    <row r="9" spans="1:11">
      <c r="A9" s="123"/>
      <c r="B9" s="124"/>
      <c r="C9" s="101" t="s">
        <v>348</v>
      </c>
      <c r="D9" s="101" t="s">
        <v>349</v>
      </c>
    </row>
    <row r="10" spans="1:11">
      <c r="A10" s="123">
        <v>3</v>
      </c>
      <c r="B10" s="124" t="s">
        <v>350</v>
      </c>
      <c r="C10" s="101" t="s">
        <v>351</v>
      </c>
      <c r="D10" s="101" t="s">
        <v>352</v>
      </c>
    </row>
    <row r="11" spans="1:11">
      <c r="A11" s="123"/>
      <c r="B11" s="124"/>
      <c r="C11" s="101" t="s">
        <v>353</v>
      </c>
      <c r="D11" s="101" t="s">
        <v>354</v>
      </c>
    </row>
    <row r="12" spans="1:11">
      <c r="A12" s="123">
        <v>4</v>
      </c>
      <c r="B12" s="124" t="s">
        <v>355</v>
      </c>
      <c r="C12" s="101" t="s">
        <v>356</v>
      </c>
      <c r="D12" s="101" t="s">
        <v>357</v>
      </c>
    </row>
    <row r="13" spans="1:11">
      <c r="A13" s="123"/>
      <c r="B13" s="124"/>
      <c r="C13" s="101" t="s">
        <v>358</v>
      </c>
      <c r="D13" s="101" t="s">
        <v>359</v>
      </c>
    </row>
  </sheetData>
  <mergeCells count="13">
    <mergeCell ref="F8:G8"/>
    <mergeCell ref="H4:I4"/>
    <mergeCell ref="J4:K4"/>
    <mergeCell ref="A10:A11"/>
    <mergeCell ref="B10:B11"/>
    <mergeCell ref="A12:A13"/>
    <mergeCell ref="B12:B13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7"/>
  <sheetViews>
    <sheetView workbookViewId="0">
      <selection activeCell="A2" sqref="A2"/>
    </sheetView>
  </sheetViews>
  <sheetFormatPr defaultRowHeight="15"/>
  <cols>
    <col min="1" max="1" width="4" customWidth="1"/>
    <col min="2" max="2" width="42.28515625" customWidth="1"/>
    <col min="3" max="3" width="34.7109375" customWidth="1"/>
    <col min="4" max="4" width="35.42578125" customWidth="1"/>
    <col min="6" max="6" width="3.5703125" bestFit="1" customWidth="1"/>
    <col min="7" max="7" width="22.7109375" bestFit="1" customWidth="1"/>
  </cols>
  <sheetData>
    <row r="2" spans="1:12">
      <c r="A2" s="2" t="s">
        <v>360</v>
      </c>
    </row>
    <row r="4" spans="1:12">
      <c r="A4" s="122" t="s">
        <v>2</v>
      </c>
      <c r="B4" s="122" t="s">
        <v>215</v>
      </c>
      <c r="C4" s="99" t="s">
        <v>216</v>
      </c>
      <c r="D4" s="99" t="s">
        <v>217</v>
      </c>
      <c r="F4" s="99" t="s">
        <v>2</v>
      </c>
      <c r="G4" s="99" t="s">
        <v>186</v>
      </c>
      <c r="H4" s="129" t="s">
        <v>361</v>
      </c>
      <c r="I4" s="131"/>
      <c r="J4" s="130"/>
      <c r="K4" s="122" t="s">
        <v>362</v>
      </c>
      <c r="L4" s="122"/>
    </row>
    <row r="5" spans="1:12">
      <c r="A5" s="122"/>
      <c r="B5" s="122"/>
      <c r="C5" s="99" t="s">
        <v>222</v>
      </c>
      <c r="D5" s="99" t="s">
        <v>223</v>
      </c>
      <c r="F5" s="101">
        <v>1</v>
      </c>
      <c r="G5" s="10" t="s">
        <v>363</v>
      </c>
      <c r="H5" s="20">
        <v>0.96</v>
      </c>
      <c r="I5" s="20">
        <v>0.95</v>
      </c>
      <c r="J5" s="103">
        <v>0.93500000000000005</v>
      </c>
      <c r="K5" s="101" t="s">
        <v>69</v>
      </c>
      <c r="L5" s="3" t="s">
        <v>69</v>
      </c>
    </row>
    <row r="6" spans="1:12">
      <c r="A6" s="123">
        <v>1</v>
      </c>
      <c r="B6" s="124" t="s">
        <v>364</v>
      </c>
      <c r="C6" s="101" t="s">
        <v>365</v>
      </c>
      <c r="D6" s="101" t="s">
        <v>366</v>
      </c>
      <c r="F6" s="101">
        <v>2</v>
      </c>
      <c r="G6" s="10" t="s">
        <v>367</v>
      </c>
      <c r="H6" s="101" t="s">
        <v>69</v>
      </c>
      <c r="I6" s="101" t="s">
        <v>69</v>
      </c>
      <c r="J6" s="101" t="s">
        <v>69</v>
      </c>
      <c r="K6" s="20">
        <v>0.94</v>
      </c>
      <c r="L6" s="28">
        <v>0.93</v>
      </c>
    </row>
    <row r="7" spans="1:12">
      <c r="A7" s="123"/>
      <c r="B7" s="124"/>
      <c r="C7" s="101" t="s">
        <v>368</v>
      </c>
      <c r="D7" s="101" t="s">
        <v>369</v>
      </c>
      <c r="F7" s="101">
        <v>3</v>
      </c>
      <c r="G7" s="10" t="s">
        <v>370</v>
      </c>
      <c r="H7" s="20">
        <v>0.04</v>
      </c>
      <c r="I7" s="20">
        <v>0.05</v>
      </c>
      <c r="J7" s="103">
        <v>6.5000000000000002E-2</v>
      </c>
      <c r="K7" s="20">
        <v>0.06</v>
      </c>
      <c r="L7" s="28">
        <v>7.0000000000000007E-2</v>
      </c>
    </row>
    <row r="8" spans="1:12">
      <c r="A8" s="123">
        <v>2</v>
      </c>
      <c r="B8" s="124" t="s">
        <v>371</v>
      </c>
      <c r="C8" s="101" t="s">
        <v>372</v>
      </c>
      <c r="D8" s="101" t="s">
        <v>373</v>
      </c>
      <c r="F8" s="101">
        <v>4</v>
      </c>
      <c r="G8" s="10" t="s">
        <v>23</v>
      </c>
      <c r="H8" s="101" t="s">
        <v>69</v>
      </c>
      <c r="I8" s="101" t="s">
        <v>69</v>
      </c>
      <c r="J8" s="101" t="s">
        <v>69</v>
      </c>
      <c r="K8" s="101" t="s">
        <v>69</v>
      </c>
      <c r="L8" s="3" t="s">
        <v>69</v>
      </c>
    </row>
    <row r="9" spans="1:12">
      <c r="A9" s="123"/>
      <c r="B9" s="124"/>
      <c r="C9" s="101" t="s">
        <v>368</v>
      </c>
      <c r="D9" s="101" t="s">
        <v>374</v>
      </c>
      <c r="F9" s="129" t="s">
        <v>34</v>
      </c>
      <c r="G9" s="132"/>
      <c r="H9" s="20">
        <v>1</v>
      </c>
      <c r="I9" s="20">
        <v>1</v>
      </c>
      <c r="J9" s="20">
        <v>1</v>
      </c>
      <c r="K9" s="27">
        <v>1</v>
      </c>
      <c r="L9" s="28">
        <v>1</v>
      </c>
    </row>
    <row r="10" spans="1:12">
      <c r="A10" s="123">
        <v>3</v>
      </c>
      <c r="B10" s="124" t="s">
        <v>375</v>
      </c>
      <c r="C10" s="101" t="s">
        <v>376</v>
      </c>
      <c r="D10" s="101" t="s">
        <v>377</v>
      </c>
      <c r="F10" s="15"/>
      <c r="G10" s="15"/>
      <c r="H10" s="118"/>
      <c r="I10" s="118"/>
      <c r="J10" s="118"/>
      <c r="K10" s="118"/>
    </row>
    <row r="11" spans="1:12">
      <c r="A11" s="123"/>
      <c r="B11" s="124"/>
      <c r="C11" s="101" t="s">
        <v>378</v>
      </c>
      <c r="D11" s="101" t="s">
        <v>379</v>
      </c>
    </row>
    <row r="12" spans="1:12">
      <c r="A12" s="123">
        <v>4</v>
      </c>
      <c r="B12" s="124" t="s">
        <v>380</v>
      </c>
      <c r="C12" s="101" t="s">
        <v>381</v>
      </c>
      <c r="D12" s="101" t="s">
        <v>382</v>
      </c>
    </row>
    <row r="13" spans="1:12">
      <c r="A13" s="123"/>
      <c r="B13" s="124"/>
      <c r="C13" s="101" t="s">
        <v>383</v>
      </c>
      <c r="D13" s="101" t="s">
        <v>384</v>
      </c>
    </row>
    <row r="14" spans="1:12">
      <c r="A14" s="123">
        <v>5</v>
      </c>
      <c r="B14" s="124" t="s">
        <v>385</v>
      </c>
      <c r="C14" s="101" t="s">
        <v>386</v>
      </c>
      <c r="D14" s="101" t="s">
        <v>387</v>
      </c>
    </row>
    <row r="15" spans="1:12">
      <c r="A15" s="123"/>
      <c r="B15" s="124"/>
      <c r="C15" s="101" t="s">
        <v>388</v>
      </c>
      <c r="D15" s="101" t="s">
        <v>307</v>
      </c>
    </row>
    <row r="17" spans="1:4">
      <c r="A17" t="s">
        <v>389</v>
      </c>
    </row>
    <row r="18" spans="1:4">
      <c r="B18" s="124" t="s">
        <v>390</v>
      </c>
      <c r="C18" s="3" t="s">
        <v>391</v>
      </c>
      <c r="D18" s="3" t="s">
        <v>392</v>
      </c>
    </row>
    <row r="19" spans="1:4">
      <c r="B19" s="124"/>
      <c r="C19" s="3" t="s">
        <v>393</v>
      </c>
      <c r="D19" s="4" t="s">
        <v>394</v>
      </c>
    </row>
    <row r="20" spans="1:4">
      <c r="B20" s="5" t="s">
        <v>395</v>
      </c>
      <c r="C20" s="6" t="s">
        <v>396</v>
      </c>
    </row>
    <row r="21" spans="1:4">
      <c r="B21" s="5" t="s">
        <v>397</v>
      </c>
      <c r="C21" s="8" t="s">
        <v>398</v>
      </c>
    </row>
    <row r="23" spans="1:4">
      <c r="B23" s="5" t="s">
        <v>399</v>
      </c>
      <c r="C23" s="6" t="s">
        <v>396</v>
      </c>
    </row>
    <row r="24" spans="1:4">
      <c r="B24" s="5" t="s">
        <v>400</v>
      </c>
      <c r="C24" s="6" t="s">
        <v>401</v>
      </c>
    </row>
    <row r="26" spans="1:4">
      <c r="B26" s="5" t="s">
        <v>41</v>
      </c>
      <c r="C26" s="5" t="s">
        <v>396</v>
      </c>
    </row>
    <row r="27" spans="1:4">
      <c r="B27" s="5" t="s">
        <v>402</v>
      </c>
      <c r="C27" s="7">
        <v>0.11600000000000001</v>
      </c>
    </row>
  </sheetData>
  <mergeCells count="16">
    <mergeCell ref="H4:J4"/>
    <mergeCell ref="F9:G9"/>
    <mergeCell ref="K4:L4"/>
    <mergeCell ref="A4:A5"/>
    <mergeCell ref="B4:B5"/>
    <mergeCell ref="A6:A7"/>
    <mergeCell ref="B6:B7"/>
    <mergeCell ref="A8:A9"/>
    <mergeCell ref="B8:B9"/>
    <mergeCell ref="B18:B19"/>
    <mergeCell ref="A10:A11"/>
    <mergeCell ref="B10:B11"/>
    <mergeCell ref="A12:A13"/>
    <mergeCell ref="B12:B13"/>
    <mergeCell ref="A14:A15"/>
    <mergeCell ref="B14:B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2"/>
  <sheetViews>
    <sheetView workbookViewId="0">
      <selection activeCell="A4" sqref="A4:A5"/>
    </sheetView>
  </sheetViews>
  <sheetFormatPr defaultRowHeight="15"/>
  <cols>
    <col min="1" max="1" width="4.140625" customWidth="1"/>
    <col min="2" max="2" width="30.85546875" bestFit="1" customWidth="1"/>
    <col min="3" max="3" width="34.42578125" customWidth="1"/>
    <col min="4" max="4" width="35.7109375" customWidth="1"/>
    <col min="6" max="6" width="16.5703125" bestFit="1" customWidth="1"/>
    <col min="7" max="8" width="14.28515625" bestFit="1" customWidth="1"/>
  </cols>
  <sheetData>
    <row r="2" spans="1:8">
      <c r="A2" s="1" t="s">
        <v>67</v>
      </c>
    </row>
    <row r="4" spans="1:8">
      <c r="A4" s="122" t="s">
        <v>2</v>
      </c>
      <c r="B4" s="122" t="s">
        <v>215</v>
      </c>
      <c r="C4" s="99" t="s">
        <v>216</v>
      </c>
      <c r="D4" s="99" t="s">
        <v>217</v>
      </c>
      <c r="F4" s="9" t="s">
        <v>403</v>
      </c>
    </row>
    <row r="5" spans="1:8">
      <c r="A5" s="122"/>
      <c r="B5" s="122"/>
      <c r="C5" s="99" t="s">
        <v>222</v>
      </c>
      <c r="D5" s="99" t="s">
        <v>223</v>
      </c>
      <c r="F5" s="5" t="s">
        <v>10</v>
      </c>
      <c r="G5" s="29">
        <v>0.90910000000000002</v>
      </c>
    </row>
    <row r="6" spans="1:8">
      <c r="A6" s="123">
        <v>1</v>
      </c>
      <c r="B6" s="124" t="s">
        <v>404</v>
      </c>
      <c r="C6" s="101" t="s">
        <v>405</v>
      </c>
      <c r="D6" s="101" t="s">
        <v>69</v>
      </c>
      <c r="F6" s="5" t="s">
        <v>200</v>
      </c>
      <c r="G6" s="29">
        <v>9.0899999999999995E-2</v>
      </c>
    </row>
    <row r="7" spans="1:8">
      <c r="A7" s="123"/>
      <c r="B7" s="124"/>
      <c r="C7" s="101" t="s">
        <v>406</v>
      </c>
      <c r="D7" s="101" t="s">
        <v>69</v>
      </c>
      <c r="F7" s="4" t="s">
        <v>34</v>
      </c>
      <c r="G7" s="24">
        <v>1</v>
      </c>
    </row>
    <row r="8" spans="1:8">
      <c r="A8" s="123">
        <v>2</v>
      </c>
      <c r="B8" s="124" t="s">
        <v>407</v>
      </c>
      <c r="C8" s="101" t="s">
        <v>408</v>
      </c>
      <c r="D8" s="101" t="s">
        <v>69</v>
      </c>
    </row>
    <row r="9" spans="1:8">
      <c r="A9" s="123"/>
      <c r="B9" s="124"/>
      <c r="C9" s="101" t="s">
        <v>409</v>
      </c>
      <c r="D9" s="101" t="s">
        <v>69</v>
      </c>
      <c r="F9" s="100" t="s">
        <v>410</v>
      </c>
      <c r="G9" s="100" t="s">
        <v>411</v>
      </c>
      <c r="H9" s="100" t="s">
        <v>412</v>
      </c>
    </row>
    <row r="10" spans="1:8">
      <c r="F10" s="5" t="s">
        <v>403</v>
      </c>
      <c r="G10" s="24">
        <v>0.92</v>
      </c>
      <c r="H10" s="24">
        <v>0.91</v>
      </c>
    </row>
    <row r="11" spans="1:8">
      <c r="F11" s="5" t="s">
        <v>370</v>
      </c>
      <c r="G11" s="24">
        <v>0.08</v>
      </c>
      <c r="H11" s="24">
        <v>0.09</v>
      </c>
    </row>
    <row r="12" spans="1:8">
      <c r="F12" s="4" t="s">
        <v>34</v>
      </c>
      <c r="G12" s="24">
        <v>1</v>
      </c>
      <c r="H12" s="24">
        <v>1</v>
      </c>
    </row>
  </sheetData>
  <mergeCells count="6"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36"/>
  <sheetViews>
    <sheetView workbookViewId="0">
      <selection activeCell="A4" sqref="A4:A5"/>
    </sheetView>
  </sheetViews>
  <sheetFormatPr defaultRowHeight="15"/>
  <cols>
    <col min="1" max="1" width="5.85546875" customWidth="1"/>
    <col min="2" max="2" width="40.5703125" bestFit="1" customWidth="1"/>
    <col min="3" max="3" width="34.42578125" customWidth="1"/>
    <col min="4" max="4" width="35.7109375" customWidth="1"/>
    <col min="6" max="6" width="3.5703125" bestFit="1" customWidth="1"/>
    <col min="7" max="7" width="18.85546875" bestFit="1" customWidth="1"/>
    <col min="8" max="10" width="11.140625" bestFit="1" customWidth="1"/>
  </cols>
  <sheetData>
    <row r="2" spans="1:12">
      <c r="A2" s="2" t="s">
        <v>413</v>
      </c>
    </row>
    <row r="3" spans="1:12">
      <c r="G3" s="9" t="s">
        <v>414</v>
      </c>
    </row>
    <row r="4" spans="1:12">
      <c r="A4" s="122" t="s">
        <v>2</v>
      </c>
      <c r="B4" s="122" t="s">
        <v>215</v>
      </c>
      <c r="C4" s="99" t="s">
        <v>216</v>
      </c>
      <c r="D4" s="99" t="s">
        <v>217</v>
      </c>
      <c r="F4" s="99" t="s">
        <v>2</v>
      </c>
      <c r="G4" s="99" t="s">
        <v>186</v>
      </c>
      <c r="H4" s="19" t="s">
        <v>415</v>
      </c>
      <c r="I4" s="19" t="s">
        <v>416</v>
      </c>
      <c r="J4" s="18"/>
      <c r="K4" s="133"/>
      <c r="L4" s="133"/>
    </row>
    <row r="5" spans="1:12">
      <c r="A5" s="122"/>
      <c r="B5" s="122"/>
      <c r="C5" s="99" t="s">
        <v>222</v>
      </c>
      <c r="D5" s="99" t="s">
        <v>223</v>
      </c>
      <c r="F5" s="101">
        <v>1</v>
      </c>
      <c r="G5" s="10" t="s">
        <v>367</v>
      </c>
      <c r="H5" s="20">
        <v>0.94</v>
      </c>
      <c r="I5" s="20">
        <v>0.95</v>
      </c>
      <c r="J5" s="118"/>
      <c r="K5" s="118"/>
      <c r="L5" s="14"/>
    </row>
    <row r="6" spans="1:12">
      <c r="A6" s="123">
        <v>1</v>
      </c>
      <c r="B6" s="124" t="s">
        <v>417</v>
      </c>
      <c r="C6" s="101" t="s">
        <v>418</v>
      </c>
      <c r="D6" s="101" t="s">
        <v>419</v>
      </c>
      <c r="F6" s="101">
        <v>2</v>
      </c>
      <c r="G6" s="10" t="s">
        <v>420</v>
      </c>
      <c r="H6" s="20">
        <v>0.06</v>
      </c>
      <c r="I6" s="20">
        <v>0.05</v>
      </c>
      <c r="J6" s="118"/>
      <c r="K6" s="118"/>
      <c r="L6" s="14"/>
    </row>
    <row r="7" spans="1:12">
      <c r="A7" s="123"/>
      <c r="B7" s="124"/>
      <c r="C7" s="101" t="s">
        <v>421</v>
      </c>
      <c r="D7" s="101" t="s">
        <v>422</v>
      </c>
      <c r="F7" s="122" t="s">
        <v>34</v>
      </c>
      <c r="G7" s="123"/>
      <c r="H7" s="20">
        <v>1</v>
      </c>
      <c r="I7" s="20">
        <v>1</v>
      </c>
      <c r="J7" s="118"/>
      <c r="K7" s="118"/>
      <c r="L7" s="14"/>
    </row>
    <row r="8" spans="1:12">
      <c r="A8" s="123">
        <v>2</v>
      </c>
      <c r="B8" s="124" t="s">
        <v>371</v>
      </c>
      <c r="C8" s="101" t="s">
        <v>423</v>
      </c>
      <c r="D8" s="101" t="s">
        <v>424</v>
      </c>
      <c r="F8" s="118"/>
      <c r="G8" s="17"/>
      <c r="H8" s="118"/>
      <c r="I8" s="118"/>
      <c r="J8" s="118"/>
      <c r="K8" s="118"/>
      <c r="L8" s="14"/>
    </row>
    <row r="9" spans="1:12">
      <c r="A9" s="123"/>
      <c r="B9" s="124"/>
      <c r="C9" s="101" t="s">
        <v>425</v>
      </c>
      <c r="D9" s="101" t="s">
        <v>426</v>
      </c>
      <c r="F9" s="18"/>
      <c r="G9" s="18" t="s">
        <v>427</v>
      </c>
      <c r="H9" s="118"/>
      <c r="I9" s="118"/>
      <c r="J9" s="118"/>
      <c r="K9" s="118"/>
      <c r="L9" s="14"/>
    </row>
    <row r="10" spans="1:12">
      <c r="A10" s="123">
        <v>3</v>
      </c>
      <c r="B10" s="124" t="s">
        <v>375</v>
      </c>
      <c r="C10" s="101" t="s">
        <v>428</v>
      </c>
      <c r="D10" s="101" t="s">
        <v>429</v>
      </c>
      <c r="F10" s="99" t="s">
        <v>2</v>
      </c>
      <c r="G10" s="99" t="s">
        <v>186</v>
      </c>
      <c r="H10" s="19" t="s">
        <v>430</v>
      </c>
      <c r="I10" s="19" t="s">
        <v>431</v>
      </c>
      <c r="J10" s="10" t="s">
        <v>432</v>
      </c>
    </row>
    <row r="11" spans="1:12">
      <c r="A11" s="123"/>
      <c r="B11" s="124"/>
      <c r="C11" s="101" t="s">
        <v>433</v>
      </c>
      <c r="D11" s="101" t="s">
        <v>434</v>
      </c>
      <c r="F11" s="101">
        <v>1</v>
      </c>
      <c r="G11" s="10" t="s">
        <v>367</v>
      </c>
      <c r="H11" s="20">
        <v>0.92</v>
      </c>
      <c r="I11" s="20">
        <v>0.9</v>
      </c>
      <c r="J11" s="20">
        <v>0.92</v>
      </c>
    </row>
    <row r="12" spans="1:12">
      <c r="A12" s="123">
        <v>4</v>
      </c>
      <c r="B12" s="124" t="s">
        <v>380</v>
      </c>
      <c r="C12" s="101" t="s">
        <v>435</v>
      </c>
      <c r="D12" s="101" t="s">
        <v>436</v>
      </c>
      <c r="F12" s="101">
        <v>2</v>
      </c>
      <c r="G12" s="10" t="s">
        <v>20</v>
      </c>
      <c r="H12" s="20">
        <v>0.08</v>
      </c>
      <c r="I12" s="20">
        <v>0.1</v>
      </c>
      <c r="J12" s="101" t="s">
        <v>69</v>
      </c>
    </row>
    <row r="13" spans="1:12">
      <c r="A13" s="123"/>
      <c r="B13" s="124"/>
      <c r="C13" s="101" t="s">
        <v>437</v>
      </c>
      <c r="D13" s="101" t="s">
        <v>438</v>
      </c>
      <c r="F13" s="21">
        <v>3</v>
      </c>
      <c r="G13" s="19" t="s">
        <v>439</v>
      </c>
      <c r="H13" s="101" t="s">
        <v>69</v>
      </c>
      <c r="I13" s="101" t="s">
        <v>69</v>
      </c>
      <c r="J13" s="20">
        <v>0.08</v>
      </c>
    </row>
    <row r="14" spans="1:12">
      <c r="A14" s="123">
        <v>5</v>
      </c>
      <c r="B14" s="124" t="s">
        <v>385</v>
      </c>
      <c r="C14" s="101" t="s">
        <v>440</v>
      </c>
      <c r="D14" s="101" t="s">
        <v>441</v>
      </c>
      <c r="F14" s="5"/>
      <c r="G14" s="10" t="s">
        <v>34</v>
      </c>
      <c r="H14" s="20">
        <v>1</v>
      </c>
      <c r="I14" s="20">
        <v>1</v>
      </c>
      <c r="J14" s="20">
        <v>1</v>
      </c>
    </row>
    <row r="15" spans="1:12">
      <c r="A15" s="123"/>
      <c r="B15" s="124"/>
      <c r="C15" s="101" t="s">
        <v>442</v>
      </c>
      <c r="D15" s="101" t="s">
        <v>443</v>
      </c>
    </row>
    <row r="17" spans="1:3">
      <c r="A17" t="s">
        <v>444</v>
      </c>
    </row>
    <row r="18" spans="1:3">
      <c r="B18" s="9" t="s">
        <v>445</v>
      </c>
    </row>
    <row r="19" spans="1:3">
      <c r="B19" t="s">
        <v>446</v>
      </c>
      <c r="C19" t="s">
        <v>447</v>
      </c>
    </row>
    <row r="20" spans="1:3">
      <c r="B20" t="s">
        <v>448</v>
      </c>
      <c r="C20" s="2" t="s">
        <v>449</v>
      </c>
    </row>
    <row r="21" spans="1:3">
      <c r="B21" t="s">
        <v>450</v>
      </c>
      <c r="C21" t="s">
        <v>451</v>
      </c>
    </row>
    <row r="23" spans="1:3">
      <c r="A23" t="s">
        <v>452</v>
      </c>
    </row>
    <row r="24" spans="1:3">
      <c r="B24" s="9" t="s">
        <v>445</v>
      </c>
    </row>
    <row r="25" spans="1:3">
      <c r="A25" s="9" t="s">
        <v>453</v>
      </c>
      <c r="B25" t="s">
        <v>448</v>
      </c>
      <c r="C25" t="s">
        <v>454</v>
      </c>
    </row>
    <row r="26" spans="1:3">
      <c r="B26" t="s">
        <v>455</v>
      </c>
      <c r="C26" t="s">
        <v>456</v>
      </c>
    </row>
    <row r="27" spans="1:3">
      <c r="B27" t="s">
        <v>457</v>
      </c>
      <c r="C27" t="s">
        <v>458</v>
      </c>
    </row>
    <row r="28" spans="1:3">
      <c r="B28" t="s">
        <v>459</v>
      </c>
      <c r="C28" s="16">
        <v>1.4246000000000001</v>
      </c>
    </row>
    <row r="29" spans="1:3">
      <c r="B29" t="s">
        <v>460</v>
      </c>
      <c r="C29" t="s">
        <v>461</v>
      </c>
    </row>
    <row r="31" spans="1:3">
      <c r="A31" s="9" t="s">
        <v>462</v>
      </c>
      <c r="B31" s="9" t="s">
        <v>445</v>
      </c>
    </row>
    <row r="32" spans="1:3">
      <c r="B32" t="s">
        <v>448</v>
      </c>
      <c r="C32" t="s">
        <v>454</v>
      </c>
    </row>
    <row r="33" spans="2:3">
      <c r="B33" t="s">
        <v>455</v>
      </c>
      <c r="C33" t="s">
        <v>463</v>
      </c>
    </row>
    <row r="34" spans="2:3">
      <c r="B34" t="s">
        <v>464</v>
      </c>
      <c r="C34" t="s">
        <v>465</v>
      </c>
    </row>
    <row r="35" spans="2:3">
      <c r="B35" t="s">
        <v>459</v>
      </c>
      <c r="C35" s="16">
        <v>1.3358399999999999</v>
      </c>
    </row>
    <row r="36" spans="2:3">
      <c r="B36" t="s">
        <v>460</v>
      </c>
      <c r="C36" t="s">
        <v>466</v>
      </c>
    </row>
  </sheetData>
  <mergeCells count="14">
    <mergeCell ref="K4:L4"/>
    <mergeCell ref="F7:G7"/>
    <mergeCell ref="A10:A11"/>
    <mergeCell ref="B10:B11"/>
    <mergeCell ref="A12:A13"/>
    <mergeCell ref="B12:B13"/>
    <mergeCell ref="A14:A15"/>
    <mergeCell ref="B14:B15"/>
    <mergeCell ref="A4:A5"/>
    <mergeCell ref="B4:B5"/>
    <mergeCell ref="A6:A7"/>
    <mergeCell ref="B6:B7"/>
    <mergeCell ref="A8:A9"/>
    <mergeCell ref="B8:B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F50B0BC1DD5442AB3F3D5F7163D7B9" ma:contentTypeVersion="7" ma:contentTypeDescription="Create a new document." ma:contentTypeScope="" ma:versionID="61277f756b3e7c81d72a1145d0584e93">
  <xsd:schema xmlns:xsd="http://www.w3.org/2001/XMLSchema" xmlns:xs="http://www.w3.org/2001/XMLSchema" xmlns:p="http://schemas.microsoft.com/office/2006/metadata/properties" xmlns:ns2="f5573cf1-b5c3-4a7b-a5c9-a48d98cba5be" targetNamespace="http://schemas.microsoft.com/office/2006/metadata/properties" ma:root="true" ma:fieldsID="30fca98de2bfa848b6154ed4d897a900" ns2:_="">
    <xsd:import namespace="f5573cf1-b5c3-4a7b-a5c9-a48d98cba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73cf1-b5c3-4a7b-a5c9-a48d98cba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6480EC-552B-4DF7-8DD5-A596D7447642}"/>
</file>

<file path=customXml/itemProps2.xml><?xml version="1.0" encoding="utf-8"?>
<ds:datastoreItem xmlns:ds="http://schemas.openxmlformats.org/officeDocument/2006/customXml" ds:itemID="{EA249733-A10D-46F8-BDD5-CCC499C57A53}"/>
</file>

<file path=customXml/itemProps3.xml><?xml version="1.0" encoding="utf-8"?>
<ds:datastoreItem xmlns:ds="http://schemas.openxmlformats.org/officeDocument/2006/customXml" ds:itemID="{CDFD59F1-97BE-41AF-8E7C-8E1082AEFF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Fiqih Tarmidzi</dc:creator>
  <cp:keywords/>
  <dc:description/>
  <cp:lastModifiedBy>Puja Kusuma</cp:lastModifiedBy>
  <cp:revision/>
  <dcterms:created xsi:type="dcterms:W3CDTF">2020-09-21T12:57:28Z</dcterms:created>
  <dcterms:modified xsi:type="dcterms:W3CDTF">2020-10-14T13:25:25Z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0x01010051F50B0BC1DD5442AB3F3D5F7163D7B9</vt:lpwstr>
  </property>
</Properties>
</file>