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kap Viskositas" sheetId="1" state="visible" r:id="rId2"/>
    <sheet name="FORMULASI" sheetId="2" state="visible" r:id="rId3"/>
    <sheet name="07 September 2020" sheetId="3" state="visible" r:id="rId4"/>
    <sheet name="10-11 September 2020" sheetId="4" state="visible" r:id="rId5"/>
    <sheet name="8 -9 September 2020" sheetId="5" state="visible" r:id="rId6"/>
    <sheet name="14-15 September 2020" sheetId="6" state="visible" r:id="rId7"/>
    <sheet name="16-17 September 2020" sheetId="7" state="visible" r:id="rId8"/>
    <sheet name="18 September 2020" sheetId="8" state="visible" r:id="rId9"/>
    <sheet name="21-22 September 2020" sheetId="9" state="visible" r:id="rId10"/>
    <sheet name="23 September 2020" sheetId="10" state="visible" r:id="rId11"/>
    <sheet name="24 September 2020" sheetId="11" state="visible" r:id="rId12"/>
    <sheet name="25 September 2020" sheetId="12" state="visible" r:id="rId13"/>
    <sheet name="28 September 2020" sheetId="13" state="visible" r:id="rId14"/>
    <sheet name="29 September 2020" sheetId="14" state="visible" r:id="rId15"/>
    <sheet name="30 September 2020" sheetId="15" state="visible" r:id="rId16"/>
    <sheet name="01 - 02 Oktober 2020" sheetId="16" state="visible" r:id="rId17"/>
    <sheet name="05 Oktober 2020" sheetId="17" state="visible" r:id="rId18"/>
    <sheet name="06 Oktober 2020" sheetId="18" state="visible" r:id="rId19"/>
    <sheet name="07 - 08 Oktober 2020" sheetId="19" state="visible" r:id="rId20"/>
    <sheet name="09 Oktober 2020" sheetId="20" state="visible" r:id="rId21"/>
    <sheet name="12 Oktober 2020" sheetId="21" state="visible" r:id="rId22"/>
    <sheet name="13 Oktober 2020" sheetId="22" state="visible" r:id="rId23"/>
    <sheet name="14 Oktober 2020" sheetId="23" state="visible" r:id="rId24"/>
    <sheet name="15 Oktober 2020" sheetId="24" state="visible" r:id="rId25"/>
    <sheet name="16 Oktober 2020" sheetId="25" state="visible" r:id="rId26"/>
    <sheet name="19 Oktober 2020" sheetId="26" state="visible" r:id="rId27"/>
    <sheet name="20 Oktober 2020" sheetId="27" state="visible" r:id="rId28"/>
    <sheet name="21 Oktober 2020" sheetId="28" state="visible" r:id="rId29"/>
    <sheet name="22 Oktober 2020" sheetId="29" state="visible" r:id="rId30"/>
    <sheet name="23 Oktober 2020" sheetId="30" state="visible" r:id="rId31"/>
    <sheet name="26 Oktober 2020" sheetId="31" state="visible" r:id="rId32"/>
    <sheet name="27 Oktober 2020" sheetId="32" state="visible" r:id="rId33"/>
    <sheet name="28 Oktober - 30 Oktober 2020" sheetId="33" state="visible" r:id="rId34"/>
    <sheet name="02 November 2020" sheetId="34" state="visible" r:id="rId35"/>
    <sheet name="03 November 2020" sheetId="35" state="visible" r:id="rId36"/>
    <sheet name="04 November 2020" sheetId="36" state="visible" r:id="rId37"/>
    <sheet name="05 November 2020" sheetId="37" state="visible" r:id="rId38"/>
    <sheet name="06 November 2020" sheetId="38" state="visible" r:id="rId39"/>
    <sheet name="09 November 2020" sheetId="39" state="visible" r:id="rId40"/>
    <sheet name="10 November 2020" sheetId="40" state="visible" r:id="rId41"/>
    <sheet name="11 November 2020" sheetId="41" state="visible" r:id="rId4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<sst xmlns="http://schemas.openxmlformats.org/spreadsheetml/2006/main" count="6701" uniqueCount="2580">
  <si>
    <t xml:space="preserve">KOMPOSISI %</t>
  </si>
  <si>
    <t xml:space="preserve">addpac</t>
  </si>
  <si>
    <t xml:space="preserve">VM</t>
  </si>
  <si>
    <t xml:space="preserve">Add-pack</t>
  </si>
  <si>
    <t xml:space="preserve">Misc</t>
  </si>
  <si>
    <t xml:space="preserve">Hasil Pengukuran</t>
  </si>
  <si>
    <t xml:space="preserve">No</t>
  </si>
  <si>
    <t xml:space="preserve">Tanggal</t>
  </si>
  <si>
    <t xml:space="preserve">Entry</t>
  </si>
  <si>
    <t xml:space="preserve">Genlube 135</t>
  </si>
  <si>
    <t xml:space="preserve">Genlube 165</t>
  </si>
  <si>
    <t xml:space="preserve">Genlube 6165</t>
  </si>
  <si>
    <t xml:space="preserve">Genlube 0831</t>
  </si>
  <si>
    <t xml:space="preserve">Triester </t>
  </si>
  <si>
    <t xml:space="preserve">CV 1103</t>
  </si>
  <si>
    <t xml:space="preserve">Cosco S4</t>
  </si>
  <si>
    <t xml:space="preserve">Cosco S6</t>
  </si>
  <si>
    <t xml:space="preserve">Cosco S8</t>
  </si>
  <si>
    <t xml:space="preserve">N 150</t>
  </si>
  <si>
    <t xml:space="preserve">N 500</t>
  </si>
  <si>
    <t xml:space="preserve">Priolube (Palm Ester 3970)</t>
  </si>
  <si>
    <t xml:space="preserve">PAMA 52%</t>
  </si>
  <si>
    <t xml:space="preserve">PAMA 62%-Z1</t>
  </si>
  <si>
    <t xml:space="preserve">SPAMA 20/5 - 41,5%</t>
  </si>
  <si>
    <t xml:space="preserve">VM -  NMM (HV)</t>
  </si>
  <si>
    <t xml:space="preserve">VM - SPAMA 52%</t>
  </si>
  <si>
    <t xml:space="preserve">Lucant HC 600</t>
  </si>
  <si>
    <t xml:space="preserve">RF 6066</t>
  </si>
  <si>
    <t xml:space="preserve">Lubrizol VL 9101F</t>
  </si>
  <si>
    <t xml:space="preserve">FC 9250</t>
  </si>
  <si>
    <t xml:space="preserve">FC 9270</t>
  </si>
  <si>
    <t xml:space="preserve">WN 1014</t>
  </si>
  <si>
    <t xml:space="preserve">WN 2018</t>
  </si>
  <si>
    <t xml:space="preserve">WN 2112</t>
  </si>
  <si>
    <t xml:space="preserve">WN 2118</t>
  </si>
  <si>
    <t xml:space="preserve">WN 7014</t>
  </si>
  <si>
    <t xml:space="preserve">WN 9014</t>
  </si>
  <si>
    <t xml:space="preserve">WN 2010 B</t>
  </si>
  <si>
    <t xml:space="preserve">PV 1510</t>
  </si>
  <si>
    <t xml:space="preserve">Total</t>
  </si>
  <si>
    <t xml:space="preserve">KV 40</t>
  </si>
  <si>
    <t xml:space="preserve">KV 100</t>
  </si>
  <si>
    <t xml:space="preserve">Vi</t>
  </si>
  <si>
    <t xml:space="preserve">HTHS (mPa.S)</t>
  </si>
  <si>
    <t xml:space="preserve">CCS (mPa.S)</t>
  </si>
  <si>
    <t xml:space="preserve">Pour Point (C)</t>
  </si>
  <si>
    <t xml:space="preserve">Noack (%)</t>
  </si>
  <si>
    <t xml:space="preserve">4 Ball (WSD/Coef Friction</t>
  </si>
  <si>
    <t xml:space="preserve">Flash Point (C)</t>
  </si>
  <si>
    <t xml:space="preserve">Category</t>
  </si>
  <si>
    <t xml:space="preserve">Ester</t>
  </si>
  <si>
    <t xml:space="preserve">Additive</t>
  </si>
  <si>
    <t xml:space="preserve">Base Oil</t>
  </si>
  <si>
    <t xml:space="preserve">07 September 2020</t>
  </si>
  <si>
    <t xml:space="preserve">5W30 - F2</t>
  </si>
  <si>
    <t xml:space="preserve">10W30 - F2</t>
  </si>
  <si>
    <t xml:space="preserve">5W40 - F2</t>
  </si>
  <si>
    <t xml:space="preserve">10W40 - F2</t>
  </si>
  <si>
    <t xml:space="preserve">08 September 2020</t>
  </si>
  <si>
    <t xml:space="preserve">10W30 - F3</t>
  </si>
  <si>
    <t xml:space="preserve">10W40 - F3</t>
  </si>
  <si>
    <t xml:space="preserve">10W30 - F4</t>
  </si>
  <si>
    <t xml:space="preserve">10W40 - F4</t>
  </si>
  <si>
    <t xml:space="preserve">11 September 2020</t>
  </si>
  <si>
    <t xml:space="preserve">10W30 (VM-HV = 6%)</t>
  </si>
  <si>
    <t xml:space="preserve">10W40 (VM-HV = 8%)</t>
  </si>
  <si>
    <t xml:space="preserve">15 September 2020</t>
  </si>
  <si>
    <t xml:space="preserve">10W30 (Gvis SPMA 20/5 - 41,5% = 4,5%)</t>
  </si>
  <si>
    <t xml:space="preserve">10W40 (Gvis SPMA 20/5 - 41,5% = 6%)</t>
  </si>
  <si>
    <t xml:space="preserve">10W30 (Gvis SPMA 20/5 - 41,5% = 5,5%)</t>
  </si>
  <si>
    <t xml:space="preserve">10W40 (Gvis SPMA 20/5 - 41,5% = 7%)</t>
  </si>
  <si>
    <t xml:space="preserve">16 September 2020</t>
  </si>
  <si>
    <t xml:space="preserve">SAE 10W30 (PAMA 62%-Z1 = 4%)</t>
  </si>
  <si>
    <t xml:space="preserve">SAE 10W30 (PAMA 62%-Z1 = 5%)</t>
  </si>
  <si>
    <t xml:space="preserve">SAE 10W40 (PAMA 62%-Z1 = 6%)</t>
  </si>
  <si>
    <t xml:space="preserve">SAE10W40 (PAMA 62%-Z1 = 7%)</t>
  </si>
  <si>
    <t xml:space="preserve">SAE 10W30 (Gvis SPMA 20/5-41,5% = 6%)</t>
  </si>
  <si>
    <t xml:space="preserve">18 September 2020</t>
  </si>
  <si>
    <t xml:space="preserve">Blend Oil S8-Ester (PAMA 62%-Z1 = 8%)</t>
  </si>
  <si>
    <t xml:space="preserve">-</t>
  </si>
  <si>
    <t xml:space="preserve">Blend Oil S8-Ester (PAMA 62%-Z1 = 9%)</t>
  </si>
  <si>
    <t xml:space="preserve">21 September 2020</t>
  </si>
  <si>
    <t xml:space="preserve">SAE 10W30 - R2 (SPAMA 52% = 5%)</t>
  </si>
  <si>
    <t xml:space="preserve">SAE 10W30 - R2 (SPAMA 52% = 6%)</t>
  </si>
  <si>
    <t xml:space="preserve">SAE 10W40 (PAMA 52% = 8%)</t>
  </si>
  <si>
    <t xml:space="preserve">SAE 10W40 (PAMA 22%-Z1 = 10%)</t>
  </si>
  <si>
    <t xml:space="preserve">SAE 10W40 (VM-HV = 8%)</t>
  </si>
  <si>
    <t xml:space="preserve">23 September 2020</t>
  </si>
  <si>
    <t xml:space="preserve">TRL - SAE 10W30 - JASO MB/ API SN</t>
  </si>
  <si>
    <t xml:space="preserve">0.46 / 0.058137</t>
  </si>
  <si>
    <t xml:space="preserve">TRL - SAE 10W40 - JASO MB/ API SN</t>
  </si>
  <si>
    <t xml:space="preserve">0.43 / 0.054965</t>
  </si>
  <si>
    <t xml:space="preserve">TRL - SAE 10W40 - VM SPAMA</t>
  </si>
  <si>
    <t xml:space="preserve">24 September 2020</t>
  </si>
  <si>
    <t xml:space="preserve">TRL - SAE 10W40 - FT 01</t>
  </si>
  <si>
    <t xml:space="preserve">TRL - SAE 10W40 - FT02</t>
  </si>
  <si>
    <t xml:space="preserve">25 September 2020</t>
  </si>
  <si>
    <t xml:space="preserve">TRL - SAE 10W40 - JASO MB/API SN</t>
  </si>
  <si>
    <t xml:space="preserve">TRL - SAE 10W30 -  JASO MB/API SN</t>
  </si>
  <si>
    <t xml:space="preserve">C8 - SPAMA 52%</t>
  </si>
  <si>
    <t xml:space="preserve">28 September 2020</t>
  </si>
  <si>
    <t xml:space="preserve">TRL - 5W30 GF6/API-SP (Gasoline) R4 (01)</t>
  </si>
  <si>
    <t xml:space="preserve">TRL - 5W30 GF6/API-SP (Gasoline) R4 (02)</t>
  </si>
  <si>
    <t xml:space="preserve">TRL - 0W20 GF6/API-SP (Gasoline) R4 (01)</t>
  </si>
  <si>
    <t xml:space="preserve">TRL - 0W20 GF6/API-SP (Gasoline) R4 (02)</t>
  </si>
  <si>
    <t xml:space="preserve">TRL - 0W20 GF6/API-SP (Gasoline) R4 (03)</t>
  </si>
  <si>
    <t xml:space="preserve">TRL - 0W20 GF6/API-SP (Gasoline) R4 (04)</t>
  </si>
  <si>
    <t xml:space="preserve">TRL - 10W40 GF5/API-SN Plus (Gasoline) R4 (01)</t>
  </si>
  <si>
    <t xml:space="preserve">TRL - 10W40 GF5/API-SN Plus (Gasoline) R4 (02)</t>
  </si>
  <si>
    <t xml:space="preserve">29 September 2020</t>
  </si>
  <si>
    <t xml:space="preserve">Re Test 5W30-01 A</t>
  </si>
  <si>
    <t xml:space="preserve">Re Test 5W30-01 B</t>
  </si>
  <si>
    <t xml:space="preserve">Fine Tuning Formula 0W20-03 A</t>
  </si>
  <si>
    <t xml:space="preserve">Fine Tuning Formula 0W20-04 A</t>
  </si>
  <si>
    <t xml:space="preserve">Formula 1 Pak William</t>
  </si>
  <si>
    <t xml:space="preserve">Formula 2 Pak William</t>
  </si>
  <si>
    <t xml:space="preserve">SAE 10W30 - Lub A</t>
  </si>
  <si>
    <t xml:space="preserve">SAE 10W30 - Lub B</t>
  </si>
  <si>
    <t xml:space="preserve">TRL 10W40 - Lub A</t>
  </si>
  <si>
    <t xml:space="preserve">TRL 10W40 - Lub B</t>
  </si>
  <si>
    <t xml:space="preserve">30 September 2020</t>
  </si>
  <si>
    <t xml:space="preserve">0W20 - 03 (B)</t>
  </si>
  <si>
    <t xml:space="preserve">0W20 - 03 (C)</t>
  </si>
  <si>
    <t xml:space="preserve">Formula 3 Pak William</t>
  </si>
  <si>
    <t xml:space="preserve">Formula 4 Pak William</t>
  </si>
  <si>
    <t xml:space="preserve">0W20 - 03 (D)</t>
  </si>
  <si>
    <t xml:space="preserve">0W20 - 03 (E)</t>
  </si>
  <si>
    <t xml:space="preserve">0W20 - 04 (B)</t>
  </si>
  <si>
    <t xml:space="preserve">Fine Tuning 5W30 - 01 B</t>
  </si>
  <si>
    <t xml:space="preserve">01 Oktober 2020</t>
  </si>
  <si>
    <t xml:space="preserve">F 540 - 01</t>
  </si>
  <si>
    <t xml:space="preserve">F 540 - 02</t>
  </si>
  <si>
    <t xml:space="preserve">F 540 - 03</t>
  </si>
  <si>
    <t xml:space="preserve">F 540 - 04</t>
  </si>
  <si>
    <t xml:space="preserve">02 Oktober 2020</t>
  </si>
  <si>
    <t xml:space="preserve">F 540 - 05</t>
  </si>
  <si>
    <t xml:space="preserve">F 540 - 06</t>
  </si>
  <si>
    <t xml:space="preserve">F 540 - 07</t>
  </si>
  <si>
    <t xml:space="preserve">F 540 - 08</t>
  </si>
  <si>
    <t xml:space="preserve">F 540 - 09</t>
  </si>
  <si>
    <t xml:space="preserve">F 540 - 10</t>
  </si>
  <si>
    <t xml:space="preserve">F 540 - 11</t>
  </si>
  <si>
    <t xml:space="preserve">F 540 - 12</t>
  </si>
  <si>
    <t xml:space="preserve">10W40 - 02 A</t>
  </si>
  <si>
    <t xml:space="preserve">05 Oktober 2020</t>
  </si>
  <si>
    <t xml:space="preserve">F 540 - 13</t>
  </si>
  <si>
    <t xml:space="preserve">F 540 - 14</t>
  </si>
  <si>
    <t xml:space="preserve">0W20 - 05</t>
  </si>
  <si>
    <t xml:space="preserve">0W20 - 06</t>
  </si>
  <si>
    <t xml:space="preserve">0W20 - 07</t>
  </si>
  <si>
    <t xml:space="preserve">0W20 - 08</t>
  </si>
  <si>
    <t xml:space="preserve">0W20 - 05 A</t>
  </si>
  <si>
    <t xml:space="preserve">0W20 - 05 B</t>
  </si>
  <si>
    <t xml:space="preserve">06 Oktober 2020</t>
  </si>
  <si>
    <t xml:space="preserve">0W20 - 05 C</t>
  </si>
  <si>
    <t xml:space="preserve">0W20 - 05 D</t>
  </si>
  <si>
    <t xml:space="preserve">TRL 10W30 - Improve 1 </t>
  </si>
  <si>
    <t xml:space="preserve">F 540 - 15</t>
  </si>
  <si>
    <t xml:space="preserve">F 540 - 16</t>
  </si>
  <si>
    <t xml:space="preserve">F 540 - 17</t>
  </si>
  <si>
    <t xml:space="preserve">F 540 - 18</t>
  </si>
  <si>
    <t xml:space="preserve">Genvis SPAMA (20/5) 52%</t>
  </si>
  <si>
    <t xml:space="preserve">T 45</t>
  </si>
  <si>
    <t xml:space="preserve">T 410</t>
  </si>
  <si>
    <t xml:space="preserve">T 65</t>
  </si>
  <si>
    <t xml:space="preserve">T 610</t>
  </si>
  <si>
    <t xml:space="preserve">T 85</t>
  </si>
  <si>
    <t xml:space="preserve">T 810</t>
  </si>
  <si>
    <t xml:space="preserve">07 Oktober 2020</t>
  </si>
  <si>
    <t xml:space="preserve">TRL SAE 5W30 GF6 / API-SP</t>
  </si>
  <si>
    <t xml:space="preserve">TRL 10W40 GF5 / API-SN PLUS</t>
  </si>
  <si>
    <t xml:space="preserve">F 540 - 19</t>
  </si>
  <si>
    <t xml:space="preserve">F 540 - 20</t>
  </si>
  <si>
    <t xml:space="preserve">TRL 5W30 Improve 1</t>
  </si>
  <si>
    <t xml:space="preserve">TRL SAE 10W30 - JASO MB / API-SN [IMPROVEMENT]</t>
  </si>
  <si>
    <t xml:space="preserve">08 Oktober 2020</t>
  </si>
  <si>
    <t xml:space="preserve">F 540 - 21</t>
  </si>
  <si>
    <t xml:space="preserve">F 540 - 22</t>
  </si>
  <si>
    <t xml:space="preserve">F 540 - 23</t>
  </si>
  <si>
    <t xml:space="preserve">F 540 - 24</t>
  </si>
  <si>
    <t xml:space="preserve">F 540 - 25</t>
  </si>
  <si>
    <t xml:space="preserve">TRL SAE 5W30 Improve 2</t>
  </si>
  <si>
    <t xml:space="preserve">09 Oktober 2020</t>
  </si>
  <si>
    <t xml:space="preserve">F 540 - 26</t>
  </si>
  <si>
    <t xml:space="preserve">F 540 - 27</t>
  </si>
  <si>
    <t xml:space="preserve">F 540 - 28</t>
  </si>
  <si>
    <t xml:space="preserve">F 540 - 29</t>
  </si>
  <si>
    <t xml:space="preserve">TRL SAE 5W30 Improve 3</t>
  </si>
  <si>
    <t xml:space="preserve">VM NMM - HV </t>
  </si>
  <si>
    <t xml:space="preserve">H 45</t>
  </si>
  <si>
    <t xml:space="preserve">H 410</t>
  </si>
  <si>
    <t xml:space="preserve">H 65</t>
  </si>
  <si>
    <t xml:space="preserve">H 610</t>
  </si>
  <si>
    <t xml:space="preserve">H 85</t>
  </si>
  <si>
    <t xml:space="preserve">H 810</t>
  </si>
  <si>
    <t xml:space="preserve">12 Oktober 2020</t>
  </si>
  <si>
    <t xml:space="preserve">10W30 - R2 - Improve 2</t>
  </si>
  <si>
    <t xml:space="preserve">10W30 - R2 - Improve 3</t>
  </si>
  <si>
    <t xml:space="preserve">10W30 - R2 - Improve 4</t>
  </si>
  <si>
    <t xml:space="preserve">F 540 - 30</t>
  </si>
  <si>
    <t xml:space="preserve">F 540 - 31</t>
  </si>
  <si>
    <t xml:space="preserve">5W30 - R4 - Improve 4</t>
  </si>
  <si>
    <t xml:space="preserve">5W30 - R4 - Improve 5</t>
  </si>
  <si>
    <t xml:space="preserve">5W30 - R4 - Improve 6</t>
  </si>
  <si>
    <t xml:space="preserve">5W30 - R4 - Improve 7</t>
  </si>
  <si>
    <t xml:space="preserve">13 Oktober 2020</t>
  </si>
  <si>
    <t xml:space="preserve">20W50 - R4 - 01</t>
  </si>
  <si>
    <t xml:space="preserve">20W50 - R4 - 02</t>
  </si>
  <si>
    <t xml:space="preserve">20W50 - R4 - 03</t>
  </si>
  <si>
    <t xml:space="preserve">20W50 - R4 - 04</t>
  </si>
  <si>
    <t xml:space="preserve">15W40 - R4 - 01</t>
  </si>
  <si>
    <t xml:space="preserve">15W40 - R4 - 02</t>
  </si>
  <si>
    <t xml:space="preserve">15W40 - R4 - 03</t>
  </si>
  <si>
    <t xml:space="preserve">15W40 - R4 - 04</t>
  </si>
  <si>
    <t xml:space="preserve">14 Oktober 2020</t>
  </si>
  <si>
    <t xml:space="preserve">F 540 - 32</t>
  </si>
  <si>
    <t xml:space="preserve">F 540 - 33</t>
  </si>
  <si>
    <t xml:space="preserve">F 540 - 34</t>
  </si>
  <si>
    <t xml:space="preserve">F 540 - 35</t>
  </si>
  <si>
    <t xml:space="preserve">15 Oktober 2020</t>
  </si>
  <si>
    <t xml:space="preserve">F 540 - 36</t>
  </si>
  <si>
    <t xml:space="preserve">20W50 - R4 - 01 - A1</t>
  </si>
  <si>
    <t xml:space="preserve">20W50 - R4 - 01 - A2</t>
  </si>
  <si>
    <t xml:space="preserve">5W40 - R4 - Improve 5 Recheck</t>
  </si>
  <si>
    <t xml:space="preserve">TRL SAE 10W40 MB-SN Recheck</t>
  </si>
  <si>
    <t xml:space="preserve">16 Oktober 2020</t>
  </si>
  <si>
    <t xml:space="preserve">5W30 - R4 - Improve 5 S6 6.5%</t>
  </si>
  <si>
    <t xml:space="preserve">5W30 - R4 - Improve 5 S6 7%</t>
  </si>
  <si>
    <t xml:space="preserve">F 540 - 37</t>
  </si>
  <si>
    <t xml:space="preserve">F 540 - 38</t>
  </si>
  <si>
    <t xml:space="preserve">F 540 - 39</t>
  </si>
  <si>
    <t xml:space="preserve">F 540 - 40</t>
  </si>
  <si>
    <t xml:space="preserve">F 540 - 41</t>
  </si>
  <si>
    <t xml:space="preserve">F 540 - 42</t>
  </si>
  <si>
    <t xml:space="preserve">F 540 - 43</t>
  </si>
  <si>
    <t xml:space="preserve">F 540 - 44</t>
  </si>
  <si>
    <t xml:space="preserve">19 Oktober 2020</t>
  </si>
  <si>
    <t xml:space="preserve">1A TRL SAE 10W80 MB/SN</t>
  </si>
  <si>
    <t xml:space="preserve">1B TRL  SAE 10W40 MB/SN</t>
  </si>
  <si>
    <t xml:space="preserve">2A TRL SAE 0W20 GF6/SN</t>
  </si>
  <si>
    <t xml:space="preserve">2B TRL SAE 5W30 GF6/SP</t>
  </si>
  <si>
    <t xml:space="preserve">2C TRL SAE 10W40 GF5/SN PLUS</t>
  </si>
  <si>
    <t xml:space="preserve">2D TRL SAE 15W40 GF5/SN</t>
  </si>
  <si>
    <t xml:space="preserve">2E TRL SAE 20W50 GF5/SN</t>
  </si>
  <si>
    <t xml:space="preserve">3A TRL SAE 5W30 CK-4 (DIESEL)</t>
  </si>
  <si>
    <t xml:space="preserve">3B TRL SAE 5W40 CK-4 (DIESEL)</t>
  </si>
  <si>
    <t xml:space="preserve">3C TRL SAE 15W40 CI-4</t>
  </si>
  <si>
    <t xml:space="preserve">TRL SAE 10W40 GF5/SN PLUS</t>
  </si>
  <si>
    <t xml:space="preserve">VM-HV (PAMA 30%)</t>
  </si>
  <si>
    <t xml:space="preserve">20 Oktober 2020</t>
  </si>
  <si>
    <t xml:space="preserve">F 540 - 45</t>
  </si>
  <si>
    <t xml:space="preserve">F 540 - 46</t>
  </si>
  <si>
    <t xml:space="preserve">F 540 - 47</t>
  </si>
  <si>
    <t xml:space="preserve">F 540 - 48</t>
  </si>
  <si>
    <t xml:space="preserve">F 540 - 49</t>
  </si>
  <si>
    <t xml:space="preserve">F 540 - 50</t>
  </si>
  <si>
    <t xml:space="preserve">F 540 - 51</t>
  </si>
  <si>
    <t xml:space="preserve">21 Oktober 2020</t>
  </si>
  <si>
    <t xml:space="preserve">F 540 - 52</t>
  </si>
  <si>
    <t xml:space="preserve">F 540 - 53</t>
  </si>
  <si>
    <t xml:space="preserve">F 540 - 54</t>
  </si>
  <si>
    <t xml:space="preserve">F 540 - 55</t>
  </si>
  <si>
    <t xml:space="preserve">1. TRL 0W20 GF6/SP</t>
  </si>
  <si>
    <t xml:space="preserve">2. TRL 5W30 GF6/SP</t>
  </si>
  <si>
    <t xml:space="preserve">3. TRL 15W40 GF5/SN</t>
  </si>
  <si>
    <t xml:space="preserve">4. TRL 5W40 CK-4</t>
  </si>
  <si>
    <t xml:space="preserve">0W20 (2)</t>
  </si>
  <si>
    <t xml:space="preserve">22 Oktober 2020</t>
  </si>
  <si>
    <t xml:space="preserve">F 540 - 56</t>
  </si>
  <si>
    <t xml:space="preserve">F 540 - 57</t>
  </si>
  <si>
    <t xml:space="preserve">F 540 - 58</t>
  </si>
  <si>
    <t xml:space="preserve">5W30 - 3</t>
  </si>
  <si>
    <t xml:space="preserve">0W20 - 3</t>
  </si>
  <si>
    <t xml:space="preserve">FG 020 - 1</t>
  </si>
  <si>
    <t xml:space="preserve">FG 020 - 2</t>
  </si>
  <si>
    <t xml:space="preserve">23 Oktober 2020</t>
  </si>
  <si>
    <t xml:space="preserve">FG 020 - 3</t>
  </si>
  <si>
    <t xml:space="preserve">FG 020 - 4</t>
  </si>
  <si>
    <t xml:space="preserve">FG 020 - 5</t>
  </si>
  <si>
    <t xml:space="preserve">FG 020 - 6</t>
  </si>
  <si>
    <t xml:space="preserve">FG 020 - 7</t>
  </si>
  <si>
    <t xml:space="preserve">FG 020 - 8</t>
  </si>
  <si>
    <t xml:space="preserve">S6 Sol 1% in Genlube 165 </t>
  </si>
  <si>
    <t xml:space="preserve">S6 Sol 5% in Genlube 165 </t>
  </si>
  <si>
    <t xml:space="preserve">S6 Sol 10% in Genlube 165 </t>
  </si>
  <si>
    <t xml:space="preserve">S6 Sol 12% in Genlube 165 </t>
  </si>
  <si>
    <t xml:space="preserve">26 Oktober 2020</t>
  </si>
  <si>
    <t xml:space="preserve">1. Reformulasi 5W30 MA2 / SN</t>
  </si>
  <si>
    <t xml:space="preserve">2. Reformulasi 5W30 MA2 / SN</t>
  </si>
  <si>
    <t xml:space="preserve">Reformulasi TRL 10W30 MB/SN</t>
  </si>
  <si>
    <t xml:space="preserve">Reformulasi TRL 10W40 MB/SN</t>
  </si>
  <si>
    <t xml:space="preserve">Reformulasi 10W30 MB/SL</t>
  </si>
  <si>
    <t xml:space="preserve">Reformulasi 10W40 MB/SL</t>
  </si>
  <si>
    <t xml:space="preserve">Reformulasi 10W40 MA/SL</t>
  </si>
  <si>
    <t xml:space="preserve">G 165 - B1</t>
  </si>
  <si>
    <t xml:space="preserve">G 165 - B2</t>
  </si>
  <si>
    <t xml:space="preserve">G 165 - B3</t>
  </si>
  <si>
    <t xml:space="preserve">FG 020 - 9</t>
  </si>
  <si>
    <t xml:space="preserve">FG 020 - 10</t>
  </si>
  <si>
    <t xml:space="preserve">Reformulasi TRL 10W30 MB - SN2</t>
  </si>
  <si>
    <t xml:space="preserve">Reformulasi TRL 10W40 MB - SN2</t>
  </si>
  <si>
    <t xml:space="preserve">X-Ten 10W30 MB - SL</t>
  </si>
  <si>
    <t xml:space="preserve">X-Ten 10W40 MA - SL</t>
  </si>
  <si>
    <t xml:space="preserve">X-Ten 10W40 MB - SL</t>
  </si>
  <si>
    <t xml:space="preserve">X-Ten 5W30 MA2 - SN</t>
  </si>
  <si>
    <t xml:space="preserve">27 Oktober 2020</t>
  </si>
  <si>
    <t xml:space="preserve">Genlube 6 135</t>
  </si>
  <si>
    <t xml:space="preserve">G 165 - B4</t>
  </si>
  <si>
    <t xml:space="preserve">5W30 X-Ten - 2</t>
  </si>
  <si>
    <t xml:space="preserve">5W30 X-Ten - 3</t>
  </si>
  <si>
    <t xml:space="preserve">28 Oktober 2020</t>
  </si>
  <si>
    <t xml:space="preserve">10W40 - SP 1</t>
  </si>
  <si>
    <t xml:space="preserve">10W40 - SP 2</t>
  </si>
  <si>
    <t xml:space="preserve">X-TEN 10W30 MB-SL / TRL 1</t>
  </si>
  <si>
    <t xml:space="preserve">X-TEN 10W30 MB-SL / TRL 2</t>
  </si>
  <si>
    <t xml:space="preserve">X-TEN 10W30 MB-SL / TRL 3</t>
  </si>
  <si>
    <t xml:space="preserve">2. X-TEN 10W40 MB/SL TRL</t>
  </si>
  <si>
    <t xml:space="preserve">3. X-TEN 10W40 MA/SL TRL</t>
  </si>
  <si>
    <t xml:space="preserve">F 540 - 29 Improve</t>
  </si>
  <si>
    <t xml:space="preserve">F 540 - 55 Improve</t>
  </si>
  <si>
    <t xml:space="preserve">G 165 - B4 1kg</t>
  </si>
  <si>
    <t xml:space="preserve">29 Oktober 2020</t>
  </si>
  <si>
    <t xml:space="preserve">TRL 10W30 Improve (Genlube 135 diganti Genlube 6135</t>
  </si>
  <si>
    <t xml:space="preserve">X-TEN 5W30 - 3 TRL 2kg</t>
  </si>
  <si>
    <t xml:space="preserve">TRL SAE 5W30 GF6/S8 Almaz</t>
  </si>
  <si>
    <t xml:space="preserve">X-TEN 10W30 MB/SL TRL 2kg</t>
  </si>
  <si>
    <t xml:space="preserve">02 November 2020</t>
  </si>
  <si>
    <t xml:space="preserve">TRL 10W30 Improve 2</t>
  </si>
  <si>
    <t xml:space="preserve">FG 020 - 11</t>
  </si>
  <si>
    <t xml:space="preserve">FG 020 - 12</t>
  </si>
  <si>
    <t xml:space="preserve">FG 020 - 13</t>
  </si>
  <si>
    <t xml:space="preserve">FG 020 - 14</t>
  </si>
  <si>
    <t xml:space="preserve">FG 020 - 15</t>
  </si>
  <si>
    <t xml:space="preserve">FG 020 - 16</t>
  </si>
  <si>
    <t xml:space="preserve">F 540 - 59</t>
  </si>
  <si>
    <t xml:space="preserve">F 540 - 60</t>
  </si>
  <si>
    <t xml:space="preserve">F 540 - 61</t>
  </si>
  <si>
    <t xml:space="preserve">F 540 - 62</t>
  </si>
  <si>
    <t xml:space="preserve">03 November 2020</t>
  </si>
  <si>
    <t xml:space="preserve">1. TRL SAE 5W30 GF6 / SP (F4)</t>
  </si>
  <si>
    <t xml:space="preserve">2. TRL SAE 5W30 CK-4 (F2)</t>
  </si>
  <si>
    <t xml:space="preserve">3. TRL SAE 5W30 CK-4 (F3)</t>
  </si>
  <si>
    <t xml:space="preserve">4. TRL SAE 10W40 SN (SEMI SYN)</t>
  </si>
  <si>
    <t xml:space="preserve">F 540 - 63</t>
  </si>
  <si>
    <t xml:space="preserve">F 540 - 64</t>
  </si>
  <si>
    <t xml:space="preserve">F 540 - 65</t>
  </si>
  <si>
    <t xml:space="preserve">F 540 - 66</t>
  </si>
  <si>
    <t xml:space="preserve">FG 020 - 17</t>
  </si>
  <si>
    <t xml:space="preserve">FG 020 - 18</t>
  </si>
  <si>
    <t xml:space="preserve">04 November 2020</t>
  </si>
  <si>
    <t xml:space="preserve">5. TRL 5W30 GF6 / SP (FS)</t>
  </si>
  <si>
    <t xml:space="preserve">I. A.3 10W40 SP/GF6 - ODX</t>
  </si>
  <si>
    <t xml:space="preserve">II. A.1 5W30 SN PLUS - ODX</t>
  </si>
  <si>
    <t xml:space="preserve">III. A.1 10W40 SN - ODX</t>
  </si>
  <si>
    <t xml:space="preserve">III. A.2 20W50 - SN - ODX</t>
  </si>
  <si>
    <t xml:space="preserve">05 November 2020</t>
  </si>
  <si>
    <t xml:space="preserve">G 1040 - 1</t>
  </si>
  <si>
    <t xml:space="preserve">G 1040 - 2</t>
  </si>
  <si>
    <t xml:space="preserve">G 1040 - 3</t>
  </si>
  <si>
    <t xml:space="preserve">G 1040 - 4</t>
  </si>
  <si>
    <t xml:space="preserve">G 2050 -1</t>
  </si>
  <si>
    <t xml:space="preserve">G 530 - 1</t>
  </si>
  <si>
    <t xml:space="preserve">G 530 - 2</t>
  </si>
  <si>
    <t xml:space="preserve">06 November 2020</t>
  </si>
  <si>
    <t xml:space="preserve">TRL 5W30 SP/GF6</t>
  </si>
  <si>
    <t xml:space="preserve">TRL 10W40 SP/GF6</t>
  </si>
  <si>
    <t xml:space="preserve">TRL 10W40 - SN</t>
  </si>
  <si>
    <t xml:space="preserve">RD 1540 - 1</t>
  </si>
  <si>
    <t xml:space="preserve">0.48 / 0058604</t>
  </si>
  <si>
    <t xml:space="preserve">09 November 2020</t>
  </si>
  <si>
    <t xml:space="preserve">RD 1540 - 2</t>
  </si>
  <si>
    <t xml:space="preserve">RD 1540 - 3</t>
  </si>
  <si>
    <t xml:space="preserve">RD 1040 - 1</t>
  </si>
  <si>
    <t xml:space="preserve">10 November 2020</t>
  </si>
  <si>
    <t xml:space="preserve">TRL SAE 10W30 - MB/SN/ VM-HV</t>
  </si>
  <si>
    <t xml:space="preserve">II. B.I 10W40 CI</t>
  </si>
  <si>
    <t xml:space="preserve">II. B.1 15W40 CI - 4</t>
  </si>
  <si>
    <t xml:space="preserve">4. 10W40 SN (Improve 2)</t>
  </si>
  <si>
    <t xml:space="preserve">5. 20W50 - SN (Improve 2)</t>
  </si>
  <si>
    <t xml:space="preserve">RD 1040 - 2</t>
  </si>
  <si>
    <t xml:space="preserve">RD 1040 - 3</t>
  </si>
  <si>
    <t xml:space="preserve">RD 1540 - 4</t>
  </si>
  <si>
    <t xml:space="preserve">F 540 - 69</t>
  </si>
  <si>
    <t xml:space="preserve">11 November 2020</t>
  </si>
  <si>
    <t xml:space="preserve">F 540 - 70</t>
  </si>
  <si>
    <t xml:space="preserve">G 2050 - 2</t>
  </si>
  <si>
    <t xml:space="preserve">G 2050 - 3</t>
  </si>
  <si>
    <t xml:space="preserve">1. TRL SAE 10W30 MB/SN/VM-HV (2)</t>
  </si>
  <si>
    <t xml:space="preserve">2. 15W40 CI-4 / Improve 2</t>
  </si>
  <si>
    <t xml:space="preserve">RG 1040 - 1</t>
  </si>
  <si>
    <t xml:space="preserve">RG 1040 - 2</t>
  </si>
  <si>
    <t xml:space="preserve">RG 1040 - 3</t>
  </si>
  <si>
    <t xml:space="preserve">12 November 2020</t>
  </si>
  <si>
    <t xml:space="preserve">X-10W40 SN</t>
  </si>
  <si>
    <t xml:space="preserve">X-10W40 : SP-GF6 (1:1)</t>
  </si>
  <si>
    <t xml:space="preserve">X-10W40 SN : SP-GF6 (2:1)</t>
  </si>
  <si>
    <t xml:space="preserve">R2 JASO MB / API SN - F = FINAL</t>
  </si>
  <si>
    <t xml:space="preserve">Item</t>
  </si>
  <si>
    <t xml:space="preserve">5W30-F1</t>
  </si>
  <si>
    <t xml:space="preserve">10W30-F1</t>
  </si>
  <si>
    <t xml:space="preserve">5W40-F1</t>
  </si>
  <si>
    <t xml:space="preserve">10W40-F1</t>
  </si>
  <si>
    <t xml:space="preserve">  </t>
  </si>
  <si>
    <t xml:space="preserve">20 = 61,54</t>
  </si>
  <si>
    <t xml:space="preserve">50 = 157,08</t>
  </si>
  <si>
    <t xml:space="preserve">15,05 = 48,30</t>
  </si>
  <si>
    <t xml:space="preserve">C0S0 C 80 (S6)</t>
  </si>
  <si>
    <t xml:space="preserve">59,05 = 181,69</t>
  </si>
  <si>
    <t xml:space="preserve">27,05 = 84,97</t>
  </si>
  <si>
    <t xml:space="preserve">60 = 192,51</t>
  </si>
  <si>
    <t xml:space="preserve">75,05 = 240,80</t>
  </si>
  <si>
    <t xml:space="preserve">10 = 30,77</t>
  </si>
  <si>
    <t xml:space="preserve">10 = 31,41</t>
  </si>
  <si>
    <t xml:space="preserve">10 = 32,08 </t>
  </si>
  <si>
    <t xml:space="preserve">10 = 32,09</t>
  </si>
  <si>
    <t xml:space="preserve">Additive SN</t>
  </si>
  <si>
    <t xml:space="preserve">8,45 = 26</t>
  </si>
  <si>
    <t xml:space="preserve">8,45 = 26,54</t>
  </si>
  <si>
    <t xml:space="preserve">8,45 = 27,11</t>
  </si>
  <si>
    <t xml:space="preserve">97,5 = 300 gr</t>
  </si>
  <si>
    <t xml:space="preserve">95,5 = 300 gr</t>
  </si>
  <si>
    <t xml:space="preserve">93,5 = 300 gr</t>
  </si>
  <si>
    <t xml:space="preserve">8,45 gr</t>
  </si>
  <si>
    <t xml:space="preserve">200 gr</t>
  </si>
  <si>
    <t xml:space="preserve">Formulasi R2</t>
  </si>
  <si>
    <t xml:space="preserve">Spesimen </t>
  </si>
  <si>
    <t xml:space="preserve">Suhu 40°C</t>
  </si>
  <si>
    <t xml:space="preserve">Suhu 100°C</t>
  </si>
  <si>
    <t xml:space="preserve">5W30-F2</t>
  </si>
  <si>
    <t xml:space="preserve">10W30-F2</t>
  </si>
  <si>
    <t xml:space="preserve">5W40-F2</t>
  </si>
  <si>
    <t xml:space="preserve">10W40-F2</t>
  </si>
  <si>
    <t xml:space="preserve">(1,2 mm / 11)</t>
  </si>
  <si>
    <t xml:space="preserve">(0,8 mm / 30)</t>
  </si>
  <si>
    <t xml:space="preserve">59,11 / 59,54</t>
  </si>
  <si>
    <t xml:space="preserve">9,15 / 9,13</t>
  </si>
  <si>
    <t xml:space="preserve">(413 Sec / 416 Sec)</t>
  </si>
  <si>
    <t xml:space="preserve">(279 Sec /278 Sec)</t>
  </si>
  <si>
    <t xml:space="preserve">56,80 / 56,82</t>
  </si>
  <si>
    <t xml:space="preserve">9,01 / 9,02</t>
  </si>
  <si>
    <t xml:space="preserve">(397 Sec / 397 Sec)</t>
  </si>
  <si>
    <t xml:space="preserve">(274 Sec / 275 Sec)</t>
  </si>
  <si>
    <t xml:space="preserve">Genvis SPAMA3</t>
  </si>
  <si>
    <t xml:space="preserve">64,42 / 64,36</t>
  </si>
  <si>
    <t xml:space="preserve">10,29 / 10,30</t>
  </si>
  <si>
    <t xml:space="preserve">(455 Sec / 450 Sec)</t>
  </si>
  <si>
    <t xml:space="preserve">(314 Sec / 314 Sec)</t>
  </si>
  <si>
    <t xml:space="preserve">66,49 / 66.12</t>
  </si>
  <si>
    <t xml:space="preserve">10,50 / 10,49</t>
  </si>
  <si>
    <t xml:space="preserve">(486 Sec / 463 Sec)</t>
  </si>
  <si>
    <t xml:space="preserve">(340 Sec / 319 Sec)</t>
  </si>
  <si>
    <t xml:space="preserve">5W30-F3</t>
  </si>
  <si>
    <t xml:space="preserve">10W30-F3</t>
  </si>
  <si>
    <t xml:space="preserve">5W40-F4</t>
  </si>
  <si>
    <t xml:space="preserve">10W40-F4</t>
  </si>
  <si>
    <t xml:space="preserve">10W40-A (SPAMA 3 = 6,5%)</t>
  </si>
  <si>
    <t xml:space="preserve">70,00 / 70,00</t>
  </si>
  <si>
    <t xml:space="preserve">11,21 / 11,22</t>
  </si>
  <si>
    <t xml:space="preserve">(449 Sec / 450 Sec)</t>
  </si>
  <si>
    <t xml:space="preserve">(341 Sec / 342 Sec)</t>
  </si>
  <si>
    <t xml:space="preserve">10W40-A (SPAMA 3 = 7%)</t>
  </si>
  <si>
    <t xml:space="preserve">73,61 / 73,63 </t>
  </si>
  <si>
    <t xml:space="preserve">10,58 / 10,59</t>
  </si>
  <si>
    <t xml:space="preserve">(490 Sec / 420 Sec)</t>
  </si>
  <si>
    <t xml:space="preserve">(278 Sec / 277 Sec)</t>
  </si>
  <si>
    <t xml:space="preserve">5W30-A (SPAMA 3 = 2,5%)</t>
  </si>
  <si>
    <t xml:space="preserve">60,23 / 60,09</t>
  </si>
  <si>
    <t xml:space="preserve">9,12 / 9,10</t>
  </si>
  <si>
    <t xml:space="preserve">(412 Sec / 420 Sec)</t>
  </si>
  <si>
    <t xml:space="preserve">Formulasi R4</t>
  </si>
  <si>
    <t xml:space="preserve">5W30-B (SPAMA 3 = 3%)</t>
  </si>
  <si>
    <t xml:space="preserve">59,91 / 59,82</t>
  </si>
  <si>
    <t xml:space="preserve">9,47 / 9,47</t>
  </si>
  <si>
    <t xml:space="preserve">5W30-A</t>
  </si>
  <si>
    <t xml:space="preserve">5W30-B</t>
  </si>
  <si>
    <t xml:space="preserve">5W40-A</t>
  </si>
  <si>
    <t xml:space="preserve">10W40-B</t>
  </si>
  <si>
    <t xml:space="preserve">(423 Sec / 419 Sec)</t>
  </si>
  <si>
    <t xml:space="preserve">(289 Sec / 289 Sec)</t>
  </si>
  <si>
    <t xml:space="preserve">Blend 5W30 NA /R4-SP</t>
  </si>
  <si>
    <t xml:space="preserve">0W20-A </t>
  </si>
  <si>
    <t xml:space="preserve">54,94 / 54,97</t>
  </si>
  <si>
    <t xml:space="preserve">(384 Sec / 384 Sec)</t>
  </si>
  <si>
    <t xml:space="preserve">Blend 10W40 NA /R4-SN</t>
  </si>
  <si>
    <t xml:space="preserve">0W20-B</t>
  </si>
  <si>
    <t xml:space="preserve">52,48 / 52,73</t>
  </si>
  <si>
    <t xml:space="preserve">(367 Sec / 369 Sec)</t>
  </si>
  <si>
    <t xml:space="preserve">Blend 0W20 - NA/R4-SP</t>
  </si>
  <si>
    <t xml:space="preserve">C60</t>
  </si>
  <si>
    <t xml:space="preserve">0W20-A</t>
  </si>
  <si>
    <t xml:space="preserve">C80</t>
  </si>
  <si>
    <t xml:space="preserve">Blend 0W20-NA/R4-SP</t>
  </si>
  <si>
    <t xml:space="preserve">TRIESTER</t>
  </si>
  <si>
    <t xml:space="preserve">WN9014</t>
  </si>
  <si>
    <t xml:space="preserve">Blend 5W30 - NA/R4-SP</t>
  </si>
  <si>
    <t xml:space="preserve">Blend 10W40 - NA /R4-SN</t>
  </si>
  <si>
    <t xml:space="preserve">10 September 2020 - 11 September 2020</t>
  </si>
  <si>
    <t xml:space="preserve">5W30 - BARIA</t>
  </si>
  <si>
    <t xml:space="preserve">64,89 / 64,92</t>
  </si>
  <si>
    <t xml:space="preserve">10,09 / 10,08</t>
  </si>
  <si>
    <t xml:space="preserve">(454 Sec / 454 Sec)</t>
  </si>
  <si>
    <t xml:space="preserve">(307 Sec / 307 Sec)</t>
  </si>
  <si>
    <t xml:space="preserve">10W30 - BARIA</t>
  </si>
  <si>
    <t xml:space="preserve">65,98 / 65,74</t>
  </si>
  <si>
    <t xml:space="preserve">10,68 / 10,68</t>
  </si>
  <si>
    <t xml:space="preserve">(462 Sec / 460 Sec)</t>
  </si>
  <si>
    <t xml:space="preserve">(325 Sec / 325 Sec)</t>
  </si>
  <si>
    <t xml:space="preserve">5W40 - BARIA</t>
  </si>
  <si>
    <t xml:space="preserve">81,59 / 81,55</t>
  </si>
  <si>
    <t xml:space="preserve">13,02 / 13,02</t>
  </si>
  <si>
    <t xml:space="preserve">(571 Sec / 571 Sec)</t>
  </si>
  <si>
    <t xml:space="preserve">10W40 - BARIA</t>
  </si>
  <si>
    <t xml:space="preserve">83,26 / 83,10</t>
  </si>
  <si>
    <t xml:space="preserve">13,22 / 13,23</t>
  </si>
  <si>
    <t xml:space="preserve">(583 Sec / 582 Sec)</t>
  </si>
  <si>
    <t xml:space="preserve">(403 Sec / 403 Sec)</t>
  </si>
  <si>
    <t xml:space="preserve">10W40 - F1 (TANPA SPMA)</t>
  </si>
  <si>
    <t xml:space="preserve">60,87 / 60,90</t>
  </si>
  <si>
    <t xml:space="preserve">9,13 / 9,13</t>
  </si>
  <si>
    <t xml:space="preserve">(426 Sec / 426 Sec)</t>
  </si>
  <si>
    <t xml:space="preserve">(278 Sec / 278 Sec)</t>
  </si>
  <si>
    <t xml:space="preserve">10W30 - (VM - HV = 6%) </t>
  </si>
  <si>
    <t xml:space="preserve">68,57 / 68,51</t>
  </si>
  <si>
    <t xml:space="preserve">11,31 / 11,31</t>
  </si>
  <si>
    <t xml:space="preserve">(345 Sec / 345 Sec)</t>
  </si>
  <si>
    <t xml:space="preserve">VM-VMM (HV)</t>
  </si>
  <si>
    <t xml:space="preserve">10W40 - (VM - HV = 8%)</t>
  </si>
  <si>
    <t xml:space="preserve">87,62 / 87,35</t>
  </si>
  <si>
    <t xml:space="preserve">14,15 / 14,15</t>
  </si>
  <si>
    <t xml:space="preserve">(613 Sec / 611 Sec)</t>
  </si>
  <si>
    <t xml:space="preserve">(431 Sec / 431 Sec)</t>
  </si>
  <si>
    <t xml:space="preserve">8 September 2020 - 9 September 2020</t>
  </si>
  <si>
    <t xml:space="preserve">56,69 / 56,75</t>
  </si>
  <si>
    <t xml:space="preserve">(397 Sec / 390 Sec)</t>
  </si>
  <si>
    <t xml:space="preserve">(278 Sec /278 Sec)</t>
  </si>
  <si>
    <t xml:space="preserve">58,08 / 58,75</t>
  </si>
  <si>
    <t xml:space="preserve">(406 Sec / 405 Sec)</t>
  </si>
  <si>
    <t xml:space="preserve">(281 Sec / 281 Sec)</t>
  </si>
  <si>
    <t xml:space="preserve">68,06 / 68,02</t>
  </si>
  <si>
    <t xml:space="preserve">10,57 / 10,56</t>
  </si>
  <si>
    <t xml:space="preserve">(476 Sec / 477 Sec)</t>
  </si>
  <si>
    <t xml:space="preserve">(322 Sec / 322 Sec)</t>
  </si>
  <si>
    <t xml:space="preserve">70,17 / 70,03</t>
  </si>
  <si>
    <t xml:space="preserve">10,75 / 10,74</t>
  </si>
  <si>
    <t xml:space="preserve">(491 Sec / 490 Sec)</t>
  </si>
  <si>
    <t xml:space="preserve">(328 Sec / 327 Sec)</t>
  </si>
  <si>
    <t xml:space="preserve">14 September 2020 - 15 September 2020</t>
  </si>
  <si>
    <t xml:space="preserve">10W30</t>
  </si>
  <si>
    <t xml:space="preserve">10W40</t>
  </si>
  <si>
    <t xml:space="preserve">10W30 - (G.Vis SPAMA 20/5 - 41,5% = 4,5%)</t>
  </si>
  <si>
    <t xml:space="preserve">59,91 / 59,90</t>
  </si>
  <si>
    <t xml:space="preserve">10,69 / 10,71</t>
  </si>
  <si>
    <t xml:space="preserve">(419 Sec / 419 Sec)</t>
  </si>
  <si>
    <t xml:space="preserve">(326 Sec / 326 Sec)</t>
  </si>
  <si>
    <t xml:space="preserve">Genvis SPAMA 20/5-41,5%</t>
  </si>
  <si>
    <t xml:space="preserve">10W40 - (G.Vis SPAMA 20/5 - 41,5% = 6%)</t>
  </si>
  <si>
    <t xml:space="preserve">71,63 / 71,64</t>
  </si>
  <si>
    <t xml:space="preserve">11,38 / 11,40</t>
  </si>
  <si>
    <t xml:space="preserve">(501 Sec / 501 Sec)</t>
  </si>
  <si>
    <t xml:space="preserve">(347 Sec / 347 Sec)</t>
  </si>
  <si>
    <t xml:space="preserve">10W30 - (Genvis SPAMA 20/5 - 41,5% = 5,5%)</t>
  </si>
  <si>
    <t xml:space="preserve">61,09 / 61,09</t>
  </si>
  <si>
    <t xml:space="preserve">9,82 / 9,81</t>
  </si>
  <si>
    <t xml:space="preserve">(427 Sec / 427 Sec)</t>
  </si>
  <si>
    <t xml:space="preserve">(299 Sec / 299 Sec)</t>
  </si>
  <si>
    <t xml:space="preserve">10W40 - (Genvis SPAMA 20/5 - 41,5% = 7%)</t>
  </si>
  <si>
    <t xml:space="preserve">75,28 / 75,42</t>
  </si>
  <si>
    <t xml:space="preserve">11,65 / 11,64</t>
  </si>
  <si>
    <t xml:space="preserve">(527 Sec / 527 Sec)</t>
  </si>
  <si>
    <t xml:space="preserve">(355 Sec / 355 Sec)</t>
  </si>
  <si>
    <t xml:space="preserve">16 September 2020 - 17 September 2020</t>
  </si>
  <si>
    <t xml:space="preserve">SAE 10W30</t>
  </si>
  <si>
    <t xml:space="preserve">SAE 10W40</t>
  </si>
  <si>
    <t xml:space="preserve">10W30 - F1</t>
  </si>
  <si>
    <t xml:space="preserve">SAE 10W30 - (PAMA 62%-Z1 = 4%)</t>
  </si>
  <si>
    <t xml:space="preserve">59,34 / 59,24</t>
  </si>
  <si>
    <t xml:space="preserve">9,58 / 9,58</t>
  </si>
  <si>
    <t xml:space="preserve">10W40 - F1</t>
  </si>
  <si>
    <t xml:space="preserve">(415 Sec / 415 Sec)</t>
  </si>
  <si>
    <t xml:space="preserve">(292 Sec /292 Sec)</t>
  </si>
  <si>
    <t xml:space="preserve">PAMA 62% - Z1</t>
  </si>
  <si>
    <t xml:space="preserve">SAE 10W30 - (PAMA 62%-Z1 = 5%)</t>
  </si>
  <si>
    <t xml:space="preserve">59,24 / 59,27</t>
  </si>
  <si>
    <t xml:space="preserve">10,14 / 10,10</t>
  </si>
  <si>
    <t xml:space="preserve">(309 Sec / 308 Sec)</t>
  </si>
  <si>
    <t xml:space="preserve">SAE 10W40 - (PAMA 62%-Z1 = 6%)</t>
  </si>
  <si>
    <t xml:space="preserve">72,59 / 72,41</t>
  </si>
  <si>
    <t xml:space="preserve">11,52 / 11,50</t>
  </si>
  <si>
    <t xml:space="preserve">(508 Sec / 507 Sec)</t>
  </si>
  <si>
    <t xml:space="preserve">(351 Sec / 351 Sec)</t>
  </si>
  <si>
    <t xml:space="preserve">SAE 10W40 - (PAMA 62%-Z1 = 7%)</t>
  </si>
  <si>
    <t xml:space="preserve">73,25 / 73,02</t>
  </si>
  <si>
    <t xml:space="preserve">11,99 / 11,96</t>
  </si>
  <si>
    <t xml:space="preserve">(512 Sec / 511 Sec)</t>
  </si>
  <si>
    <t xml:space="preserve">(365 Sec / 364 Sec)</t>
  </si>
  <si>
    <t xml:space="preserve">SAE 10W40 - (G.Vis SPAMA 20/5-41% = 6,5%)</t>
  </si>
  <si>
    <t xml:space="preserve">65,91 / 65,85</t>
  </si>
  <si>
    <t xml:space="preserve">10,10 / 10,09</t>
  </si>
  <si>
    <t xml:space="preserve">(461 Sec / 461 Sec)</t>
  </si>
  <si>
    <t xml:space="preserve">Uji Cairan Genlube 135</t>
  </si>
  <si>
    <t xml:space="preserve">Viscositas</t>
  </si>
  <si>
    <t xml:space="preserve">KV 40 (2,00 mm)</t>
  </si>
  <si>
    <t xml:space="preserve">KV 100 (1,00 mm)</t>
  </si>
  <si>
    <t xml:space="preserve">340,26 / 340,59</t>
  </si>
  <si>
    <t xml:space="preserve">34,17 / 34,19</t>
  </si>
  <si>
    <t xml:space="preserve">Poor Point</t>
  </si>
  <si>
    <t xml:space="preserve">Hasil</t>
  </si>
  <si>
    <t xml:space="preserve">(Prediksi -40°C)</t>
  </si>
  <si>
    <r>
      <rPr>
        <sz val="11"/>
        <color rgb="FFFFFFFF"/>
        <rFont val="Calibri"/>
        <family val="2"/>
        <charset val="1"/>
      </rPr>
      <t xml:space="preserve">Minus</t>
    </r>
    <r>
      <rPr>
        <sz val="11"/>
        <color rgb="FF000000"/>
        <rFont val="Calibri"/>
        <family val="2"/>
        <charset val="1"/>
      </rPr>
      <t xml:space="preserve"> -30°C</t>
    </r>
  </si>
  <si>
    <t xml:space="preserve">Flash Point</t>
  </si>
  <si>
    <t xml:space="preserve">(Prediksi 250°C)</t>
  </si>
  <si>
    <t xml:space="preserve">222,6°C</t>
  </si>
  <si>
    <t xml:space="preserve">Noack</t>
  </si>
  <si>
    <t xml:space="preserve">(Prediksi 4%)</t>
  </si>
  <si>
    <t xml:space="preserve">Blend Oil S8 Ester</t>
  </si>
  <si>
    <t xml:space="preserve">C050 C80</t>
  </si>
  <si>
    <t xml:space="preserve">Blend Oil S8-Ester - (PAMA 62%-Z1 = 8%) </t>
  </si>
  <si>
    <t xml:space="preserve">60,36 / 60,40</t>
  </si>
  <si>
    <t xml:space="preserve">(422 Sec / 423 Sec)</t>
  </si>
  <si>
    <t xml:space="preserve">Blend Oil S8-Ester - (PAMA 62%-Z1 = 9%)</t>
  </si>
  <si>
    <t xml:space="preserve">62,06 / 62,05</t>
  </si>
  <si>
    <t xml:space="preserve">(434 Sec / 434 Sec)</t>
  </si>
  <si>
    <t xml:space="preserve">Formulasi</t>
  </si>
  <si>
    <t xml:space="preserve">Spesimen No 1</t>
  </si>
  <si>
    <t xml:space="preserve">Spesimen No 2</t>
  </si>
  <si>
    <t xml:space="preserve">21 September 2020 - 22 September 2020</t>
  </si>
  <si>
    <t xml:space="preserve">SAE 10W30-R2</t>
  </si>
  <si>
    <t xml:space="preserve">Spesimen 1</t>
  </si>
  <si>
    <t xml:space="preserve">Spesimen 2</t>
  </si>
  <si>
    <t xml:space="preserve">SAE 10W30 - (SPAMA 52% = 5%)</t>
  </si>
  <si>
    <t xml:space="preserve">69,37 / 69,27</t>
  </si>
  <si>
    <t xml:space="preserve">10,83 / 10,84</t>
  </si>
  <si>
    <t xml:space="preserve">SPMA 52%</t>
  </si>
  <si>
    <t xml:space="preserve">(485 Sec / 484 Sec)</t>
  </si>
  <si>
    <t xml:space="preserve">(330 Sec /330 Sec)</t>
  </si>
  <si>
    <t xml:space="preserve">69,83 / 69,78</t>
  </si>
  <si>
    <t xml:space="preserve">10,66 / 10,64</t>
  </si>
  <si>
    <t xml:space="preserve">(488 Sec / 488 Sec)</t>
  </si>
  <si>
    <t xml:space="preserve">(325 Sec / 324 Sec)</t>
  </si>
  <si>
    <t xml:space="preserve">SAE 10W40-R2</t>
  </si>
  <si>
    <t xml:space="preserve">81,41 / 81,31</t>
  </si>
  <si>
    <t xml:space="preserve">12,26 / 12,24</t>
  </si>
  <si>
    <t xml:space="preserve">Spesimen 3</t>
  </si>
  <si>
    <t xml:space="preserve">Spesimen 4</t>
  </si>
  <si>
    <t xml:space="preserve">Spesimen 5</t>
  </si>
  <si>
    <t xml:space="preserve">(570 Sec / 569 Sec)</t>
  </si>
  <si>
    <t xml:space="preserve">(374 Sec / 373 Sec)</t>
  </si>
  <si>
    <t xml:space="preserve">88,83 / 88,11</t>
  </si>
  <si>
    <t xml:space="preserve">14,22 / 14,14</t>
  </si>
  <si>
    <t xml:space="preserve">(622 Sec / 621 Sec)</t>
  </si>
  <si>
    <t xml:space="preserve">(433 Sec / 431 Sec)</t>
  </si>
  <si>
    <t xml:space="preserve">VM-NMM (HV)</t>
  </si>
  <si>
    <t xml:space="preserve">84,24 / 88,19</t>
  </si>
  <si>
    <t xml:space="preserve">13,78 / 13,79</t>
  </si>
  <si>
    <t xml:space="preserve">(617 Sec / 617 Sec)</t>
  </si>
  <si>
    <t xml:space="preserve">(420 Sec / 420 Sec)</t>
  </si>
  <si>
    <t xml:space="preserve">Penggunaan CCS (22 September 2020)</t>
  </si>
  <si>
    <t xml:space="preserve">SAE 10W 40 - R2 (VM-HV=8%)</t>
  </si>
  <si>
    <t xml:space="preserve">Viscosity</t>
  </si>
  <si>
    <t xml:space="preserve">6016 mPa.S</t>
  </si>
  <si>
    <t xml:space="preserve">Temperatur</t>
  </si>
  <si>
    <t xml:space="preserve">-25°C</t>
  </si>
  <si>
    <t xml:space="preserve">Speed</t>
  </si>
  <si>
    <t xml:space="preserve">137,4 R/m</t>
  </si>
  <si>
    <t xml:space="preserve">Penggunaan HTHS (22 September 2020)</t>
  </si>
  <si>
    <t xml:space="preserve">Test1</t>
  </si>
  <si>
    <t xml:space="preserve">150°C</t>
  </si>
  <si>
    <t xml:space="preserve">Pressure</t>
  </si>
  <si>
    <t xml:space="preserve">2635,63 kPa</t>
  </si>
  <si>
    <t xml:space="preserve">Outlfow Time</t>
  </si>
  <si>
    <t xml:space="preserve">17,05 sec</t>
  </si>
  <si>
    <t xml:space="preserve">Shear Rate</t>
  </si>
  <si>
    <t xml:space="preserve">Viscosity Valve</t>
  </si>
  <si>
    <t xml:space="preserve">4,13076 mPa.s</t>
  </si>
  <si>
    <t xml:space="preserve">Test 2</t>
  </si>
  <si>
    <t xml:space="preserve">2535,63 kPa</t>
  </si>
  <si>
    <t xml:space="preserve">Outflow Time</t>
  </si>
  <si>
    <t xml:space="preserve">17,88 sec</t>
  </si>
  <si>
    <t xml:space="preserve">3,972 mPa.s</t>
  </si>
  <si>
    <t xml:space="preserve">KV 40°C</t>
  </si>
  <si>
    <t xml:space="preserve">KV 100°C</t>
  </si>
  <si>
    <t xml:space="preserve">TRL-SAE 10W30 - JASO MB/API-SN</t>
  </si>
  <si>
    <t xml:space="preserve">S8</t>
  </si>
  <si>
    <t xml:space="preserve">TRL-SAE 10W30-JASO MB/API-SN</t>
  </si>
  <si>
    <t xml:space="preserve">68,79 / 68,64</t>
  </si>
  <si>
    <t xml:space="preserve">10,80 / 10,80</t>
  </si>
  <si>
    <t xml:space="preserve">(481 Sec / 480 Sec)</t>
  </si>
  <si>
    <t xml:space="preserve">(329 Sec / 329 Sec)</t>
  </si>
  <si>
    <t xml:space="preserve">TRL-SAE 10W40-JASO MB/API-SN</t>
  </si>
  <si>
    <t xml:space="preserve">88,51 / 88,41</t>
  </si>
  <si>
    <t xml:space="preserve">15,26 / 15,28</t>
  </si>
  <si>
    <t xml:space="preserve">(619 Sec / 618 Sec)</t>
  </si>
  <si>
    <t xml:space="preserve">(465 Sec / 466 Sec)</t>
  </si>
  <si>
    <t xml:space="preserve">TRL-SAE 10W40- VM SPAMA</t>
  </si>
  <si>
    <t xml:space="preserve">75,80 / 75,68</t>
  </si>
  <si>
    <t xml:space="preserve">12,76 / 12,77</t>
  </si>
  <si>
    <t xml:space="preserve">Genvis SPMA 20/5 - 52%</t>
  </si>
  <si>
    <t xml:space="preserve">(530 Sec / 529 Sec)</t>
  </si>
  <si>
    <t xml:space="preserve">(388 Sec / 389 Sec)</t>
  </si>
  <si>
    <t xml:space="preserve">Pour Point</t>
  </si>
  <si>
    <t xml:space="preserve">HTHS</t>
  </si>
  <si>
    <t xml:space="preserve">Cold Cranking Simulator</t>
  </si>
  <si>
    <t xml:space="preserve">4 Ball (WSD/Coef Friction)</t>
  </si>
  <si>
    <t xml:space="preserve">Loss Tester (Noack)</t>
  </si>
  <si>
    <t xml:space="preserve">-29°C</t>
  </si>
  <si>
    <t xml:space="preserve">3,66 mPa.sec</t>
  </si>
  <si>
    <t xml:space="preserve">6130,86 mPa</t>
  </si>
  <si>
    <t xml:space="preserve">0,46 mm / 0,058137</t>
  </si>
  <si>
    <t xml:space="preserve">-33°C</t>
  </si>
  <si>
    <t xml:space="preserve">4,129 mPa.sec</t>
  </si>
  <si>
    <t xml:space="preserve">0,43 mm/ 0,054965</t>
  </si>
  <si>
    <t xml:space="preserve">3,943 mPa.sec</t>
  </si>
  <si>
    <t xml:space="preserve">TRL-SAE 10W40 - FT01</t>
  </si>
  <si>
    <t xml:space="preserve">TRL-SAE 10W40 - FT02</t>
  </si>
  <si>
    <t xml:space="preserve">36,87 gr</t>
  </si>
  <si>
    <t xml:space="preserve">37,02 gr</t>
  </si>
  <si>
    <t xml:space="preserve">TRL-SAE 10W40 - F01</t>
  </si>
  <si>
    <t xml:space="preserve">89,36 / 89,34</t>
  </si>
  <si>
    <t xml:space="preserve">14,28 / 14,28</t>
  </si>
  <si>
    <t xml:space="preserve">5 gr</t>
  </si>
  <si>
    <t xml:space="preserve">(625 Sec / 624 Sec)</t>
  </si>
  <si>
    <t xml:space="preserve">(435 Sec / 435 Sec)</t>
  </si>
  <si>
    <t xml:space="preserve">3,83 gr</t>
  </si>
  <si>
    <t xml:space="preserve">TRL-SAE 10W40 - F02</t>
  </si>
  <si>
    <t xml:space="preserve">86,71 / 86,52</t>
  </si>
  <si>
    <t xml:space="preserve">13,62 / 13,63</t>
  </si>
  <si>
    <t xml:space="preserve">0,30 gr</t>
  </si>
  <si>
    <t xml:space="preserve">(607 Sec / 605 Sec)</t>
  </si>
  <si>
    <t xml:space="preserve">(415 Sec / 416 Sec)</t>
  </si>
  <si>
    <t xml:space="preserve">0,10 gr</t>
  </si>
  <si>
    <t xml:space="preserve">3,90 gr</t>
  </si>
  <si>
    <t xml:space="preserve">3,75 gr</t>
  </si>
  <si>
    <t xml:space="preserve">50 gr</t>
  </si>
  <si>
    <t xml:space="preserve">TRL SAE - 10W40 - JASO MB / API-SN</t>
  </si>
  <si>
    <t xml:space="preserve">C80 SPMA 52% No.1</t>
  </si>
  <si>
    <t xml:space="preserve">C80 SPMA 52% No.4</t>
  </si>
  <si>
    <t xml:space="preserve">TRL-SAE 10W40 - JASO MB</t>
  </si>
  <si>
    <t xml:space="preserve">C80 = 45 gr</t>
  </si>
  <si>
    <t xml:space="preserve">C80 = 46 gr</t>
  </si>
  <si>
    <t xml:space="preserve">C8 = 45 gr - SPMA 52% = 5gr</t>
  </si>
  <si>
    <t xml:space="preserve">9,14 / 9,12</t>
  </si>
  <si>
    <t xml:space="preserve">73,75 gr</t>
  </si>
  <si>
    <t xml:space="preserve">SPMA 52% = 5 gr</t>
  </si>
  <si>
    <t xml:space="preserve">SPMA 52% = 4 gr</t>
  </si>
  <si>
    <t xml:space="preserve">(279 Sec / 278 Sec)</t>
  </si>
  <si>
    <t xml:space="preserve">10 gr</t>
  </si>
  <si>
    <t xml:space="preserve">Total = 50 gr</t>
  </si>
  <si>
    <t xml:space="preserve">TRL-SAE 10W40 - JASO MB / API SN</t>
  </si>
  <si>
    <t xml:space="preserve">14,33 / 14,33</t>
  </si>
  <si>
    <t xml:space="preserve">7,65 gr</t>
  </si>
  <si>
    <t xml:space="preserve">(410 Sec / 410 Sec)</t>
  </si>
  <si>
    <t xml:space="preserve">0,6 gr</t>
  </si>
  <si>
    <t xml:space="preserve">TRL-SAE 10W30 - JASO MB / API SN</t>
  </si>
  <si>
    <t xml:space="preserve">10,26 / 10,26</t>
  </si>
  <si>
    <t xml:space="preserve">0,2 gr</t>
  </si>
  <si>
    <t xml:space="preserve">7,8 gr</t>
  </si>
  <si>
    <t xml:space="preserve">C8 = 46 gr - SPMA 52% = 4gr</t>
  </si>
  <si>
    <t xml:space="preserve">8,67 / 8,65</t>
  </si>
  <si>
    <t xml:space="preserve">100 gr</t>
  </si>
  <si>
    <t xml:space="preserve">(264 Sec / 263 Sec)</t>
  </si>
  <si>
    <t xml:space="preserve">TRL SAE - 10W30 - JASO MB / API-SN</t>
  </si>
  <si>
    <t xml:space="preserve">TRL-SAE 10W30 - JASO MB</t>
  </si>
  <si>
    <t xml:space="preserve">76,55 gr</t>
  </si>
  <si>
    <t xml:space="preserve">VM-SPMA 52%</t>
  </si>
  <si>
    <t xml:space="preserve">TRL 0W20 GF6 / API-SP (GASOLINE) R4</t>
  </si>
  <si>
    <t xml:space="preserve">1,2 mm (11/84/109/115)</t>
  </si>
  <si>
    <t xml:space="preserve">0,8 mm (30/44/53)</t>
  </si>
  <si>
    <t xml:space="preserve">RAW Material</t>
  </si>
  <si>
    <t xml:space="preserve">0W20-01</t>
  </si>
  <si>
    <t xml:space="preserve">0W20-02</t>
  </si>
  <si>
    <t xml:space="preserve">0W20-03</t>
  </si>
  <si>
    <t xml:space="preserve">0W20-04</t>
  </si>
  <si>
    <t xml:space="preserve">TRL 10W40 GF5 / API-SN Plus R4 (10W40-01) Kv40:11 Kv100:53</t>
  </si>
  <si>
    <t xml:space="preserve">81,97 / 81,30</t>
  </si>
  <si>
    <t xml:space="preserve">11,72 / 11,70</t>
  </si>
  <si>
    <t xml:space="preserve">60 gr</t>
  </si>
  <si>
    <t xml:space="preserve">(645 Sec / 640 Sec)</t>
  </si>
  <si>
    <t xml:space="preserve">(335 Sec / 334 Sec)</t>
  </si>
  <si>
    <t xml:space="preserve">S6</t>
  </si>
  <si>
    <t xml:space="preserve">17,72 gr</t>
  </si>
  <si>
    <t xml:space="preserve">77,72 gr</t>
  </si>
  <si>
    <t xml:space="preserve">18,22 gr</t>
  </si>
  <si>
    <t xml:space="preserve">78,22 gr</t>
  </si>
  <si>
    <t xml:space="preserve">TRL 10W40 GF5 / API-SN Plus R4 (10W40-02) Kv40:84 Kv100:30</t>
  </si>
  <si>
    <t xml:space="preserve">79,08 / 79,08</t>
  </si>
  <si>
    <t xml:space="preserve">13,62 / 13,61</t>
  </si>
  <si>
    <t xml:space="preserve">Triester</t>
  </si>
  <si>
    <t xml:space="preserve">(681 Sec / 681 Sec)</t>
  </si>
  <si>
    <t xml:space="preserve">8,28 gr</t>
  </si>
  <si>
    <t xml:space="preserve">TRL 0W20 GF6 / API-SP R4 (0W20-01) Kv40:109 Kv100:30</t>
  </si>
  <si>
    <t xml:space="preserve">63,08 / 63,08</t>
  </si>
  <si>
    <t xml:space="preserve">12,32 / 12,08</t>
  </si>
  <si>
    <t xml:space="preserve">4 gr</t>
  </si>
  <si>
    <t xml:space="preserve">3,5 gr</t>
  </si>
  <si>
    <t xml:space="preserve">(543 Sec / 543 Sec)</t>
  </si>
  <si>
    <t xml:space="preserve">(352 Sec / 345 Sec)</t>
  </si>
  <si>
    <t xml:space="preserve">TRL 0W20 GF6 / API-SP R4 (0W20-02) Kv40:115 Kv100:53</t>
  </si>
  <si>
    <t xml:space="preserve">66,06 / 66,82</t>
  </si>
  <si>
    <t xml:space="preserve">8,64 / 8,64</t>
  </si>
  <si>
    <t xml:space="preserve">(520 Sec / 521 Sec)</t>
  </si>
  <si>
    <t xml:space="preserve">(247 Sec / 247 Sec)</t>
  </si>
  <si>
    <t xml:space="preserve">TRL 5W30 GF6 / API-SP (GASOLINE) R4</t>
  </si>
  <si>
    <t xml:space="preserve">TRL 0W20 GF6 / API-SP R4 (0W20-03) Kv40:11 Kv100:30</t>
  </si>
  <si>
    <t xml:space="preserve">61,07 / 61,07</t>
  </si>
  <si>
    <t xml:space="preserve">9,69 / 9,69</t>
  </si>
  <si>
    <t xml:space="preserve">5W30-01</t>
  </si>
  <si>
    <t xml:space="preserve">5W30-02</t>
  </si>
  <si>
    <t xml:space="preserve">(424 Sec / 424 Sec)</t>
  </si>
  <si>
    <t xml:space="preserve">(295 Sec / 295 Sec)</t>
  </si>
  <si>
    <t xml:space="preserve">77,22 gr</t>
  </si>
  <si>
    <t xml:space="preserve">TRL 0W20 GF6 / API-SP R4 (0W20-04) Kv40:11 Kv100:53</t>
  </si>
  <si>
    <t xml:space="preserve">51,08 / 51,11</t>
  </si>
  <si>
    <t xml:space="preserve">8,40 / 8,38</t>
  </si>
  <si>
    <t xml:space="preserve">(263 Sec / 263 Sec)</t>
  </si>
  <si>
    <t xml:space="preserve">TRL 5W30 GF5 / API-SP R4 (5W30-01) Kv40:109 Kv100:30</t>
  </si>
  <si>
    <t xml:space="preserve">69,20 / 69,36</t>
  </si>
  <si>
    <t xml:space="preserve">11,48 / 11,49</t>
  </si>
  <si>
    <t xml:space="preserve">UM SPMA 52%</t>
  </si>
  <si>
    <t xml:space="preserve">4,50 gr</t>
  </si>
  <si>
    <t xml:space="preserve">(484 Sec / 485 Sec)</t>
  </si>
  <si>
    <t xml:space="preserve">(350 Sec / 350 Sec)</t>
  </si>
  <si>
    <t xml:space="preserve">TRL 5W30 GF5 / API-SP R4 (5W30-02) Kv40:84 Kv100:30</t>
  </si>
  <si>
    <t xml:space="preserve">67,16 / 67,28 </t>
  </si>
  <si>
    <t xml:space="preserve">10,38 / 10,36</t>
  </si>
  <si>
    <t xml:space="preserve">(530 Sec / 531 Sec)</t>
  </si>
  <si>
    <t xml:space="preserve">(326 Sec / 325 Sec)</t>
  </si>
  <si>
    <t xml:space="preserve">TRL 10W40 GF5 / API-SN PLUS (GASOLINE) R4</t>
  </si>
  <si>
    <t xml:space="preserve">10W40-01</t>
  </si>
  <si>
    <t xml:space="preserve">10W40-02</t>
  </si>
  <si>
    <t xml:space="preserve">72,30 gr</t>
  </si>
  <si>
    <t xml:space="preserve">71,30 gr</t>
  </si>
  <si>
    <t xml:space="preserve">8,70 gr</t>
  </si>
  <si>
    <t xml:space="preserve">VM SPMA 52%</t>
  </si>
  <si>
    <t xml:space="preserve">9 gr</t>
  </si>
  <si>
    <t xml:space="preserve"> </t>
  </si>
  <si>
    <t xml:space="preserve">Fine Tuning 0W20-03 &amp; 0W20-04</t>
  </si>
  <si>
    <t xml:space="preserve">Formula Pak William</t>
  </si>
  <si>
    <t xml:space="preserve">0W20-03 A</t>
  </si>
  <si>
    <t xml:space="preserve">0W20-04 A</t>
  </si>
  <si>
    <t xml:space="preserve">Retest Fine Tuning 5W30-01 A Kv40:11 Kv100:30</t>
  </si>
  <si>
    <t xml:space="preserve">66,66 / 64,98</t>
  </si>
  <si>
    <t xml:space="preserve">9,88 / 9,88</t>
  </si>
  <si>
    <t xml:space="preserve">S08</t>
  </si>
  <si>
    <t xml:space="preserve">60,50 gr</t>
  </si>
  <si>
    <t xml:space="preserve">C0S0 C80</t>
  </si>
  <si>
    <t xml:space="preserve">(452 Sec / 455 Sec)</t>
  </si>
  <si>
    <t xml:space="preserve">(301 Sec / 301 Sec)</t>
  </si>
  <si>
    <t xml:space="preserve">S06</t>
  </si>
  <si>
    <t xml:space="preserve">Restest Fine Tuning 5W30-01 B Kv40:84 Kv100:44</t>
  </si>
  <si>
    <t xml:space="preserve">62,42 / 62,57</t>
  </si>
  <si>
    <t xml:space="preserve">10,72 / 10,73</t>
  </si>
  <si>
    <t xml:space="preserve">(492 Sec / 493 Sec)</t>
  </si>
  <si>
    <t xml:space="preserve">(336 Sec / 336 Sec)</t>
  </si>
  <si>
    <t xml:space="preserve">Fine Tuning 0W20-4  A Kv40:115 Kv100:44</t>
  </si>
  <si>
    <t xml:space="preserve">41,86 / 41,79</t>
  </si>
  <si>
    <t xml:space="preserve">7,47 / 7,47</t>
  </si>
  <si>
    <t xml:space="preserve">3 gr</t>
  </si>
  <si>
    <t xml:space="preserve">(234 Sec / 234 Sec)</t>
  </si>
  <si>
    <t xml:space="preserve">0 gr</t>
  </si>
  <si>
    <t xml:space="preserve">Fine Tuning 0W20-3 A Kv40:109 Kv100:53</t>
  </si>
  <si>
    <t xml:space="preserve">49,11 / 49,21</t>
  </si>
  <si>
    <t xml:space="preserve">8,17 / 8,18</t>
  </si>
  <si>
    <t xml:space="preserve">Lubrizon VL 9101 F</t>
  </si>
  <si>
    <t xml:space="preserve">(423 Sec / 423 Sec)</t>
  </si>
  <si>
    <t xml:space="preserve">(235 Sec / 234 Sec)</t>
  </si>
  <si>
    <t xml:space="preserve">Retest Fine Tuning Formula 5W30-01</t>
  </si>
  <si>
    <t xml:space="preserve">Formula 1 P. William Kv40:109 Kv:30</t>
  </si>
  <si>
    <t xml:space="preserve">63,13 / 63,04</t>
  </si>
  <si>
    <t xml:space="preserve">13,07 / 13,09</t>
  </si>
  <si>
    <t xml:space="preserve">(442 Sec / 441 Sec)</t>
  </si>
  <si>
    <t xml:space="preserve">(398 Sec / 399 Sec)</t>
  </si>
  <si>
    <t xml:space="preserve">SAE 10W30 LUB. A &amp; B</t>
  </si>
  <si>
    <t xml:space="preserve">Formula 2 P. Willam Kv40:11 Kv:53</t>
  </si>
  <si>
    <t xml:space="preserve">88,35 / 88,21</t>
  </si>
  <si>
    <t xml:space="preserve">10,33 / 10,32</t>
  </si>
  <si>
    <t xml:space="preserve">17,52 gr</t>
  </si>
  <si>
    <t xml:space="preserve">Lub A</t>
  </si>
  <si>
    <t xml:space="preserve">Lub B</t>
  </si>
  <si>
    <t xml:space="preserve">(695 Sec / 694 Sec)</t>
  </si>
  <si>
    <t xml:space="preserve">SAE 10W30 Lub A Kv40: Kv100:53</t>
  </si>
  <si>
    <t xml:space="preserve">9,80 / 9,80</t>
  </si>
  <si>
    <t xml:space="preserve">(280 Sec / 281 Sec)</t>
  </si>
  <si>
    <t xml:space="preserve">4,20 gr</t>
  </si>
  <si>
    <t xml:space="preserve">SAE 10W30 Lub B Kv40:  Kv100:30</t>
  </si>
  <si>
    <t xml:space="preserve">10,07 / 10,07</t>
  </si>
  <si>
    <t xml:space="preserve">(316 Sec / 316 Sec)</t>
  </si>
  <si>
    <t xml:space="preserve">TRL 10W40 Lub A Kv40:  Kv100:30</t>
  </si>
  <si>
    <t xml:space="preserve">10,68 / 10,64</t>
  </si>
  <si>
    <t xml:space="preserve">TRL 10W40 Lub B Kv40:  Kv100:53</t>
  </si>
  <si>
    <t xml:space="preserve">10,46 / 10,46</t>
  </si>
  <si>
    <t xml:space="preserve">TRL 10W40 LUB. A &amp; B</t>
  </si>
  <si>
    <t xml:space="preserve">15,21 gr</t>
  </si>
  <si>
    <t xml:space="preserve">15,11 gr</t>
  </si>
  <si>
    <t xml:space="preserve">2 gr</t>
  </si>
  <si>
    <t xml:space="preserve">1,53 gr</t>
  </si>
  <si>
    <t xml:space="preserve">0,12 gr</t>
  </si>
  <si>
    <t xml:space="preserve">0,04 gr</t>
  </si>
  <si>
    <t xml:space="preserve">1,10 gr</t>
  </si>
  <si>
    <t xml:space="preserve">1,20 gr</t>
  </si>
  <si>
    <t xml:space="preserve">0W20 - 03</t>
  </si>
  <si>
    <t xml:space="preserve">0W20-03 B</t>
  </si>
  <si>
    <t xml:space="preserve">0W20-04 C</t>
  </si>
  <si>
    <t xml:space="preserve">40 gr</t>
  </si>
  <si>
    <t xml:space="preserve">30 gr</t>
  </si>
  <si>
    <t xml:space="preserve">0W20 - 03 B Kv40:11 Kv100:53</t>
  </si>
  <si>
    <t xml:space="preserve">47,99 / 47,98</t>
  </si>
  <si>
    <t xml:space="preserve">8,01 / 8,01</t>
  </si>
  <si>
    <t xml:space="preserve">38,72 gr</t>
  </si>
  <si>
    <t xml:space="preserve">48,72 gr</t>
  </si>
  <si>
    <t xml:space="preserve">(335 Sec / 335 Sec)</t>
  </si>
  <si>
    <t xml:space="preserve">0W20 - 03 C Kv40:115 Kv100:44</t>
  </si>
  <si>
    <t xml:space="preserve">46,27 . 47,31</t>
  </si>
  <si>
    <t xml:space="preserve">7,87 / 7,88</t>
  </si>
  <si>
    <t xml:space="preserve">(364 Sec / 364 Sec)</t>
  </si>
  <si>
    <t xml:space="preserve">Formula 2 P. William Kv40:84 Kv100:30</t>
  </si>
  <si>
    <t xml:space="preserve">64,30 / 64,12</t>
  </si>
  <si>
    <t xml:space="preserve">10,67 / 10,67</t>
  </si>
  <si>
    <t xml:space="preserve">(507 Sec / 506 Sec)</t>
  </si>
  <si>
    <t xml:space="preserve">Formula 3 P. William Kv40:109 Kv100:53</t>
  </si>
  <si>
    <t xml:space="preserve">60,81 / 60,80</t>
  </si>
  <si>
    <t xml:space="preserve">9,90 / 9,90</t>
  </si>
  <si>
    <t xml:space="preserve">Formula P. William</t>
  </si>
  <si>
    <t xml:space="preserve">(523 Sec / 523 Sec)</t>
  </si>
  <si>
    <t xml:space="preserve">(283 Sec / 283 Sec)</t>
  </si>
  <si>
    <t xml:space="preserve">Formula 4 P. William Kv40:11 Kv100:44</t>
  </si>
  <si>
    <t xml:space="preserve">65,30 / 65,07</t>
  </si>
  <si>
    <t xml:space="preserve">10,86 / 10,89</t>
  </si>
  <si>
    <t xml:space="preserve">78,55 gr</t>
  </si>
  <si>
    <t xml:space="preserve">74,55 gr</t>
  </si>
  <si>
    <t xml:space="preserve">(457 Sec / 455 Sec)</t>
  </si>
  <si>
    <t xml:space="preserve">0W20 - 03 D Kv40:115 Kv100:30</t>
  </si>
  <si>
    <t xml:space="preserve">53,94 / 53,83</t>
  </si>
  <si>
    <t xml:space="preserve">8,96 / 8,94</t>
  </si>
  <si>
    <t xml:space="preserve">(424 Sec / 423 Sec)</t>
  </si>
  <si>
    <t xml:space="preserve">(273 Sec / 272 Sec)</t>
  </si>
  <si>
    <t xml:space="preserve">0W20 - 03 E Kv40:84 Kv100:30</t>
  </si>
  <si>
    <t xml:space="preserve">44,74 / 44,64</t>
  </si>
  <si>
    <t xml:space="preserve">8,00 / 7,99</t>
  </si>
  <si>
    <t xml:space="preserve">(353 Sec / 352 Sec)</t>
  </si>
  <si>
    <t xml:space="preserve">(244 Sec / 243 Sec)</t>
  </si>
  <si>
    <t xml:space="preserve">7 gr</t>
  </si>
  <si>
    <t xml:space="preserve">0W20 - 04 B Kv40:109 Kv100:30</t>
  </si>
  <si>
    <t xml:space="preserve">46,72 / 46,62</t>
  </si>
  <si>
    <t xml:space="preserve">7,99 / 7,99</t>
  </si>
  <si>
    <t xml:space="preserve">(402 Sec / 401 Sec)</t>
  </si>
  <si>
    <t xml:space="preserve">(243 Sec / 243 Sec)</t>
  </si>
  <si>
    <t xml:space="preserve">Fine Tuning 5W30 - 01 B Kv40:109 Kv100:30</t>
  </si>
  <si>
    <t xml:space="preserve">72,29 / 72,30</t>
  </si>
  <si>
    <t xml:space="preserve">0W20 - 03 D</t>
  </si>
  <si>
    <t xml:space="preserve">(506 Sec / 506 Sec)</t>
  </si>
  <si>
    <t xml:space="preserve">(305 Sec / 305 Sec)</t>
  </si>
  <si>
    <t xml:space="preserve">0W20-03 D</t>
  </si>
  <si>
    <t xml:space="preserve">15 gr</t>
  </si>
  <si>
    <t xml:space="preserve">63,22 gr</t>
  </si>
  <si>
    <t xml:space="preserve">0W20 - 03 E</t>
  </si>
  <si>
    <t xml:space="preserve">0W20-03 E</t>
  </si>
  <si>
    <t xml:space="preserve">7,5 gr</t>
  </si>
  <si>
    <t xml:space="preserve">31,61 gr</t>
  </si>
  <si>
    <t xml:space="preserve">4,14 gr</t>
  </si>
  <si>
    <t xml:space="preserve">1,75 gr</t>
  </si>
  <si>
    <t xml:space="preserve">0W20 - 04 B</t>
  </si>
  <si>
    <t xml:space="preserve">0W20-04 B</t>
  </si>
  <si>
    <t xml:space="preserve">39,235 gr</t>
  </si>
  <si>
    <t xml:space="preserve">2,5 gr</t>
  </si>
  <si>
    <t xml:space="preserve">1,625 gr</t>
  </si>
  <si>
    <t xml:space="preserve">01 - 02 Oktober 2020</t>
  </si>
  <si>
    <t xml:space="preserve">Formulasi F 540 </t>
  </si>
  <si>
    <t xml:space="preserve">0,8 mm (30/44/50/53)</t>
  </si>
  <si>
    <t xml:space="preserve">F 540 - 01 Kv40:115 Kv100:30</t>
  </si>
  <si>
    <t xml:space="preserve">94,12 / 94,20</t>
  </si>
  <si>
    <t xml:space="preserve">14,09 / 14,10</t>
  </si>
  <si>
    <t xml:space="preserve">65,7 gr</t>
  </si>
  <si>
    <t xml:space="preserve">68,7 gr</t>
  </si>
  <si>
    <t xml:space="preserve">(741 Sec / 741 Sec)</t>
  </si>
  <si>
    <t xml:space="preserve">(429 Sec / 430 Sec)</t>
  </si>
  <si>
    <t xml:space="preserve">F 540 - 02 Kv40:109 Kv100:44</t>
  </si>
  <si>
    <t xml:space="preserve">95,24 / 95,50</t>
  </si>
  <si>
    <t xml:space="preserve">14,52 / 14,54</t>
  </si>
  <si>
    <t xml:space="preserve">14,3 gr</t>
  </si>
  <si>
    <t xml:space="preserve">(820 Sec / 822 Sec)</t>
  </si>
  <si>
    <t xml:space="preserve">(456 Sec / 456 Sec)</t>
  </si>
  <si>
    <t xml:space="preserve">SPAMA 52%</t>
  </si>
  <si>
    <t xml:space="preserve">F 540 - 03 Kv40:84 Kv100:53</t>
  </si>
  <si>
    <t xml:space="preserve">83,71 / 83,95</t>
  </si>
  <si>
    <t xml:space="preserve">12,60 / 12,58</t>
  </si>
  <si>
    <t xml:space="preserve">WM NMM (HV)</t>
  </si>
  <si>
    <t xml:space="preserve">(660 Sec / 662 Sec)</t>
  </si>
  <si>
    <t xml:space="preserve">(360 Sec / 360 Sec)</t>
  </si>
  <si>
    <t xml:space="preserve">F 540 - 04 Kv40:11 Kv100:30</t>
  </si>
  <si>
    <t xml:space="preserve">125,70 / 125,53</t>
  </si>
  <si>
    <t xml:space="preserve">16,86 / 16,86</t>
  </si>
  <si>
    <t xml:space="preserve">(880 Sec / 879 Sec)</t>
  </si>
  <si>
    <t xml:space="preserve">(529 Sec / 529 Sec)</t>
  </si>
  <si>
    <t xml:space="preserve">F 540 - 05 Kv40: 11 Kv100:30</t>
  </si>
  <si>
    <t xml:space="preserve">91.34 / 91.24</t>
  </si>
  <si>
    <t xml:space="preserve">13,39 / 13,40</t>
  </si>
  <si>
    <t xml:space="preserve">(641 Sec / 640 Sec)</t>
  </si>
  <si>
    <t xml:space="preserve">(408 Sec / 408 Sec)</t>
  </si>
  <si>
    <t xml:space="preserve">31,6 gr</t>
  </si>
  <si>
    <t xml:space="preserve">30,35 gr</t>
  </si>
  <si>
    <t xml:space="preserve">F 540 - 06 Kv40: Kv100:44</t>
  </si>
  <si>
    <t xml:space="preserve">13,15 / 13,15 </t>
  </si>
  <si>
    <t xml:space="preserve">(413 Sec / 413 Sec)</t>
  </si>
  <si>
    <t xml:space="preserve">F 540 - 07 Kv40: Kv100:53</t>
  </si>
  <si>
    <t xml:space="preserve">13,29 / 13,30</t>
  </si>
  <si>
    <t xml:space="preserve">(380 Sec / 380 Sec)</t>
  </si>
  <si>
    <t xml:space="preserve">Priolube 3970</t>
  </si>
  <si>
    <t xml:space="preserve">F 540 - 08 Kv40:  Kv100:30</t>
  </si>
  <si>
    <t xml:space="preserve">13,09 / 13,09</t>
  </si>
  <si>
    <t xml:space="preserve">7,15 gr</t>
  </si>
  <si>
    <t xml:space="preserve">(399 Sec / 399 Sec)</t>
  </si>
  <si>
    <t xml:space="preserve">F 540 - 09 Kv40:  Kv100:50</t>
  </si>
  <si>
    <t xml:space="preserve">81.78 / 81.88</t>
  </si>
  <si>
    <t xml:space="preserve">11,67 / 11,70</t>
  </si>
  <si>
    <t xml:space="preserve">(645 Sec / 646 Sec)</t>
  </si>
  <si>
    <t xml:space="preserve">(346 Sec / 347 Sec)</t>
  </si>
  <si>
    <t xml:space="preserve">F 540 - 10 Kv40:  Kv100:30</t>
  </si>
  <si>
    <t xml:space="preserve">15,89 / 15,90</t>
  </si>
  <si>
    <t xml:space="preserve">(484 Sec / 489 Sec)</t>
  </si>
  <si>
    <t xml:space="preserve">F 540 - 11 Kv40:  Kv100:30</t>
  </si>
  <si>
    <t xml:space="preserve">87.62 / 87.62</t>
  </si>
  <si>
    <t xml:space="preserve">13,46 / 13,42</t>
  </si>
  <si>
    <t xml:space="preserve">62,7 gr</t>
  </si>
  <si>
    <t xml:space="preserve">64,2 gr</t>
  </si>
  <si>
    <t xml:space="preserve">(754 Sec / 754 Sec)</t>
  </si>
  <si>
    <t xml:space="preserve">(410 Sec / 409 Sec)</t>
  </si>
  <si>
    <t xml:space="preserve">F 540 - 12 Kv40:  Kv100:50</t>
  </si>
  <si>
    <t xml:space="preserve">92.40 / 92.52</t>
  </si>
  <si>
    <t xml:space="preserve">14,27 / 14,26</t>
  </si>
  <si>
    <t xml:space="preserve">(727 Sec / 728 Sec)</t>
  </si>
  <si>
    <t xml:space="preserve">10W40 - 02 A Kv40:  Kv100:50</t>
  </si>
  <si>
    <t xml:space="preserve">85.20 / 85.18</t>
  </si>
  <si>
    <t xml:space="preserve">13,10 / 13,07</t>
  </si>
  <si>
    <t xml:space="preserve">VM - HV</t>
  </si>
  <si>
    <t xml:space="preserve">8 gr</t>
  </si>
  <si>
    <t xml:space="preserve">6,5 gr</t>
  </si>
  <si>
    <t xml:space="preserve">(596 Sec / 596 Sec)</t>
  </si>
  <si>
    <t xml:space="preserve">(389 Sec / 388 Sec)</t>
  </si>
  <si>
    <t xml:space="preserve">Formulasi F 540</t>
  </si>
  <si>
    <t xml:space="preserve">67,7 gr</t>
  </si>
  <si>
    <t xml:space="preserve">F 540 - 13 Kv40:11 Kv100:30</t>
  </si>
  <si>
    <t xml:space="preserve">89,17 / 83,50</t>
  </si>
  <si>
    <t xml:space="preserve">12,02 / 12,00</t>
  </si>
  <si>
    <t xml:space="preserve">(584 Sec / 585 Sec)</t>
  </si>
  <si>
    <t xml:space="preserve">(366 Sec / 366 Sec)</t>
  </si>
  <si>
    <t xml:space="preserve">F 540 - 14 Kv40:84 Kv100:50</t>
  </si>
  <si>
    <t xml:space="preserve">80,23 / 80,26</t>
  </si>
  <si>
    <t xml:space="preserve">11,91 / 11,93</t>
  </si>
  <si>
    <t xml:space="preserve">(633 Sec / 633 Sec)</t>
  </si>
  <si>
    <t xml:space="preserve">(353 Sec / 334 Sec)</t>
  </si>
  <si>
    <t xml:space="preserve">0W20 - 05 Kv40:- Kv100:50</t>
  </si>
  <si>
    <t xml:space="preserve">6,90 / 6,90</t>
  </si>
  <si>
    <t xml:space="preserve">(205 Sec / 205 Sec)</t>
  </si>
  <si>
    <t xml:space="preserve">0W20 - 06 Kv40:- Kv100:30</t>
  </si>
  <si>
    <t xml:space="preserve">6,21 / 6,22</t>
  </si>
  <si>
    <t xml:space="preserve">(189 Sec / 189 Sec)</t>
  </si>
  <si>
    <t xml:space="preserve">0W20 - 07 Kv40: Kv100:44</t>
  </si>
  <si>
    <t xml:space="preserve">6,51 / 6,51</t>
  </si>
  <si>
    <t xml:space="preserve">Formulasi 0W20</t>
  </si>
  <si>
    <t xml:space="preserve">(204 Sec / 204 Sec)</t>
  </si>
  <si>
    <t xml:space="preserve">Base Oil Blend (BOB OW20)</t>
  </si>
  <si>
    <t xml:space="preserve">0W20 - 08 Kv40: Kv100:53</t>
  </si>
  <si>
    <t xml:space="preserve">6,36 / 6,37</t>
  </si>
  <si>
    <t xml:space="preserve">BOB OW20</t>
  </si>
  <si>
    <t xml:space="preserve">(181 Sec / 182 Sec)</t>
  </si>
  <si>
    <t xml:space="preserve">S4</t>
  </si>
  <si>
    <t xml:space="preserve">70 gr</t>
  </si>
  <si>
    <t xml:space="preserve">0W20 - 05 A Kv40: Kv100:53</t>
  </si>
  <si>
    <t xml:space="preserve">7,52 / 7,52</t>
  </si>
  <si>
    <t xml:space="preserve">(215 Sec / 215 Sec)</t>
  </si>
  <si>
    <t xml:space="preserve">0W20 - 05 B Kv40:109  Kv100:30</t>
  </si>
  <si>
    <t xml:space="preserve">42,95 / 42,98</t>
  </si>
  <si>
    <t xml:space="preserve">8,26 / 8,20</t>
  </si>
  <si>
    <t xml:space="preserve">(369 Sec / 370 Sec)</t>
  </si>
  <si>
    <t xml:space="preserve">(252 Sec / 250 Sec)</t>
  </si>
  <si>
    <t xml:space="preserve">78,72 gr</t>
  </si>
  <si>
    <t xml:space="preserve">Formulasi 0W20 - 05 A dan B</t>
  </si>
  <si>
    <t xml:space="preserve">75,72 gr</t>
  </si>
  <si>
    <t xml:space="preserve">74,72 gr</t>
  </si>
  <si>
    <t xml:space="preserve">2,28 gr</t>
  </si>
  <si>
    <t xml:space="preserve">6 gr</t>
  </si>
  <si>
    <t xml:space="preserve">2.39350667 mPa</t>
  </si>
  <si>
    <t xml:space="preserve">2.301725 mPa</t>
  </si>
  <si>
    <t xml:space="preserve">2.310815 mPa</t>
  </si>
  <si>
    <t xml:space="preserve">2.3404 mPa</t>
  </si>
  <si>
    <t xml:space="preserve">2.4986 mPa</t>
  </si>
  <si>
    <t xml:space="preserve">2.59711 mPa</t>
  </si>
  <si>
    <t xml:space="preserve">Formulasi TRL 10W30 Improve 1</t>
  </si>
  <si>
    <t xml:space="preserve">TRL 10W30 Imp 1</t>
  </si>
  <si>
    <t xml:space="preserve">37,55 gr</t>
  </si>
  <si>
    <t xml:space="preserve">TRL 10W30 - Improve 1 Kv40:115 Kv100:30</t>
  </si>
  <si>
    <t xml:space="preserve">64,04 / 64,11</t>
  </si>
  <si>
    <t xml:space="preserve">11,06 / 11,06</t>
  </si>
  <si>
    <t xml:space="preserve">38 gr</t>
  </si>
  <si>
    <t xml:space="preserve">(504 Sec / 504 Sec)</t>
  </si>
  <si>
    <t xml:space="preserve">0W20 - 05 C Kv40:115 Kv100:53</t>
  </si>
  <si>
    <t xml:space="preserve">46,39 / 46,31</t>
  </si>
  <si>
    <t xml:space="preserve">8,04 / 8,05</t>
  </si>
  <si>
    <t xml:space="preserve">(230 Sec / 230 Sec)</t>
  </si>
  <si>
    <t xml:space="preserve">0,60 gr</t>
  </si>
  <si>
    <t xml:space="preserve">0W20 - 05 D Kv40:11 Kv100:30</t>
  </si>
  <si>
    <t xml:space="preserve">48,27 / 48,20</t>
  </si>
  <si>
    <t xml:space="preserve">8,12 / 8,14</t>
  </si>
  <si>
    <t xml:space="preserve">0,20 gr</t>
  </si>
  <si>
    <t xml:space="preserve">(338 Sec / 337 Sec)</t>
  </si>
  <si>
    <t xml:space="preserve">(247 Sec / 248 Sec)</t>
  </si>
  <si>
    <t xml:space="preserve">VM SPAMA 52%</t>
  </si>
  <si>
    <t xml:space="preserve">F 540 - 15 Kv40:84 Kv100:44</t>
  </si>
  <si>
    <t xml:space="preserve">81,80 / 81,65</t>
  </si>
  <si>
    <t xml:space="preserve">12,08 / 12,20</t>
  </si>
  <si>
    <t xml:space="preserve">(645 Sec / 644 Sec)</t>
  </si>
  <si>
    <t xml:space="preserve">(379 Sec / 383 Sec)</t>
  </si>
  <si>
    <t xml:space="preserve">F 540 - 16 Kv40: 109 Kv100: 30</t>
  </si>
  <si>
    <t xml:space="preserve">82,57 / 82,54</t>
  </si>
  <si>
    <t xml:space="preserve">11,09 / 11,09</t>
  </si>
  <si>
    <t xml:space="preserve">(711 Sec / 710 Sec)</t>
  </si>
  <si>
    <t xml:space="preserve">(338 Sec / 338 Sec)</t>
  </si>
  <si>
    <t xml:space="preserve">F 540 - 17 Kv40: 11 Kv100: 44</t>
  </si>
  <si>
    <t xml:space="preserve">83,31 / 83,49</t>
  </si>
  <si>
    <t xml:space="preserve">11,68 / 11,67</t>
  </si>
  <si>
    <t xml:space="preserve">58,2 gr</t>
  </si>
  <si>
    <t xml:space="preserve">50,7 gr</t>
  </si>
  <si>
    <t xml:space="preserve">35,7 gr</t>
  </si>
  <si>
    <t xml:space="preserve">(583 Sec / 584 Sec)</t>
  </si>
  <si>
    <t xml:space="preserve">F 540 - 18 Kv40: 84 Kv100: 53</t>
  </si>
  <si>
    <t xml:space="preserve">75,53 / 75,49</t>
  </si>
  <si>
    <t xml:space="preserve">11,78 / 11,73</t>
  </si>
  <si>
    <t xml:space="preserve">(596 Sec / 595 Sec)</t>
  </si>
  <si>
    <t xml:space="preserve">(350 Sec / 335 Sec)</t>
  </si>
  <si>
    <t xml:space="preserve">T45 Kv100:0,6 / 36</t>
  </si>
  <si>
    <t xml:space="preserve">5,24 / 5,23</t>
  </si>
  <si>
    <t xml:space="preserve">(458 Sec / 459 Sec)</t>
  </si>
  <si>
    <t xml:space="preserve">14.3 gr</t>
  </si>
  <si>
    <t xml:space="preserve">T410 Kv100:0,6 / 36</t>
  </si>
  <si>
    <t xml:space="preserve">5,80 / 5,81</t>
  </si>
  <si>
    <t xml:space="preserve">(509 Sec / 509 Sec)</t>
  </si>
  <si>
    <t xml:space="preserve">T65 Kv100:0,8 / 30</t>
  </si>
  <si>
    <t xml:space="preserve">6,95 / 6,96</t>
  </si>
  <si>
    <t xml:space="preserve">(211 Sec / 212 Sec)</t>
  </si>
  <si>
    <t xml:space="preserve">Formulasi 0W20 - 05 C dan D</t>
  </si>
  <si>
    <t xml:space="preserve">T610 Kv100:0,8 / 30</t>
  </si>
  <si>
    <t xml:space="preserve">7,48 / 7,49</t>
  </si>
  <si>
    <t xml:space="preserve">Base Oil Blend (BOB 5W30)</t>
  </si>
  <si>
    <t xml:space="preserve">(214 Sec / 214 Sec)</t>
  </si>
  <si>
    <t xml:space="preserve">T85 Kv100:0,8 / 30</t>
  </si>
  <si>
    <t xml:space="preserve">8,19 / 8,18 </t>
  </si>
  <si>
    <t xml:space="preserve">(249 Sec / 249 Sec)</t>
  </si>
  <si>
    <t xml:space="preserve">T810 Kv100:0,8 / 44</t>
  </si>
  <si>
    <t xml:space="preserve">8,86 / 8,86</t>
  </si>
  <si>
    <t xml:space="preserve">0W20 - 05 C </t>
  </si>
  <si>
    <t xml:space="preserve">BOB 5W30</t>
  </si>
  <si>
    <t xml:space="preserve">74,22 gr</t>
  </si>
  <si>
    <t xml:space="preserve">7,50 gr</t>
  </si>
  <si>
    <t xml:space="preserve">Formulasi T45,T410,T65,T610,T85,T810</t>
  </si>
  <si>
    <t xml:space="preserve">T45</t>
  </si>
  <si>
    <t xml:space="preserve">T410</t>
  </si>
  <si>
    <t xml:space="preserve">T65</t>
  </si>
  <si>
    <t xml:space="preserve">T610</t>
  </si>
  <si>
    <t xml:space="preserve">T85</t>
  </si>
  <si>
    <t xml:space="preserve">T810</t>
  </si>
  <si>
    <t xml:space="preserve">95 gr</t>
  </si>
  <si>
    <t xml:space="preserve">90 gr</t>
  </si>
  <si>
    <t xml:space="preserve">07 - 08 Oktober 2020</t>
  </si>
  <si>
    <t xml:space="preserve">Formulasi TRL SAE 5W30 GF6/API-SP</t>
  </si>
  <si>
    <t xml:space="preserve">5W30 GF6</t>
  </si>
  <si>
    <t xml:space="preserve">TRL SAE 5W30 GF6/API-SP Kv40:109 Kv100:30</t>
  </si>
  <si>
    <t xml:space="preserve">62,37 / 62,44</t>
  </si>
  <si>
    <t xml:space="preserve">9,84 / 9,84</t>
  </si>
  <si>
    <t xml:space="preserve">37.55 gr</t>
  </si>
  <si>
    <t xml:space="preserve">(537 Sec / 537 Sec)</t>
  </si>
  <si>
    <t xml:space="preserve">(308 Sec / 308 Sec)</t>
  </si>
  <si>
    <t xml:space="preserve">38.34 gr</t>
  </si>
  <si>
    <t xml:space="preserve">TRL SAE 10W40 GF5/API SN Plus Kv40:115 Kv100:50</t>
  </si>
  <si>
    <t xml:space="preserve">87,37 / 87,44</t>
  </si>
  <si>
    <t xml:space="preserve">14,38 / 14,37</t>
  </si>
  <si>
    <t xml:space="preserve">(687 Sec / 688 Sec)</t>
  </si>
  <si>
    <t xml:space="preserve">(438 Sec / 438 Sec)</t>
  </si>
  <si>
    <t xml:space="preserve">8.28 gr</t>
  </si>
  <si>
    <t xml:space="preserve">F 540 - 19 Kv40:11 Kv100:53</t>
  </si>
  <si>
    <t xml:space="preserve">75,33 / 75,31</t>
  </si>
  <si>
    <t xml:space="preserve">11,32 / 11,32</t>
  </si>
  <si>
    <t xml:space="preserve">5.83 gr</t>
  </si>
  <si>
    <t xml:space="preserve">(323 Sec / 323 Sec)</t>
  </si>
  <si>
    <t xml:space="preserve">F 540 - 20 Kv40:84 Kv100:44</t>
  </si>
  <si>
    <t xml:space="preserve">68,46 / 68,48</t>
  </si>
  <si>
    <t xml:space="preserve">10,48 / 10,46</t>
  </si>
  <si>
    <t xml:space="preserve">(540 Sec / 540 Sec)</t>
  </si>
  <si>
    <t xml:space="preserve">(329 Sec / 328 Sec)</t>
  </si>
  <si>
    <t xml:space="preserve">Formulas TRL SAE 10W30 GF5/API-SN Plus</t>
  </si>
  <si>
    <t xml:space="preserve">TRL 5W30 - Improve 1 Kv40:11 Kv100:53</t>
  </si>
  <si>
    <t xml:space="preserve">65,98 / 65,55</t>
  </si>
  <si>
    <t xml:space="preserve">10,55 / 10,54</t>
  </si>
  <si>
    <t xml:space="preserve">10W30 GF5</t>
  </si>
  <si>
    <t xml:space="preserve">(462 Sec / 459 Sec)</t>
  </si>
  <si>
    <t xml:space="preserve">(321 Sec / 321 Sec)</t>
  </si>
  <si>
    <t xml:space="preserve">TRL SAE 10W30 JASO MB /API SN [IMPROVEMENT 1] Kv40:115 Kv100:30</t>
  </si>
  <si>
    <t xml:space="preserve">64,35 / 64,15</t>
  </si>
  <si>
    <t xml:space="preserve">9,74 / 9,72</t>
  </si>
  <si>
    <t xml:space="preserve">(506 Sec / 505 Sec)</t>
  </si>
  <si>
    <t xml:space="preserve">F 540 - 21 Kv40:109 Kv100:</t>
  </si>
  <si>
    <t xml:space="preserve">74,40 / 74,45</t>
  </si>
  <si>
    <t xml:space="preserve">VM HV</t>
  </si>
  <si>
    <t xml:space="preserve">7,55 gr</t>
  </si>
  <si>
    <t xml:space="preserve">(640 Sec / 641 Sec)</t>
  </si>
  <si>
    <t xml:space="preserve">F 540 - 22 Kv40:115 Kv100:</t>
  </si>
  <si>
    <t xml:space="preserve">72,83 / 72,75</t>
  </si>
  <si>
    <t xml:space="preserve">(573 Sec / 572 Sec)</t>
  </si>
  <si>
    <t xml:space="preserve">Formulasi TRL SAE 5W30 Improve 1</t>
  </si>
  <si>
    <t xml:space="preserve">F 540 - 23 Kv40:109 Kv100:53</t>
  </si>
  <si>
    <t xml:space="preserve">69,96 / 69,97</t>
  </si>
  <si>
    <t xml:space="preserve">10,78 / 10,77</t>
  </si>
  <si>
    <t xml:space="preserve">5W30 Imp1</t>
  </si>
  <si>
    <t xml:space="preserve">(602 Sec / 602 Sec)</t>
  </si>
  <si>
    <t xml:space="preserve">(328 Sec / 328 Sec)</t>
  </si>
  <si>
    <t xml:space="preserve">F 540 - 24 Kv40:84 Kv100:44</t>
  </si>
  <si>
    <t xml:space="preserve">62,10 / 61,95</t>
  </si>
  <si>
    <t xml:space="preserve">9,91 / 9,98</t>
  </si>
  <si>
    <t xml:space="preserve">36 gr</t>
  </si>
  <si>
    <t xml:space="preserve">(490 Sec / 488 Sec)</t>
  </si>
  <si>
    <t xml:space="preserve">(283 Sec / 282 Sec)</t>
  </si>
  <si>
    <t xml:space="preserve">F 540 - 25 Kv40:115 Kv100:30</t>
  </si>
  <si>
    <t xml:space="preserve">53,42 / 53,46</t>
  </si>
  <si>
    <t xml:space="preserve">8,99 / 8,98</t>
  </si>
  <si>
    <t xml:space="preserve">(282 Sec / 281 Sec)</t>
  </si>
  <si>
    <t xml:space="preserve">7 g</t>
  </si>
  <si>
    <t xml:space="preserve">TRL SAE 5W30 Improve 2 Kv40:11 Kv100:44</t>
  </si>
  <si>
    <t xml:space="preserve">64,26 / 64,16</t>
  </si>
  <si>
    <t xml:space="preserve">9,12 / 9,15</t>
  </si>
  <si>
    <t xml:space="preserve">(450 Sec / 449 Sec)</t>
  </si>
  <si>
    <t xml:space="preserve">Formulasi TRL SAE 10W30 JASO MB/API SN [IMPROVEMENT 1]</t>
  </si>
  <si>
    <t xml:space="preserve">10W30 JASO</t>
  </si>
  <si>
    <t xml:space="preserve">1877,50 gr</t>
  </si>
  <si>
    <t xml:space="preserve">1900 gr</t>
  </si>
  <si>
    <t xml:space="preserve">500 gr</t>
  </si>
  <si>
    <t xml:space="preserve">382 gr</t>
  </si>
  <si>
    <t xml:space="preserve">300 gr</t>
  </si>
  <si>
    <t xml:space="preserve">5000 gr</t>
  </si>
  <si>
    <t xml:space="preserve">Formulasi TRL SAE 5W30 Improve 2</t>
  </si>
  <si>
    <t xml:space="preserve">5W30 Imp2</t>
  </si>
  <si>
    <t xml:space="preserve">45,55 gr</t>
  </si>
  <si>
    <t xml:space="preserve">6,50 gr</t>
  </si>
  <si>
    <t xml:space="preserve">Formulasi F 540 19 dan F 540 20</t>
  </si>
  <si>
    <t xml:space="preserve">25,7 gr</t>
  </si>
  <si>
    <t xml:space="preserve">Formulasi F 540 21 sampai F 540 25</t>
  </si>
  <si>
    <t xml:space="preserve">20,7 gr</t>
  </si>
  <si>
    <t xml:space="preserve">15,7 gr</t>
  </si>
  <si>
    <t xml:space="preserve">45 gr</t>
  </si>
  <si>
    <t xml:space="preserve">65,7 gt</t>
  </si>
  <si>
    <t xml:space="preserve">0 gt</t>
  </si>
  <si>
    <t xml:space="preserve">69,7 gr</t>
  </si>
  <si>
    <t xml:space="preserve">Formulasi F 540 26 sampai 29</t>
  </si>
  <si>
    <t xml:space="preserve">F 540 - 26 Kv40:109 Kv100:30</t>
  </si>
  <si>
    <t xml:space="preserve">61,57 / 61,44</t>
  </si>
  <si>
    <t xml:space="preserve">9,92 / 9,97</t>
  </si>
  <si>
    <t xml:space="preserve">(302 Sec / 304 Sec)</t>
  </si>
  <si>
    <t xml:space="preserve">57,7 gr</t>
  </si>
  <si>
    <t xml:space="preserve">52,7 gr</t>
  </si>
  <si>
    <t xml:space="preserve">F 540 - 27 Kv40:11 Kv100:44</t>
  </si>
  <si>
    <t xml:space="preserve">55,90 / 55,82</t>
  </si>
  <si>
    <t xml:space="preserve">9,32 / 9,29</t>
  </si>
  <si>
    <t xml:space="preserve">65,70 gr</t>
  </si>
  <si>
    <t xml:space="preserve">(391 Sec / 390 Sec)</t>
  </si>
  <si>
    <t xml:space="preserve">(284 Sec / 283 Sec)</t>
  </si>
  <si>
    <t xml:space="preserve">F 540 - 28 Kv40:- Kv100:44</t>
  </si>
  <si>
    <t xml:space="preserve">14,73 / 14,75</t>
  </si>
  <si>
    <t xml:space="preserve">(461 Sec / 463 Sec)</t>
  </si>
  <si>
    <t xml:space="preserve">Prolube 3970</t>
  </si>
  <si>
    <t xml:space="preserve">F 540 - 29 Kv40:- Kv100:53</t>
  </si>
  <si>
    <t xml:space="preserve">14,92 / 14,95</t>
  </si>
  <si>
    <t xml:space="preserve">TRL SAE 5W30 - Improve 3 Kv40:109 Kv100:53</t>
  </si>
  <si>
    <t xml:space="preserve">62,16 / 62,10</t>
  </si>
  <si>
    <t xml:space="preserve">9,76 / 9,72</t>
  </si>
  <si>
    <t xml:space="preserve">(535 Sec / 534 Sec)</t>
  </si>
  <si>
    <t xml:space="preserve">TRL SAE 10W30 JASO MB /API SN [IMPROVEMENT 1] Kv100:30</t>
  </si>
  <si>
    <t xml:space="preserve">Formulasi TRL SAE 5W30 Improve 3</t>
  </si>
  <si>
    <t xml:space="preserve">TRL SAE 10W30 JASO MB /API SN [IMPROVEMENT 1] Kv100:44</t>
  </si>
  <si>
    <t xml:space="preserve">9,97 / 9,97</t>
  </si>
  <si>
    <t xml:space="preserve">5W30 Imp3</t>
  </si>
  <si>
    <t xml:space="preserve">(304 Sec / 304 Sec)</t>
  </si>
  <si>
    <t xml:space="preserve">44,72 gr</t>
  </si>
  <si>
    <t xml:space="preserve">TRL SAE 10W30 JASO MB /API SN [IMPROVEMENT 1] Kv100:53</t>
  </si>
  <si>
    <t xml:space="preserve">10,16 / 10,16</t>
  </si>
  <si>
    <t xml:space="preserve">(290 Sec / 290 Sec)</t>
  </si>
  <si>
    <t xml:space="preserve">VM-HV Kv40:2,5(60) Kv100:1,5(36)</t>
  </si>
  <si>
    <t xml:space="preserve">1591,89 / 1594,15</t>
  </si>
  <si>
    <t xml:space="preserve">220,31 / 222,42</t>
  </si>
  <si>
    <t xml:space="preserve">(681 Sec / 682 Sec)</t>
  </si>
  <si>
    <t xml:space="preserve">(423 Sec / 427 Sec)</t>
  </si>
  <si>
    <t xml:space="preserve">H 45 Kv100:30</t>
  </si>
  <si>
    <t xml:space="preserve">7,73 / 7,73</t>
  </si>
  <si>
    <t xml:space="preserve">(235 Sec / 235 Sec)</t>
  </si>
  <si>
    <t xml:space="preserve">H 410 Kv100:53</t>
  </si>
  <si>
    <t xml:space="preserve">11,79 / 11,79</t>
  </si>
  <si>
    <t xml:space="preserve">(370 Sec / 370 Sec)</t>
  </si>
  <si>
    <t xml:space="preserve">H 65 Kv100:30</t>
  </si>
  <si>
    <t xml:space="preserve">8,09 / 8,09</t>
  </si>
  <si>
    <t xml:space="preserve">(246 Sec / 246 Sec)</t>
  </si>
  <si>
    <t xml:space="preserve">H 610 Kv100:44</t>
  </si>
  <si>
    <t xml:space="preserve">9,78 / 9,78</t>
  </si>
  <si>
    <t xml:space="preserve">H 85 Kv100:53</t>
  </si>
  <si>
    <t xml:space="preserve">9,21 / 9,21</t>
  </si>
  <si>
    <t xml:space="preserve">H 810 Kv100:44</t>
  </si>
  <si>
    <t xml:space="preserve">19,63 / 19,59</t>
  </si>
  <si>
    <t xml:space="preserve">(561 Sec / 560 Sec)</t>
  </si>
  <si>
    <t xml:space="preserve">Formulasi H 45, H 410, H 65, H 610, H 85, H 810</t>
  </si>
  <si>
    <t xml:space="preserve">VM NMM (HV)</t>
  </si>
  <si>
    <t xml:space="preserve">Formulasi 10W30 - R2 - Improve 2 ,3 , 4</t>
  </si>
  <si>
    <t xml:space="preserve">Imp 2</t>
  </si>
  <si>
    <t xml:space="preserve">Imp 3</t>
  </si>
  <si>
    <t xml:space="preserve">Imp 4</t>
  </si>
  <si>
    <t xml:space="preserve">10W30 - R2 - Improve 2 Kv40:115 Kv100: 30</t>
  </si>
  <si>
    <t xml:space="preserve">59.27 / 59.27</t>
  </si>
  <si>
    <t xml:space="preserve">10.14 / 9.96</t>
  </si>
  <si>
    <t xml:space="preserve">76.55 gr</t>
  </si>
  <si>
    <t xml:space="preserve">75.55 gr</t>
  </si>
  <si>
    <t xml:space="preserve">74.55 gr</t>
  </si>
  <si>
    <t xml:space="preserve">(466 Sec / 466 Sec)</t>
  </si>
  <si>
    <t xml:space="preserve">(290 Sec / 280 Sec)</t>
  </si>
  <si>
    <t xml:space="preserve">10W30 - R2 - Improve 3 Kv40: 11 Kv100: 44</t>
  </si>
  <si>
    <t xml:space="preserve">62.02 / 61.90</t>
  </si>
  <si>
    <t xml:space="preserve">10.27 / 10.20</t>
  </si>
  <si>
    <t xml:space="preserve">(434 Sec / 433 Sec)</t>
  </si>
  <si>
    <t xml:space="preserve">(299 Sec / 297 Sec)</t>
  </si>
  <si>
    <t xml:space="preserve">7.65 gr</t>
  </si>
  <si>
    <t xml:space="preserve">10W30 - R2 - Improve 4 Kv40: 109 Kv100:53</t>
  </si>
  <si>
    <t xml:space="preserve">63.76 / 63.60</t>
  </si>
  <si>
    <t xml:space="preserve">10.40 / 10.36</t>
  </si>
  <si>
    <t xml:space="preserve">0.60 gr</t>
  </si>
  <si>
    <t xml:space="preserve">(549 Sec / 547 Sec)</t>
  </si>
  <si>
    <t xml:space="preserve">WN 9104</t>
  </si>
  <si>
    <t xml:space="preserve">0.20 gr</t>
  </si>
  <si>
    <t xml:space="preserve">F 540 - 28 Kv40: 84 Kv100: 30</t>
  </si>
  <si>
    <t xml:space="preserve">96.02 / 96.02</t>
  </si>
  <si>
    <t xml:space="preserve">14.73 / 14.75</t>
  </si>
  <si>
    <t xml:space="preserve">(757 Sec / 757 Sec)</t>
  </si>
  <si>
    <t xml:space="preserve">(462 Sec / 463 Sec)</t>
  </si>
  <si>
    <t xml:space="preserve">F 540 - 29 Kv40: 11 Kv100: 44</t>
  </si>
  <si>
    <t xml:space="preserve">93.88 / 93.11</t>
  </si>
  <si>
    <t xml:space="preserve">14.92 / 14.95</t>
  </si>
  <si>
    <t xml:space="preserve">(657 Sec / 653 Sec)</t>
  </si>
  <si>
    <t xml:space="preserve">Formulasi 5W30 - R4 - Improve 4, 5, 6, 7</t>
  </si>
  <si>
    <t xml:space="preserve">F 540 - 30 Kv40: 109 Kv100: 30</t>
  </si>
  <si>
    <t xml:space="preserve">63.88 / 63.89</t>
  </si>
  <si>
    <t xml:space="preserve">10.57 / 10.59</t>
  </si>
  <si>
    <t xml:space="preserve">Imp 5</t>
  </si>
  <si>
    <t xml:space="preserve">Imp 6</t>
  </si>
  <si>
    <t xml:space="preserve">Imp 7</t>
  </si>
  <si>
    <t xml:space="preserve">(550 Sec / 550 Sec)</t>
  </si>
  <si>
    <t xml:space="preserve">(306 / 307 Sec)</t>
  </si>
  <si>
    <t xml:space="preserve">76.72 gr</t>
  </si>
  <si>
    <t xml:space="preserve">72.72 gr</t>
  </si>
  <si>
    <t xml:space="preserve">75.72 gr</t>
  </si>
  <si>
    <t xml:space="preserve">74.72 gr</t>
  </si>
  <si>
    <t xml:space="preserve">F 540 - 31 Kv40: 84 Kv100: 44</t>
  </si>
  <si>
    <t xml:space="preserve">56.38 / 56.37</t>
  </si>
  <si>
    <t xml:space="preserve">9.92 / 9.92</t>
  </si>
  <si>
    <t xml:space="preserve">(445 Sec / 445 Sec)</t>
  </si>
  <si>
    <t xml:space="preserve">5W30 - R4 - Improve 4 Kv40: 11 Kv100: 53</t>
  </si>
  <si>
    <t xml:space="preserve">70.10 / 70.07</t>
  </si>
  <si>
    <t xml:space="preserve">10.57 /10.59</t>
  </si>
  <si>
    <t xml:space="preserve">(473 Sec / 472 Sec)</t>
  </si>
  <si>
    <t xml:space="preserve">(284 Sec / 284 Sec)</t>
  </si>
  <si>
    <t xml:space="preserve">5W30 - R4 - Improve 5 Kv40: 84 Kv100: 53</t>
  </si>
  <si>
    <t xml:space="preserve">71.05 / 71.07</t>
  </si>
  <si>
    <t xml:space="preserve">10.95 / 10.94</t>
  </si>
  <si>
    <t xml:space="preserve">(536 Sec / 537 Sec)</t>
  </si>
  <si>
    <t xml:space="preserve">(294 Sec / 294 Sec)</t>
  </si>
  <si>
    <t xml:space="preserve">5W30 - R4 - Improve 6 Kv40: 109 Kv100: 30</t>
  </si>
  <si>
    <t xml:space="preserve">64.80 / 64.77</t>
  </si>
  <si>
    <t xml:space="preserve">10.17 / 10.18</t>
  </si>
  <si>
    <t xml:space="preserve">Formulasi F 540 - 28 dan 29</t>
  </si>
  <si>
    <t xml:space="preserve">(530 Sec / 530 Sec)</t>
  </si>
  <si>
    <t xml:space="preserve">(295 Sec / 296 Sec)</t>
  </si>
  <si>
    <t xml:space="preserve">5W30 - R4 - Improve 7 Kv40: 115 Kv100: 44</t>
  </si>
  <si>
    <t xml:space="preserve">66.28 / 66.28</t>
  </si>
  <si>
    <t xml:space="preserve">10.36 / 10.36</t>
  </si>
  <si>
    <t xml:space="preserve">Formulasi F 540 - 30 sampai 31</t>
  </si>
  <si>
    <t xml:space="preserve">10.7 gr</t>
  </si>
  <si>
    <t xml:space="preserve">20 gr</t>
  </si>
  <si>
    <t xml:space="preserve">35 gr</t>
  </si>
  <si>
    <t xml:space="preserve">Formulasi 20W50 - R4 - SN</t>
  </si>
  <si>
    <t xml:space="preserve">1.0 mm (228) 0.8 mm (30/44/53)</t>
  </si>
  <si>
    <t xml:space="preserve">20W50-R4-01</t>
  </si>
  <si>
    <t xml:space="preserve">20W50-R4-02</t>
  </si>
  <si>
    <t xml:space="preserve">20W50-R4-03</t>
  </si>
  <si>
    <t xml:space="preserve">20W50-R4-04</t>
  </si>
  <si>
    <t xml:space="preserve">20W50 - R4 - 01 Kv40: 11 Kv100: 228</t>
  </si>
  <si>
    <t xml:space="preserve">21.09 / 21.09</t>
  </si>
  <si>
    <t xml:space="preserve">21.69 gr</t>
  </si>
  <si>
    <t xml:space="preserve">21.39 gr</t>
  </si>
  <si>
    <t xml:space="preserve">14.46 gr</t>
  </si>
  <si>
    <t xml:space="preserve">14.26 gr</t>
  </si>
  <si>
    <t xml:space="preserve">1022 Sec</t>
  </si>
  <si>
    <t xml:space="preserve">(302 Sec / 302 Sec)</t>
  </si>
  <si>
    <t xml:space="preserve">50.61 gr</t>
  </si>
  <si>
    <t xml:space="preserve">49.91 gr</t>
  </si>
  <si>
    <t xml:space="preserve">57.84 gr</t>
  </si>
  <si>
    <t xml:space="preserve">57.04 gr</t>
  </si>
  <si>
    <t xml:space="preserve">20W50 - R4 - 01 Kv40: 84 Kv100: 228</t>
  </si>
  <si>
    <t xml:space="preserve">21.98 / 21.95</t>
  </si>
  <si>
    <t xml:space="preserve">1212 Sec</t>
  </si>
  <si>
    <t xml:space="preserve">8.70 gr</t>
  </si>
  <si>
    <t xml:space="preserve">20W50 - R4 - 01 Kv40: 109 Kv100: 228</t>
  </si>
  <si>
    <t xml:space="preserve">20.82 / 20.81</t>
  </si>
  <si>
    <t xml:space="preserve">VM-HV</t>
  </si>
  <si>
    <t xml:space="preserve">1172 Sec</t>
  </si>
  <si>
    <t xml:space="preserve">20W50 - R4 - 01 Kv40: 115 Kv100: 228</t>
  </si>
  <si>
    <t xml:space="preserve">21.85 / 21.90</t>
  </si>
  <si>
    <t xml:space="preserve">1240 Sec</t>
  </si>
  <si>
    <t xml:space="preserve">(313 Sec / 315 Sec)</t>
  </si>
  <si>
    <t xml:space="preserve">Formulasi 15W40 - R4 - SN</t>
  </si>
  <si>
    <t xml:space="preserve">15W40 - R4 - 01 Kv40: 11 Kv100: 30</t>
  </si>
  <si>
    <t xml:space="preserve">119.08 / 119.06</t>
  </si>
  <si>
    <t xml:space="preserve">15.85 / 15.80</t>
  </si>
  <si>
    <t xml:space="preserve">15W40 -R4-01</t>
  </si>
  <si>
    <t xml:space="preserve">15W40 -R4-02</t>
  </si>
  <si>
    <t xml:space="preserve">15W40 -R4-03</t>
  </si>
  <si>
    <t xml:space="preserve">15W40 -R4-04</t>
  </si>
  <si>
    <t xml:space="preserve">(802 Sec / 801 Sec)</t>
  </si>
  <si>
    <t xml:space="preserve">(460 Sec / 459 Sec)</t>
  </si>
  <si>
    <t xml:space="preserve">36.90 gr</t>
  </si>
  <si>
    <t xml:space="preserve">36.65 gr</t>
  </si>
  <si>
    <t xml:space="preserve">29.52 gr</t>
  </si>
  <si>
    <t xml:space="preserve">29.32 gr</t>
  </si>
  <si>
    <t xml:space="preserve">15W40 - R4 - 01 Kv40: 84 Kv100: 44</t>
  </si>
  <si>
    <t xml:space="preserve">119.71 / 119.71</t>
  </si>
  <si>
    <t xml:space="preserve">17.36 / 17.37</t>
  </si>
  <si>
    <t xml:space="preserve">44.28 gr</t>
  </si>
  <si>
    <t xml:space="preserve">43.98 gr</t>
  </si>
  <si>
    <t xml:space="preserve">(904 Sec / 904 Sec)</t>
  </si>
  <si>
    <t xml:space="preserve">15W40 - R4 - 01 Kv40: 109 Kv100: 53</t>
  </si>
  <si>
    <t xml:space="preserve">123.08 / 123.56</t>
  </si>
  <si>
    <t xml:space="preserve">16.42 / 16.34</t>
  </si>
  <si>
    <t xml:space="preserve">(1008 Sec / 1011 Sec)</t>
  </si>
  <si>
    <t xml:space="preserve">(441 Sec / 439 Sec)</t>
  </si>
  <si>
    <t xml:space="preserve">7.5 gr</t>
  </si>
  <si>
    <t xml:space="preserve">15W40 - R4 - 01 Kv40: 115 Kv100: 30</t>
  </si>
  <si>
    <t xml:space="preserve">127.95 / 128.14</t>
  </si>
  <si>
    <t xml:space="preserve">17.01 / 17.13</t>
  </si>
  <si>
    <t xml:space="preserve">(968 Sec / 970 Sec)</t>
  </si>
  <si>
    <t xml:space="preserve">(494 Sec / 498 Sec)</t>
  </si>
  <si>
    <t xml:space="preserve">Formulasi F 540 - 32 sampai 35</t>
  </si>
  <si>
    <t xml:space="preserve">F 540 - 32 Kv40: 84 Kv100: 44</t>
  </si>
  <si>
    <t xml:space="preserve">70.58 / 70.20</t>
  </si>
  <si>
    <t xml:space="preserve">10.95 / 10.98</t>
  </si>
  <si>
    <t xml:space="preserve">20.7 gr</t>
  </si>
  <si>
    <t xml:space="preserve">15.7 gr</t>
  </si>
  <si>
    <t xml:space="preserve">(533 Sec / 530 Sec)</t>
  </si>
  <si>
    <t xml:space="preserve">(319 Sec / 320 Sec)</t>
  </si>
  <si>
    <t xml:space="preserve">F 540 - 33 Kv40: 11 Kv100: 53</t>
  </si>
  <si>
    <t xml:space="preserve">67.49 / 67.53 </t>
  </si>
  <si>
    <t xml:space="preserve">10.65 / 10.67</t>
  </si>
  <si>
    <t xml:space="preserve">25 gr</t>
  </si>
  <si>
    <t xml:space="preserve">(455 Sec / 455 Sec)</t>
  </si>
  <si>
    <t xml:space="preserve">(286 Sec / 287 Sec)</t>
  </si>
  <si>
    <t xml:space="preserve">10W30 - R2 - Improve 3 Kv40: 109 Kv100: 30</t>
  </si>
  <si>
    <t xml:space="preserve">64.23 / 64.23</t>
  </si>
  <si>
    <t xml:space="preserve">10.02 / 10.01</t>
  </si>
  <si>
    <t xml:space="preserve">(526 Sec / 526 Sec)</t>
  </si>
  <si>
    <t xml:space="preserve">(291 Sec / 290 Sec)</t>
  </si>
  <si>
    <t xml:space="preserve">10W30 - R2 - Improve 4 Kv40: 115 Kv100: 44</t>
  </si>
  <si>
    <t xml:space="preserve">54.65 / 53.88</t>
  </si>
  <si>
    <t xml:space="preserve">9.12 / 9.11</t>
  </si>
  <si>
    <t xml:space="preserve">(410 Sec / 407 Sec)</t>
  </si>
  <si>
    <t xml:space="preserve">(265 Sec / 265 Sec)</t>
  </si>
  <si>
    <t xml:space="preserve">10W30 - R2 - Improve 5 Kv40: 11 Kv100: 53</t>
  </si>
  <si>
    <t xml:space="preserve">56.72 / 56.48</t>
  </si>
  <si>
    <t xml:space="preserve">10.67 / 10.67</t>
  </si>
  <si>
    <t xml:space="preserve">(382 Sec / 380 Sec)</t>
  </si>
  <si>
    <t xml:space="preserve">10W30 - R2 - Improve 6 Kv40: 84 Kv100: 30</t>
  </si>
  <si>
    <t xml:space="preserve">50.62 / 50.45</t>
  </si>
  <si>
    <t xml:space="preserve">8.34 / 8.34 </t>
  </si>
  <si>
    <t xml:space="preserve">Formulasi 10W30 - R2 - Improve 3</t>
  </si>
  <si>
    <t xml:space="preserve">(382 Sec / 381 Sec)</t>
  </si>
  <si>
    <t xml:space="preserve">(242 Sec / 242 Sec)</t>
  </si>
  <si>
    <t xml:space="preserve">Improve 3</t>
  </si>
  <si>
    <t xml:space="preserve">10W30 - R2 - Improve 7 Kv40: 109 Kv100: 44</t>
  </si>
  <si>
    <t xml:space="preserve">53.01 / 53.01</t>
  </si>
  <si>
    <t xml:space="preserve">8.79 / 8.78</t>
  </si>
  <si>
    <t xml:space="preserve">(255 Sec / 254 Sec)</t>
  </si>
  <si>
    <t xml:space="preserve">F 540 - 34 Kv40: 11 Kv100: 53</t>
  </si>
  <si>
    <t xml:space="preserve">61.41 / 61.41</t>
  </si>
  <si>
    <t xml:space="preserve">9.78 / 9.76</t>
  </si>
  <si>
    <t xml:space="preserve">(414 Sec / 414 Sec)</t>
  </si>
  <si>
    <t xml:space="preserve">(263 Sec / 262 Sec)</t>
  </si>
  <si>
    <t xml:space="preserve">F 540 - 35 Kv40: 84 Kv100: 30</t>
  </si>
  <si>
    <t xml:space="preserve">57.63 / 57.65</t>
  </si>
  <si>
    <t xml:space="preserve">9.63 / 9.63</t>
  </si>
  <si>
    <t xml:space="preserve">(280 Sec / 280 Sec)</t>
  </si>
  <si>
    <t xml:space="preserve">Formulasi 10W30 - R2 - Improve 4 sampai 7</t>
  </si>
  <si>
    <t xml:space="preserve">Improve 4</t>
  </si>
  <si>
    <t xml:space="preserve">Improve 5</t>
  </si>
  <si>
    <t xml:space="preserve">Improve 6</t>
  </si>
  <si>
    <t xml:space="preserve">Improve 7</t>
  </si>
  <si>
    <t xml:space="preserve">Formulasi 5W30 Improve 5 RECHECK</t>
  </si>
  <si>
    <t xml:space="preserve">Formulasi SAE 10W40 MB/SN/ Recheck</t>
  </si>
  <si>
    <t xml:space="preserve">2.5 mm (60) 1.2 mm (11/84/109/115)</t>
  </si>
  <si>
    <t xml:space="preserve">1.5 mm (99) 0.8 mm (30/44/53)</t>
  </si>
  <si>
    <t xml:space="preserve">TRL-SAE 10W40</t>
  </si>
  <si>
    <t xml:space="preserve">F 540 - 36 Kv40: 109 Kv100: 53</t>
  </si>
  <si>
    <t xml:space="preserve">67.97 / 67.91</t>
  </si>
  <si>
    <t xml:space="preserve">10.96 / 11.02</t>
  </si>
  <si>
    <t xml:space="preserve">(556 Sec / 556 Sec)</t>
  </si>
  <si>
    <t xml:space="preserve">(294 Sec / 298 Sec)</t>
  </si>
  <si>
    <t xml:space="preserve">F 540 - 29 Kv40: 200 canon Kv100: 150 canon</t>
  </si>
  <si>
    <t xml:space="preserve">103.67 / 103.67</t>
  </si>
  <si>
    <t xml:space="preserve">15.01 / 14.86</t>
  </si>
  <si>
    <t xml:space="preserve">(1073 Sec / 1073 Sec)</t>
  </si>
  <si>
    <t xml:space="preserve">(521 Sec / 516 Sec)</t>
  </si>
  <si>
    <t xml:space="preserve">F 540 - 29 Kv40: 109 Kv100: 53</t>
  </si>
  <si>
    <t xml:space="preserve">101.67 / 101.74</t>
  </si>
  <si>
    <t xml:space="preserve">15.66 / 15.67</t>
  </si>
  <si>
    <t xml:space="preserve">(686 Sec / 485 Sec)</t>
  </si>
  <si>
    <t xml:space="preserve">20W50 - R4 - 01 - A1 Kv40: 109 Kv100: 44</t>
  </si>
  <si>
    <t xml:space="preserve">132.71 / 132.40</t>
  </si>
  <si>
    <t xml:space="preserve">17.17 / 17.16</t>
  </si>
  <si>
    <t xml:space="preserve">Formulasi F540 - 36</t>
  </si>
  <si>
    <t xml:space="preserve">(1086 Sec / 1084 Sec)</t>
  </si>
  <si>
    <t xml:space="preserve">(500 Sec / 500 Sec)</t>
  </si>
  <si>
    <t xml:space="preserve">20W50 - R4 - 01 - A2 Kv40: 109 Kv100: 44</t>
  </si>
  <si>
    <t xml:space="preserve">133.15 / 133.15</t>
  </si>
  <si>
    <t xml:space="preserve">17.47 / 17.45</t>
  </si>
  <si>
    <t xml:space="preserve">Formulasi 20W50 - R4 - 01 - A</t>
  </si>
  <si>
    <t xml:space="preserve">(897 Sec / 897 Sec)</t>
  </si>
  <si>
    <t xml:space="preserve">(469 Sec / 469 Sec)</t>
  </si>
  <si>
    <t xml:space="preserve">20W50 - R4 - 01 -A1</t>
  </si>
  <si>
    <t xml:space="preserve">5W30 - R4 - Improve 5 Recheck Kv40: 84 Kv100: 30</t>
  </si>
  <si>
    <t xml:space="preserve">55.51 / 55.50</t>
  </si>
  <si>
    <t xml:space="preserve">9.30 / 9.27</t>
  </si>
  <si>
    <t xml:space="preserve">23.69 gr</t>
  </si>
  <si>
    <t xml:space="preserve">22.69 gr</t>
  </si>
  <si>
    <t xml:space="preserve">(270 Sec / 269 Sec)</t>
  </si>
  <si>
    <t xml:space="preserve">TRL SAE 10W40 MB-SN Recheck Kv40: 11 Kv100: 30</t>
  </si>
  <si>
    <t xml:space="preserve">87.90 / 88.01</t>
  </si>
  <si>
    <t xml:space="preserve">14.16 / 14.13</t>
  </si>
  <si>
    <t xml:space="preserve">(592 Sec / 593 Sec)</t>
  </si>
  <si>
    <t xml:space="preserve">(411 Sec / 410 Sec)</t>
  </si>
  <si>
    <t xml:space="preserve">VM-HV Kv40: 60 Kv100: 99</t>
  </si>
  <si>
    <t xml:space="preserve">1426.43 / 1426.45</t>
  </si>
  <si>
    <t xml:space="preserve">187.08 / 187.70</t>
  </si>
  <si>
    <t xml:space="preserve">(610 Sec / 610 Sec)</t>
  </si>
  <si>
    <t xml:space="preserve">(359 Sec / 359 Sec)</t>
  </si>
  <si>
    <t xml:space="preserve">Formulasi F 540 - 37 sampai 44</t>
  </si>
  <si>
    <t xml:space="preserve">5W30 - R4 - Improve 5 - S6 - 6.5% Kv40: 84 Kv100: 30</t>
  </si>
  <si>
    <t xml:space="preserve">57.97 / 57.97</t>
  </si>
  <si>
    <t xml:space="preserve">9.61 / 9.65</t>
  </si>
  <si>
    <t xml:space="preserve">25.7 gr</t>
  </si>
  <si>
    <t xml:space="preserve">37.7 gr</t>
  </si>
  <si>
    <t xml:space="preserve">5.7 gr</t>
  </si>
  <si>
    <t xml:space="preserve">45.7 gr</t>
  </si>
  <si>
    <t xml:space="preserve">40.7 gr</t>
  </si>
  <si>
    <t xml:space="preserve">(279 Sec / 280 Sec)</t>
  </si>
  <si>
    <t xml:space="preserve">5W30 - R4 - Improve 5 - S6 - 7% Kv40: 109 Kv100: 44</t>
  </si>
  <si>
    <t xml:space="preserve">58.73 / 58.74</t>
  </si>
  <si>
    <t xml:space="preserve">9.70 / 9.71</t>
  </si>
  <si>
    <t xml:space="preserve">(480 Sec / 481 Sec)</t>
  </si>
  <si>
    <t xml:space="preserve">(282 Sec / 283 Sec)</t>
  </si>
  <si>
    <t xml:space="preserve">F 540 - 37 Kv40: 115 Kv100: 30</t>
  </si>
  <si>
    <t xml:space="preserve">76.51 / 76.62</t>
  </si>
  <si>
    <t xml:space="preserve">11.65 / 11.65</t>
  </si>
  <si>
    <t xml:space="preserve">(579 Sec / 580 Sec)</t>
  </si>
  <si>
    <t xml:space="preserve">F 540 - 38 Kv40: 84 Kv100: 44</t>
  </si>
  <si>
    <t xml:space="preserve">70.46 / 70.25</t>
  </si>
  <si>
    <t xml:space="preserve">11.41/ 11.41</t>
  </si>
  <si>
    <t xml:space="preserve">(532 Sec / 530 Sec)</t>
  </si>
  <si>
    <t xml:space="preserve">(324 Sec / 324 Sec)</t>
  </si>
  <si>
    <t xml:space="preserve">F 540 - 39 Kv40: 109 Kv100: 53</t>
  </si>
  <si>
    <t xml:space="preserve">80.37 / 80.27</t>
  </si>
  <si>
    <t xml:space="preserve">11.89 / 11.89</t>
  </si>
  <si>
    <t xml:space="preserve">(658 Sec / 657 Sec)</t>
  </si>
  <si>
    <t xml:space="preserve">(319 Sec / 319 Sec)</t>
  </si>
  <si>
    <t xml:space="preserve">F 540 - 40 Kv40: 11 Kv100: 53</t>
  </si>
  <si>
    <t xml:space="preserve">97.31 / 97.07</t>
  </si>
  <si>
    <t xml:space="preserve">14.96 / 14.97</t>
  </si>
  <si>
    <t xml:space="preserve">(656 Sec / 654 Sec)</t>
  </si>
  <si>
    <t xml:space="preserve">(402 Sec / 402 Sec)</t>
  </si>
  <si>
    <t xml:space="preserve">Formulasi 5W30 - Improve 5</t>
  </si>
  <si>
    <t xml:space="preserve">F 540 - 41 Kv40: 11  Kv100: 30</t>
  </si>
  <si>
    <t xml:space="preserve">64.66 / 64.74</t>
  </si>
  <si>
    <t xml:space="preserve">10.14 / 10.11</t>
  </si>
  <si>
    <t xml:space="preserve">Improve 5 6.5 %</t>
  </si>
  <si>
    <t xml:space="preserve">Improve 5 7%</t>
  </si>
  <si>
    <t xml:space="preserve">(436 Sec / 436 Sec)</t>
  </si>
  <si>
    <t xml:space="preserve">(294 Sec / 293 Sec)</t>
  </si>
  <si>
    <t xml:space="preserve">75.22 gr</t>
  </si>
  <si>
    <t xml:space="preserve">F 540 - 42 Kv40: 84  Kv100: 44</t>
  </si>
  <si>
    <t xml:space="preserve">66.86 / 66.90</t>
  </si>
  <si>
    <t xml:space="preserve">10.50 / 10.51</t>
  </si>
  <si>
    <t xml:space="preserve">(505 Sec / 505 Sec)</t>
  </si>
  <si>
    <t xml:space="preserve">(306 Sec / 306 Sec)</t>
  </si>
  <si>
    <t xml:space="preserve">F 540 - 43 Kv40: 109 Kv100: 30</t>
  </si>
  <si>
    <t xml:space="preserve">90.54 / 90.59</t>
  </si>
  <si>
    <t xml:space="preserve">12.78 / 12.76</t>
  </si>
  <si>
    <t xml:space="preserve">6.5 gr</t>
  </si>
  <si>
    <t xml:space="preserve">(371 Sec / 371 Sec)</t>
  </si>
  <si>
    <t xml:space="preserve">F 540 - 44 Kv40: 115 Kv100: 44</t>
  </si>
  <si>
    <t xml:space="preserve">89.15 / 89.28</t>
  </si>
  <si>
    <t xml:space="preserve">12.83 / 12.84</t>
  </si>
  <si>
    <t xml:space="preserve">(674 Sec / 675 Sec)</t>
  </si>
  <si>
    <t xml:space="preserve">(374 Sec / 374 Sec)</t>
  </si>
  <si>
    <t xml:space="preserve">Formulasi 1A TRL SAE 10W80 MB.SN</t>
  </si>
  <si>
    <t xml:space="preserve">Formulasi 2C TRL SAE 10W40 GF5/SN PLUS</t>
  </si>
  <si>
    <t xml:space="preserve">TRL SAE 10W80</t>
  </si>
  <si>
    <t xml:space="preserve">TRL SAE 10W40</t>
  </si>
  <si>
    <t xml:space="preserve">73.75 gr</t>
  </si>
  <si>
    <t xml:space="preserve">1.A TRL SAE 10W80 MB/SN Kv40: 11 Kv100: 30</t>
  </si>
  <si>
    <t xml:space="preserve">66.40 / 66.27</t>
  </si>
  <si>
    <t xml:space="preserve">10.49 / 10.51</t>
  </si>
  <si>
    <t xml:space="preserve">(447 Sec / 446 Sec)</t>
  </si>
  <si>
    <t xml:space="preserve">(304 Sec / 305 Sec)</t>
  </si>
  <si>
    <t xml:space="preserve">1.B TRL SAE 10W40 MB/SN Kv40: 84 Kv100: 44</t>
  </si>
  <si>
    <t xml:space="preserve">88.94 / 88.90</t>
  </si>
  <si>
    <t xml:space="preserve">14.42 / 14.42</t>
  </si>
  <si>
    <t xml:space="preserve">7.55 gr</t>
  </si>
  <si>
    <t xml:space="preserve">(672 Sec / 672 Sec)</t>
  </si>
  <si>
    <t xml:space="preserve">2.A TRL SAE 0W20 GF6/SN Kv40: 11 Kv100: 53</t>
  </si>
  <si>
    <t xml:space="preserve">44.92 / 44.90</t>
  </si>
  <si>
    <t xml:space="preserve">8.12 / 8.12</t>
  </si>
  <si>
    <t xml:space="preserve">(218 Sec / 218 Sec)</t>
  </si>
  <si>
    <t xml:space="preserve">Formulasi 2D TRL SAE 15W40 GF5/SN</t>
  </si>
  <si>
    <t xml:space="preserve">2.B TRL SAE 5W30 GF6/SP Kv40: 109 Kv100: 30</t>
  </si>
  <si>
    <t xml:space="preserve">63.51 / 63.49</t>
  </si>
  <si>
    <t xml:space="preserve">10.04 / 10.04</t>
  </si>
  <si>
    <t xml:space="preserve">TRL SAE 15W40</t>
  </si>
  <si>
    <t xml:space="preserve">(520 Sec / 520 Sec)</t>
  </si>
  <si>
    <t xml:space="preserve">(291 Sec / 291 Sec)</t>
  </si>
  <si>
    <t xml:space="preserve">43.8 gr</t>
  </si>
  <si>
    <t xml:space="preserve">2.C TRL SAE 10W40 GF5/SN PLUS Kv40: 115 Kv100: 44</t>
  </si>
  <si>
    <t xml:space="preserve">89.32 / 89.29</t>
  </si>
  <si>
    <t xml:space="preserve">14.02 / 14.01</t>
  </si>
  <si>
    <t xml:space="preserve">Formulasi 1B TRL SAE 10W40 MB.SN</t>
  </si>
  <si>
    <t xml:space="preserve">(679 Sec / 675 Sec)</t>
  </si>
  <si>
    <t xml:space="preserve">2.D TRL SAE 15W40 GF5/SN Kv40: 109 Kv100: 53</t>
  </si>
  <si>
    <t xml:space="preserve">121.40 / 121.24</t>
  </si>
  <si>
    <t xml:space="preserve">16.06 / 16.03</t>
  </si>
  <si>
    <t xml:space="preserve">(994 Sec / 992 Sec)</t>
  </si>
  <si>
    <t xml:space="preserve">2.E TRL SAE 20W50 GF5/SN Kv40: 115 Kv100: 30</t>
  </si>
  <si>
    <t xml:space="preserve">134.98 / 134.77</t>
  </si>
  <si>
    <t xml:space="preserve">17.05 / 17.07</t>
  </si>
  <si>
    <t xml:space="preserve">(1021 Sec / 1022 Sec)</t>
  </si>
  <si>
    <t xml:space="preserve">(495 Sec / 496 Sec)</t>
  </si>
  <si>
    <t xml:space="preserve">0.6 gr</t>
  </si>
  <si>
    <t xml:space="preserve">3.A TRL SAE 5W30 CK-4 (DIESEL) Kv40: 84  Kv100: 30</t>
  </si>
  <si>
    <t xml:space="preserve">61.71 / 61.65</t>
  </si>
  <si>
    <t xml:space="preserve">9.78 / 9.77</t>
  </si>
  <si>
    <t xml:space="preserve">0.2 gr</t>
  </si>
  <si>
    <t xml:space="preserve">Formulasi 2E TRL SAE 20W50 GF5/SN</t>
  </si>
  <si>
    <t xml:space="preserve">(505 Sec / 504 Sec)</t>
  </si>
  <si>
    <t xml:space="preserve">7.8 gr</t>
  </si>
  <si>
    <t xml:space="preserve">TRL SAE 20W50</t>
  </si>
  <si>
    <t xml:space="preserve">3.B TRL SAE 5W40 CK-4 (DIESEL) Kv40: 109 Kv100: 53</t>
  </si>
  <si>
    <t xml:space="preserve">81.71 / 81.70</t>
  </si>
  <si>
    <t xml:space="preserve">12.01 / 12.00</t>
  </si>
  <si>
    <t xml:space="preserve">22.30 gr</t>
  </si>
  <si>
    <t xml:space="preserve">(350 Sec / 349 Sec)</t>
  </si>
  <si>
    <t xml:space="preserve">52 gr</t>
  </si>
  <si>
    <t xml:space="preserve">3.C TRL SAE 15W40 CI-4 Kv40: 115  Kv100: 53</t>
  </si>
  <si>
    <t xml:space="preserve">107.88 / 107.78</t>
  </si>
  <si>
    <t xml:space="preserve">15.42 / 15.42</t>
  </si>
  <si>
    <t xml:space="preserve">Formulasi 2A TRL SAE 0W20 GF6/SN</t>
  </si>
  <si>
    <t xml:space="preserve">(816 Sec / 815 Sec)</t>
  </si>
  <si>
    <t xml:space="preserve">TRL SAE 0W20</t>
  </si>
  <si>
    <t xml:space="preserve">TRL SAE 10W40 GF5/SN PLUS Kv40: 11  Kv100: 53</t>
  </si>
  <si>
    <t xml:space="preserve">96.44 / 96.51</t>
  </si>
  <si>
    <t xml:space="preserve">15.03 / 15.01</t>
  </si>
  <si>
    <t xml:space="preserve">52.30 gr</t>
  </si>
  <si>
    <t xml:space="preserve">(620 Sec / 650 Sec)</t>
  </si>
  <si>
    <t xml:space="preserve">(404 Sec / 403 Sec)</t>
  </si>
  <si>
    <t xml:space="preserve">22.42 gr</t>
  </si>
  <si>
    <t xml:space="preserve">VM-HV (PAMA 30%) Kv40: 60  Kv100: 99</t>
  </si>
  <si>
    <t xml:space="preserve">1719.61 / 1729.84</t>
  </si>
  <si>
    <t xml:space="preserve">245.80 / 247.45</t>
  </si>
  <si>
    <t xml:space="preserve">(736 Sec / 740 Sec)</t>
  </si>
  <si>
    <t xml:space="preserve">(471 Sec / 474 Sec)</t>
  </si>
  <si>
    <t xml:space="preserve">PV1510 </t>
  </si>
  <si>
    <t xml:space="preserve">Formulasi 3A TRL SAE 5W30 CK-4</t>
  </si>
  <si>
    <t xml:space="preserve">TRL SAE 5W30</t>
  </si>
  <si>
    <t xml:space="preserve">69 gr</t>
  </si>
  <si>
    <t xml:space="preserve">Formulasi 2B TRL SAE 5W30 GF6/SP</t>
  </si>
  <si>
    <t xml:space="preserve">14.30 gr</t>
  </si>
  <si>
    <t xml:space="preserve">45.22 gr</t>
  </si>
  <si>
    <t xml:space="preserve">Formulasi 3B TRL SAE 5W40 CK-4</t>
  </si>
  <si>
    <t xml:space="preserve">TRL SAE 5W40</t>
  </si>
  <si>
    <t xml:space="preserve">66.50 gr</t>
  </si>
  <si>
    <t xml:space="preserve">Formulasi TRL SAE 10W40 GF5/SN PLUS</t>
  </si>
  <si>
    <t xml:space="preserve">2212.50 gr</t>
  </si>
  <si>
    <t xml:space="preserve">216 gr</t>
  </si>
  <si>
    <t xml:space="preserve">226.5 gr</t>
  </si>
  <si>
    <t xml:space="preserve">3000 gr</t>
  </si>
  <si>
    <t xml:space="preserve">Formulasi 3C TRL SAE 15W40 CI-4</t>
  </si>
  <si>
    <t xml:space="preserve">43.70 gr</t>
  </si>
  <si>
    <t xml:space="preserve">N500</t>
  </si>
  <si>
    <t xml:space="preserve">27 gr</t>
  </si>
  <si>
    <t xml:space="preserve">11.80 gr</t>
  </si>
  <si>
    <t xml:space="preserve">7.50 gr</t>
  </si>
  <si>
    <t xml:space="preserve">Formulasi F 540 - 45 dan 46</t>
  </si>
  <si>
    <t xml:space="preserve">F 540 - 45 Kv40: 11 Kv100: 53</t>
  </si>
  <si>
    <t xml:space="preserve">85.36 / 85.36</t>
  </si>
  <si>
    <t xml:space="preserve">12.20 / 12/20</t>
  </si>
  <si>
    <t xml:space="preserve">35.7 gr</t>
  </si>
  <si>
    <t xml:space="preserve">30.7 gr</t>
  </si>
  <si>
    <t xml:space="preserve">(575 Sec / 575 Sec)</t>
  </si>
  <si>
    <t xml:space="preserve">F 540 - 46 Kv40: 84 Kv100: 44</t>
  </si>
  <si>
    <t xml:space="preserve">86.55 / 86.21</t>
  </si>
  <si>
    <t xml:space="preserve">12.47 / 12/48</t>
  </si>
  <si>
    <t xml:space="preserve">(654 Sec / 651 Sec)</t>
  </si>
  <si>
    <t xml:space="preserve">(363 Sec / 363 Sec)</t>
  </si>
  <si>
    <t xml:space="preserve">F 540 - 47 Kv40: 84 Kv100: 30</t>
  </si>
  <si>
    <t xml:space="preserve">70.16 / 70.25</t>
  </si>
  <si>
    <t xml:space="preserve">10.87 / 10.88</t>
  </si>
  <si>
    <t xml:space="preserve">F 540 - 48 Kv40: 109 Kv100: 53</t>
  </si>
  <si>
    <t xml:space="preserve">74.78 / 74.84</t>
  </si>
  <si>
    <t xml:space="preserve">11.41 / 11.41</t>
  </si>
  <si>
    <t xml:space="preserve">(612 Sec / 612 Sec)</t>
  </si>
  <si>
    <t xml:space="preserve">F 540 - 49 Kv40: 115 Kv100: 44</t>
  </si>
  <si>
    <t xml:space="preserve">73.19 / 73.23</t>
  </si>
  <si>
    <t xml:space="preserve">11.30 / 11.30</t>
  </si>
  <si>
    <t xml:space="preserve">(554 Sec / 554 Sec)</t>
  </si>
  <si>
    <t xml:space="preserve">F 540 - 50 Kv40: 11 Kv100: 53</t>
  </si>
  <si>
    <t xml:space="preserve">77.76 / 77.60</t>
  </si>
  <si>
    <t xml:space="preserve">11.71 / 11.72</t>
  </si>
  <si>
    <t xml:space="preserve">Formulasi F 540 - 47 sampai 51</t>
  </si>
  <si>
    <t xml:space="preserve">(524 Sec / 523 Sec)</t>
  </si>
  <si>
    <t xml:space="preserve">(315 Sec / 315 Sec)</t>
  </si>
  <si>
    <t xml:space="preserve">F 540 - 51 Kv40: 109 Kv100: 44</t>
  </si>
  <si>
    <t xml:space="preserve">71.93 / 71.82</t>
  </si>
  <si>
    <t xml:space="preserve">11.09 / 11.11</t>
  </si>
  <si>
    <t xml:space="preserve">24.45 gr</t>
  </si>
  <si>
    <t xml:space="preserve">(589 Sec / 588 Sec)</t>
  </si>
  <si>
    <t xml:space="preserve">26.25 gr</t>
  </si>
  <si>
    <t xml:space="preserve">Formulasi F 540 - 52 sampai 55</t>
  </si>
  <si>
    <t xml:space="preserve">F 540 - 52 Kv40: 11 Kv100: 53</t>
  </si>
  <si>
    <t xml:space="preserve">69.62 / 69.55</t>
  </si>
  <si>
    <t xml:space="preserve">10.97 / 10.93</t>
  </si>
  <si>
    <t xml:space="preserve">17.575 gr</t>
  </si>
  <si>
    <t xml:space="preserve">20.325 gr</t>
  </si>
  <si>
    <t xml:space="preserve">9.7 gr</t>
  </si>
  <si>
    <t xml:space="preserve">(469 Sec / 468 Sec)</t>
  </si>
  <si>
    <t xml:space="preserve">(295 Sec / 294 Sec)</t>
  </si>
  <si>
    <t xml:space="preserve">17.5 gr</t>
  </si>
  <si>
    <t xml:space="preserve">16.5 gr</t>
  </si>
  <si>
    <t xml:space="preserve">F 540 - 53 Kv40: 109 Kv100: 44</t>
  </si>
  <si>
    <t xml:space="preserve">70.62 / 70.60</t>
  </si>
  <si>
    <t xml:space="preserve">10.86 / 10.86</t>
  </si>
  <si>
    <t xml:space="preserve">30.625 gr</t>
  </si>
  <si>
    <t xml:space="preserve">28.875 gr</t>
  </si>
  <si>
    <t xml:space="preserve">(578 Sec / 578 Sec)</t>
  </si>
  <si>
    <t xml:space="preserve">F 540 - 54 Kv40: 84 Kv100: 30</t>
  </si>
  <si>
    <t xml:space="preserve">63.51 / 63.43</t>
  </si>
  <si>
    <t xml:space="preserve">10.65 / 10.64</t>
  </si>
  <si>
    <t xml:space="preserve">(480 Sec / 479 Sec)</t>
  </si>
  <si>
    <t xml:space="preserve">(309 Sec / 309 Sec)</t>
  </si>
  <si>
    <t xml:space="preserve">F 540 - 55 Kv40:  Kv100: 44</t>
  </si>
  <si>
    <t xml:space="preserve">68.32 / 68.30</t>
  </si>
  <si>
    <t xml:space="preserve">11.47 / 11.43</t>
  </si>
  <si>
    <t xml:space="preserve">(460 Sec / 460 Sec)</t>
  </si>
  <si>
    <t xml:space="preserve">(333 Sec / 333 Sec)</t>
  </si>
  <si>
    <t xml:space="preserve">1. TRL 0W20 GF6/SP Kv40: 115 Kv100: 30</t>
  </si>
  <si>
    <t xml:space="preserve">42.14 / 41.83</t>
  </si>
  <si>
    <t xml:space="preserve">7.61 / 7.60 </t>
  </si>
  <si>
    <t xml:space="preserve">(319 Sec / 316 Sec)</t>
  </si>
  <si>
    <t xml:space="preserve">(221 Sec / 221 Sec)</t>
  </si>
  <si>
    <t xml:space="preserve">Formulasi 1 TRL 0W20 GF6/SP</t>
  </si>
  <si>
    <t xml:space="preserve">2. TRL 5W30 GF5/SN Kv40: 84 Kv100: 44</t>
  </si>
  <si>
    <t xml:space="preserve">59.05 / 59.01</t>
  </si>
  <si>
    <t xml:space="preserve">9.68 / 9.67</t>
  </si>
  <si>
    <t xml:space="preserve">TRL 0W20</t>
  </si>
  <si>
    <t xml:space="preserve">(446 Sec / 445 Sec)</t>
  </si>
  <si>
    <t xml:space="preserve">3. TRL 15W40 GF5/SN Kv40: 11 Kv100: 53</t>
  </si>
  <si>
    <t xml:space="preserve">104.37 / 104.05</t>
  </si>
  <si>
    <t xml:space="preserve">(703 Sec / 701 Sec)</t>
  </si>
  <si>
    <t xml:space="preserve">4. TRL 5W40 CK-4 Kv40: 109 Kv100: 30</t>
  </si>
  <si>
    <t xml:space="preserve">89.47 / 89.32</t>
  </si>
  <si>
    <t xml:space="preserve">2.5 gr</t>
  </si>
  <si>
    <t xml:space="preserve">(732 Sec / 731 Sec)</t>
  </si>
  <si>
    <t xml:space="preserve">0W20 (2) Kv40:  Kv100: 30</t>
  </si>
  <si>
    <t xml:space="preserve">Formulasi 2 TRL 5W20 GF5/SN</t>
  </si>
  <si>
    <t xml:space="preserve">TRL 5W20</t>
  </si>
  <si>
    <t xml:space="preserve">29.72 gr</t>
  </si>
  <si>
    <t xml:space="preserve">Formulasi 3 TRL 15W40 GF5/SN</t>
  </si>
  <si>
    <t xml:space="preserve">TRL 15W40</t>
  </si>
  <si>
    <t xml:space="preserve">49.30 gr</t>
  </si>
  <si>
    <t xml:space="preserve">Formulasi 4 TRL 5W40 CK-4 (DIESEL)</t>
  </si>
  <si>
    <t xml:space="preserve">TRL 5W40</t>
  </si>
  <si>
    <t xml:space="preserve">68.50 gr</t>
  </si>
  <si>
    <t xml:space="preserve">Formulasi 0W20 (2)</t>
  </si>
  <si>
    <t xml:space="preserve">32 gr</t>
  </si>
  <si>
    <t xml:space="preserve">42.72 gr</t>
  </si>
  <si>
    <t xml:space="preserve">genlube 0831</t>
  </si>
  <si>
    <t xml:space="preserve">2.50 gr</t>
  </si>
  <si>
    <t xml:space="preserve">Formulasi F 540 - 56 sampai 58</t>
  </si>
  <si>
    <t xml:space="preserve">F 540 - 56 Kv40: 11 Kv100: 30</t>
  </si>
  <si>
    <t xml:space="preserve">66.40 / 66.65</t>
  </si>
  <si>
    <t xml:space="preserve">11.19 / 11.19</t>
  </si>
  <si>
    <t xml:space="preserve">(447 Sec / 449 Sec)</t>
  </si>
  <si>
    <t xml:space="preserve">29.2 gr</t>
  </si>
  <si>
    <t xml:space="preserve">26.2 gr</t>
  </si>
  <si>
    <t xml:space="preserve">F 540 - 57 Kv40: 84 Kv100: 53</t>
  </si>
  <si>
    <t xml:space="preserve">66.60 / 66.96</t>
  </si>
  <si>
    <t xml:space="preserve">11.36 / 11.37</t>
  </si>
  <si>
    <t xml:space="preserve">39.2 gr</t>
  </si>
  <si>
    <t xml:space="preserve">(503 Sec / 506 Sec)</t>
  </si>
  <si>
    <t xml:space="preserve">F 540 - 58 Kv40: 109 Kv100: 30</t>
  </si>
  <si>
    <t xml:space="preserve">72.92 / 72.71</t>
  </si>
  <si>
    <t xml:space="preserve">12.22 / 12.21</t>
  </si>
  <si>
    <t xml:space="preserve">(552 Sec / 550 Sec)</t>
  </si>
  <si>
    <t xml:space="preserve">(355 Sec / 354 Sec)</t>
  </si>
  <si>
    <t xml:space="preserve">5W30 - 3 Kv40: 11 Kv100: 30</t>
  </si>
  <si>
    <t xml:space="preserve">68.23 / 68.65</t>
  </si>
  <si>
    <t xml:space="preserve">11.41 / 11.42</t>
  </si>
  <si>
    <t xml:space="preserve">(460 Sec / 462 Sec)</t>
  </si>
  <si>
    <t xml:space="preserve">(331 Sec / 331 Sec)</t>
  </si>
  <si>
    <t xml:space="preserve">0W20 - 3 Kv40: 84  Kv100: 53</t>
  </si>
  <si>
    <t xml:space="preserve">44.43 / 44.44</t>
  </si>
  <si>
    <t xml:space="preserve">8.01 / 8.01</t>
  </si>
  <si>
    <t xml:space="preserve">Formulasi 0W20 - 3</t>
  </si>
  <si>
    <t xml:space="preserve">FG 020 - 1 Kv40: 84 Kv100: 44</t>
  </si>
  <si>
    <t xml:space="preserve">6.84 / 6.85</t>
  </si>
  <si>
    <t xml:space="preserve">273 Sec</t>
  </si>
  <si>
    <t xml:space="preserve">(199 Sec / 199 Sec)</t>
  </si>
  <si>
    <t xml:space="preserve">21.36 gr</t>
  </si>
  <si>
    <t xml:space="preserve">FG 020 - 2 Kv40:  Kv100: 53</t>
  </si>
  <si>
    <t xml:space="preserve">6.66 / 6.65</t>
  </si>
  <si>
    <t xml:space="preserve">16 gr</t>
  </si>
  <si>
    <t xml:space="preserve">(179 Sec / 178 Sec)</t>
  </si>
  <si>
    <t xml:space="preserve">4.14 gr</t>
  </si>
  <si>
    <t xml:space="preserve">VM SPAMA</t>
  </si>
  <si>
    <t xml:space="preserve">3.50 gr</t>
  </si>
  <si>
    <t xml:space="preserve">Formulasi 5W30 - 3</t>
  </si>
  <si>
    <t xml:space="preserve">22.50 gr</t>
  </si>
  <si>
    <t xml:space="preserve">15.36 gr</t>
  </si>
  <si>
    <t xml:space="preserve">Formulasi FG 020 - 1 dan 2</t>
  </si>
  <si>
    <t xml:space="preserve">68.72 gr</t>
  </si>
  <si>
    <t xml:space="preserve">65.72 gr</t>
  </si>
  <si>
    <t xml:space="preserve">Formulasi FG 020 - 3 sampai 8</t>
  </si>
  <si>
    <t xml:space="preserve">2.0mm (3) 1,2 mm (11/84/109/115)</t>
  </si>
  <si>
    <t xml:space="preserve">1.0 mm(228) 0,8 mm (30/44/53)</t>
  </si>
  <si>
    <t xml:space="preserve">FG 020 - 3 Kv40: 84 Kv100: 30</t>
  </si>
  <si>
    <t xml:space="preserve">36.39 / 36.33</t>
  </si>
  <si>
    <t xml:space="preserve">7.31 / 7.33</t>
  </si>
  <si>
    <t xml:space="preserve">67.22 gr</t>
  </si>
  <si>
    <t xml:space="preserve">63.72 gr</t>
  </si>
  <si>
    <t xml:space="preserve">59.72 gr</t>
  </si>
  <si>
    <t xml:space="preserve">54.72 gr</t>
  </si>
  <si>
    <t xml:space="preserve">46.72 gr</t>
  </si>
  <si>
    <t xml:space="preserve">36.72 gr</t>
  </si>
  <si>
    <t xml:space="preserve">(275 Sec / 274 Sec)</t>
  </si>
  <si>
    <t xml:space="preserve">(212 Sec / 212 Sec)</t>
  </si>
  <si>
    <t xml:space="preserve">FG 020 - 4 Kv40: 109 Kv100: 44</t>
  </si>
  <si>
    <t xml:space="preserve">34.25 / 34.23</t>
  </si>
  <si>
    <t xml:space="preserve">6.89 / 6.89</t>
  </si>
  <si>
    <t xml:space="preserve">(200 Sec / 200 Sec)</t>
  </si>
  <si>
    <t xml:space="preserve">FG 020 - 5 Kv40: 115 Kv100: 53</t>
  </si>
  <si>
    <t xml:space="preserve">35.24 / 35.11</t>
  </si>
  <si>
    <t xml:space="preserve">6.84 / - </t>
  </si>
  <si>
    <t xml:space="preserve">(266 Sec / 265 Sec)</t>
  </si>
  <si>
    <t xml:space="preserve">(183 Sec / - )</t>
  </si>
  <si>
    <t xml:space="preserve">FG 020 - 6 Kv40: 109 Kv100: -</t>
  </si>
  <si>
    <t xml:space="preserve">36.83 / 36.81</t>
  </si>
  <si>
    <t xml:space="preserve">4.5 gr</t>
  </si>
  <si>
    <t xml:space="preserve">FG 020 - 7 Kv40: 11  Kv100: 30</t>
  </si>
  <si>
    <t xml:space="preserve">41.58 / 41.55</t>
  </si>
  <si>
    <t xml:space="preserve">8.14 / 8.14</t>
  </si>
  <si>
    <t xml:space="preserve">(219 Sec 218 Sec)</t>
  </si>
  <si>
    <t xml:space="preserve">Formulasi S6 Sol in Genlube 165</t>
  </si>
  <si>
    <t xml:space="preserve">FG 020 - 8 Kv40: 84 Kv100: 44</t>
  </si>
  <si>
    <t xml:space="preserve">43.04 / 42.94</t>
  </si>
  <si>
    <t xml:space="preserve">8.41 / 8.40</t>
  </si>
  <si>
    <t xml:space="preserve">S6 sol 1%</t>
  </si>
  <si>
    <t xml:space="preserve">S6 sol 5%</t>
  </si>
  <si>
    <t xml:space="preserve">S6 sol 10%</t>
  </si>
  <si>
    <t xml:space="preserve">S6 sol 12%</t>
  </si>
  <si>
    <t xml:space="preserve">(245 Sec / 244 Sec)</t>
  </si>
  <si>
    <t xml:space="preserve">99 gr</t>
  </si>
  <si>
    <t xml:space="preserve">Genlube 165 Kv40: 3 Kv100: 228</t>
  </si>
  <si>
    <t xml:space="preserve">610.57 / 611.97</t>
  </si>
  <si>
    <t xml:space="preserve">51.47 / 51.49</t>
  </si>
  <si>
    <t xml:space="preserve">1 gr</t>
  </si>
  <si>
    <t xml:space="preserve">(641 Sec / 642 Sec)</t>
  </si>
  <si>
    <t xml:space="preserve">(741 Sec / 742 Sec)</t>
  </si>
  <si>
    <t xml:space="preserve">S6 Sol 1% in Genlube 165 Kv40:  Kv100: 84</t>
  </si>
  <si>
    <t xml:space="preserve">46.13 / 46.91</t>
  </si>
  <si>
    <t xml:space="preserve">(348 Sec / 349 Sec)</t>
  </si>
  <si>
    <t xml:space="preserve">S6 Sol 5% in Genlube 165 Kv40:  Kv100: 11</t>
  </si>
  <si>
    <t xml:space="preserve">41.22 / 41.12</t>
  </si>
  <si>
    <t xml:space="preserve">(277 Sec / 277 Sec)</t>
  </si>
  <si>
    <t xml:space="preserve">S6 Sol 10% in Genlube 165 Kv40:  Kv100: 109</t>
  </si>
  <si>
    <t xml:space="preserve">35.05 / 35.10</t>
  </si>
  <si>
    <t xml:space="preserve">(287 Sec / 287 Sec)</t>
  </si>
  <si>
    <t xml:space="preserve">S6 Sol 10% in Genlube 165 Kv40:  Kv100: 228</t>
  </si>
  <si>
    <t xml:space="preserve">36.90 / 36.54</t>
  </si>
  <si>
    <t xml:space="preserve">(531 Sec / 528 Sec)</t>
  </si>
  <si>
    <t xml:space="preserve">S6 Sol 12% in Genlube 165 Kv40:  Kv100: 228</t>
  </si>
  <si>
    <t xml:space="preserve">347.40 / 347.74</t>
  </si>
  <si>
    <t xml:space="preserve">35.56 / 35.56</t>
  </si>
  <si>
    <t xml:space="preserve">(364 Sec / 365 Sec)</t>
  </si>
  <si>
    <t xml:space="preserve">(512 Sec / 512 Sec)</t>
  </si>
  <si>
    <t xml:space="preserve">Formulasi 5W30 MA2 / SN</t>
  </si>
  <si>
    <t xml:space="preserve">1. Reformulasi 5W30 MA2 / SN Kv40: 11 Kv100: 30</t>
  </si>
  <si>
    <t xml:space="preserve">83.48 / 83.46</t>
  </si>
  <si>
    <t xml:space="preserve">12.73 / 12.70</t>
  </si>
  <si>
    <t xml:space="preserve">38.50 gr</t>
  </si>
  <si>
    <t xml:space="preserve">30.60 gr</t>
  </si>
  <si>
    <t xml:space="preserve">(683 Sec / 683 Sec)</t>
  </si>
  <si>
    <t xml:space="preserve">45.90 gr</t>
  </si>
  <si>
    <t xml:space="preserve">2. Reformulasi 5W30 MA2 / SN Kv40: 84 Kv100: 44</t>
  </si>
  <si>
    <t xml:space="preserve">64.00 / 63.89</t>
  </si>
  <si>
    <t xml:space="preserve">10.76 / 10.74</t>
  </si>
  <si>
    <t xml:space="preserve">5.90 gr</t>
  </si>
  <si>
    <t xml:space="preserve">(484 Sec / 483 Sec)</t>
  </si>
  <si>
    <t xml:space="preserve">(288 Sec / 288 Sec)</t>
  </si>
  <si>
    <t xml:space="preserve">Reformulasi TRL 10W30 MB / SN Kv40: 109 Kv100: 30</t>
  </si>
  <si>
    <t xml:space="preserve">75.77 / 75.06</t>
  </si>
  <si>
    <t xml:space="preserve">9.90 / 9.20</t>
  </si>
  <si>
    <t xml:space="preserve">(508 Sec / 506 Sec)</t>
  </si>
  <si>
    <t xml:space="preserve">Reformulasi TRL 10W40 MB / SN Kv40: 115 Kv100: 44</t>
  </si>
  <si>
    <t xml:space="preserve">96.42 / 96.35</t>
  </si>
  <si>
    <t xml:space="preserve">14.12 / 14.13</t>
  </si>
  <si>
    <t xml:space="preserve">0.90 gr</t>
  </si>
  <si>
    <t xml:space="preserve">(728 Sec / 728 Sec)</t>
  </si>
  <si>
    <t xml:space="preserve">(411 Sec / 411 Sec)</t>
  </si>
  <si>
    <t xml:space="preserve">Reformulasi 10W30 MB / SL Kv40: 11 Kv100: 53</t>
  </si>
  <si>
    <t xml:space="preserve">75.79 / 75.69</t>
  </si>
  <si>
    <t xml:space="preserve">11.52 / 11.53</t>
  </si>
  <si>
    <t xml:space="preserve">(511 Sec / 510 Sec)</t>
  </si>
  <si>
    <t xml:space="preserve">(310 Sec / 310 Sec)</t>
  </si>
  <si>
    <t xml:space="preserve">Formulasi TRL 10W30 MB/SN</t>
  </si>
  <si>
    <t xml:space="preserve">Formulasi TRL 10W40 MB/SN</t>
  </si>
  <si>
    <t xml:space="preserve">Formulasi 10W40 MA/SL</t>
  </si>
  <si>
    <t xml:space="preserve">Reformulasi 10W40 MB / SL Kv40: 84 Kv100: 30</t>
  </si>
  <si>
    <t xml:space="preserve">98.29 / 98.18</t>
  </si>
  <si>
    <t xml:space="preserve">14.39 / 14.39</t>
  </si>
  <si>
    <t xml:space="preserve">(805 Sec / 803 Sec)</t>
  </si>
  <si>
    <t xml:space="preserve">(418 Sec / 418 Sec)</t>
  </si>
  <si>
    <t xml:space="preserve">50.55 gr</t>
  </si>
  <si>
    <t xml:space="preserve">74.05 gr</t>
  </si>
  <si>
    <t xml:space="preserve">81.40 gr</t>
  </si>
  <si>
    <t xml:space="preserve">Reformulasi 10W40 MA / SL Kv40: 109 Kv100: 53</t>
  </si>
  <si>
    <t xml:space="preserve">94.51 / 94.30</t>
  </si>
  <si>
    <t xml:space="preserve">14.30 / 14.30</t>
  </si>
  <si>
    <t xml:space="preserve">(714 Sec / 712 Sec)</t>
  </si>
  <si>
    <t xml:space="preserve">G 165 - B1 Kv40: 3 Kv100: 228</t>
  </si>
  <si>
    <t xml:space="preserve">36.87 / 37.00</t>
  </si>
  <si>
    <t xml:space="preserve">386 Sec</t>
  </si>
  <si>
    <t xml:space="preserve">(530 Sec / 532 Sec)</t>
  </si>
  <si>
    <t xml:space="preserve">G 165 - B2 Kv40: 3 Kv100: 228</t>
  </si>
  <si>
    <t xml:space="preserve">337 Sec</t>
  </si>
  <si>
    <t xml:space="preserve">G 165 - B3 Kv40: 3 Kv100: 228</t>
  </si>
  <si>
    <t xml:space="preserve">295 Sec</t>
  </si>
  <si>
    <t xml:space="preserve">FG 020 - 9 Kv40: 115  Kv100: 53</t>
  </si>
  <si>
    <t xml:space="preserve">46.46 / 46.46</t>
  </si>
  <si>
    <t xml:space="preserve">9.08 / 9.10</t>
  </si>
  <si>
    <t xml:space="preserve">Formulasi 10W30 MB/SL</t>
  </si>
  <si>
    <t xml:space="preserve">Formulasi 10W40 MB/SL</t>
  </si>
  <si>
    <t xml:space="preserve">(244 Sec / 244 Sec)</t>
  </si>
  <si>
    <t xml:space="preserve">FG 020 - 10 Kv40: 84  Kv100: 30</t>
  </si>
  <si>
    <t xml:space="preserve">44.39 / 44.42</t>
  </si>
  <si>
    <t xml:space="preserve">8.67 / 8.66</t>
  </si>
  <si>
    <t xml:space="preserve">23.30 gr</t>
  </si>
  <si>
    <t xml:space="preserve">80.80 gr</t>
  </si>
  <si>
    <t xml:space="preserve">(252 Sec / 251 Sec)</t>
  </si>
  <si>
    <t xml:space="preserve">Reformulasi TRL 10W30 MB-SN 2 Kv40: 11 Kv100: 44</t>
  </si>
  <si>
    <t xml:space="preserve">58.75 / 58.52</t>
  </si>
  <si>
    <t xml:space="preserve">9.43 / 9.47</t>
  </si>
  <si>
    <t xml:space="preserve">(396 Sec / 394 Sec)</t>
  </si>
  <si>
    <t xml:space="preserve">(275 Sec / 276 Sec)</t>
  </si>
  <si>
    <t xml:space="preserve">Reformulasi TRL 10W40 MB-SN 2 Kv40: 84 Kv100: 30</t>
  </si>
  <si>
    <t xml:space="preserve">81.87 / 81.77</t>
  </si>
  <si>
    <t xml:space="preserve">13.23 / 13.26</t>
  </si>
  <si>
    <t xml:space="preserve">(618 Sec / 617 Sec)</t>
  </si>
  <si>
    <t xml:space="preserve">(384 Sec / 385 Sec)</t>
  </si>
  <si>
    <t xml:space="preserve">X-TEN 10W30 MB-SL Kv40: 11 Kv100: 30</t>
  </si>
  <si>
    <t xml:space="preserve">12.50 / 12.54</t>
  </si>
  <si>
    <t xml:space="preserve">565 Sec</t>
  </si>
  <si>
    <t xml:space="preserve">(363 Sec / 364 Sec)</t>
  </si>
  <si>
    <t xml:space="preserve">X-TEN 10W40 MA-SL Kv40: 84 Kv100: 44</t>
  </si>
  <si>
    <t xml:space="preserve">14.97 / 15.00</t>
  </si>
  <si>
    <t xml:space="preserve">740 Sec</t>
  </si>
  <si>
    <t xml:space="preserve">(436 Sec / 437 Sec)</t>
  </si>
  <si>
    <t xml:space="preserve">Formulasi G 165</t>
  </si>
  <si>
    <t xml:space="preserve">X-TEN 10W40 MB-SL Kv40: 115 Kv100: 53</t>
  </si>
  <si>
    <t xml:space="preserve">14.68 / 14.71</t>
  </si>
  <si>
    <t xml:space="preserve">G 165 B1</t>
  </si>
  <si>
    <t xml:space="preserve">G 165 B2</t>
  </si>
  <si>
    <t xml:space="preserve">G 165 B3</t>
  </si>
  <si>
    <t xml:space="preserve">G 165 B4</t>
  </si>
  <si>
    <t xml:space="preserve">724 Sec</t>
  </si>
  <si>
    <t xml:space="preserve">(394 Sec / 395 Sec)</t>
  </si>
  <si>
    <t xml:space="preserve">87.5 gr</t>
  </si>
  <si>
    <t xml:space="preserve">85 gr</t>
  </si>
  <si>
    <t xml:space="preserve">89 gr</t>
  </si>
  <si>
    <t xml:space="preserve">X-TEN 5W30 MA2-SN Kv40: 109 Kv100: 44</t>
  </si>
  <si>
    <t xml:space="preserve">72.97 / 72.56</t>
  </si>
  <si>
    <t xml:space="preserve">11.64 / 11.66</t>
  </si>
  <si>
    <t xml:space="preserve">6.25 gr</t>
  </si>
  <si>
    <t xml:space="preserve">5.5 gr</t>
  </si>
  <si>
    <t xml:space="preserve">(493 Sec / 491 Sec)</t>
  </si>
  <si>
    <t xml:space="preserve">(339 Sec / 339 Sec)</t>
  </si>
  <si>
    <t xml:space="preserve">Palmester 3970</t>
  </si>
  <si>
    <t xml:space="preserve">Formulasi FG 020 - 9 dan FG 020 - 10</t>
  </si>
  <si>
    <t xml:space="preserve">36.22 gr</t>
  </si>
  <si>
    <t xml:space="preserve">35.22 gr</t>
  </si>
  <si>
    <t xml:space="preserve">Formulasi TRL 10W30 MB/SN-2 dan 10W40 MB/SN-2</t>
  </si>
  <si>
    <t xml:space="preserve">10W30 MB</t>
  </si>
  <si>
    <t xml:space="preserve">10W40 MB</t>
  </si>
  <si>
    <t xml:space="preserve">24.55 gr</t>
  </si>
  <si>
    <t xml:space="preserve">FC 0831</t>
  </si>
  <si>
    <t xml:space="preserve">VM-SPAMA 52%</t>
  </si>
  <si>
    <t xml:space="preserve">Formulasi X-TEN 10W30 MB SL, X-TEN 10W40 MB SL, X-TEN 10W40 MA SL, X-TEN 5W30 MA2 SN</t>
  </si>
  <si>
    <t xml:space="preserve">10W40 MA</t>
  </si>
  <si>
    <t xml:space="preserve">5W30 MA2</t>
  </si>
  <si>
    <t xml:space="preserve">82.8 gr</t>
  </si>
  <si>
    <t xml:space="preserve">80.3 gr</t>
  </si>
  <si>
    <t xml:space="preserve">80.9 gr</t>
  </si>
  <si>
    <t xml:space="preserve">41.5 gr</t>
  </si>
  <si>
    <t xml:space="preserve">5.9 gr</t>
  </si>
  <si>
    <t xml:space="preserve">5.50 gr</t>
  </si>
  <si>
    <t xml:space="preserve">8.0 gr</t>
  </si>
  <si>
    <t xml:space="preserve">6.50 gr</t>
  </si>
  <si>
    <t xml:space="preserve">0.9 gr</t>
  </si>
  <si>
    <t xml:space="preserve">Formulasi Genlube 6135</t>
  </si>
  <si>
    <t xml:space="preserve">Shell Advance 10W40 AX7 Kv40: 109 Kv100: 44</t>
  </si>
  <si>
    <t xml:space="preserve">92.41 / 92.27</t>
  </si>
  <si>
    <t xml:space="preserve">14.28 / 14.28</t>
  </si>
  <si>
    <t xml:space="preserve">12 gr</t>
  </si>
  <si>
    <t xml:space="preserve">(756 Sec / 755 Sec)</t>
  </si>
  <si>
    <t xml:space="preserve">(416 Sec / 415 Sec)</t>
  </si>
  <si>
    <t xml:space="preserve">88 gr</t>
  </si>
  <si>
    <t xml:space="preserve">Genlube 6135 Kv40: 3 Kv100: 228</t>
  </si>
  <si>
    <t xml:space="preserve">334 / 334</t>
  </si>
  <si>
    <t xml:space="preserve">33.70 / 33.66</t>
  </si>
  <si>
    <t xml:space="preserve">G 165 - B1 1 Kg Kv40: 3 Kv100: 228</t>
  </si>
  <si>
    <t xml:space="preserve">Formulasi G 165 B1 dan B4</t>
  </si>
  <si>
    <t xml:space="preserve">(386 Sec)</t>
  </si>
  <si>
    <t xml:space="preserve">B1</t>
  </si>
  <si>
    <t xml:space="preserve">B4</t>
  </si>
  <si>
    <t xml:space="preserve">G 165 - B4 Kv40: 3 Kv100: 228</t>
  </si>
  <si>
    <t xml:space="preserve">363.44 / 363.43</t>
  </si>
  <si>
    <t xml:space="preserve">35.08 / 35.10</t>
  </si>
  <si>
    <t xml:space="preserve">(381 Sec / 381 Sec)</t>
  </si>
  <si>
    <t xml:space="preserve">(505 Sec / 506 Sec)</t>
  </si>
  <si>
    <t xml:space="preserve">5W30 X-TEN - 2 Kv40: 11 Kv100: 53</t>
  </si>
  <si>
    <t xml:space="preserve">70.06 / 70.02</t>
  </si>
  <si>
    <t xml:space="preserve">11.38 / 11.39</t>
  </si>
  <si>
    <t xml:space="preserve">(472 Sec / 471 Sec)</t>
  </si>
  <si>
    <t xml:space="preserve">(331 Sec / 332 Sec)</t>
  </si>
  <si>
    <t xml:space="preserve">5W30 X-TEN - 3 Kv40: 84 Kv100: 53</t>
  </si>
  <si>
    <t xml:space="preserve">66.10 / 66.14</t>
  </si>
  <si>
    <t xml:space="preserve">10.90 / 10.90</t>
  </si>
  <si>
    <t xml:space="preserve">(499 Sec / 499 Sec)</t>
  </si>
  <si>
    <t xml:space="preserve">(293 Sec / 293 Sec)</t>
  </si>
  <si>
    <t xml:space="preserve">Formulasi X-TEN 5W30 - 2 dan 3</t>
  </si>
  <si>
    <t xml:space="preserve">35.5 gr</t>
  </si>
  <si>
    <t xml:space="preserve">28 Oktober 2020 dan 30 Oktober 2020</t>
  </si>
  <si>
    <t xml:space="preserve">Formulasi 10W40 SP 1 dan SP 2</t>
  </si>
  <si>
    <t xml:space="preserve">2.0 mm (3) 1,2 mm (11/84/109/115)</t>
  </si>
  <si>
    <t xml:space="preserve">1.0 mm (228) 0,8 mm (30/44/53)</t>
  </si>
  <si>
    <t xml:space="preserve">SP1</t>
  </si>
  <si>
    <t xml:space="preserve">SP2</t>
  </si>
  <si>
    <t xml:space="preserve">10W40 - SP 1 Kv40: 11 Kv100: 30</t>
  </si>
  <si>
    <t xml:space="preserve">88.89 / 88.70</t>
  </si>
  <si>
    <t xml:space="preserve">14.04 / 14.07</t>
  </si>
  <si>
    <t xml:space="preserve">73.05 gr</t>
  </si>
  <si>
    <t xml:space="preserve">(599 Sec / 598 Sec)</t>
  </si>
  <si>
    <t xml:space="preserve">10W40 - SP 2 Kv40: 11 Kv100: 44</t>
  </si>
  <si>
    <t xml:space="preserve">91.18 / 91.19</t>
  </si>
  <si>
    <t xml:space="preserve">14.89 / 14.89</t>
  </si>
  <si>
    <t xml:space="preserve">(614 Sec / 614 Sec)</t>
  </si>
  <si>
    <t xml:space="preserve">X-TEN 10W30 MB-SL/TRL 1 Kv40: 84 Kv100: 53</t>
  </si>
  <si>
    <t xml:space="preserve">80.09 / 79.89</t>
  </si>
  <si>
    <t xml:space="preserve">12.43 / 12.41</t>
  </si>
  <si>
    <t xml:space="preserve">(605 Sec / 603 Sec)</t>
  </si>
  <si>
    <t xml:space="preserve">(334 Sec / 333 Sec)</t>
  </si>
  <si>
    <t xml:space="preserve">8.5 gr</t>
  </si>
  <si>
    <t xml:space="preserve">X-TEN 10W30 MB-SL/TRL 2 Kv40: 11 Kv100: 30</t>
  </si>
  <si>
    <t xml:space="preserve">78.45 / 78.15</t>
  </si>
  <si>
    <t xml:space="preserve">11.83 / 11.82</t>
  </si>
  <si>
    <t xml:space="preserve">(528 Sec / 526 Sec)</t>
  </si>
  <si>
    <t xml:space="preserve">(343 Sec / 343 Sec)</t>
  </si>
  <si>
    <t xml:space="preserve">X-TEN 10W30 MB-SL/TRL 3 Kv40: 84 Kv100: 44</t>
  </si>
  <si>
    <t xml:space="preserve">73.24 / 73.13</t>
  </si>
  <si>
    <t xml:space="preserve">11.62 / 11.66</t>
  </si>
  <si>
    <t xml:space="preserve">Formulasi X-TEN 10W30 MB-SL/TRL 1 , 2 dan 3</t>
  </si>
  <si>
    <t xml:space="preserve">(553 Sec / 552 Sec)</t>
  </si>
  <si>
    <t xml:space="preserve">(338 Sec / 340 Sec)</t>
  </si>
  <si>
    <t xml:space="preserve">10W30 1</t>
  </si>
  <si>
    <t xml:space="preserve">10W30 2</t>
  </si>
  <si>
    <t xml:space="preserve">2. X-TEN 10W40 MB-SL/TRL 2kg Kv40: 11 Kv100: 53</t>
  </si>
  <si>
    <t xml:space="preserve">100.08 / 99.72</t>
  </si>
  <si>
    <t xml:space="preserve">14.99 / 14.98</t>
  </si>
  <si>
    <t xml:space="preserve">41.65 gr</t>
  </si>
  <si>
    <t xml:space="preserve">41.90 gr</t>
  </si>
  <si>
    <t xml:space="preserve">(674 Sec / 672 Sec)</t>
  </si>
  <si>
    <t xml:space="preserve">(403 Sec / 402 Sec)</t>
  </si>
  <si>
    <t xml:space="preserve">11.9 gr</t>
  </si>
  <si>
    <t xml:space="preserve">3. X-TEN 10W40 MB-SL/TRL 2kg Kv40: 84 Kv100: 53</t>
  </si>
  <si>
    <t xml:space="preserve">97.52 / 97.54 </t>
  </si>
  <si>
    <t xml:space="preserve">14.66 / 14.49</t>
  </si>
  <si>
    <t xml:space="preserve">2.95 gr</t>
  </si>
  <si>
    <t xml:space="preserve">(737 Sec / 737 Sec)</t>
  </si>
  <si>
    <t xml:space="preserve">(419 Sec / 421 Sec)</t>
  </si>
  <si>
    <t xml:space="preserve">0.3 gr</t>
  </si>
  <si>
    <t xml:space="preserve">0.30 gr</t>
  </si>
  <si>
    <t xml:space="preserve">F 540 - 29 Improve Kv40: 109 Kv100: 30</t>
  </si>
  <si>
    <t xml:space="preserve">93.93 / 93.89</t>
  </si>
  <si>
    <t xml:space="preserve">14.43 / 14.49</t>
  </si>
  <si>
    <t xml:space="preserve">2.25 gr</t>
  </si>
  <si>
    <t xml:space="preserve">(769 Sec / 768 Sec)</t>
  </si>
  <si>
    <t xml:space="preserve">F 540 - 55 Improve Kv40: 115 Kv100: 44</t>
  </si>
  <si>
    <t xml:space="preserve">65.50 / 65.50</t>
  </si>
  <si>
    <t xml:space="preserve">11.17 / 11.18</t>
  </si>
  <si>
    <t xml:space="preserve">0.1 gr</t>
  </si>
  <si>
    <t xml:space="preserve">0.10 gr</t>
  </si>
  <si>
    <t xml:space="preserve">(495 Sec / 495 Sec)</t>
  </si>
  <si>
    <t xml:space="preserve">(325 Sec / 326 Sec)</t>
  </si>
  <si>
    <t xml:space="preserve">G 165 - B4 1kg Kv40: 3 Kv100: 228</t>
  </si>
  <si>
    <t xml:space="preserve">352.76 / 351.97</t>
  </si>
  <si>
    <t xml:space="preserve">35.67 / 35.76</t>
  </si>
  <si>
    <t xml:space="preserve">(370 Sec / 369 Sec)</t>
  </si>
  <si>
    <t xml:space="preserve">(513 Sec / 514 Sec)</t>
  </si>
  <si>
    <t xml:space="preserve">Formulasi F540 - 29 Imp dan 55 imp</t>
  </si>
  <si>
    <t xml:space="preserve">TRL 10W30 Improve Kv40: 11  Kv100: 30</t>
  </si>
  <si>
    <t xml:space="preserve">65.31 / 65.30</t>
  </si>
  <si>
    <t xml:space="preserve">10.26 / 10.26</t>
  </si>
  <si>
    <t xml:space="preserve">F540 29</t>
  </si>
  <si>
    <t xml:space="preserve">F540 55</t>
  </si>
  <si>
    <t xml:space="preserve">(440 Sec / 440 Sec)</t>
  </si>
  <si>
    <t xml:space="preserve">(298 Sec / 298 Sec)</t>
  </si>
  <si>
    <t xml:space="preserve">X-TEN 5W30 - 3 TRL 2kg Kv40: 84  Kv100: 44</t>
  </si>
  <si>
    <t xml:space="preserve">65.63 / 65.65</t>
  </si>
  <si>
    <t xml:space="preserve">10.96 / 10.97</t>
  </si>
  <si>
    <t xml:space="preserve">52.7 gr</t>
  </si>
  <si>
    <t xml:space="preserve">TRL SAE 5W30 GF6/S8 Almaz Kv40: 109 Kv100: 53</t>
  </si>
  <si>
    <t xml:space="preserve">62.52 / 62.57</t>
  </si>
  <si>
    <t xml:space="preserve">10.01 / 10.01</t>
  </si>
  <si>
    <t xml:space="preserve">(512 Sec / 513 Sec)</t>
  </si>
  <si>
    <t xml:space="preserve">(269 Sec / 269 Sec)</t>
  </si>
  <si>
    <t xml:space="preserve">X-TEN 10W30 MB/SL/TRL 3 2kg Kv40: 109 Kv100: 30</t>
  </si>
  <si>
    <t xml:space="preserve">71.70 / 71.69</t>
  </si>
  <si>
    <t xml:space="preserve">11.57 / 11.55</t>
  </si>
  <si>
    <t xml:space="preserve">(587 Sec / 587 Sec)</t>
  </si>
  <si>
    <t xml:space="preserve">(336 Sec / 335 Sec)</t>
  </si>
  <si>
    <t xml:space="preserve">TRL 10W30 Improve 1 Kv40: 11 Kv100: 30</t>
  </si>
  <si>
    <t xml:space="preserve">66.24 / 66.28</t>
  </si>
  <si>
    <t xml:space="preserve">10.26 / 10.27</t>
  </si>
  <si>
    <t xml:space="preserve">(446 Sec / 446 Sec)</t>
  </si>
  <si>
    <t xml:space="preserve">Formulasi TRL 10W30 Improve</t>
  </si>
  <si>
    <t xml:space="preserve">10W30 Imp</t>
  </si>
  <si>
    <t xml:space="preserve">Formulasi TRL SAE 5W30 GF6 / SP ALMAZ</t>
  </si>
  <si>
    <t xml:space="preserve">ALMAZ</t>
  </si>
  <si>
    <t xml:space="preserve">1575 gr</t>
  </si>
  <si>
    <t xml:space="preserve">1040.20 gr</t>
  </si>
  <si>
    <t xml:space="preserve">175 gr</t>
  </si>
  <si>
    <t xml:space="preserve">289.80 gr</t>
  </si>
  <si>
    <t xml:space="preserve">245 gr</t>
  </si>
  <si>
    <t xml:space="preserve">3500 gr</t>
  </si>
  <si>
    <t xml:space="preserve">Formulasi X-TEN 5W30 TRL 3</t>
  </si>
  <si>
    <t xml:space="preserve">5W30 TRL 3</t>
  </si>
  <si>
    <t xml:space="preserve">830 gr</t>
  </si>
  <si>
    <t xml:space="preserve">720 gr</t>
  </si>
  <si>
    <t xml:space="preserve">118 gr</t>
  </si>
  <si>
    <t xml:space="preserve">110 gr</t>
  </si>
  <si>
    <t xml:space="preserve">Genlube 6135</t>
  </si>
  <si>
    <t xml:space="preserve">18 gr</t>
  </si>
  <si>
    <t xml:space="preserve">2000 gr</t>
  </si>
  <si>
    <t xml:space="preserve">Formulasi X-TEN 10W30 MB-SL/TRL 3</t>
  </si>
  <si>
    <t xml:space="preserve">10W30 TRL 3</t>
  </si>
  <si>
    <t xml:space="preserve">476 gr</t>
  </si>
  <si>
    <t xml:space="preserve">1200 gr</t>
  </si>
  <si>
    <t xml:space="preserve">Formulasi TRL 10W30 Improve 2</t>
  </si>
  <si>
    <t xml:space="preserve">10W30 imp2</t>
  </si>
  <si>
    <t xml:space="preserve">TRL 10W30 Improve 2 Kv40: 11 Kv100: 30</t>
  </si>
  <si>
    <t xml:space="preserve">71.81 / 71.63</t>
  </si>
  <si>
    <t xml:space="preserve">11.11 / 11.12</t>
  </si>
  <si>
    <t xml:space="preserve">FG 020 - 11 Kv40: 115 Kv100: 44</t>
  </si>
  <si>
    <t xml:space="preserve">40.69 / 40.69</t>
  </si>
  <si>
    <t xml:space="preserve">7.60 / 7.60</t>
  </si>
  <si>
    <t xml:space="preserve">FG 020 - 12 Kv40: 84 Kv100: 53</t>
  </si>
  <si>
    <t xml:space="preserve">40.03 / 40.03</t>
  </si>
  <si>
    <t xml:space="preserve">7.63 / 7.62</t>
  </si>
  <si>
    <t xml:space="preserve">(205 Sec / 204 Sec)</t>
  </si>
  <si>
    <t xml:space="preserve">FG 020 - 13 Kv40: 11 Kv100: 53</t>
  </si>
  <si>
    <t xml:space="preserve">51.64 / 51.54</t>
  </si>
  <si>
    <t xml:space="preserve">8.94 / 8.95</t>
  </si>
  <si>
    <t xml:space="preserve">(348 Sec / 347 Sec)</t>
  </si>
  <si>
    <t xml:space="preserve">(240 Sec / 240 Sec)</t>
  </si>
  <si>
    <t xml:space="preserve">FG 020 - 14 Kv40: 11 Kv100: 30</t>
  </si>
  <si>
    <t xml:space="preserve">54.46 / 54.51</t>
  </si>
  <si>
    <t xml:space="preserve">9.23 / 9.22</t>
  </si>
  <si>
    <t xml:space="preserve">367 Sec / 367 Sec</t>
  </si>
  <si>
    <t xml:space="preserve">(268 Sec / 268 Sec)</t>
  </si>
  <si>
    <t xml:space="preserve">Formulasi FG 020 - 11 sampai 16</t>
  </si>
  <si>
    <t xml:space="preserve">FG 020 - 15 Kv40: 115 Kv100: 44</t>
  </si>
  <si>
    <t xml:space="preserve">39.17 / 39.69</t>
  </si>
  <si>
    <t xml:space="preserve">7.51 / 7.50</t>
  </si>
  <si>
    <t xml:space="preserve">296 Sec / 300 Sec</t>
  </si>
  <si>
    <t xml:space="preserve">34.72 gr</t>
  </si>
  <si>
    <t xml:space="preserve">34.22 gr</t>
  </si>
  <si>
    <t xml:space="preserve">24.22 gr</t>
  </si>
  <si>
    <t xml:space="preserve">44.22 gr</t>
  </si>
  <si>
    <t xml:space="preserve">39.72 gr</t>
  </si>
  <si>
    <t xml:space="preserve">39.22 gr</t>
  </si>
  <si>
    <t xml:space="preserve">FG 020 - 16 Kv40: 115 Kv100: 53</t>
  </si>
  <si>
    <t xml:space="preserve">39.46 / 39.46</t>
  </si>
  <si>
    <t xml:space="preserve">7.44 / 7.44</t>
  </si>
  <si>
    <t xml:space="preserve">298 Sec / 298 Sec</t>
  </si>
  <si>
    <t xml:space="preserve">F 540 - 59 Kv40: 109 Kv100: 30</t>
  </si>
  <si>
    <t xml:space="preserve">100.04 / 99.84</t>
  </si>
  <si>
    <t xml:space="preserve">15.39 / 15.41</t>
  </si>
  <si>
    <t xml:space="preserve">Triester/Glube 135</t>
  </si>
  <si>
    <t xml:space="preserve">(819 Sec / 817 Sec)</t>
  </si>
  <si>
    <t xml:space="preserve">(447 Sec / 448 Sec)</t>
  </si>
  <si>
    <t xml:space="preserve">F 540 - 60 Kv40: 84 Kv100: 44</t>
  </si>
  <si>
    <t xml:space="preserve">89.92 / 89.81</t>
  </si>
  <si>
    <t xml:space="preserve">14.33 / 14.33</t>
  </si>
  <si>
    <t xml:space="preserve">(679 Sec / 678 Sec)</t>
  </si>
  <si>
    <t xml:space="preserve">(417 Sec / 417 Sec)</t>
  </si>
  <si>
    <t xml:space="preserve">F 540 - 61 Kv40: 84 Kv100: 44</t>
  </si>
  <si>
    <t xml:space="preserve">93.20 / 93.35</t>
  </si>
  <si>
    <t xml:space="preserve">14.96 / 14.95</t>
  </si>
  <si>
    <t xml:space="preserve">704 Sec / 705 Sec</t>
  </si>
  <si>
    <t xml:space="preserve">(436 Sec / 435 Sec)</t>
  </si>
  <si>
    <t xml:space="preserve">Formulasi F 540 - 59 sampai 61</t>
  </si>
  <si>
    <t xml:space="preserve">F 540 - 62 Kv40: 109 Kv100: 53</t>
  </si>
  <si>
    <t xml:space="preserve">83.91 / 83.69</t>
  </si>
  <si>
    <t xml:space="preserve">13.54 / 13.53</t>
  </si>
  <si>
    <t xml:space="preserve">687 Sec / 685 Sec</t>
  </si>
  <si>
    <t xml:space="preserve">(364 Sec / 363 Sec)</t>
  </si>
  <si>
    <t xml:space="preserve">47.7 gr</t>
  </si>
  <si>
    <t xml:space="preserve">27.7 gr</t>
  </si>
  <si>
    <t xml:space="preserve">Formulasi 1. TRL SAE 5W30 GF6/SP (F4)</t>
  </si>
  <si>
    <t xml:space="preserve">Fomulasi 3. TRL SAE 5W30 CK-4 (F3)</t>
  </si>
  <si>
    <t xml:space="preserve">TRL SAE (F4)</t>
  </si>
  <si>
    <t xml:space="preserve">TRL SAE (F3)</t>
  </si>
  <si>
    <t xml:space="preserve">1. TRL SAE 5W30 GF6/SP (F4) Kv40: 109 Kv100: 44</t>
  </si>
  <si>
    <t xml:space="preserve">45.50 gr</t>
  </si>
  <si>
    <t xml:space="preserve">69.70 gr</t>
  </si>
  <si>
    <t xml:space="preserve">30.72 gr</t>
  </si>
  <si>
    <t xml:space="preserve">2. TRL SAE 5W30 CK-4 (F2) Kv40: 11 Kv100: 30</t>
  </si>
  <si>
    <t xml:space="preserve">70.80 / 70.67</t>
  </si>
  <si>
    <t xml:space="preserve">11.66 / 11.67</t>
  </si>
  <si>
    <t xml:space="preserve">3. TRL SAE 5W30 CK-4 (F3)Kv40: 84 Kv100: 53</t>
  </si>
  <si>
    <t xml:space="preserve">69.40 / 69.38</t>
  </si>
  <si>
    <t xml:space="preserve">11.62 / 11.61</t>
  </si>
  <si>
    <t xml:space="preserve">(524 Sec / 524 Sec)</t>
  </si>
  <si>
    <t xml:space="preserve">(312 Sec / 312 Sec)</t>
  </si>
  <si>
    <t xml:space="preserve">5.80 gr</t>
  </si>
  <si>
    <t xml:space="preserve">4. TRL SAE 10W40 SN (SEMI SYN) Kv40: 115 Kv100: 53</t>
  </si>
  <si>
    <t xml:space="preserve">96.95 / 96.94</t>
  </si>
  <si>
    <t xml:space="preserve">14.69 / 14.69</t>
  </si>
  <si>
    <t xml:space="preserve">(733 Sec / 732 Sec)</t>
  </si>
  <si>
    <t xml:space="preserve">(395 Sec / 395 Sec)</t>
  </si>
  <si>
    <t xml:space="preserve">F 540 - 63 Kv40: 11 Kv100: 30</t>
  </si>
  <si>
    <t xml:space="preserve">87.45 / 87.23</t>
  </si>
  <si>
    <t xml:space="preserve">13.89 / 13.89</t>
  </si>
  <si>
    <t xml:space="preserve">Formulasi 2. TRL SAE 5W30 CK-4 (F2)</t>
  </si>
  <si>
    <t xml:space="preserve">Formulasi 4. TRL SAE 10W40 SN (SEMI SYN)</t>
  </si>
  <si>
    <t xml:space="preserve">TRL SAE (F2)</t>
  </si>
  <si>
    <t xml:space="preserve">TRL SAE (SEMI SYN)</t>
  </si>
  <si>
    <t xml:space="preserve">F 540 - 64 Kv40: 84 Kv100: 44</t>
  </si>
  <si>
    <t xml:space="preserve">87.45 / 87.39</t>
  </si>
  <si>
    <t xml:space="preserve">13.00 / 12.98</t>
  </si>
  <si>
    <t xml:space="preserve">69.50 gr</t>
  </si>
  <si>
    <t xml:space="preserve">(662 Sec / 660 Sec)</t>
  </si>
  <si>
    <t xml:space="preserve">(378 Sec / 378 Sec)</t>
  </si>
  <si>
    <t xml:space="preserve">23.75 gr</t>
  </si>
  <si>
    <t xml:space="preserve">F 540 - 65 Kv40: 109 Kv100: 53</t>
  </si>
  <si>
    <t xml:space="preserve">76.64 / 76.38</t>
  </si>
  <si>
    <t xml:space="preserve">12.95 / 12.93</t>
  </si>
  <si>
    <t xml:space="preserve">(627 Sec / 625 Sec)</t>
  </si>
  <si>
    <t xml:space="preserve">F 540 - 66 Kv40: 115 Kv100: 53</t>
  </si>
  <si>
    <t xml:space="preserve">74.05 / 74.25</t>
  </si>
  <si>
    <t xml:space="preserve">12.70 / 12.69</t>
  </si>
  <si>
    <t xml:space="preserve">(560 Sec / 562 Sec)</t>
  </si>
  <si>
    <t xml:space="preserve">(341 Sec / 341 Sec)</t>
  </si>
  <si>
    <t xml:space="preserve">F 540 - 67 Kv40: 11 Kv100: 44</t>
  </si>
  <si>
    <t xml:space="preserve">74.74 / 74.95</t>
  </si>
  <si>
    <t xml:space="preserve">12.84 / 12.84</t>
  </si>
  <si>
    <t xml:space="preserve">(504 Sec / 505 Sec)</t>
  </si>
  <si>
    <t xml:space="preserve">F 540 - 68 Kv40: 84 Kv100: 30</t>
  </si>
  <si>
    <t xml:space="preserve">85.79 / 85.87</t>
  </si>
  <si>
    <t xml:space="preserve">14.19 / 14.17</t>
  </si>
  <si>
    <t xml:space="preserve">Formulasi F 540 - 63 sampai 68</t>
  </si>
  <si>
    <t xml:space="preserve">(648 Sec / 648 Sec)</t>
  </si>
  <si>
    <t xml:space="preserve">(412 Sec / 412 Sec)</t>
  </si>
  <si>
    <t xml:space="preserve">F 540 - 67</t>
  </si>
  <si>
    <t xml:space="preserve">F 540 - 68</t>
  </si>
  <si>
    <t xml:space="preserve">FG 020 - 17 Kv40: 11 Kv100: 30</t>
  </si>
  <si>
    <t xml:space="preserve">47.17 / 47.22</t>
  </si>
  <si>
    <t xml:space="preserve">9.15 / 9.16</t>
  </si>
  <si>
    <t xml:space="preserve">22.7 gr</t>
  </si>
  <si>
    <t xml:space="preserve">27.2 gr</t>
  </si>
  <si>
    <t xml:space="preserve">(318 Sec / 318 Sec)</t>
  </si>
  <si>
    <t xml:space="preserve">(266 Sec / 266 Sec)</t>
  </si>
  <si>
    <t xml:space="preserve">FG 020 - 18 Kv40: 84 Kv100: 44</t>
  </si>
  <si>
    <t xml:space="preserve">45.86 / 45.80</t>
  </si>
  <si>
    <t xml:space="preserve">8.99/8.99</t>
  </si>
  <si>
    <t xml:space="preserve">(346 Sec / 345 Sec)</t>
  </si>
  <si>
    <t xml:space="preserve">Formulasi FG 020 - 17 dan FG 020 - 18</t>
  </si>
  <si>
    <t xml:space="preserve">35.72 gr</t>
  </si>
  <si>
    <t xml:space="preserve">Formulasi TRL 5W30 GF6/SP (FS) </t>
  </si>
  <si>
    <t xml:space="preserve">TRL 5W30 (FS)</t>
  </si>
  <si>
    <t xml:space="preserve">TRL 5W30 GF6 / SP (FS) Kv40: 109 Kv100: 44</t>
  </si>
  <si>
    <t xml:space="preserve">66.13 / 66.12</t>
  </si>
  <si>
    <t xml:space="preserve">11.27 / 11.26</t>
  </si>
  <si>
    <t xml:space="preserve">46 gr</t>
  </si>
  <si>
    <t xml:space="preserve">(327 Sec / 327 Sec)</t>
  </si>
  <si>
    <t xml:space="preserve">I. A.3 10W40 SP/GF6 - ODX Kv40: 11 Kv100: 53</t>
  </si>
  <si>
    <t xml:space="preserve">92.05 / 92.13</t>
  </si>
  <si>
    <t xml:space="preserve">14.91 / 14.79</t>
  </si>
  <si>
    <t xml:space="preserve">(620 Sec / 621 Sec)</t>
  </si>
  <si>
    <t xml:space="preserve">(400 Sec / 397 Sec)</t>
  </si>
  <si>
    <t xml:space="preserve">II. A.1 5W30 SN PLUS - ODX Kv40: 84 Kv100: 44</t>
  </si>
  <si>
    <t xml:space="preserve">65.65 / 65.88</t>
  </si>
  <si>
    <t xml:space="preserve">11.61 / 11.61</t>
  </si>
  <si>
    <t xml:space="preserve">(496 Sec / 497 Sec)</t>
  </si>
  <si>
    <t xml:space="preserve">III. A.1 10W40 SN - ODX Kv40: 109 Kv100: 30</t>
  </si>
  <si>
    <t xml:space="preserve">89.56 / 89.65</t>
  </si>
  <si>
    <t xml:space="preserve">13.23 / 13.19</t>
  </si>
  <si>
    <t xml:space="preserve">(733 Sec / 734 Sec)</t>
  </si>
  <si>
    <t xml:space="preserve">(384 Sec / 383 Sec)</t>
  </si>
  <si>
    <t xml:space="preserve">III. A.2 20W50 SN - ODX Kv40: 115 Kv100: 44</t>
  </si>
  <si>
    <t xml:space="preserve">138.24 / 136.82</t>
  </si>
  <si>
    <t xml:space="preserve">17.56 / 17.58</t>
  </si>
  <si>
    <t xml:space="preserve">Formulasi I. A.3 10W40 SP/GF6-ODX</t>
  </si>
  <si>
    <t xml:space="preserve">(1046 Sec / 962 Sec)</t>
  </si>
  <si>
    <t xml:space="preserve">(511 Sec / 512 Sec)</t>
  </si>
  <si>
    <t xml:space="preserve">I. A.3 10W40</t>
  </si>
  <si>
    <t xml:space="preserve">74.12 gr</t>
  </si>
  <si>
    <t xml:space="preserve">7.60 gr</t>
  </si>
  <si>
    <t xml:space="preserve">Formulasi II. A.1 5W30 SN-PLUS-ODX</t>
  </si>
  <si>
    <t xml:space="preserve">II. A.1 5W30 SN</t>
  </si>
  <si>
    <t xml:space="preserve">34.30 gr</t>
  </si>
  <si>
    <t xml:space="preserve">1.50 gr</t>
  </si>
  <si>
    <t xml:space="preserve">Formulasi III. A.1 10W40 SN-ODX</t>
  </si>
  <si>
    <t xml:space="preserve">III. A.1 10W40</t>
  </si>
  <si>
    <t xml:space="preserve">48.30 gr</t>
  </si>
  <si>
    <t xml:space="preserve">26 gr</t>
  </si>
  <si>
    <t xml:space="preserve">Formulasi III. A.2 20W50 SN-ODX</t>
  </si>
  <si>
    <t xml:space="preserve">III. A.2 20W50</t>
  </si>
  <si>
    <t xml:space="preserve">1,2 mm (11/84/109/115) 1.5 (99)</t>
  </si>
  <si>
    <t xml:space="preserve">G 1040 -1 </t>
  </si>
  <si>
    <t xml:space="preserve">G 2050 -1 </t>
  </si>
  <si>
    <t xml:space="preserve">G 1040 -3 </t>
  </si>
  <si>
    <t xml:space="preserve">G 1040 - 1 Kv40: 11 Kv100: 53</t>
  </si>
  <si>
    <t xml:space="preserve">124.64 / 124.67</t>
  </si>
  <si>
    <t xml:space="preserve">16.86 / 16.85</t>
  </si>
  <si>
    <t xml:space="preserve">(840 Sec / 840 Sec)</t>
  </si>
  <si>
    <t xml:space="preserve">(453 Sec / 453 Sec)</t>
  </si>
  <si>
    <t xml:space="preserve">28.3 gr</t>
  </si>
  <si>
    <t xml:space="preserve">43.3 gr</t>
  </si>
  <si>
    <t xml:space="preserve">23.3 gr</t>
  </si>
  <si>
    <t xml:space="preserve">53.8 gr</t>
  </si>
  <si>
    <t xml:space="preserve">48.8 gr</t>
  </si>
  <si>
    <t xml:space="preserve">G 1040 - 2 Kv40: 84 Kv100: 44</t>
  </si>
  <si>
    <t xml:space="preserve">102.26 / 102.27</t>
  </si>
  <si>
    <t xml:space="preserve">14.93 / 14.94</t>
  </si>
  <si>
    <t xml:space="preserve">(772 Sec / 772 Sec)</t>
  </si>
  <si>
    <t xml:space="preserve">8.7 gr</t>
  </si>
  <si>
    <t xml:space="preserve">G 1040 - 3 Kv40: 30 Kv100: 53</t>
  </si>
  <si>
    <t xml:space="preserve">91.90 / 91.89</t>
  </si>
  <si>
    <t xml:space="preserve">13.85 / 13.80</t>
  </si>
  <si>
    <t xml:space="preserve">(619 Sec / 619 Sec)</t>
  </si>
  <si>
    <t xml:space="preserve">(372 Sec / 371 Sec)</t>
  </si>
  <si>
    <t xml:space="preserve">G 1040 - 4 Kv40: 44 Kv100: 30</t>
  </si>
  <si>
    <t xml:space="preserve">94.17 / 94.02</t>
  </si>
  <si>
    <t xml:space="preserve">14.21 / 14.19</t>
  </si>
  <si>
    <t xml:space="preserve">(413 Sec / 412 Sec)</t>
  </si>
  <si>
    <t xml:space="preserve">G 2050 - 1 Kv40: 99 Kv100: 30</t>
  </si>
  <si>
    <t xml:space="preserve">127.91 / 127.96</t>
  </si>
  <si>
    <t xml:space="preserve">17.19 / 17.15</t>
  </si>
  <si>
    <t xml:space="preserve">(245 Sec / 246 Sec)</t>
  </si>
  <si>
    <t xml:space="preserve">(499 Sec / 498 Sec)</t>
  </si>
  <si>
    <t xml:space="preserve">G 530 -1 </t>
  </si>
  <si>
    <t xml:space="preserve">G 530 - 1 Kv40: 109 Kv100: 44</t>
  </si>
  <si>
    <t xml:space="preserve">69.41 / 69.35</t>
  </si>
  <si>
    <t xml:space="preserve">11.99 / 11.97</t>
  </si>
  <si>
    <t xml:space="preserve">40.72 gr</t>
  </si>
  <si>
    <t xml:space="preserve">40.22 gr</t>
  </si>
  <si>
    <t xml:space="preserve">(568 Sec / 567 Sec)</t>
  </si>
  <si>
    <t xml:space="preserve">(349 Sec / 348 Sec)</t>
  </si>
  <si>
    <t xml:space="preserve">G 530 - 2 Kv40: 30 Kv100: 53</t>
  </si>
  <si>
    <t xml:space="preserve">65.90 / 65.80</t>
  </si>
  <si>
    <t xml:space="preserve">11.50 / 11.49</t>
  </si>
  <si>
    <t xml:space="preserve">(498 Sec / 498 Sec)</t>
  </si>
  <si>
    <t xml:space="preserve">Formulasi TRL 5W30 SP/GF6</t>
  </si>
  <si>
    <t xml:space="preserve">Formulasi 10W40 SP/GF6</t>
  </si>
  <si>
    <t xml:space="preserve">TRL 5W30</t>
  </si>
  <si>
    <t xml:space="preserve">TRL 10W40</t>
  </si>
  <si>
    <t xml:space="preserve">TRL 5W30 SP/GF6 Kv40: 84 Kv100: 30</t>
  </si>
  <si>
    <t xml:space="preserve">66.25 / 66.08</t>
  </si>
  <si>
    <t xml:space="preserve">11.44 / 11/44</t>
  </si>
  <si>
    <t xml:space="preserve">1536 gr</t>
  </si>
  <si>
    <t xml:space="preserve">3706 gr</t>
  </si>
  <si>
    <t xml:space="preserve">(500 Sec / 499 Sec)</t>
  </si>
  <si>
    <t xml:space="preserve">(332 Sec / 332 Sec)</t>
  </si>
  <si>
    <t xml:space="preserve">2300 gr</t>
  </si>
  <si>
    <t xml:space="preserve">TRL 10W40 SP/GF6 Kv40: 11 Kv100: 44</t>
  </si>
  <si>
    <t xml:space="preserve">93.66 / 93.43</t>
  </si>
  <si>
    <t xml:space="preserve">15.00 / 15.00</t>
  </si>
  <si>
    <t xml:space="preserve">250 gr</t>
  </si>
  <si>
    <t xml:space="preserve">414 gr</t>
  </si>
  <si>
    <t xml:space="preserve">(631 Sec / 630 Sec)</t>
  </si>
  <si>
    <t xml:space="preserve">(437 Sec / 437 Sec)</t>
  </si>
  <si>
    <t xml:space="preserve">380 gr</t>
  </si>
  <si>
    <t xml:space="preserve">TRL 10W40 - SN Kv40: 109 Kv100: 44</t>
  </si>
  <si>
    <t xml:space="preserve">93.83 / 93.82</t>
  </si>
  <si>
    <t xml:space="preserve">13.74 / 13.72</t>
  </si>
  <si>
    <t xml:space="preserve">(768 Sec / 768 Sec)</t>
  </si>
  <si>
    <t xml:space="preserve">(400 Sec / 400 Sec)</t>
  </si>
  <si>
    <t xml:space="preserve">RD 1540 - 1 Kv40: 84 Kv100: 53</t>
  </si>
  <si>
    <t xml:space="preserve">111.13 / 111.16</t>
  </si>
  <si>
    <t xml:space="preserve">15.88 / 15.86</t>
  </si>
  <si>
    <t xml:space="preserve">(213 Sec / 213 Sec)</t>
  </si>
  <si>
    <t xml:space="preserve">(427 Sec / 426 Sec)</t>
  </si>
  <si>
    <t xml:space="preserve">Formulasi TRL 10W40 - SN</t>
  </si>
  <si>
    <t xml:space="preserve">Formulasi RD 1540 - 1</t>
  </si>
  <si>
    <t xml:space="preserve">N150</t>
  </si>
  <si>
    <t xml:space="preserve">2415 gr</t>
  </si>
  <si>
    <t xml:space="preserve">1300 gr</t>
  </si>
  <si>
    <t xml:space="preserve">44 gr</t>
  </si>
  <si>
    <t xml:space="preserve">375 gr</t>
  </si>
  <si>
    <t xml:space="preserve">125 gr</t>
  </si>
  <si>
    <t xml:space="preserve">10.5 gr</t>
  </si>
  <si>
    <t xml:space="preserve">435 gr</t>
  </si>
  <si>
    <t xml:space="preserve">350 gr</t>
  </si>
  <si>
    <t xml:space="preserve">CCS</t>
  </si>
  <si>
    <t xml:space="preserve">Formulasi RD 1540 - 2</t>
  </si>
  <si>
    <t xml:space="preserve">Formulasi RD 1540 - 3</t>
  </si>
  <si>
    <t xml:space="preserve">Formulasi RD 1040 - 1</t>
  </si>
  <si>
    <t xml:space="preserve">26.3 gr</t>
  </si>
  <si>
    <t xml:space="preserve">34.9 gr</t>
  </si>
  <si>
    <t xml:space="preserve">18.15 gr</t>
  </si>
  <si>
    <t xml:space="preserve">RD 1540 - 2 Kv40: 11 Kv100: 44</t>
  </si>
  <si>
    <t xml:space="preserve">103.01 / 102.92</t>
  </si>
  <si>
    <t xml:space="preserve">11.64 / 11.64</t>
  </si>
  <si>
    <t xml:space="preserve">3.75 gr</t>
  </si>
  <si>
    <t xml:space="preserve">0.75 gr</t>
  </si>
  <si>
    <t xml:space="preserve">(694 Sec / 694 Sec)</t>
  </si>
  <si>
    <t xml:space="preserve">1.25 gr</t>
  </si>
  <si>
    <t xml:space="preserve">5.85 gr</t>
  </si>
  <si>
    <t xml:space="preserve">RD 1540 - 3 Kv40: 84 Kv100: 53</t>
  </si>
  <si>
    <t xml:space="preserve">107.42 / 107.27</t>
  </si>
  <si>
    <t xml:space="preserve">14.74 / 14.76</t>
  </si>
  <si>
    <t xml:space="preserve">11.7 gr</t>
  </si>
  <si>
    <t xml:space="preserve">3.5 gr</t>
  </si>
  <si>
    <t xml:space="preserve">(811 Sec / 810 Sec)</t>
  </si>
  <si>
    <t xml:space="preserve">(396 Sec / 296 Sec)</t>
  </si>
  <si>
    <t xml:space="preserve">RD 1040 - 1 Kv40: 109 Kv100: 30</t>
  </si>
  <si>
    <t xml:space="preserve">92.50 / 92.50</t>
  </si>
  <si>
    <t xml:space="preserve">14.18 / 14.21</t>
  </si>
  <si>
    <t xml:space="preserve">(412 Sec / 413 Sec)</t>
  </si>
  <si>
    <t xml:space="preserve">Campuran Militec - Pertamina</t>
  </si>
  <si>
    <t xml:space="preserve">Formulasi Campuran Militec</t>
  </si>
  <si>
    <t xml:space="preserve">Campuran</t>
  </si>
  <si>
    <t xml:space="preserve">Pertamina Med 5x (SAE 15W40)</t>
  </si>
  <si>
    <t xml:space="preserve">18.8 gr</t>
  </si>
  <si>
    <t xml:space="preserve">Militec - 1</t>
  </si>
  <si>
    <t xml:space="preserve">1.2 gr</t>
  </si>
  <si>
    <t xml:space="preserve">HTHS (mPa.s)</t>
  </si>
  <si>
    <t xml:space="preserve">Formulasi TRL SAE 10W30 - MB/SN/VM-HV</t>
  </si>
  <si>
    <t xml:space="preserve">Formulasi II. B.I 10W40 CI</t>
  </si>
  <si>
    <t xml:space="preserve">Formulasi II. B.1 15W40 CI-4</t>
  </si>
  <si>
    <t xml:space="preserve">Formulasi F 540 - 69</t>
  </si>
  <si>
    <t xml:space="preserve">TRL SAE 10W30</t>
  </si>
  <si>
    <t xml:space="preserve">B.I 10W40 CI</t>
  </si>
  <si>
    <t xml:space="preserve">B.I 15W40 CI-4</t>
  </si>
  <si>
    <t xml:space="preserve">1,2 mm (11/84/109/115) 1.5 mm (99)</t>
  </si>
  <si>
    <t xml:space="preserve">0,8 mm (30/44/53) 1.0 (228)</t>
  </si>
  <si>
    <t xml:space="preserve">36.20 gr</t>
  </si>
  <si>
    <t xml:space="preserve">12.5 gr</t>
  </si>
  <si>
    <t xml:space="preserve">TRL SAE 10W30 - MB/SN/VM-HV Kv40: 11 Kv100: 30</t>
  </si>
  <si>
    <t xml:space="preserve">70.98 / 70.83</t>
  </si>
  <si>
    <t xml:space="preserve">11.91 / 11.90</t>
  </si>
  <si>
    <t xml:space="preserve">56.05 gr</t>
  </si>
  <si>
    <t xml:space="preserve">21.35 gr</t>
  </si>
  <si>
    <t xml:space="preserve">(478 Sec / 477 Sec)</t>
  </si>
  <si>
    <t xml:space="preserve">II. B.I 10W40 CI Kv40: 11 Kv100: 44</t>
  </si>
  <si>
    <t xml:space="preserve">97.90 / 97.83</t>
  </si>
  <si>
    <t xml:space="preserve">15.14 / 15.15</t>
  </si>
  <si>
    <t xml:space="preserve">7.15 gr</t>
  </si>
  <si>
    <t xml:space="preserve">(660 Sec / 559 Sec)</t>
  </si>
  <si>
    <t xml:space="preserve">(441 Sec / 441 Sec)</t>
  </si>
  <si>
    <t xml:space="preserve">1.5 gr</t>
  </si>
  <si>
    <t xml:space="preserve">II. B.I 15W40 CI - 4 Kv40: 99 Kv100: 228</t>
  </si>
  <si>
    <t xml:space="preserve">108.93 / 108.99</t>
  </si>
  <si>
    <t xml:space="preserve">16.77 / 16.74</t>
  </si>
  <si>
    <t xml:space="preserve">(209 Sec / 209 Sec)</t>
  </si>
  <si>
    <t xml:space="preserve">(242 Sec / 240 Sec)</t>
  </si>
  <si>
    <t xml:space="preserve">4. 10W40 SN (Improve 2) Kv40: 84 Kv100: 53</t>
  </si>
  <si>
    <t xml:space="preserve">104.17 / 104.13</t>
  </si>
  <si>
    <t xml:space="preserve">14.88 / 14.87</t>
  </si>
  <si>
    <t xml:space="preserve">(787 Sec / 786 Sec)</t>
  </si>
  <si>
    <t xml:space="preserve">5. 20W50 SN (Improve 2) Kv40: 99 Kv100: 228</t>
  </si>
  <si>
    <t xml:space="preserve">146.91 / 146.91</t>
  </si>
  <si>
    <t xml:space="preserve">20.13 / 20.06</t>
  </si>
  <si>
    <t xml:space="preserve">(282 Sec / 282 Sec)</t>
  </si>
  <si>
    <t xml:space="preserve">(289 Sec / 288 Sec)</t>
  </si>
  <si>
    <t xml:space="preserve">Formulasi 4. 10W40 SN (Improve 2)</t>
  </si>
  <si>
    <t xml:space="preserve">Formulasi 5. 20W50 SN (Improve 2)</t>
  </si>
  <si>
    <t xml:space="preserve">Formulasi RD 1040 -  2</t>
  </si>
  <si>
    <t xml:space="preserve">Formulasi RD 1040 -  3</t>
  </si>
  <si>
    <t xml:space="preserve">F 540 - 69 Kv40: 11 Kv100: 30</t>
  </si>
  <si>
    <t xml:space="preserve">75.02 / 74.70</t>
  </si>
  <si>
    <t xml:space="preserve">12.70 / 12.67</t>
  </si>
  <si>
    <t xml:space="preserve">10W40 SN</t>
  </si>
  <si>
    <t xml:space="preserve">20W50 SN</t>
  </si>
  <si>
    <t xml:space="preserve">(506 Sec / 503 Sec)</t>
  </si>
  <si>
    <t xml:space="preserve">(369 Sec / 368 Sec)</t>
  </si>
  <si>
    <t xml:space="preserve">13.30 gr</t>
  </si>
  <si>
    <t xml:space="preserve">RD 1040 - 2 Kv40: 84 Kv100: 44</t>
  </si>
  <si>
    <t xml:space="preserve">93.85 / 93.90</t>
  </si>
  <si>
    <t xml:space="preserve">15.10 / 15.12</t>
  </si>
  <si>
    <t xml:space="preserve">33.8 gr</t>
  </si>
  <si>
    <t xml:space="preserve">26.9 gr</t>
  </si>
  <si>
    <t xml:space="preserve">24.15 gr</t>
  </si>
  <si>
    <t xml:space="preserve">(709 Sec / 709 Sec)</t>
  </si>
  <si>
    <t xml:space="preserve">(406 Sec / 406 Sec)</t>
  </si>
  <si>
    <t xml:space="preserve">RD 1040 - 3 Kv40: 109 Kv100: 53</t>
  </si>
  <si>
    <t xml:space="preserve">98.69 / 98.57</t>
  </si>
  <si>
    <t xml:space="preserve">15.83 / 15.81</t>
  </si>
  <si>
    <t xml:space="preserve">(808 Sec / 807 Sec)</t>
  </si>
  <si>
    <t xml:space="preserve">4.25 gr</t>
  </si>
  <si>
    <t xml:space="preserve">Formulasi RD 1540 -  4</t>
  </si>
  <si>
    <t xml:space="preserve">4.15 gr</t>
  </si>
  <si>
    <t xml:space="preserve">Formulasi G 2050 -  2</t>
  </si>
  <si>
    <t xml:space="preserve">Formulasi  G2050 - 2 dan 3</t>
  </si>
  <si>
    <t xml:space="preserve">Formulasi RG 1040 - 1 , 2 , dan 3</t>
  </si>
  <si>
    <t xml:space="preserve">G 2050 - 2 Kv40: 99 Kv100: 228</t>
  </si>
  <si>
    <t xml:space="preserve">112.90 / 112.81</t>
  </si>
  <si>
    <t xml:space="preserve">17.32 / 17.30</t>
  </si>
  <si>
    <t xml:space="preserve">12.8 gr</t>
  </si>
  <si>
    <t xml:space="preserve">56.8 gr</t>
  </si>
  <si>
    <t xml:space="preserve">51.3 gr</t>
  </si>
  <si>
    <t xml:space="preserve">59.8 gr</t>
  </si>
  <si>
    <t xml:space="preserve">(216 Sec / 216 Sec)</t>
  </si>
  <si>
    <t xml:space="preserve">G 2050 - 3 Kv40: 99 Kv100: 228</t>
  </si>
  <si>
    <t xml:space="preserve">147.32 / 147.65</t>
  </si>
  <si>
    <t xml:space="preserve">20.61 / 20.56</t>
  </si>
  <si>
    <t xml:space="preserve">4.35 gr</t>
  </si>
  <si>
    <t xml:space="preserve">(296 Sec / 296 Sec)</t>
  </si>
  <si>
    <t xml:space="preserve">RD 1540 - 4 Kv40: 99 Kv100: 30</t>
  </si>
  <si>
    <t xml:space="preserve">98.66 / 98.66</t>
  </si>
  <si>
    <t xml:space="preserve">14.64 / 14.64</t>
  </si>
  <si>
    <t xml:space="preserve">(425 Sec / 425 Sec)</t>
  </si>
  <si>
    <t xml:space="preserve">F 540 - 70 Kv40: 109 Kv100: 44</t>
  </si>
  <si>
    <t xml:space="preserve">69.96 / 69.84</t>
  </si>
  <si>
    <t xml:space="preserve">12.07 / 12.08</t>
  </si>
  <si>
    <t xml:space="preserve">(572 Sec / 572 Sec)</t>
  </si>
  <si>
    <t xml:space="preserve">(352 Sec / 352 Sec)</t>
  </si>
  <si>
    <t xml:space="preserve">Formulasi F 540 - 70</t>
  </si>
  <si>
    <t xml:space="preserve">Formulasi RD 1040 -  4</t>
  </si>
  <si>
    <t xml:space="preserve">1. TRL SAE 10W30 MB/SN/ VM-HV (2) Kv40: 11 Kv100: 53</t>
  </si>
  <si>
    <t xml:space="preserve">66.35 / 66.28</t>
  </si>
  <si>
    <t xml:space="preserve">RD 1040 - 4</t>
  </si>
  <si>
    <t xml:space="preserve">(303 Sec / 303 Sec)</t>
  </si>
  <si>
    <t xml:space="preserve">2. 15W40 CI - 4 / Improve 2 Kv40: 84 Kv100: </t>
  </si>
  <si>
    <t xml:space="preserve">102.51 / 102.02</t>
  </si>
  <si>
    <t xml:space="preserve">14.64 / 14.65</t>
  </si>
  <si>
    <t xml:space="preserve">43.7 gr</t>
  </si>
  <si>
    <t xml:space="preserve">(774 Sec / 771 Sec)</t>
  </si>
  <si>
    <t xml:space="preserve">(426 Sec / 427 Sec)</t>
  </si>
  <si>
    <t xml:space="preserve">3.75gr</t>
  </si>
  <si>
    <t xml:space="preserve">RG 1040 - 1 Kv40: 84 Kv100: </t>
  </si>
  <si>
    <t xml:space="preserve">92.96 / 92.91</t>
  </si>
  <si>
    <t xml:space="preserve">15.12 / 15.28</t>
  </si>
  <si>
    <t xml:space="preserve">(702 Sec / 701 Sec)</t>
  </si>
  <si>
    <t xml:space="preserve">RG 1040 - 2 Kv40: 11 Kv100: </t>
  </si>
  <si>
    <t xml:space="preserve">94.53 / 94.50</t>
  </si>
  <si>
    <t xml:space="preserve">14.91 / 14.91</t>
  </si>
  <si>
    <t xml:space="preserve">(637 Sec / 637 Sec)</t>
  </si>
  <si>
    <t xml:space="preserve">(433 Sec / 433 Sec)</t>
  </si>
  <si>
    <t xml:space="preserve">RG 1040 - 3 Kv40: 115 Kv100: </t>
  </si>
  <si>
    <t xml:space="preserve">92.87 / 92.72</t>
  </si>
  <si>
    <t xml:space="preserve">14.91 / 14.87</t>
  </si>
  <si>
    <t xml:space="preserve">Formulasi 1. TRL SAE 10W30 MB/SN/VM-HV(2)</t>
  </si>
  <si>
    <t xml:space="preserve">Formulasi 2. 15W40 CI-4/Improve2</t>
  </si>
  <si>
    <t xml:space="preserve">15W40 CI-4</t>
  </si>
  <si>
    <t xml:space="preserve">36.70 gr</t>
  </si>
  <si>
    <t xml:space="preserve">51.55 gr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</si>
</sst>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0.00%"/>
    <numFmt numFmtId="167" formatCode="General"/>
    <numFmt numFmtId="168" formatCode="m/d/yyyy"/>
    <numFmt numFmtId="169" formatCode="d\-mmm\-yy"/>
    <numFmt numFmtId="170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S3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H12" activeCellId="0" sqref="H12"/>
    </sheetView>
  </sheetViews>
  <sheetFormatPr defaultColWidth="8.6171875" defaultRowHeight="15" zeroHeight="false" outlineLevelRow="0" outlineLevelCol="0"/>
  <cols>
    <col collapsed="false" customWidth="true" hidden="false" outlineLevel="0" max="1" min="1" style="1" width="4.85"/>
    <col collapsed="false" customWidth="true" hidden="false" outlineLevel="0" max="2" min="2" style="2" width="18.43"/>
    <col collapsed="false" customWidth="true" hidden="false" outlineLevel="0" max="3" min="3" style="0" width="39.43"/>
    <col collapsed="false" customWidth="true" hidden="false" outlineLevel="0" max="4" min="4" style="0" width="12.14"/>
    <col collapsed="false" customWidth="true" hidden="false" outlineLevel="0" max="5" min="5" style="0" width="10.71"/>
    <col collapsed="false" customWidth="true" hidden="false" outlineLevel="0" max="6" min="6" style="0" width="9.7"/>
    <col collapsed="false" customWidth="true" hidden="false" outlineLevel="0" max="8" min="7" style="0" width="10.71"/>
    <col collapsed="false" customWidth="true" hidden="false" outlineLevel="0" max="9" min="9" style="0" width="12.85"/>
    <col collapsed="false" customWidth="true" hidden="false" outlineLevel="0" max="10" min="10" style="0" width="12.28"/>
    <col collapsed="false" customWidth="true" hidden="false" outlineLevel="0" max="11" min="11" style="0" width="13.14"/>
    <col collapsed="false" customWidth="true" hidden="false" outlineLevel="0" max="12" min="12" style="0" width="11.71"/>
    <col collapsed="false" customWidth="true" hidden="false" outlineLevel="0" max="13" min="13" style="0" width="10.43"/>
    <col collapsed="false" customWidth="true" hidden="false" outlineLevel="0" max="14" min="14" style="0" width="11"/>
    <col collapsed="false" customWidth="true" hidden="false" outlineLevel="0" max="15" min="15" style="0" width="11.71"/>
    <col collapsed="false" customWidth="true" hidden="false" outlineLevel="0" max="16" min="16" style="0" width="9"/>
    <col collapsed="false" customWidth="true" hidden="false" outlineLevel="0" max="19" min="19" style="0" width="8"/>
    <col collapsed="false" customWidth="true" hidden="false" outlineLevel="0" max="26" min="26" style="0" width="8.7"/>
    <col collapsed="false" customWidth="true" hidden="false" outlineLevel="0" max="28" min="28" style="3" width="10.28"/>
    <col collapsed="false" customWidth="true" hidden="false" outlineLevel="0" max="29" min="29" style="0" width="11"/>
    <col collapsed="false" customWidth="true" hidden="false" outlineLevel="0" max="39" min="39" style="0" width="8.14"/>
    <col collapsed="false" customWidth="true" hidden="false" outlineLevel="0" max="40" min="40" style="0" width="10"/>
    <col collapsed="false" customWidth="true" hidden="false" outlineLevel="0" max="41" min="41" style="0" width="14.14"/>
    <col collapsed="false" customWidth="true" hidden="false" outlineLevel="0" max="44" min="44" style="0" width="14.14"/>
    <col collapsed="false" customWidth="true" hidden="false" outlineLevel="0" max="45" min="45" style="0" width="11.43"/>
  </cols>
  <sheetData>
    <row r="2" customFormat="false" ht="13.8" hidden="false" customHeight="false" outlineLevel="0" collapsed="false">
      <c r="A2" s="4" t="s">
        <v>0</v>
      </c>
      <c r="B2" s="4"/>
      <c r="C2" s="4"/>
      <c r="D2" s="4"/>
      <c r="E2" s="4"/>
      <c r="F2" s="4"/>
      <c r="G2" s="4" t="s">
        <v>1</v>
      </c>
      <c r="H2" s="4"/>
      <c r="I2" s="4"/>
      <c r="J2" s="4"/>
      <c r="L2" s="5" t="s">
        <v>2</v>
      </c>
      <c r="M2" s="5"/>
      <c r="N2" s="5"/>
      <c r="O2" s="5"/>
      <c r="P2" s="5"/>
      <c r="Q2" s="5"/>
      <c r="R2" s="5"/>
      <c r="S2" s="5" t="s">
        <v>3</v>
      </c>
      <c r="T2" s="5"/>
      <c r="U2" s="5"/>
      <c r="V2" s="6" t="s">
        <v>4</v>
      </c>
      <c r="W2" s="6"/>
      <c r="X2" s="5" t="s">
        <v>3</v>
      </c>
      <c r="Y2" s="5"/>
      <c r="AF2" s="7"/>
      <c r="AH2" s="7"/>
      <c r="AK2" s="7" t="s">
        <v>5</v>
      </c>
    </row>
    <row r="3" customFormat="false" ht="48.75" hidden="false" customHeight="true" outlineLevel="0" collapsed="false">
      <c r="A3" s="8" t="s">
        <v>6</v>
      </c>
      <c r="B3" s="9" t="s">
        <v>7</v>
      </c>
      <c r="C3" s="8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2" t="s">
        <v>13</v>
      </c>
      <c r="I3" s="13" t="s">
        <v>14</v>
      </c>
      <c r="J3" s="14" t="s">
        <v>15</v>
      </c>
      <c r="K3" s="14" t="s">
        <v>16</v>
      </c>
      <c r="L3" s="15" t="s">
        <v>17</v>
      </c>
      <c r="M3" s="15" t="s">
        <v>18</v>
      </c>
      <c r="N3" s="8" t="s">
        <v>19</v>
      </c>
      <c r="O3" s="16" t="s">
        <v>20</v>
      </c>
      <c r="P3" s="17" t="s">
        <v>21</v>
      </c>
      <c r="Q3" s="18" t="s">
        <v>22</v>
      </c>
      <c r="R3" s="18" t="s">
        <v>23</v>
      </c>
      <c r="S3" s="10" t="s">
        <v>24</v>
      </c>
      <c r="T3" s="19" t="s">
        <v>25</v>
      </c>
      <c r="U3" s="11" t="s">
        <v>26</v>
      </c>
      <c r="V3" s="18" t="s">
        <v>27</v>
      </c>
      <c r="W3" s="20" t="s">
        <v>28</v>
      </c>
      <c r="X3" s="21" t="s">
        <v>29</v>
      </c>
      <c r="Y3" s="13" t="s">
        <v>30</v>
      </c>
      <c r="Z3" s="14" t="s">
        <v>31</v>
      </c>
      <c r="AA3" s="8" t="s">
        <v>32</v>
      </c>
      <c r="AB3" s="22" t="s">
        <v>33</v>
      </c>
      <c r="AC3" s="22" t="s">
        <v>34</v>
      </c>
      <c r="AD3" s="22" t="s">
        <v>35</v>
      </c>
      <c r="AE3" s="8" t="s">
        <v>36</v>
      </c>
      <c r="AF3" s="21" t="s">
        <v>37</v>
      </c>
      <c r="AG3" s="8" t="s">
        <v>38</v>
      </c>
      <c r="AH3" s="8" t="s">
        <v>39</v>
      </c>
      <c r="AK3" s="8" t="s">
        <v>40</v>
      </c>
      <c r="AL3" s="8" t="s">
        <v>41</v>
      </c>
      <c r="AM3" s="8" t="s">
        <v>42</v>
      </c>
      <c r="AN3" s="18" t="s">
        <v>43</v>
      </c>
      <c r="AO3" s="18" t="s">
        <v>44</v>
      </c>
      <c r="AP3" s="18" t="s">
        <v>45</v>
      </c>
      <c r="AQ3" s="18" t="s">
        <v>46</v>
      </c>
      <c r="AR3" s="18" t="s">
        <v>47</v>
      </c>
      <c r="AS3" s="21" t="s">
        <v>48</v>
      </c>
    </row>
    <row r="4" customFormat="false" ht="16.1" hidden="false" customHeight="true" outlineLevel="0" collapsed="false">
      <c r="A4" s="8"/>
      <c r="B4" s="9"/>
      <c r="C4" s="8" t="s">
        <v>49</v>
      </c>
      <c r="D4" s="10"/>
      <c r="E4" s="10"/>
      <c r="F4" s="10"/>
      <c r="G4" s="11" t="s">
        <v>50</v>
      </c>
      <c r="H4" s="12" t="s">
        <v>50</v>
      </c>
      <c r="I4" s="13" t="s">
        <v>51</v>
      </c>
      <c r="J4" s="14" t="s">
        <v>52</v>
      </c>
      <c r="K4" s="14" t="s">
        <v>52</v>
      </c>
      <c r="L4" s="15" t="s">
        <v>52</v>
      </c>
      <c r="M4" s="15"/>
      <c r="N4" s="8"/>
      <c r="O4" s="16" t="s">
        <v>50</v>
      </c>
      <c r="P4" s="17"/>
      <c r="Q4" s="18"/>
      <c r="R4" s="18"/>
      <c r="S4" s="10" t="s">
        <v>2</v>
      </c>
      <c r="T4" s="10" t="s">
        <v>2</v>
      </c>
      <c r="U4" s="11"/>
      <c r="V4" s="18"/>
      <c r="W4" s="20"/>
      <c r="X4" s="21"/>
      <c r="Y4" s="13"/>
      <c r="Z4" s="14"/>
      <c r="AA4" s="8"/>
      <c r="AB4" s="22"/>
      <c r="AC4" s="22"/>
      <c r="AD4" s="22"/>
      <c r="AE4" s="8"/>
      <c r="AF4" s="21"/>
      <c r="AG4" s="8"/>
      <c r="AH4" s="8"/>
      <c r="AK4" s="8"/>
      <c r="AL4" s="8"/>
      <c r="AM4" s="8"/>
      <c r="AN4" s="18"/>
      <c r="AO4" s="18"/>
      <c r="AP4" s="18"/>
      <c r="AQ4" s="18"/>
      <c r="AR4" s="18"/>
      <c r="AS4" s="21"/>
    </row>
    <row r="5" customFormat="false" ht="15" hidden="false" customHeight="false" outlineLevel="0" collapsed="false">
      <c r="A5" s="23" t="n">
        <v>1</v>
      </c>
      <c r="B5" s="24" t="s">
        <v>53</v>
      </c>
      <c r="C5" s="25" t="s">
        <v>54</v>
      </c>
      <c r="D5" s="26" t="n">
        <v>10</v>
      </c>
      <c r="E5" s="25"/>
      <c r="F5" s="27"/>
      <c r="G5" s="27"/>
      <c r="H5" s="28"/>
      <c r="I5" s="27"/>
      <c r="J5" s="25"/>
      <c r="K5" s="27" t="n">
        <v>20</v>
      </c>
      <c r="L5" s="26" t="n">
        <v>59.05</v>
      </c>
      <c r="M5" s="25"/>
      <c r="N5" s="27"/>
      <c r="O5" s="27"/>
      <c r="P5" s="27"/>
      <c r="Q5" s="25"/>
      <c r="R5" s="27" t="n">
        <v>2.5</v>
      </c>
      <c r="S5" s="26"/>
      <c r="T5" s="26"/>
      <c r="U5" s="29"/>
      <c r="V5" s="30"/>
      <c r="W5" s="31"/>
      <c r="X5" s="25"/>
      <c r="Y5" s="31" t="n">
        <v>7.65</v>
      </c>
      <c r="Z5" s="25"/>
      <c r="AA5" s="31" t="n">
        <v>0.6</v>
      </c>
      <c r="AB5" s="32"/>
      <c r="AC5" s="31"/>
      <c r="AD5" s="25"/>
      <c r="AE5" s="31" t="n">
        <v>0.2</v>
      </c>
      <c r="AF5" s="25"/>
      <c r="AG5" s="27"/>
      <c r="AH5" s="32" t="n">
        <f aca="false">SUM(D5:AG5)</f>
        <v>100</v>
      </c>
      <c r="AK5" s="25" t="n">
        <f aca="false">AVERAGE(59.11,59.54)</f>
        <v>59.325</v>
      </c>
      <c r="AL5" s="25" t="n">
        <f aca="false">AVERAGE(9.15,9.13)</f>
        <v>9.14</v>
      </c>
      <c r="AM5" s="25" t="n">
        <v>133.028</v>
      </c>
      <c r="AN5" s="33"/>
      <c r="AO5" s="34"/>
      <c r="AP5" s="34"/>
      <c r="AQ5" s="25"/>
      <c r="AR5" s="26"/>
      <c r="AS5" s="25"/>
    </row>
    <row r="6" customFormat="false" ht="15" hidden="false" customHeight="false" outlineLevel="0" collapsed="false">
      <c r="A6" s="23" t="n">
        <v>2</v>
      </c>
      <c r="B6" s="24" t="s">
        <v>53</v>
      </c>
      <c r="C6" s="35" t="s">
        <v>55</v>
      </c>
      <c r="D6" s="26" t="n">
        <v>10</v>
      </c>
      <c r="E6" s="25"/>
      <c r="F6" s="27"/>
      <c r="G6" s="27"/>
      <c r="H6" s="31"/>
      <c r="I6" s="27"/>
      <c r="J6" s="25"/>
      <c r="K6" s="27" t="n">
        <v>50</v>
      </c>
      <c r="L6" s="26" t="n">
        <v>27.05</v>
      </c>
      <c r="M6" s="25"/>
      <c r="N6" s="27"/>
      <c r="O6" s="27"/>
      <c r="P6" s="27"/>
      <c r="Q6" s="25"/>
      <c r="R6" s="27" t="n">
        <v>4.5</v>
      </c>
      <c r="S6" s="26"/>
      <c r="T6" s="26"/>
      <c r="U6" s="26"/>
      <c r="V6" s="25"/>
      <c r="W6" s="31"/>
      <c r="X6" s="25"/>
      <c r="Y6" s="31" t="n">
        <v>7.65</v>
      </c>
      <c r="Z6" s="25"/>
      <c r="AA6" s="31" t="n">
        <v>0.6</v>
      </c>
      <c r="AB6" s="32"/>
      <c r="AC6" s="31"/>
      <c r="AD6" s="25"/>
      <c r="AE6" s="31" t="n">
        <v>0.2</v>
      </c>
      <c r="AF6" s="25"/>
      <c r="AG6" s="27"/>
      <c r="AH6" s="32" t="n">
        <f aca="false">SUM(D6:AG6)</f>
        <v>100</v>
      </c>
      <c r="AK6" s="25" t="n">
        <f aca="false">AVERAGE(56.87,56.8,56.82)</f>
        <v>56.83</v>
      </c>
      <c r="AL6" s="25" t="n">
        <f aca="false">AVERAGE(9.01,9.02)</f>
        <v>9.015</v>
      </c>
      <c r="AM6" s="25" t="n">
        <v>137.434</v>
      </c>
      <c r="AN6" s="25"/>
      <c r="AO6" s="25"/>
      <c r="AP6" s="25"/>
      <c r="AQ6" s="25"/>
      <c r="AR6" s="26"/>
      <c r="AS6" s="25"/>
    </row>
    <row r="7" customFormat="false" ht="15" hidden="false" customHeight="false" outlineLevel="0" collapsed="false">
      <c r="A7" s="23" t="n">
        <v>3</v>
      </c>
      <c r="B7" s="36" t="s">
        <v>53</v>
      </c>
      <c r="C7" s="35" t="s">
        <v>56</v>
      </c>
      <c r="D7" s="37" t="n">
        <v>10</v>
      </c>
      <c r="E7" s="25"/>
      <c r="F7" s="27"/>
      <c r="G7" s="27"/>
      <c r="H7" s="38"/>
      <c r="I7" s="27"/>
      <c r="J7" s="25"/>
      <c r="K7" s="39" t="n">
        <v>15.05</v>
      </c>
      <c r="L7" s="37" t="n">
        <v>60</v>
      </c>
      <c r="M7" s="25"/>
      <c r="N7" s="27"/>
      <c r="O7" s="27"/>
      <c r="P7" s="27"/>
      <c r="Q7" s="25"/>
      <c r="R7" s="39" t="n">
        <v>6.5</v>
      </c>
      <c r="S7" s="26"/>
      <c r="T7" s="26"/>
      <c r="U7" s="26"/>
      <c r="V7" s="25"/>
      <c r="W7" s="31"/>
      <c r="X7" s="25"/>
      <c r="Y7" s="31" t="n">
        <v>7.65</v>
      </c>
      <c r="Z7" s="25"/>
      <c r="AA7" s="31" t="n">
        <v>0.6</v>
      </c>
      <c r="AB7" s="32"/>
      <c r="AC7" s="31"/>
      <c r="AD7" s="25"/>
      <c r="AE7" s="31" t="n">
        <v>0.2</v>
      </c>
      <c r="AF7" s="25"/>
      <c r="AG7" s="27"/>
      <c r="AH7" s="32" t="n">
        <f aca="false">SUM(D7:AG7)</f>
        <v>100</v>
      </c>
      <c r="AK7" s="25" t="n">
        <f aca="false">AVERAGE(64.42,64.36)</f>
        <v>64.39</v>
      </c>
      <c r="AL7" s="25" t="n">
        <f aca="false">AVERAGE(10.29,10.3)</f>
        <v>10.295</v>
      </c>
      <c r="AM7" s="25" t="n">
        <v>147.226</v>
      </c>
      <c r="AN7" s="25"/>
      <c r="AO7" s="25"/>
      <c r="AP7" s="25"/>
      <c r="AQ7" s="25"/>
      <c r="AR7" s="26"/>
      <c r="AS7" s="25"/>
    </row>
    <row r="8" customFormat="false" ht="15" hidden="false" customHeight="false" outlineLevel="0" collapsed="false">
      <c r="A8" s="40" t="n">
        <v>4</v>
      </c>
      <c r="B8" s="24" t="s">
        <v>53</v>
      </c>
      <c r="C8" s="25" t="s">
        <v>57</v>
      </c>
      <c r="D8" s="26" t="n">
        <v>10</v>
      </c>
      <c r="E8" s="25"/>
      <c r="F8" s="27"/>
      <c r="G8" s="27"/>
      <c r="H8" s="31"/>
      <c r="I8" s="27"/>
      <c r="J8" s="25"/>
      <c r="K8" s="27"/>
      <c r="L8" s="26" t="n">
        <v>75.05</v>
      </c>
      <c r="M8" s="25"/>
      <c r="N8" s="27"/>
      <c r="O8" s="27"/>
      <c r="P8" s="27"/>
      <c r="Q8" s="25"/>
      <c r="R8" s="27" t="n">
        <v>6.5</v>
      </c>
      <c r="S8" s="26"/>
      <c r="T8" s="26"/>
      <c r="U8" s="26"/>
      <c r="V8" s="25"/>
      <c r="W8" s="31"/>
      <c r="X8" s="25"/>
      <c r="Y8" s="31" t="n">
        <v>7.65</v>
      </c>
      <c r="Z8" s="25"/>
      <c r="AA8" s="31" t="n">
        <v>0.6</v>
      </c>
      <c r="AB8" s="32"/>
      <c r="AC8" s="31"/>
      <c r="AD8" s="25"/>
      <c r="AE8" s="31" t="n">
        <v>0.2</v>
      </c>
      <c r="AF8" s="25"/>
      <c r="AG8" s="27"/>
      <c r="AH8" s="32" t="n">
        <f aca="false">SUM(D8:AG8)</f>
        <v>100</v>
      </c>
      <c r="AK8" s="25" t="n">
        <f aca="false">AVERAGE(66.49,66.12)</f>
        <v>66.305</v>
      </c>
      <c r="AL8" s="25" t="n">
        <f aca="false">AVERAGE(10.5,10.49)</f>
        <v>10.495</v>
      </c>
      <c r="AM8" s="25" t="n">
        <v>146.51</v>
      </c>
      <c r="AN8" s="25"/>
      <c r="AO8" s="25"/>
      <c r="AP8" s="25"/>
      <c r="AQ8" s="25"/>
      <c r="AR8" s="26"/>
      <c r="AS8" s="25"/>
    </row>
    <row r="9" customFormat="false" ht="15" hidden="false" customHeight="false" outlineLevel="0" collapsed="false">
      <c r="A9" s="23" t="n">
        <v>5</v>
      </c>
      <c r="B9" s="41" t="s">
        <v>58</v>
      </c>
      <c r="C9" s="30" t="s">
        <v>59</v>
      </c>
      <c r="D9" s="29" t="n">
        <v>10</v>
      </c>
      <c r="E9" s="25"/>
      <c r="F9" s="27"/>
      <c r="G9" s="27"/>
      <c r="H9" s="28"/>
      <c r="I9" s="27"/>
      <c r="J9" s="25"/>
      <c r="K9" s="42" t="n">
        <v>47.98</v>
      </c>
      <c r="L9" s="29" t="n">
        <v>29</v>
      </c>
      <c r="M9" s="25"/>
      <c r="N9" s="27"/>
      <c r="O9" s="27"/>
      <c r="P9" s="27"/>
      <c r="Q9" s="25"/>
      <c r="R9" s="42" t="n">
        <v>5</v>
      </c>
      <c r="S9" s="26"/>
      <c r="T9" s="26"/>
      <c r="U9" s="26"/>
      <c r="V9" s="25"/>
      <c r="W9" s="31"/>
      <c r="X9" s="25"/>
      <c r="Y9" s="31" t="n">
        <v>7.26</v>
      </c>
      <c r="Z9" s="25"/>
      <c r="AA9" s="31" t="n">
        <v>0.57</v>
      </c>
      <c r="AB9" s="32"/>
      <c r="AC9" s="31"/>
      <c r="AD9" s="25"/>
      <c r="AE9" s="31" t="n">
        <v>0.19</v>
      </c>
      <c r="AF9" s="25"/>
      <c r="AG9" s="27"/>
      <c r="AH9" s="32" t="n">
        <f aca="false">SUM(D9:AG9)</f>
        <v>100</v>
      </c>
      <c r="AK9" s="25" t="n">
        <f aca="false">AVERAGE(56.69,56.75)</f>
        <v>56.72</v>
      </c>
      <c r="AL9" s="25" t="n">
        <f aca="false">AVERAGE(9.13,9.13)</f>
        <v>9.13</v>
      </c>
      <c r="AM9" s="25" t="n">
        <v>141.024</v>
      </c>
      <c r="AN9" s="25"/>
      <c r="AO9" s="25"/>
      <c r="AP9" s="25"/>
      <c r="AQ9" s="25"/>
      <c r="AR9" s="26"/>
      <c r="AS9" s="25"/>
    </row>
    <row r="10" customFormat="false" ht="15" hidden="false" customHeight="false" outlineLevel="0" collapsed="false">
      <c r="A10" s="43" t="n">
        <v>6</v>
      </c>
      <c r="B10" s="24" t="s">
        <v>58</v>
      </c>
      <c r="C10" s="25" t="s">
        <v>60</v>
      </c>
      <c r="D10" s="26" t="n">
        <v>10</v>
      </c>
      <c r="E10" s="25"/>
      <c r="F10" s="27"/>
      <c r="G10" s="27"/>
      <c r="H10" s="31"/>
      <c r="I10" s="27"/>
      <c r="J10" s="25"/>
      <c r="K10" s="27"/>
      <c r="L10" s="26" t="n">
        <v>75.26</v>
      </c>
      <c r="M10" s="25"/>
      <c r="N10" s="27"/>
      <c r="O10" s="27"/>
      <c r="P10" s="27"/>
      <c r="Q10" s="25"/>
      <c r="R10" s="27" t="n">
        <v>7</v>
      </c>
      <c r="S10" s="26"/>
      <c r="T10" s="26"/>
      <c r="U10" s="26"/>
      <c r="V10" s="25"/>
      <c r="W10" s="31"/>
      <c r="X10" s="25"/>
      <c r="Y10" s="31" t="n">
        <v>7.01</v>
      </c>
      <c r="Z10" s="25"/>
      <c r="AA10" s="31" t="n">
        <v>0.55</v>
      </c>
      <c r="AB10" s="32"/>
      <c r="AC10" s="31"/>
      <c r="AD10" s="25"/>
      <c r="AE10" s="31" t="n">
        <v>0.18</v>
      </c>
      <c r="AF10" s="25"/>
      <c r="AG10" s="27"/>
      <c r="AH10" s="32" t="n">
        <f aca="false">SUM(D10:AG10)</f>
        <v>100</v>
      </c>
      <c r="AK10" s="25" t="n">
        <f aca="false">AVERAGE(68.06,68.02)</f>
        <v>68.04</v>
      </c>
      <c r="AL10" s="25" t="n">
        <f aca="false">AVERAGE(10.57,10.56)</f>
        <v>10.565</v>
      </c>
      <c r="AM10" s="25" t="n">
        <v>143.451</v>
      </c>
      <c r="AN10" s="25"/>
      <c r="AO10" s="25"/>
      <c r="AP10" s="25"/>
      <c r="AQ10" s="25"/>
      <c r="AR10" s="26"/>
      <c r="AS10" s="25"/>
    </row>
    <row r="11" customFormat="false" ht="15" hidden="false" customHeight="false" outlineLevel="0" collapsed="false">
      <c r="A11" s="23" t="n">
        <v>7</v>
      </c>
      <c r="B11" s="24" t="s">
        <v>58</v>
      </c>
      <c r="C11" s="25" t="s">
        <v>61</v>
      </c>
      <c r="D11" s="26" t="n">
        <v>10</v>
      </c>
      <c r="E11" s="25"/>
      <c r="F11" s="27"/>
      <c r="G11" s="27"/>
      <c r="H11" s="31"/>
      <c r="I11" s="27"/>
      <c r="J11" s="25"/>
      <c r="K11" s="27" t="n">
        <v>47.48</v>
      </c>
      <c r="L11" s="26" t="n">
        <v>29</v>
      </c>
      <c r="M11" s="25"/>
      <c r="N11" s="27"/>
      <c r="O11" s="27"/>
      <c r="P11" s="27"/>
      <c r="Q11" s="25"/>
      <c r="R11" s="27" t="n">
        <v>5.5</v>
      </c>
      <c r="S11" s="26"/>
      <c r="T11" s="26"/>
      <c r="U11" s="26"/>
      <c r="V11" s="25"/>
      <c r="W11" s="31"/>
      <c r="X11" s="25"/>
      <c r="Y11" s="31" t="n">
        <v>7.26</v>
      </c>
      <c r="Z11" s="25"/>
      <c r="AA11" s="31" t="n">
        <v>0.57</v>
      </c>
      <c r="AB11" s="32"/>
      <c r="AC11" s="31"/>
      <c r="AD11" s="25"/>
      <c r="AE11" s="31" t="n">
        <v>0.19</v>
      </c>
      <c r="AF11" s="25"/>
      <c r="AG11" s="27"/>
      <c r="AH11" s="32" t="n">
        <f aca="false">SUM(D11:AG11)</f>
        <v>100</v>
      </c>
      <c r="AK11" s="25" t="n">
        <f aca="false">AVERAGE(58.08,58.75)</f>
        <v>58.415</v>
      </c>
      <c r="AL11" s="25" t="n">
        <f aca="false">AVERAGE(9.23,9.23)</f>
        <v>9.23</v>
      </c>
      <c r="AM11" s="25" t="n">
        <v>138.244</v>
      </c>
      <c r="AN11" s="25"/>
      <c r="AO11" s="25"/>
      <c r="AP11" s="25"/>
      <c r="AQ11" s="25"/>
      <c r="AR11" s="26"/>
      <c r="AS11" s="25"/>
    </row>
    <row r="12" customFormat="false" ht="15" hidden="false" customHeight="false" outlineLevel="0" collapsed="false">
      <c r="A12" s="23" t="n">
        <v>8</v>
      </c>
      <c r="B12" s="24" t="s">
        <v>58</v>
      </c>
      <c r="C12" s="25" t="s">
        <v>62</v>
      </c>
      <c r="D12" s="26" t="n">
        <v>10</v>
      </c>
      <c r="E12" s="25"/>
      <c r="F12" s="27"/>
      <c r="G12" s="27"/>
      <c r="H12" s="31"/>
      <c r="I12" s="27"/>
      <c r="J12" s="25"/>
      <c r="K12" s="27"/>
      <c r="L12" s="26" t="n">
        <v>74.48</v>
      </c>
      <c r="M12" s="25"/>
      <c r="N12" s="27"/>
      <c r="O12" s="27"/>
      <c r="P12" s="27"/>
      <c r="Q12" s="25"/>
      <c r="R12" s="27" t="n">
        <v>7.5</v>
      </c>
      <c r="S12" s="26"/>
      <c r="T12" s="26"/>
      <c r="U12" s="26"/>
      <c r="V12" s="25"/>
      <c r="W12" s="31"/>
      <c r="X12" s="25"/>
      <c r="Y12" s="31" t="n">
        <v>7.26</v>
      </c>
      <c r="Z12" s="25"/>
      <c r="AA12" s="31" t="n">
        <v>0.57</v>
      </c>
      <c r="AB12" s="32"/>
      <c r="AC12" s="31"/>
      <c r="AD12" s="25"/>
      <c r="AE12" s="31" t="n">
        <v>0.19</v>
      </c>
      <c r="AF12" s="25"/>
      <c r="AG12" s="27"/>
      <c r="AH12" s="32" t="n">
        <f aca="false">SUM(D12:AG12)</f>
        <v>100</v>
      </c>
      <c r="AK12" s="25" t="n">
        <f aca="false">AVERAGE(70.17,70.03)</f>
        <v>70.1</v>
      </c>
      <c r="AL12" s="25" t="n">
        <f aca="false">AVERAGE(10.75,10.74)</f>
        <v>10.745</v>
      </c>
      <c r="AM12" s="25" t="n">
        <v>142.118</v>
      </c>
      <c r="AN12" s="25"/>
      <c r="AO12" s="25"/>
      <c r="AP12" s="25"/>
      <c r="AQ12" s="25"/>
      <c r="AR12" s="26"/>
      <c r="AS12" s="25"/>
    </row>
    <row r="13" customFormat="false" ht="15" hidden="false" customHeight="false" outlineLevel="0" collapsed="false">
      <c r="A13" s="23" t="n">
        <v>9</v>
      </c>
      <c r="B13" s="24" t="s">
        <v>63</v>
      </c>
      <c r="C13" s="25" t="s">
        <v>64</v>
      </c>
      <c r="D13" s="26" t="n">
        <v>10</v>
      </c>
      <c r="E13" s="25"/>
      <c r="F13" s="27"/>
      <c r="G13" s="27"/>
      <c r="H13" s="31"/>
      <c r="I13" s="27"/>
      <c r="J13" s="25"/>
      <c r="K13" s="27" t="n">
        <v>46.98</v>
      </c>
      <c r="L13" s="26" t="n">
        <v>29</v>
      </c>
      <c r="M13" s="25"/>
      <c r="N13" s="27"/>
      <c r="O13" s="27"/>
      <c r="P13" s="27"/>
      <c r="Q13" s="25"/>
      <c r="R13" s="26"/>
      <c r="S13" s="25" t="n">
        <v>6</v>
      </c>
      <c r="T13" s="26"/>
      <c r="U13" s="26"/>
      <c r="V13" s="25"/>
      <c r="W13" s="31"/>
      <c r="X13" s="25"/>
      <c r="Y13" s="31" t="n">
        <v>7.26</v>
      </c>
      <c r="Z13" s="25"/>
      <c r="AA13" s="31" t="n">
        <v>0.57</v>
      </c>
      <c r="AB13" s="32"/>
      <c r="AC13" s="31"/>
      <c r="AD13" s="25"/>
      <c r="AE13" s="31" t="n">
        <v>0.19</v>
      </c>
      <c r="AF13" s="25"/>
      <c r="AG13" s="27"/>
      <c r="AH13" s="32" t="n">
        <f aca="false">SUM(D13:AG13)</f>
        <v>100</v>
      </c>
      <c r="AK13" s="25" t="n">
        <f aca="false">AVERAGE(68.57,68.51)</f>
        <v>68.54</v>
      </c>
      <c r="AL13" s="25" t="n">
        <f aca="false">AVERAGE(11.31,11.31)</f>
        <v>11.31</v>
      </c>
      <c r="AM13" s="25" t="n">
        <v>158.598</v>
      </c>
      <c r="AN13" s="25"/>
      <c r="AO13" s="25"/>
      <c r="AP13" s="25"/>
      <c r="AQ13" s="25"/>
      <c r="AR13" s="26"/>
      <c r="AS13" s="25"/>
    </row>
    <row r="14" customFormat="false" ht="15" hidden="false" customHeight="false" outlineLevel="0" collapsed="false">
      <c r="A14" s="43" t="n">
        <v>10</v>
      </c>
      <c r="B14" s="36" t="s">
        <v>63</v>
      </c>
      <c r="C14" s="35" t="s">
        <v>65</v>
      </c>
      <c r="D14" s="44" t="n">
        <v>9.98</v>
      </c>
      <c r="E14" s="25"/>
      <c r="F14" s="27"/>
      <c r="G14" s="27"/>
      <c r="H14" s="45"/>
      <c r="I14" s="27"/>
      <c r="J14" s="25"/>
      <c r="K14" s="46"/>
      <c r="L14" s="44" t="n">
        <v>74</v>
      </c>
      <c r="M14" s="25"/>
      <c r="N14" s="27"/>
      <c r="O14" s="27"/>
      <c r="P14" s="27"/>
      <c r="Q14" s="25"/>
      <c r="R14" s="26"/>
      <c r="S14" s="35" t="n">
        <v>8</v>
      </c>
      <c r="T14" s="26"/>
      <c r="U14" s="26"/>
      <c r="V14" s="25"/>
      <c r="W14" s="31"/>
      <c r="X14" s="25"/>
      <c r="Y14" s="31" t="n">
        <v>7.26</v>
      </c>
      <c r="Z14" s="25"/>
      <c r="AA14" s="31" t="n">
        <v>0.57</v>
      </c>
      <c r="AB14" s="32"/>
      <c r="AC14" s="31"/>
      <c r="AD14" s="25"/>
      <c r="AE14" s="31" t="n">
        <v>0.19</v>
      </c>
      <c r="AF14" s="25"/>
      <c r="AG14" s="27"/>
      <c r="AH14" s="32" t="n">
        <f aca="false">SUM(D14:AG14)</f>
        <v>100</v>
      </c>
      <c r="AK14" s="25" t="n">
        <f aca="false">AVERAGE(87.62,87.35)</f>
        <v>87.485</v>
      </c>
      <c r="AL14" s="25" t="n">
        <f aca="false">AVERAGE(14.15,14.15)</f>
        <v>14.15</v>
      </c>
      <c r="AM14" s="25" t="n">
        <v>167.315</v>
      </c>
      <c r="AN14" s="25"/>
      <c r="AO14" s="25"/>
      <c r="AP14" s="25"/>
      <c r="AQ14" s="25"/>
      <c r="AR14" s="26"/>
      <c r="AS14" s="25"/>
    </row>
    <row r="15" customFormat="false" ht="15" hidden="false" customHeight="false" outlineLevel="0" collapsed="false">
      <c r="A15" s="23" t="n">
        <v>11</v>
      </c>
      <c r="B15" s="24" t="s">
        <v>66</v>
      </c>
      <c r="C15" s="25" t="s">
        <v>67</v>
      </c>
      <c r="D15" s="26" t="n">
        <v>10</v>
      </c>
      <c r="E15" s="25"/>
      <c r="F15" s="27"/>
      <c r="G15" s="27"/>
      <c r="H15" s="31"/>
      <c r="I15" s="27"/>
      <c r="J15" s="25"/>
      <c r="K15" s="27" t="n">
        <v>50</v>
      </c>
      <c r="L15" s="26" t="n">
        <v>27.05</v>
      </c>
      <c r="M15" s="25"/>
      <c r="N15" s="27"/>
      <c r="O15" s="27"/>
      <c r="P15" s="27"/>
      <c r="Q15" s="25"/>
      <c r="R15" s="26" t="n">
        <v>4.5</v>
      </c>
      <c r="S15" s="26"/>
      <c r="T15" s="26"/>
      <c r="U15" s="26"/>
      <c r="V15" s="25"/>
      <c r="W15" s="31"/>
      <c r="X15" s="25"/>
      <c r="Y15" s="31" t="n">
        <v>7.65</v>
      </c>
      <c r="Z15" s="25"/>
      <c r="AA15" s="31" t="n">
        <v>0.6</v>
      </c>
      <c r="AB15" s="32"/>
      <c r="AC15" s="31"/>
      <c r="AD15" s="25"/>
      <c r="AE15" s="31" t="n">
        <v>0.2</v>
      </c>
      <c r="AF15" s="25"/>
      <c r="AG15" s="27"/>
      <c r="AH15" s="32" t="n">
        <f aca="false">SUM(D15:AG15)</f>
        <v>100</v>
      </c>
      <c r="AK15" s="25" t="n">
        <f aca="false">AVERAGE(59.91,59.9)</f>
        <v>59.905</v>
      </c>
      <c r="AL15" s="25" t="n">
        <f aca="false">AVERAGE(10.69,10.71)</f>
        <v>10.7</v>
      </c>
      <c r="AM15" s="25" t="n">
        <v>170.973</v>
      </c>
      <c r="AN15" s="25"/>
      <c r="AO15" s="25"/>
      <c r="AP15" s="25"/>
      <c r="AQ15" s="25"/>
      <c r="AR15" s="26"/>
      <c r="AS15" s="25"/>
    </row>
    <row r="16" customFormat="false" ht="15" hidden="false" customHeight="false" outlineLevel="0" collapsed="false">
      <c r="A16" s="23" t="n">
        <v>12</v>
      </c>
      <c r="B16" s="24" t="s">
        <v>66</v>
      </c>
      <c r="C16" s="25" t="s">
        <v>68</v>
      </c>
      <c r="D16" s="26" t="n">
        <v>10</v>
      </c>
      <c r="E16" s="25"/>
      <c r="F16" s="27"/>
      <c r="G16" s="27"/>
      <c r="H16" s="31"/>
      <c r="I16" s="27"/>
      <c r="J16" s="25"/>
      <c r="K16" s="27"/>
      <c r="L16" s="26" t="n">
        <v>75.98</v>
      </c>
      <c r="M16" s="25"/>
      <c r="N16" s="27"/>
      <c r="O16" s="27"/>
      <c r="P16" s="27"/>
      <c r="Q16" s="25"/>
      <c r="R16" s="26" t="n">
        <v>6</v>
      </c>
      <c r="S16" s="26"/>
      <c r="T16" s="26"/>
      <c r="U16" s="26"/>
      <c r="V16" s="25"/>
      <c r="W16" s="31"/>
      <c r="X16" s="25"/>
      <c r="Y16" s="31" t="n">
        <v>7.26</v>
      </c>
      <c r="Z16" s="25"/>
      <c r="AA16" s="31" t="n">
        <v>0.57</v>
      </c>
      <c r="AB16" s="32"/>
      <c r="AC16" s="31"/>
      <c r="AD16" s="25"/>
      <c r="AE16" s="31" t="n">
        <v>0.19</v>
      </c>
      <c r="AF16" s="25"/>
      <c r="AG16" s="27"/>
      <c r="AH16" s="32" t="n">
        <f aca="false">SUM(D16:AG16)</f>
        <v>100</v>
      </c>
      <c r="AK16" s="25" t="n">
        <f aca="false">AVERAGE(71.63,71.64)</f>
        <v>71.635</v>
      </c>
      <c r="AL16" s="25" t="n">
        <f aca="false">AVERAGE(11.38,11.4)</f>
        <v>11.39</v>
      </c>
      <c r="AM16" s="25" t="n">
        <v>152.066</v>
      </c>
      <c r="AN16" s="25"/>
      <c r="AO16" s="25"/>
      <c r="AP16" s="25"/>
      <c r="AQ16" s="25"/>
      <c r="AR16" s="26"/>
      <c r="AS16" s="25"/>
    </row>
    <row r="17" customFormat="false" ht="15" hidden="false" customHeight="false" outlineLevel="0" collapsed="false">
      <c r="A17" s="23" t="n">
        <v>13</v>
      </c>
      <c r="B17" s="24" t="s">
        <v>66</v>
      </c>
      <c r="C17" s="25" t="s">
        <v>69</v>
      </c>
      <c r="D17" s="26" t="n">
        <v>10</v>
      </c>
      <c r="E17" s="25"/>
      <c r="F17" s="27"/>
      <c r="G17" s="27"/>
      <c r="H17" s="31"/>
      <c r="I17" s="27"/>
      <c r="J17" s="25"/>
      <c r="K17" s="27" t="n">
        <v>48</v>
      </c>
      <c r="L17" s="26" t="n">
        <v>28.49</v>
      </c>
      <c r="M17" s="25"/>
      <c r="N17" s="27"/>
      <c r="O17" s="27"/>
      <c r="P17" s="27"/>
      <c r="Q17" s="25"/>
      <c r="R17" s="26" t="n">
        <v>5.5</v>
      </c>
      <c r="S17" s="26"/>
      <c r="T17" s="26"/>
      <c r="U17" s="26"/>
      <c r="V17" s="25"/>
      <c r="W17" s="31"/>
      <c r="X17" s="25"/>
      <c r="Y17" s="31" t="n">
        <v>7.26</v>
      </c>
      <c r="Z17" s="25"/>
      <c r="AA17" s="31" t="n">
        <v>0.57</v>
      </c>
      <c r="AB17" s="32"/>
      <c r="AC17" s="31"/>
      <c r="AD17" s="25"/>
      <c r="AE17" s="31" t="n">
        <v>0.18</v>
      </c>
      <c r="AF17" s="25"/>
      <c r="AG17" s="27"/>
      <c r="AH17" s="32" t="n">
        <f aca="false">SUM(D17:AG17)</f>
        <v>100</v>
      </c>
      <c r="AK17" s="25" t="n">
        <f aca="false">AVERAGE(61.09,61.09)</f>
        <v>61.09</v>
      </c>
      <c r="AL17" s="25" t="n">
        <f aca="false">AVERAGE(9.82,9.81)</f>
        <v>9.815</v>
      </c>
      <c r="AM17" s="25" t="n">
        <v>145.181</v>
      </c>
      <c r="AN17" s="25"/>
      <c r="AO17" s="25"/>
      <c r="AP17" s="25"/>
      <c r="AQ17" s="25"/>
      <c r="AR17" s="26"/>
      <c r="AS17" s="25"/>
    </row>
    <row r="18" customFormat="false" ht="15" hidden="false" customHeight="false" outlineLevel="0" collapsed="false">
      <c r="A18" s="23" t="n">
        <v>14</v>
      </c>
      <c r="B18" s="24" t="s">
        <v>66</v>
      </c>
      <c r="C18" s="25" t="s">
        <v>70</v>
      </c>
      <c r="D18" s="26" t="n">
        <v>10</v>
      </c>
      <c r="E18" s="25"/>
      <c r="F18" s="27"/>
      <c r="G18" s="27"/>
      <c r="H18" s="31"/>
      <c r="I18" s="27"/>
      <c r="J18" s="25"/>
      <c r="K18" s="27"/>
      <c r="L18" s="26" t="n">
        <v>75.2</v>
      </c>
      <c r="M18" s="25"/>
      <c r="N18" s="27"/>
      <c r="O18" s="27"/>
      <c r="P18" s="27"/>
      <c r="Q18" s="25"/>
      <c r="R18" s="26" t="n">
        <v>7</v>
      </c>
      <c r="S18" s="26"/>
      <c r="T18" s="26"/>
      <c r="U18" s="26"/>
      <c r="V18" s="25"/>
      <c r="W18" s="31"/>
      <c r="X18" s="25"/>
      <c r="Y18" s="31" t="n">
        <v>7.11</v>
      </c>
      <c r="Z18" s="25"/>
      <c r="AA18" s="31" t="n">
        <v>0.5</v>
      </c>
      <c r="AB18" s="32"/>
      <c r="AC18" s="31"/>
      <c r="AD18" s="25"/>
      <c r="AE18" s="31" t="n">
        <v>0.19</v>
      </c>
      <c r="AF18" s="25"/>
      <c r="AG18" s="27"/>
      <c r="AH18" s="32" t="n">
        <f aca="false">SUM(D18:AG18)</f>
        <v>100</v>
      </c>
      <c r="AK18" s="25" t="n">
        <f aca="false">AVERAGE(75.28,75.42)</f>
        <v>75.35</v>
      </c>
      <c r="AL18" s="25" t="n">
        <f aca="false">AVERAGE(11.65,11.64)</f>
        <v>11.645</v>
      </c>
      <c r="AM18" s="25" t="n">
        <v>148.308</v>
      </c>
      <c r="AN18" s="25"/>
      <c r="AO18" s="25"/>
      <c r="AP18" s="25"/>
      <c r="AQ18" s="25"/>
      <c r="AR18" s="26"/>
      <c r="AS18" s="25"/>
    </row>
    <row r="19" customFormat="false" ht="15" hidden="false" customHeight="false" outlineLevel="0" collapsed="false">
      <c r="A19" s="23" t="n">
        <v>15</v>
      </c>
      <c r="B19" s="24" t="s">
        <v>71</v>
      </c>
      <c r="C19" s="25" t="s">
        <v>72</v>
      </c>
      <c r="D19" s="26" t="n">
        <v>9.6</v>
      </c>
      <c r="E19" s="25"/>
      <c r="F19" s="27"/>
      <c r="G19" s="27"/>
      <c r="H19" s="31"/>
      <c r="I19" s="27"/>
      <c r="J19" s="25"/>
      <c r="K19" s="27" t="n">
        <v>48.34</v>
      </c>
      <c r="L19" s="26" t="n">
        <v>30</v>
      </c>
      <c r="M19" s="25"/>
      <c r="N19" s="27"/>
      <c r="O19" s="27"/>
      <c r="P19" s="27"/>
      <c r="Q19" s="25"/>
      <c r="R19" s="26"/>
      <c r="S19" s="26"/>
      <c r="T19" s="25" t="n">
        <v>4</v>
      </c>
      <c r="U19" s="26"/>
      <c r="V19" s="25"/>
      <c r="W19" s="31"/>
      <c r="X19" s="25"/>
      <c r="Y19" s="31" t="n">
        <v>7.3</v>
      </c>
      <c r="Z19" s="25"/>
      <c r="AA19" s="31" t="n">
        <v>0.57</v>
      </c>
      <c r="AB19" s="32"/>
      <c r="AC19" s="31"/>
      <c r="AD19" s="25"/>
      <c r="AE19" s="31" t="n">
        <v>0.19</v>
      </c>
      <c r="AF19" s="25"/>
      <c r="AG19" s="27"/>
      <c r="AH19" s="32" t="n">
        <f aca="false">SUM(D19:AG19)</f>
        <v>100</v>
      </c>
      <c r="AK19" s="25" t="n">
        <f aca="false">AVERAGE(59.34,59.24)</f>
        <v>59.29</v>
      </c>
      <c r="AL19" s="25" t="n">
        <f aca="false">AVERAGE(9.58,9.58)</f>
        <v>9.58</v>
      </c>
      <c r="AM19" s="25" t="n">
        <v>144.724</v>
      </c>
      <c r="AN19" s="25"/>
      <c r="AO19" s="25"/>
      <c r="AP19" s="25"/>
      <c r="AQ19" s="25"/>
      <c r="AR19" s="26"/>
      <c r="AS19" s="25"/>
    </row>
    <row r="20" customFormat="false" ht="15" hidden="false" customHeight="false" outlineLevel="0" collapsed="false">
      <c r="A20" s="23" t="n">
        <v>16</v>
      </c>
      <c r="B20" s="24" t="s">
        <v>71</v>
      </c>
      <c r="C20" s="25" t="s">
        <v>73</v>
      </c>
      <c r="D20" s="26" t="n">
        <v>10</v>
      </c>
      <c r="E20" s="25"/>
      <c r="F20" s="27"/>
      <c r="G20" s="27"/>
      <c r="H20" s="31"/>
      <c r="I20" s="27"/>
      <c r="J20" s="25"/>
      <c r="K20" s="27" t="n">
        <v>50</v>
      </c>
      <c r="L20" s="26" t="n">
        <v>26.55</v>
      </c>
      <c r="M20" s="25"/>
      <c r="N20" s="27"/>
      <c r="O20" s="27"/>
      <c r="P20" s="27"/>
      <c r="Q20" s="25"/>
      <c r="R20" s="26"/>
      <c r="S20" s="26"/>
      <c r="T20" s="25" t="n">
        <v>5</v>
      </c>
      <c r="U20" s="26"/>
      <c r="V20" s="25"/>
      <c r="W20" s="31"/>
      <c r="X20" s="25"/>
      <c r="Y20" s="31" t="n">
        <v>7.65</v>
      </c>
      <c r="Z20" s="25"/>
      <c r="AA20" s="31" t="n">
        <v>0.6</v>
      </c>
      <c r="AB20" s="32"/>
      <c r="AC20" s="31"/>
      <c r="AD20" s="25"/>
      <c r="AE20" s="31" t="n">
        <v>0.2</v>
      </c>
      <c r="AF20" s="25"/>
      <c r="AG20" s="27"/>
      <c r="AH20" s="32" t="n">
        <f aca="false">SUM(D20:AG20)</f>
        <v>100</v>
      </c>
      <c r="AK20" s="25" t="n">
        <f aca="false">AVERAGE(59.24,59.27)</f>
        <v>59.255</v>
      </c>
      <c r="AL20" s="25" t="n">
        <f aca="false">AVERAGE(10.14,10.1)</f>
        <v>10.12</v>
      </c>
      <c r="AM20" s="25" t="n">
        <v>158.809</v>
      </c>
      <c r="AN20" s="25"/>
      <c r="AO20" s="25"/>
      <c r="AP20" s="25"/>
      <c r="AQ20" s="25"/>
      <c r="AR20" s="26"/>
      <c r="AS20" s="25"/>
    </row>
    <row r="21" customFormat="false" ht="15" hidden="false" customHeight="false" outlineLevel="0" collapsed="false">
      <c r="A21" s="23" t="n">
        <v>17</v>
      </c>
      <c r="B21" s="24" t="s">
        <v>71</v>
      </c>
      <c r="C21" s="25" t="s">
        <v>74</v>
      </c>
      <c r="D21" s="26" t="n">
        <v>10</v>
      </c>
      <c r="E21" s="25"/>
      <c r="F21" s="27"/>
      <c r="G21" s="27"/>
      <c r="H21" s="31"/>
      <c r="I21" s="27"/>
      <c r="J21" s="25"/>
      <c r="K21" s="27"/>
      <c r="L21" s="26" t="n">
        <v>75.05</v>
      </c>
      <c r="M21" s="25"/>
      <c r="N21" s="27"/>
      <c r="O21" s="27"/>
      <c r="P21" s="27"/>
      <c r="Q21" s="25"/>
      <c r="R21" s="26"/>
      <c r="S21" s="26"/>
      <c r="T21" s="25" t="n">
        <v>6.5</v>
      </c>
      <c r="U21" s="26"/>
      <c r="V21" s="25"/>
      <c r="W21" s="31"/>
      <c r="X21" s="25"/>
      <c r="Y21" s="31" t="n">
        <v>7.65</v>
      </c>
      <c r="Z21" s="25"/>
      <c r="AA21" s="31" t="n">
        <v>0.6</v>
      </c>
      <c r="AB21" s="32"/>
      <c r="AC21" s="31"/>
      <c r="AD21" s="25"/>
      <c r="AE21" s="31" t="n">
        <v>0.2</v>
      </c>
      <c r="AF21" s="25"/>
      <c r="AG21" s="27"/>
      <c r="AH21" s="32" t="n">
        <f aca="false">SUM(D21:AG21)</f>
        <v>100</v>
      </c>
      <c r="AK21" s="25" t="n">
        <f aca="false">AVERAGE(72.59,72.41)</f>
        <v>72.5</v>
      </c>
      <c r="AL21" s="25" t="n">
        <f aca="false">AVERAGE(11.52,11.5)</f>
        <v>11.51</v>
      </c>
      <c r="AM21" s="25" t="n">
        <v>152.42</v>
      </c>
      <c r="AN21" s="25"/>
      <c r="AO21" s="25"/>
      <c r="AP21" s="25"/>
      <c r="AQ21" s="25"/>
      <c r="AR21" s="26"/>
      <c r="AS21" s="25"/>
    </row>
    <row r="22" customFormat="false" ht="15" hidden="false" customHeight="false" outlineLevel="0" collapsed="false">
      <c r="A22" s="23" t="n">
        <v>18</v>
      </c>
      <c r="B22" s="24" t="s">
        <v>71</v>
      </c>
      <c r="C22" s="25" t="s">
        <v>75</v>
      </c>
      <c r="D22" s="26" t="n">
        <v>10</v>
      </c>
      <c r="E22" s="25"/>
      <c r="F22" s="27"/>
      <c r="G22" s="27"/>
      <c r="H22" s="31"/>
      <c r="I22" s="27"/>
      <c r="J22" s="25"/>
      <c r="K22" s="27"/>
      <c r="L22" s="26" t="n">
        <v>74.55</v>
      </c>
      <c r="M22" s="25"/>
      <c r="N22" s="27"/>
      <c r="O22" s="27"/>
      <c r="P22" s="27"/>
      <c r="Q22" s="25"/>
      <c r="R22" s="26"/>
      <c r="S22" s="26"/>
      <c r="T22" s="25" t="n">
        <v>7</v>
      </c>
      <c r="U22" s="26"/>
      <c r="V22" s="25"/>
      <c r="W22" s="31"/>
      <c r="X22" s="25"/>
      <c r="Y22" s="31" t="n">
        <v>7.65</v>
      </c>
      <c r="Z22" s="25"/>
      <c r="AA22" s="31" t="n">
        <v>0.6</v>
      </c>
      <c r="AB22" s="32"/>
      <c r="AC22" s="31"/>
      <c r="AD22" s="25"/>
      <c r="AE22" s="31" t="n">
        <v>0.2</v>
      </c>
      <c r="AF22" s="25"/>
      <c r="AG22" s="27"/>
      <c r="AH22" s="32" t="n">
        <f aca="false">SUM(D22:AG22)</f>
        <v>100</v>
      </c>
      <c r="AK22" s="25" t="n">
        <f aca="false">AVERAGE(73.25,73.02)</f>
        <v>73.135</v>
      </c>
      <c r="AL22" s="25" t="n">
        <f aca="false">AVERAGE(11.99,11.96)</f>
        <v>11.975</v>
      </c>
      <c r="AM22" s="25" t="n">
        <v>160.351</v>
      </c>
      <c r="AN22" s="25"/>
      <c r="AO22" s="25"/>
      <c r="AP22" s="25"/>
      <c r="AQ22" s="25"/>
      <c r="AR22" s="26"/>
      <c r="AS22" s="25"/>
    </row>
    <row r="23" customFormat="false" ht="15" hidden="false" customHeight="false" outlineLevel="0" collapsed="false">
      <c r="A23" s="43" t="n">
        <v>19</v>
      </c>
      <c r="B23" s="36" t="s">
        <v>71</v>
      </c>
      <c r="C23" s="35" t="s">
        <v>76</v>
      </c>
      <c r="D23" s="44" t="n">
        <v>10</v>
      </c>
      <c r="E23" s="25"/>
      <c r="F23" s="27"/>
      <c r="G23" s="27"/>
      <c r="H23" s="45"/>
      <c r="I23" s="27"/>
      <c r="J23" s="25"/>
      <c r="K23" s="46" t="n">
        <v>50</v>
      </c>
      <c r="L23" s="44" t="n">
        <v>27.05</v>
      </c>
      <c r="M23" s="25"/>
      <c r="N23" s="27"/>
      <c r="O23" s="27"/>
      <c r="P23" s="27"/>
      <c r="Q23" s="25"/>
      <c r="R23" s="26" t="n">
        <v>6.5</v>
      </c>
      <c r="S23" s="26"/>
      <c r="T23" s="26"/>
      <c r="U23" s="26"/>
      <c r="V23" s="25"/>
      <c r="W23" s="31"/>
      <c r="X23" s="25"/>
      <c r="Y23" s="31" t="n">
        <v>7.65</v>
      </c>
      <c r="Z23" s="25"/>
      <c r="AA23" s="31" t="n">
        <v>0.6</v>
      </c>
      <c r="AB23" s="32"/>
      <c r="AC23" s="31"/>
      <c r="AD23" s="25"/>
      <c r="AE23" s="31" t="n">
        <v>0.2</v>
      </c>
      <c r="AF23" s="25"/>
      <c r="AG23" s="27"/>
      <c r="AH23" s="32" t="n">
        <f aca="false">SUM(D23:AG23)</f>
        <v>102</v>
      </c>
      <c r="AK23" s="25" t="n">
        <f aca="false">AVERAGE(65.91,65.85)</f>
        <v>65.88</v>
      </c>
      <c r="AL23" s="25" t="n">
        <f aca="false">AVERAGE(10.1,10.09)</f>
        <v>10.095</v>
      </c>
      <c r="AM23" s="25" t="n">
        <v>138.332</v>
      </c>
      <c r="AN23" s="25"/>
      <c r="AO23" s="25"/>
      <c r="AP23" s="25"/>
      <c r="AQ23" s="25"/>
      <c r="AR23" s="26"/>
      <c r="AS23" s="25"/>
    </row>
    <row r="24" customFormat="false" ht="15" hidden="false" customHeight="false" outlineLevel="0" collapsed="false">
      <c r="A24" s="23" t="n">
        <v>20</v>
      </c>
      <c r="B24" s="24" t="s">
        <v>77</v>
      </c>
      <c r="C24" s="25" t="s">
        <v>78</v>
      </c>
      <c r="D24" s="26" t="n">
        <v>8.36</v>
      </c>
      <c r="E24" s="25"/>
      <c r="F24" s="27"/>
      <c r="G24" s="27"/>
      <c r="H24" s="31"/>
      <c r="I24" s="27"/>
      <c r="J24" s="25"/>
      <c r="K24" s="27"/>
      <c r="L24" s="31" t="n">
        <v>83.64</v>
      </c>
      <c r="M24" s="25"/>
      <c r="N24" s="27"/>
      <c r="O24" s="27"/>
      <c r="P24" s="27"/>
      <c r="Q24" s="25" t="n">
        <v>8</v>
      </c>
      <c r="R24" s="26"/>
      <c r="S24" s="26"/>
      <c r="T24" s="26"/>
      <c r="U24" s="26"/>
      <c r="V24" s="25"/>
      <c r="W24" s="31"/>
      <c r="X24" s="25"/>
      <c r="Y24" s="31"/>
      <c r="Z24" s="25"/>
      <c r="AA24" s="31"/>
      <c r="AB24" s="32"/>
      <c r="AC24" s="31"/>
      <c r="AD24" s="25"/>
      <c r="AE24" s="31"/>
      <c r="AF24" s="25"/>
      <c r="AG24" s="27"/>
      <c r="AH24" s="32" t="n">
        <f aca="false">SUM(D24:AG24)</f>
        <v>100</v>
      </c>
      <c r="AK24" s="25" t="n">
        <f aca="false">AVERAGE(60.36,60.4)</f>
        <v>60.38</v>
      </c>
      <c r="AL24" s="25" t="s">
        <v>79</v>
      </c>
      <c r="AM24" s="25" t="s">
        <v>79</v>
      </c>
      <c r="AN24" s="25"/>
      <c r="AO24" s="25"/>
      <c r="AP24" s="25"/>
      <c r="AQ24" s="25"/>
      <c r="AR24" s="26"/>
      <c r="AS24" s="25"/>
    </row>
    <row r="25" customFormat="false" ht="15" hidden="false" customHeight="false" outlineLevel="0" collapsed="false">
      <c r="A25" s="23" t="n">
        <v>21</v>
      </c>
      <c r="B25" s="24" t="s">
        <v>77</v>
      </c>
      <c r="C25" s="25" t="s">
        <v>80</v>
      </c>
      <c r="D25" s="26" t="n">
        <v>8.27</v>
      </c>
      <c r="E25" s="25"/>
      <c r="F25" s="27"/>
      <c r="G25" s="27"/>
      <c r="H25" s="31"/>
      <c r="I25" s="27"/>
      <c r="J25" s="25"/>
      <c r="K25" s="27"/>
      <c r="L25" s="31" t="n">
        <v>82.73</v>
      </c>
      <c r="M25" s="25"/>
      <c r="N25" s="27"/>
      <c r="O25" s="27"/>
      <c r="P25" s="27"/>
      <c r="Q25" s="25" t="n">
        <v>9</v>
      </c>
      <c r="R25" s="26"/>
      <c r="S25" s="26"/>
      <c r="T25" s="26"/>
      <c r="U25" s="26"/>
      <c r="V25" s="25"/>
      <c r="W25" s="31"/>
      <c r="X25" s="25"/>
      <c r="Y25" s="31"/>
      <c r="Z25" s="25"/>
      <c r="AA25" s="31"/>
      <c r="AB25" s="32"/>
      <c r="AC25" s="31"/>
      <c r="AD25" s="25"/>
      <c r="AE25" s="31"/>
      <c r="AF25" s="25"/>
      <c r="AG25" s="27"/>
      <c r="AH25" s="32" t="n">
        <f aca="false">SUM(D25:AG25)</f>
        <v>100</v>
      </c>
      <c r="AK25" s="25" t="n">
        <f aca="false">AVERAGE(62.06,62.05)</f>
        <v>62.055</v>
      </c>
      <c r="AL25" s="25" t="s">
        <v>79</v>
      </c>
      <c r="AM25" s="25" t="s">
        <v>79</v>
      </c>
      <c r="AN25" s="25"/>
      <c r="AO25" s="25"/>
      <c r="AP25" s="25"/>
      <c r="AQ25" s="25"/>
      <c r="AR25" s="26"/>
      <c r="AS25" s="25"/>
    </row>
    <row r="26" customFormat="false" ht="15" hidden="false" customHeight="false" outlineLevel="0" collapsed="false">
      <c r="A26" s="23" t="n">
        <v>22</v>
      </c>
      <c r="B26" s="24" t="s">
        <v>81</v>
      </c>
      <c r="C26" s="25" t="s">
        <v>82</v>
      </c>
      <c r="D26" s="26" t="n">
        <v>10</v>
      </c>
      <c r="E26" s="25"/>
      <c r="F26" s="27"/>
      <c r="G26" s="27"/>
      <c r="H26" s="31"/>
      <c r="I26" s="27"/>
      <c r="J26" s="25"/>
      <c r="K26" s="27" t="n">
        <v>48</v>
      </c>
      <c r="L26" s="26" t="n">
        <v>29</v>
      </c>
      <c r="M26" s="25"/>
      <c r="N26" s="27"/>
      <c r="O26" s="27"/>
      <c r="P26" s="27"/>
      <c r="Q26" s="25"/>
      <c r="R26" s="26"/>
      <c r="S26" s="26"/>
      <c r="T26" s="25" t="n">
        <v>5</v>
      </c>
      <c r="U26" s="26"/>
      <c r="V26" s="25"/>
      <c r="W26" s="31"/>
      <c r="X26" s="25"/>
      <c r="Y26" s="31" t="n">
        <v>7.2</v>
      </c>
      <c r="Z26" s="25"/>
      <c r="AA26" s="31" t="n">
        <v>0.6</v>
      </c>
      <c r="AB26" s="32"/>
      <c r="AC26" s="31"/>
      <c r="AD26" s="25"/>
      <c r="AE26" s="31" t="n">
        <v>0.2</v>
      </c>
      <c r="AF26" s="25"/>
      <c r="AG26" s="27"/>
      <c r="AH26" s="32" t="n">
        <f aca="false">SUM(D26:AG26)</f>
        <v>100</v>
      </c>
      <c r="AK26" s="25" t="n">
        <f aca="false">AVERAGE(69.37,69.27)</f>
        <v>69.32</v>
      </c>
      <c r="AL26" s="25" t="n">
        <f aca="false">AVERAGE(10.83,10.84)</f>
        <v>10.835</v>
      </c>
      <c r="AM26" s="25" t="n">
        <v>146.113</v>
      </c>
      <c r="AN26" s="25"/>
      <c r="AO26" s="25"/>
      <c r="AP26" s="25"/>
      <c r="AQ26" s="25"/>
      <c r="AR26" s="26"/>
      <c r="AS26" s="25"/>
    </row>
    <row r="27" customFormat="false" ht="15" hidden="false" customHeight="false" outlineLevel="0" collapsed="false">
      <c r="A27" s="23" t="n">
        <v>23</v>
      </c>
      <c r="B27" s="24" t="s">
        <v>81</v>
      </c>
      <c r="C27" s="25" t="s">
        <v>83</v>
      </c>
      <c r="D27" s="26" t="n">
        <v>10</v>
      </c>
      <c r="E27" s="25"/>
      <c r="F27" s="27"/>
      <c r="G27" s="27"/>
      <c r="H27" s="31"/>
      <c r="I27" s="27"/>
      <c r="J27" s="25"/>
      <c r="K27" s="27" t="n">
        <v>47</v>
      </c>
      <c r="L27" s="26" t="n">
        <v>29</v>
      </c>
      <c r="M27" s="25"/>
      <c r="N27" s="27"/>
      <c r="O27" s="27"/>
      <c r="P27" s="27"/>
      <c r="Q27" s="25"/>
      <c r="R27" s="26"/>
      <c r="S27" s="26"/>
      <c r="T27" s="25" t="n">
        <v>6</v>
      </c>
      <c r="U27" s="26"/>
      <c r="V27" s="25"/>
      <c r="W27" s="31"/>
      <c r="X27" s="25"/>
      <c r="Y27" s="31" t="n">
        <v>7.2</v>
      </c>
      <c r="Z27" s="25"/>
      <c r="AA27" s="31" t="n">
        <v>0.6</v>
      </c>
      <c r="AB27" s="32"/>
      <c r="AC27" s="31"/>
      <c r="AD27" s="25"/>
      <c r="AE27" s="31" t="n">
        <v>0.2</v>
      </c>
      <c r="AF27" s="25"/>
      <c r="AG27" s="27"/>
      <c r="AH27" s="32" t="n">
        <f aca="false">SUM(D27:AG27)</f>
        <v>100</v>
      </c>
      <c r="AK27" s="25" t="n">
        <f aca="false">AVERAGE(69.83,69.78)</f>
        <v>69.805</v>
      </c>
      <c r="AL27" s="25" t="n">
        <f aca="false">AVERAGE(10.66,10.64)</f>
        <v>10.65</v>
      </c>
      <c r="AM27" s="25" t="n">
        <v>140.786</v>
      </c>
      <c r="AN27" s="25"/>
      <c r="AO27" s="25"/>
      <c r="AP27" s="25"/>
      <c r="AQ27" s="25"/>
      <c r="AR27" s="26"/>
      <c r="AS27" s="25"/>
    </row>
    <row r="28" customFormat="false" ht="15" hidden="false" customHeight="false" outlineLevel="0" collapsed="false">
      <c r="A28" s="23" t="n">
        <v>24</v>
      </c>
      <c r="B28" s="24" t="s">
        <v>81</v>
      </c>
      <c r="C28" s="25" t="s">
        <v>84</v>
      </c>
      <c r="D28" s="26" t="n">
        <v>10</v>
      </c>
      <c r="E28" s="25"/>
      <c r="F28" s="27"/>
      <c r="G28" s="27"/>
      <c r="H28" s="31"/>
      <c r="I28" s="27"/>
      <c r="J28" s="25"/>
      <c r="K28" s="27"/>
      <c r="L28" s="26" t="n">
        <v>74.27</v>
      </c>
      <c r="M28" s="25"/>
      <c r="N28" s="27"/>
      <c r="O28" s="27"/>
      <c r="P28" s="27" t="n">
        <v>8</v>
      </c>
      <c r="Q28" s="25"/>
      <c r="R28" s="26"/>
      <c r="S28" s="26"/>
      <c r="T28" s="26"/>
      <c r="U28" s="26"/>
      <c r="V28" s="25"/>
      <c r="W28" s="31"/>
      <c r="X28" s="25"/>
      <c r="Y28" s="31" t="n">
        <v>7.03</v>
      </c>
      <c r="Z28" s="25"/>
      <c r="AA28" s="31" t="n">
        <v>0.5</v>
      </c>
      <c r="AB28" s="32"/>
      <c r="AC28" s="31"/>
      <c r="AD28" s="25"/>
      <c r="AE28" s="31" t="n">
        <v>0.2</v>
      </c>
      <c r="AF28" s="25"/>
      <c r="AG28" s="27"/>
      <c r="AH28" s="32" t="n">
        <f aca="false">SUM(D28:AG28)</f>
        <v>100</v>
      </c>
      <c r="AK28" s="25" t="n">
        <f aca="false">AVERAGE(81.41,81.31)</f>
        <v>81.36</v>
      </c>
      <c r="AL28" s="25" t="n">
        <f aca="false">AVERAGE(12.26,12.24)</f>
        <v>12.25</v>
      </c>
      <c r="AM28" s="25" t="n">
        <v>146.75</v>
      </c>
      <c r="AN28" s="25"/>
      <c r="AO28" s="25"/>
      <c r="AP28" s="25"/>
      <c r="AQ28" s="25"/>
      <c r="AR28" s="26"/>
      <c r="AS28" s="25"/>
    </row>
    <row r="29" customFormat="false" ht="15" hidden="false" customHeight="false" outlineLevel="0" collapsed="false">
      <c r="A29" s="23" t="n">
        <v>25</v>
      </c>
      <c r="B29" s="24" t="s">
        <v>81</v>
      </c>
      <c r="C29" s="25" t="s">
        <v>85</v>
      </c>
      <c r="D29" s="26" t="n">
        <v>9.4</v>
      </c>
      <c r="E29" s="25"/>
      <c r="F29" s="27"/>
      <c r="G29" s="27"/>
      <c r="H29" s="31"/>
      <c r="I29" s="27"/>
      <c r="J29" s="25"/>
      <c r="K29" s="27"/>
      <c r="L29" s="26" t="n">
        <v>73</v>
      </c>
      <c r="M29" s="25"/>
      <c r="N29" s="27"/>
      <c r="O29" s="27"/>
      <c r="P29" s="27" t="n">
        <v>10</v>
      </c>
      <c r="Q29" s="25"/>
      <c r="R29" s="26"/>
      <c r="S29" s="26"/>
      <c r="T29" s="26"/>
      <c r="U29" s="26"/>
      <c r="V29" s="25"/>
      <c r="W29" s="31"/>
      <c r="X29" s="25"/>
      <c r="Y29" s="31" t="n">
        <v>6.9</v>
      </c>
      <c r="Z29" s="25"/>
      <c r="AA29" s="31" t="n">
        <v>0.5</v>
      </c>
      <c r="AB29" s="32"/>
      <c r="AC29" s="31"/>
      <c r="AD29" s="25"/>
      <c r="AE29" s="31" t="n">
        <v>0.2</v>
      </c>
      <c r="AF29" s="25"/>
      <c r="AG29" s="27"/>
      <c r="AH29" s="32" t="n">
        <f aca="false">SUM(D29:AG29)</f>
        <v>100</v>
      </c>
      <c r="AK29" s="25" t="n">
        <f aca="false">AVERAGE(88.24,88.19)</f>
        <v>88.215</v>
      </c>
      <c r="AL29" s="25" t="n">
        <f aca="false">AVERAGE(13.78,13.79)</f>
        <v>13.785</v>
      </c>
      <c r="AM29" s="25" t="n">
        <v>159.866</v>
      </c>
      <c r="AN29" s="25"/>
      <c r="AO29" s="25"/>
      <c r="AP29" s="25"/>
      <c r="AQ29" s="25"/>
      <c r="AR29" s="26"/>
      <c r="AS29" s="25"/>
    </row>
    <row r="30" customFormat="false" ht="15" hidden="false" customHeight="false" outlineLevel="0" collapsed="false">
      <c r="A30" s="43" t="n">
        <v>26</v>
      </c>
      <c r="B30" s="36" t="s">
        <v>81</v>
      </c>
      <c r="C30" s="35" t="s">
        <v>86</v>
      </c>
      <c r="D30" s="44" t="n">
        <v>9.4</v>
      </c>
      <c r="E30" s="25"/>
      <c r="F30" s="27"/>
      <c r="G30" s="27"/>
      <c r="H30" s="45"/>
      <c r="I30" s="27"/>
      <c r="J30" s="25"/>
      <c r="K30" s="46"/>
      <c r="L30" s="44" t="n">
        <v>75</v>
      </c>
      <c r="M30" s="25"/>
      <c r="N30" s="27"/>
      <c r="O30" s="27"/>
      <c r="P30" s="46"/>
      <c r="Q30" s="35"/>
      <c r="R30" s="44"/>
      <c r="S30" s="44" t="n">
        <v>8</v>
      </c>
      <c r="T30" s="44"/>
      <c r="U30" s="26"/>
      <c r="V30" s="25"/>
      <c r="W30" s="31"/>
      <c r="X30" s="25"/>
      <c r="Y30" s="45" t="n">
        <v>6.9</v>
      </c>
      <c r="Z30" s="25"/>
      <c r="AA30" s="45" t="n">
        <v>0.5</v>
      </c>
      <c r="AB30" s="32"/>
      <c r="AC30" s="31"/>
      <c r="AD30" s="25"/>
      <c r="AE30" s="45" t="n">
        <v>0.2</v>
      </c>
      <c r="AF30" s="25"/>
      <c r="AG30" s="46"/>
      <c r="AH30" s="32" t="n">
        <f aca="false">SUM(D30:AG30)</f>
        <v>100</v>
      </c>
      <c r="AK30" s="25" t="n">
        <f aca="false">AVERAGE(88.83,88.11)</f>
        <v>88.47</v>
      </c>
      <c r="AL30" s="25" t="n">
        <f aca="false">AVERAGE(14.22,14.14)</f>
        <v>14.18</v>
      </c>
      <c r="AM30" s="25" t="n">
        <v>165.79</v>
      </c>
      <c r="AN30" s="25"/>
      <c r="AO30" s="25"/>
      <c r="AP30" s="25"/>
      <c r="AQ30" s="25"/>
      <c r="AR30" s="26"/>
      <c r="AS30" s="25"/>
    </row>
    <row r="31" customFormat="false" ht="15" hidden="false" customHeight="false" outlineLevel="0" collapsed="false">
      <c r="A31" s="23" t="n">
        <v>27</v>
      </c>
      <c r="B31" s="24" t="s">
        <v>87</v>
      </c>
      <c r="C31" s="25" t="s">
        <v>88</v>
      </c>
      <c r="D31" s="26" t="n">
        <v>10</v>
      </c>
      <c r="E31" s="25"/>
      <c r="F31" s="27"/>
      <c r="G31" s="27"/>
      <c r="H31" s="31"/>
      <c r="I31" s="27"/>
      <c r="J31" s="25"/>
      <c r="K31" s="27"/>
      <c r="L31" s="26" t="n">
        <v>76.55</v>
      </c>
      <c r="M31" s="25"/>
      <c r="N31" s="27"/>
      <c r="O31" s="27"/>
      <c r="P31" s="27"/>
      <c r="Q31" s="25"/>
      <c r="R31" s="25" t="n">
        <v>5</v>
      </c>
      <c r="S31" s="25"/>
      <c r="T31" s="26"/>
      <c r="U31" s="26"/>
      <c r="V31" s="25"/>
      <c r="W31" s="31"/>
      <c r="X31" s="25"/>
      <c r="Y31" s="31" t="n">
        <v>7.65</v>
      </c>
      <c r="Z31" s="25"/>
      <c r="AA31" s="31" t="n">
        <v>0.6</v>
      </c>
      <c r="AB31" s="32"/>
      <c r="AC31" s="31"/>
      <c r="AD31" s="25"/>
      <c r="AE31" s="31" t="n">
        <v>0.2</v>
      </c>
      <c r="AF31" s="25"/>
      <c r="AG31" s="27"/>
      <c r="AH31" s="32" t="n">
        <f aca="false">SUM(D31:AG31)</f>
        <v>100</v>
      </c>
      <c r="AK31" s="25" t="n">
        <f aca="false">AVERAGE(68.79,68.64)</f>
        <v>68.715</v>
      </c>
      <c r="AL31" s="25" t="n">
        <f aca="false">AVERAGE(10.8,10.8)</f>
        <v>10.8</v>
      </c>
      <c r="AM31" s="25" t="n">
        <v>146.902</v>
      </c>
      <c r="AN31" s="25" t="n">
        <v>3.66</v>
      </c>
      <c r="AO31" s="25" t="n">
        <v>6130.86</v>
      </c>
      <c r="AP31" s="25" t="n">
        <v>-29</v>
      </c>
      <c r="AQ31" s="47" t="n">
        <v>0.0468</v>
      </c>
      <c r="AR31" s="26" t="s">
        <v>89</v>
      </c>
      <c r="AS31" s="25"/>
    </row>
    <row r="32" customFormat="false" ht="15" hidden="false" customHeight="false" outlineLevel="0" collapsed="false">
      <c r="A32" s="23" t="n">
        <v>28</v>
      </c>
      <c r="B32" s="24" t="s">
        <v>87</v>
      </c>
      <c r="C32" s="25" t="s">
        <v>90</v>
      </c>
      <c r="D32" s="26" t="n">
        <v>10</v>
      </c>
      <c r="E32" s="25"/>
      <c r="F32" s="27"/>
      <c r="G32" s="27"/>
      <c r="H32" s="31"/>
      <c r="I32" s="27"/>
      <c r="J32" s="25"/>
      <c r="K32" s="27"/>
      <c r="L32" s="26" t="n">
        <v>73.55</v>
      </c>
      <c r="M32" s="25"/>
      <c r="N32" s="27"/>
      <c r="O32" s="27"/>
      <c r="P32" s="27"/>
      <c r="Q32" s="25"/>
      <c r="R32" s="25"/>
      <c r="S32" s="25" t="n">
        <v>8</v>
      </c>
      <c r="T32" s="26"/>
      <c r="U32" s="26"/>
      <c r="V32" s="25"/>
      <c r="W32" s="31"/>
      <c r="X32" s="25"/>
      <c r="Y32" s="31" t="n">
        <v>7.65</v>
      </c>
      <c r="Z32" s="25"/>
      <c r="AA32" s="31" t="n">
        <v>0.6</v>
      </c>
      <c r="AB32" s="32"/>
      <c r="AC32" s="31"/>
      <c r="AD32" s="25"/>
      <c r="AE32" s="31" t="n">
        <v>0.2</v>
      </c>
      <c r="AF32" s="25"/>
      <c r="AG32" s="27"/>
      <c r="AH32" s="32" t="n">
        <f aca="false">SUM(D32:AG32)</f>
        <v>100</v>
      </c>
      <c r="AK32" s="25" t="n">
        <f aca="false">AVERAGE(88.51,88.41)</f>
        <v>88.46</v>
      </c>
      <c r="AL32" s="25" t="n">
        <f aca="false">AVERAGE(15.26,15.28)</f>
        <v>15.27</v>
      </c>
      <c r="AM32" s="25" t="n">
        <v>183.108</v>
      </c>
      <c r="AN32" s="25" t="n">
        <v>4.129</v>
      </c>
      <c r="AO32" s="25" t="n">
        <v>6130.86</v>
      </c>
      <c r="AP32" s="25" t="n">
        <v>-33</v>
      </c>
      <c r="AQ32" s="47" t="n">
        <v>0.0489</v>
      </c>
      <c r="AR32" s="26" t="s">
        <v>91</v>
      </c>
      <c r="AS32" s="25"/>
    </row>
    <row r="33" customFormat="false" ht="15" hidden="false" customHeight="false" outlineLevel="0" collapsed="false">
      <c r="A33" s="23" t="n">
        <v>29</v>
      </c>
      <c r="B33" s="24" t="s">
        <v>87</v>
      </c>
      <c r="C33" s="25" t="s">
        <v>92</v>
      </c>
      <c r="D33" s="26" t="n">
        <v>10</v>
      </c>
      <c r="E33" s="25"/>
      <c r="F33" s="27"/>
      <c r="G33" s="27"/>
      <c r="H33" s="31"/>
      <c r="I33" s="27"/>
      <c r="J33" s="25"/>
      <c r="K33" s="27"/>
      <c r="L33" s="26" t="n">
        <v>73.55</v>
      </c>
      <c r="M33" s="25"/>
      <c r="N33" s="27"/>
      <c r="O33" s="27"/>
      <c r="P33" s="27"/>
      <c r="Q33" s="25"/>
      <c r="R33" s="25" t="n">
        <v>8</v>
      </c>
      <c r="S33" s="25"/>
      <c r="T33" s="26"/>
      <c r="U33" s="26"/>
      <c r="V33" s="25"/>
      <c r="W33" s="31"/>
      <c r="X33" s="25"/>
      <c r="Y33" s="31" t="n">
        <v>7.65</v>
      </c>
      <c r="Z33" s="25"/>
      <c r="AA33" s="31" t="n">
        <v>0.6</v>
      </c>
      <c r="AB33" s="32"/>
      <c r="AC33" s="31"/>
      <c r="AD33" s="25"/>
      <c r="AE33" s="31" t="n">
        <v>0.2</v>
      </c>
      <c r="AF33" s="25"/>
      <c r="AG33" s="27"/>
      <c r="AH33" s="32" t="n">
        <f aca="false">SUM(D33:AG33)</f>
        <v>100</v>
      </c>
      <c r="AK33" s="25" t="n">
        <f aca="false">AVERAGE(75.8,75.68)</f>
        <v>75.74</v>
      </c>
      <c r="AL33" s="25" t="n">
        <f aca="false">AVERAGE(12.76,12.77)</f>
        <v>12.765</v>
      </c>
      <c r="AM33" s="25" t="n">
        <v>169.362</v>
      </c>
      <c r="AN33" s="25" t="n">
        <v>3.943</v>
      </c>
      <c r="AO33" s="25"/>
      <c r="AP33" s="25"/>
      <c r="AQ33" s="25"/>
      <c r="AR33" s="26"/>
      <c r="AS33" s="25"/>
    </row>
    <row r="34" customFormat="false" ht="15" hidden="false" customHeight="false" outlineLevel="0" collapsed="false">
      <c r="A34" s="23" t="n">
        <v>30</v>
      </c>
      <c r="B34" s="24" t="s">
        <v>93</v>
      </c>
      <c r="C34" s="25" t="s">
        <v>94</v>
      </c>
      <c r="D34" s="26" t="n">
        <v>5</v>
      </c>
      <c r="E34" s="25"/>
      <c r="F34" s="27"/>
      <c r="G34" s="27"/>
      <c r="H34" s="31"/>
      <c r="I34" s="27"/>
      <c r="J34" s="25"/>
      <c r="K34" s="27"/>
      <c r="L34" s="26" t="n">
        <v>36.87</v>
      </c>
      <c r="M34" s="25"/>
      <c r="N34" s="27"/>
      <c r="O34" s="27"/>
      <c r="P34" s="27"/>
      <c r="Q34" s="25"/>
      <c r="R34" s="25"/>
      <c r="S34" s="25" t="n">
        <v>3.9</v>
      </c>
      <c r="T34" s="26"/>
      <c r="U34" s="26"/>
      <c r="V34" s="25"/>
      <c r="W34" s="31"/>
      <c r="X34" s="25"/>
      <c r="Y34" s="31" t="n">
        <v>3.83</v>
      </c>
      <c r="Z34" s="25"/>
      <c r="AA34" s="31" t="n">
        <v>0.3</v>
      </c>
      <c r="AB34" s="32"/>
      <c r="AC34" s="31"/>
      <c r="AD34" s="25"/>
      <c r="AE34" s="31" t="n">
        <v>0.1</v>
      </c>
      <c r="AF34" s="25"/>
      <c r="AG34" s="27"/>
      <c r="AH34" s="32" t="n">
        <f aca="false">SUM(D34:AG34)</f>
        <v>50</v>
      </c>
      <c r="AK34" s="25" t="n">
        <f aca="false">AVERAGE(89.36,89.34)</f>
        <v>89.35</v>
      </c>
      <c r="AL34" s="25" t="n">
        <f aca="false">AVERAGE(14.28,14.28)</f>
        <v>14.28</v>
      </c>
      <c r="AM34" s="25" t="n">
        <v>165.617</v>
      </c>
      <c r="AN34" s="25"/>
      <c r="AO34" s="25"/>
      <c r="AP34" s="25"/>
      <c r="AQ34" s="25"/>
      <c r="AR34" s="26"/>
      <c r="AS34" s="25"/>
    </row>
    <row r="35" customFormat="false" ht="15" hidden="false" customHeight="false" outlineLevel="0" collapsed="false">
      <c r="A35" s="23" t="n">
        <v>31</v>
      </c>
      <c r="B35" s="24" t="s">
        <v>93</v>
      </c>
      <c r="C35" s="25" t="s">
        <v>95</v>
      </c>
      <c r="D35" s="26" t="n">
        <v>5</v>
      </c>
      <c r="E35" s="25"/>
      <c r="F35" s="27"/>
      <c r="G35" s="27"/>
      <c r="H35" s="31"/>
      <c r="I35" s="27"/>
      <c r="J35" s="25"/>
      <c r="K35" s="27"/>
      <c r="L35" s="26" t="n">
        <v>37.02</v>
      </c>
      <c r="M35" s="25"/>
      <c r="N35" s="27"/>
      <c r="O35" s="27"/>
      <c r="P35" s="27"/>
      <c r="Q35" s="25"/>
      <c r="R35" s="25"/>
      <c r="S35" s="25" t="n">
        <v>3.75</v>
      </c>
      <c r="T35" s="26"/>
      <c r="U35" s="26"/>
      <c r="V35" s="25"/>
      <c r="W35" s="31"/>
      <c r="X35" s="25"/>
      <c r="Y35" s="31" t="n">
        <v>3.83</v>
      </c>
      <c r="Z35" s="25"/>
      <c r="AA35" s="31" t="n">
        <v>0.3</v>
      </c>
      <c r="AB35" s="32"/>
      <c r="AC35" s="31"/>
      <c r="AD35" s="25"/>
      <c r="AE35" s="31" t="n">
        <v>0.1</v>
      </c>
      <c r="AF35" s="25"/>
      <c r="AG35" s="27"/>
      <c r="AH35" s="32" t="n">
        <f aca="false">SUM(D35:AG35)</f>
        <v>50</v>
      </c>
      <c r="AK35" s="25" t="n">
        <f aca="false">AVERAGE(86.71,86.52)</f>
        <v>86.615</v>
      </c>
      <c r="AL35" s="25" t="n">
        <f aca="false">AVERAGE(13.62,13.63)</f>
        <v>13.625</v>
      </c>
      <c r="AM35" s="25" t="n">
        <v>160.625</v>
      </c>
      <c r="AN35" s="25"/>
      <c r="AO35" s="25"/>
      <c r="AP35" s="25"/>
      <c r="AQ35" s="25"/>
      <c r="AR35" s="26"/>
      <c r="AS35" s="25"/>
    </row>
    <row r="36" customFormat="false" ht="15" hidden="false" customHeight="false" outlineLevel="0" collapsed="false">
      <c r="A36" s="23" t="n">
        <v>32</v>
      </c>
      <c r="B36" s="24" t="s">
        <v>96</v>
      </c>
      <c r="C36" s="25" t="s">
        <v>97</v>
      </c>
      <c r="D36" s="26" t="n">
        <v>10</v>
      </c>
      <c r="E36" s="25"/>
      <c r="F36" s="27"/>
      <c r="G36" s="27"/>
      <c r="H36" s="31"/>
      <c r="I36" s="27"/>
      <c r="J36" s="25"/>
      <c r="K36" s="27"/>
      <c r="L36" s="26" t="n">
        <v>73.75</v>
      </c>
      <c r="M36" s="25"/>
      <c r="N36" s="27"/>
      <c r="O36" s="27"/>
      <c r="P36" s="27"/>
      <c r="Q36" s="25"/>
      <c r="R36" s="25"/>
      <c r="S36" s="25" t="n">
        <v>7.8</v>
      </c>
      <c r="T36" s="26"/>
      <c r="U36" s="26"/>
      <c r="V36" s="25"/>
      <c r="W36" s="31"/>
      <c r="X36" s="25"/>
      <c r="Y36" s="31" t="n">
        <v>7.65</v>
      </c>
      <c r="Z36" s="25"/>
      <c r="AA36" s="31" t="n">
        <v>0.6</v>
      </c>
      <c r="AB36" s="32"/>
      <c r="AC36" s="31"/>
      <c r="AD36" s="25"/>
      <c r="AE36" s="31" t="n">
        <v>0.2</v>
      </c>
      <c r="AF36" s="25"/>
      <c r="AG36" s="27"/>
      <c r="AH36" s="32" t="n">
        <f aca="false">SUM(D36:AG36)</f>
        <v>100</v>
      </c>
      <c r="AK36" s="25" t="s">
        <v>79</v>
      </c>
      <c r="AL36" s="25" t="n">
        <f aca="false">AVERAGE(10.26,10.26)</f>
        <v>10.26</v>
      </c>
      <c r="AM36" s="25" t="s">
        <v>79</v>
      </c>
      <c r="AN36" s="25"/>
      <c r="AO36" s="25"/>
      <c r="AP36" s="25"/>
      <c r="AQ36" s="25"/>
      <c r="AR36" s="26"/>
      <c r="AS36" s="25"/>
    </row>
    <row r="37" customFormat="false" ht="15" hidden="false" customHeight="false" outlineLevel="0" collapsed="false">
      <c r="A37" s="23" t="n">
        <v>33</v>
      </c>
      <c r="B37" s="24" t="s">
        <v>96</v>
      </c>
      <c r="C37" s="25" t="s">
        <v>98</v>
      </c>
      <c r="D37" s="26" t="n">
        <v>10</v>
      </c>
      <c r="E37" s="25"/>
      <c r="F37" s="27"/>
      <c r="G37" s="27"/>
      <c r="H37" s="31"/>
      <c r="I37" s="27"/>
      <c r="J37" s="25"/>
      <c r="K37" s="27"/>
      <c r="L37" s="26" t="n">
        <v>76.55</v>
      </c>
      <c r="M37" s="25"/>
      <c r="N37" s="27"/>
      <c r="O37" s="27"/>
      <c r="P37" s="27"/>
      <c r="Q37" s="25"/>
      <c r="R37" s="25"/>
      <c r="S37" s="25"/>
      <c r="T37" s="26" t="n">
        <v>5</v>
      </c>
      <c r="U37" s="26"/>
      <c r="V37" s="25"/>
      <c r="W37" s="31"/>
      <c r="X37" s="25"/>
      <c r="Y37" s="31" t="n">
        <v>7.65</v>
      </c>
      <c r="Z37" s="25"/>
      <c r="AA37" s="31" t="n">
        <v>0.6</v>
      </c>
      <c r="AB37" s="32"/>
      <c r="AC37" s="31"/>
      <c r="AD37" s="25"/>
      <c r="AE37" s="31" t="n">
        <v>0.2</v>
      </c>
      <c r="AF37" s="25"/>
      <c r="AG37" s="27"/>
      <c r="AH37" s="32" t="n">
        <f aca="false">SUM(D37:AG37)</f>
        <v>100</v>
      </c>
      <c r="AK37" s="25" t="s">
        <v>79</v>
      </c>
      <c r="AL37" s="25" t="n">
        <f aca="false">AVERAGE(14.33,14.33)</f>
        <v>14.33</v>
      </c>
      <c r="AM37" s="25" t="s">
        <v>79</v>
      </c>
      <c r="AN37" s="25"/>
      <c r="AO37" s="25"/>
      <c r="AP37" s="25"/>
      <c r="AQ37" s="25"/>
      <c r="AR37" s="26"/>
      <c r="AS37" s="25"/>
    </row>
    <row r="38" customFormat="false" ht="15" hidden="false" customHeight="false" outlineLevel="0" collapsed="false">
      <c r="A38" s="23" t="n">
        <v>34</v>
      </c>
      <c r="B38" s="24" t="s">
        <v>96</v>
      </c>
      <c r="C38" s="25" t="s">
        <v>99</v>
      </c>
      <c r="D38" s="26"/>
      <c r="E38" s="25"/>
      <c r="F38" s="27"/>
      <c r="G38" s="27"/>
      <c r="H38" s="31"/>
      <c r="I38" s="27"/>
      <c r="J38" s="25"/>
      <c r="K38" s="27"/>
      <c r="L38" s="31" t="n">
        <v>45</v>
      </c>
      <c r="M38" s="25"/>
      <c r="N38" s="27"/>
      <c r="O38" s="27"/>
      <c r="P38" s="27"/>
      <c r="Q38" s="25"/>
      <c r="R38" s="25"/>
      <c r="S38" s="25"/>
      <c r="T38" s="25" t="n">
        <v>5</v>
      </c>
      <c r="U38" s="26"/>
      <c r="V38" s="25"/>
      <c r="W38" s="31"/>
      <c r="X38" s="25"/>
      <c r="Y38" s="31"/>
      <c r="Z38" s="25"/>
      <c r="AA38" s="31"/>
      <c r="AB38" s="32"/>
      <c r="AC38" s="31"/>
      <c r="AD38" s="25"/>
      <c r="AE38" s="31"/>
      <c r="AF38" s="25"/>
      <c r="AG38" s="27"/>
      <c r="AH38" s="32" t="n">
        <f aca="false">SUM(D38:AG38)</f>
        <v>50</v>
      </c>
      <c r="AK38" s="25" t="s">
        <v>79</v>
      </c>
      <c r="AL38" s="25" t="n">
        <f aca="false">AVERAGE(9.14,9.12)</f>
        <v>9.13</v>
      </c>
      <c r="AM38" s="25" t="s">
        <v>79</v>
      </c>
      <c r="AN38" s="25"/>
      <c r="AO38" s="25"/>
      <c r="AP38" s="25"/>
      <c r="AQ38" s="25"/>
      <c r="AR38" s="26"/>
      <c r="AS38" s="25"/>
    </row>
    <row r="39" customFormat="false" ht="15" hidden="false" customHeight="false" outlineLevel="0" collapsed="false">
      <c r="A39" s="43" t="n">
        <v>35</v>
      </c>
      <c r="B39" s="36" t="s">
        <v>96</v>
      </c>
      <c r="C39" s="35" t="s">
        <v>99</v>
      </c>
      <c r="D39" s="44"/>
      <c r="E39" s="25"/>
      <c r="F39" s="27"/>
      <c r="G39" s="27"/>
      <c r="H39" s="45"/>
      <c r="I39" s="27"/>
      <c r="J39" s="25"/>
      <c r="K39" s="46"/>
      <c r="L39" s="45" t="n">
        <v>46</v>
      </c>
      <c r="M39" s="25"/>
      <c r="N39" s="27"/>
      <c r="O39" s="27"/>
      <c r="P39" s="46"/>
      <c r="Q39" s="35"/>
      <c r="R39" s="35"/>
      <c r="S39" s="35"/>
      <c r="T39" s="35" t="n">
        <v>4</v>
      </c>
      <c r="U39" s="26"/>
      <c r="V39" s="25"/>
      <c r="W39" s="31"/>
      <c r="X39" s="25"/>
      <c r="Y39" s="45"/>
      <c r="Z39" s="35"/>
      <c r="AA39" s="45"/>
      <c r="AB39" s="32"/>
      <c r="AC39" s="31"/>
      <c r="AD39" s="25"/>
      <c r="AE39" s="45"/>
      <c r="AF39" s="25"/>
      <c r="AG39" s="46"/>
      <c r="AH39" s="32" t="n">
        <f aca="false">SUM(D39:AG39)</f>
        <v>50</v>
      </c>
      <c r="AK39" s="25" t="s">
        <v>79</v>
      </c>
      <c r="AL39" s="25" t="n">
        <f aca="false">AVERAGE(8.67,8.65)</f>
        <v>8.66</v>
      </c>
      <c r="AM39" s="25" t="s">
        <v>79</v>
      </c>
      <c r="AN39" s="25"/>
      <c r="AO39" s="25"/>
      <c r="AP39" s="25"/>
      <c r="AQ39" s="25"/>
      <c r="AR39" s="26"/>
      <c r="AS39" s="25"/>
    </row>
    <row r="40" customFormat="false" ht="15" hidden="false" customHeight="false" outlineLevel="0" collapsed="false">
      <c r="A40" s="23" t="n">
        <v>36</v>
      </c>
      <c r="B40" s="24" t="s">
        <v>100</v>
      </c>
      <c r="C40" s="25" t="s">
        <v>101</v>
      </c>
      <c r="D40" s="26"/>
      <c r="E40" s="25"/>
      <c r="F40" s="27"/>
      <c r="G40" s="27"/>
      <c r="H40" s="31" t="n">
        <v>10</v>
      </c>
      <c r="I40" s="27"/>
      <c r="J40" s="25"/>
      <c r="K40" s="27"/>
      <c r="L40" s="26" t="n">
        <v>77.22</v>
      </c>
      <c r="M40" s="25"/>
      <c r="N40" s="27"/>
      <c r="O40" s="27"/>
      <c r="P40" s="27"/>
      <c r="Q40" s="25"/>
      <c r="R40" s="25"/>
      <c r="S40" s="25"/>
      <c r="T40" s="26" t="n">
        <v>4.5</v>
      </c>
      <c r="U40" s="26"/>
      <c r="V40" s="25"/>
      <c r="W40" s="31"/>
      <c r="X40" s="25"/>
      <c r="Y40" s="27"/>
      <c r="Z40" s="25"/>
      <c r="AA40" s="26"/>
      <c r="AB40" s="32"/>
      <c r="AC40" s="31"/>
      <c r="AD40" s="25"/>
      <c r="AE40" s="31"/>
      <c r="AF40" s="25"/>
      <c r="AG40" s="27" t="n">
        <v>8.28</v>
      </c>
      <c r="AH40" s="32" t="n">
        <f aca="false">SUM(D40:AG40)</f>
        <v>100</v>
      </c>
      <c r="AK40" s="25" t="n">
        <f aca="false">AVERAGE(69.2,69.3)</f>
        <v>69.25</v>
      </c>
      <c r="AL40" s="25" t="n">
        <f aca="false">AVERAGE(11.48,11.49)</f>
        <v>11.485</v>
      </c>
      <c r="AM40" s="25" t="n">
        <v>160.372</v>
      </c>
      <c r="AN40" s="25"/>
      <c r="AO40" s="25"/>
      <c r="AP40" s="25"/>
      <c r="AQ40" s="25"/>
      <c r="AR40" s="26"/>
      <c r="AS40" s="25"/>
    </row>
    <row r="41" customFormat="false" ht="15" hidden="false" customHeight="false" outlineLevel="0" collapsed="false">
      <c r="A41" s="23" t="n">
        <v>37</v>
      </c>
      <c r="B41" s="24" t="s">
        <v>100</v>
      </c>
      <c r="C41" s="25" t="s">
        <v>102</v>
      </c>
      <c r="D41" s="26"/>
      <c r="E41" s="25"/>
      <c r="F41" s="27"/>
      <c r="G41" s="27"/>
      <c r="H41" s="31" t="n">
        <v>10</v>
      </c>
      <c r="I41" s="27"/>
      <c r="J41" s="25"/>
      <c r="K41" s="27"/>
      <c r="L41" s="26" t="n">
        <v>77.72</v>
      </c>
      <c r="M41" s="25"/>
      <c r="N41" s="27"/>
      <c r="O41" s="27"/>
      <c r="P41" s="27"/>
      <c r="Q41" s="25"/>
      <c r="R41" s="25"/>
      <c r="S41" s="25"/>
      <c r="T41" s="26" t="n">
        <v>4</v>
      </c>
      <c r="U41" s="26"/>
      <c r="V41" s="25"/>
      <c r="W41" s="31"/>
      <c r="X41" s="25"/>
      <c r="Y41" s="27"/>
      <c r="Z41" s="25"/>
      <c r="AA41" s="26"/>
      <c r="AB41" s="32"/>
      <c r="AC41" s="31"/>
      <c r="AD41" s="25"/>
      <c r="AE41" s="31"/>
      <c r="AF41" s="25"/>
      <c r="AG41" s="27" t="n">
        <v>8.28</v>
      </c>
      <c r="AH41" s="32" t="n">
        <f aca="false">SUM(D41:AG41)</f>
        <v>100</v>
      </c>
      <c r="AK41" s="25" t="n">
        <f aca="false">AVERAGE(67.16,67.28)</f>
        <v>67.22</v>
      </c>
      <c r="AL41" s="25" t="n">
        <f aca="false">AVERAGE(10.38,10.36)</f>
        <v>10.37</v>
      </c>
      <c r="AM41" s="25" t="n">
        <v>141.159</v>
      </c>
      <c r="AN41" s="25"/>
      <c r="AO41" s="25"/>
      <c r="AP41" s="25"/>
      <c r="AQ41" s="25"/>
      <c r="AR41" s="26"/>
      <c r="AS41" s="25"/>
    </row>
    <row r="42" customFormat="false" ht="15" hidden="false" customHeight="false" outlineLevel="0" collapsed="false">
      <c r="A42" s="23" t="n">
        <v>38</v>
      </c>
      <c r="B42" s="24" t="s">
        <v>100</v>
      </c>
      <c r="C42" s="25" t="s">
        <v>103</v>
      </c>
      <c r="D42" s="26"/>
      <c r="E42" s="25"/>
      <c r="F42" s="27"/>
      <c r="G42" s="27"/>
      <c r="H42" s="31" t="n">
        <v>10</v>
      </c>
      <c r="I42" s="27"/>
      <c r="J42" s="25"/>
      <c r="K42" s="27" t="n">
        <v>17.72</v>
      </c>
      <c r="L42" s="26" t="n">
        <v>60</v>
      </c>
      <c r="M42" s="25"/>
      <c r="N42" s="27"/>
      <c r="O42" s="27"/>
      <c r="P42" s="27"/>
      <c r="Q42" s="25"/>
      <c r="R42" s="25"/>
      <c r="S42" s="25"/>
      <c r="T42" s="26" t="n">
        <v>4</v>
      </c>
      <c r="U42" s="26"/>
      <c r="V42" s="25"/>
      <c r="W42" s="31"/>
      <c r="X42" s="25"/>
      <c r="Y42" s="27"/>
      <c r="Z42" s="25"/>
      <c r="AA42" s="26"/>
      <c r="AB42" s="32"/>
      <c r="AC42" s="31"/>
      <c r="AD42" s="25"/>
      <c r="AE42" s="31"/>
      <c r="AF42" s="25"/>
      <c r="AG42" s="27" t="n">
        <v>8.28</v>
      </c>
      <c r="AH42" s="32" t="n">
        <f aca="false">SUM(D42:AG42)</f>
        <v>100</v>
      </c>
      <c r="AK42" s="25" t="n">
        <f aca="false">AVERAGE(63.08,63.08)</f>
        <v>63.08</v>
      </c>
      <c r="AL42" s="25" t="n">
        <f aca="false">AVERAGE(12.32,12.08)</f>
        <v>12.2</v>
      </c>
      <c r="AM42" s="25" t="n">
        <v>194.851</v>
      </c>
      <c r="AN42" s="25"/>
      <c r="AO42" s="25"/>
      <c r="AP42" s="25"/>
      <c r="AQ42" s="25"/>
      <c r="AR42" s="26"/>
      <c r="AS42" s="25"/>
    </row>
    <row r="43" customFormat="false" ht="15" hidden="false" customHeight="false" outlineLevel="0" collapsed="false">
      <c r="A43" s="23" t="n">
        <v>39</v>
      </c>
      <c r="B43" s="24" t="s">
        <v>100</v>
      </c>
      <c r="C43" s="25" t="s">
        <v>104</v>
      </c>
      <c r="D43" s="26"/>
      <c r="E43" s="25"/>
      <c r="F43" s="27"/>
      <c r="G43" s="27"/>
      <c r="H43" s="31" t="n">
        <v>10</v>
      </c>
      <c r="I43" s="27"/>
      <c r="J43" s="25"/>
      <c r="K43" s="27" t="n">
        <v>77.72</v>
      </c>
      <c r="L43" s="26"/>
      <c r="M43" s="25"/>
      <c r="N43" s="27"/>
      <c r="O43" s="27"/>
      <c r="P43" s="27"/>
      <c r="Q43" s="25"/>
      <c r="R43" s="25"/>
      <c r="S43" s="25"/>
      <c r="T43" s="26" t="n">
        <v>4</v>
      </c>
      <c r="U43" s="26"/>
      <c r="V43" s="25"/>
      <c r="W43" s="31"/>
      <c r="X43" s="25"/>
      <c r="Y43" s="27"/>
      <c r="Z43" s="25"/>
      <c r="AA43" s="26"/>
      <c r="AB43" s="32"/>
      <c r="AC43" s="31"/>
      <c r="AD43" s="25"/>
      <c r="AE43" s="31"/>
      <c r="AF43" s="25"/>
      <c r="AG43" s="27" t="n">
        <v>8.28</v>
      </c>
      <c r="AH43" s="32" t="n">
        <f aca="false">SUM(D43:AG43)</f>
        <v>100</v>
      </c>
      <c r="AK43" s="25" t="n">
        <f aca="false">AVERAGE(66.06,66.82)</f>
        <v>66.44</v>
      </c>
      <c r="AL43" s="25" t="n">
        <f aca="false">AVERAGE(8.64,8.64)</f>
        <v>8.64</v>
      </c>
      <c r="AM43" s="25" t="n">
        <v>101.133</v>
      </c>
      <c r="AN43" s="25"/>
      <c r="AO43" s="25"/>
      <c r="AP43" s="25"/>
      <c r="AQ43" s="25"/>
      <c r="AR43" s="26"/>
      <c r="AS43" s="25"/>
    </row>
    <row r="44" customFormat="false" ht="15" hidden="false" customHeight="false" outlineLevel="0" collapsed="false">
      <c r="A44" s="23" t="n">
        <v>40</v>
      </c>
      <c r="B44" s="24" t="s">
        <v>100</v>
      </c>
      <c r="C44" s="25" t="s">
        <v>105</v>
      </c>
      <c r="D44" s="26"/>
      <c r="E44" s="25"/>
      <c r="F44" s="27"/>
      <c r="G44" s="27"/>
      <c r="H44" s="31" t="n">
        <v>10</v>
      </c>
      <c r="I44" s="27"/>
      <c r="J44" s="25"/>
      <c r="K44" s="27" t="n">
        <v>18.22</v>
      </c>
      <c r="L44" s="26" t="n">
        <v>60</v>
      </c>
      <c r="M44" s="25"/>
      <c r="N44" s="27"/>
      <c r="O44" s="27"/>
      <c r="P44" s="27"/>
      <c r="Q44" s="25"/>
      <c r="R44" s="25"/>
      <c r="S44" s="25"/>
      <c r="T44" s="26" t="n">
        <v>3.5</v>
      </c>
      <c r="U44" s="26"/>
      <c r="V44" s="25"/>
      <c r="W44" s="31"/>
      <c r="X44" s="25"/>
      <c r="Y44" s="27"/>
      <c r="Z44" s="25"/>
      <c r="AA44" s="26"/>
      <c r="AB44" s="32"/>
      <c r="AC44" s="31"/>
      <c r="AD44" s="25"/>
      <c r="AE44" s="31"/>
      <c r="AF44" s="25"/>
      <c r="AG44" s="27" t="n">
        <v>8.28</v>
      </c>
      <c r="AH44" s="32" t="n">
        <f aca="false">SUM(D44:AG44)</f>
        <v>100</v>
      </c>
      <c r="AK44" s="25" t="n">
        <f aca="false">AVERAGE(61.07,61.07)</f>
        <v>61.07</v>
      </c>
      <c r="AL44" s="25" t="n">
        <f aca="false">AVERAGE(9.69,9.69)</f>
        <v>9.69</v>
      </c>
      <c r="AM44" s="25" t="n">
        <v>142.061</v>
      </c>
      <c r="AN44" s="25"/>
      <c r="AO44" s="25"/>
      <c r="AP44" s="25"/>
      <c r="AQ44" s="25"/>
      <c r="AR44" s="26"/>
      <c r="AS44" s="25"/>
    </row>
    <row r="45" customFormat="false" ht="15" hidden="false" customHeight="false" outlineLevel="0" collapsed="false">
      <c r="A45" s="23" t="n">
        <v>41</v>
      </c>
      <c r="B45" s="24" t="s">
        <v>100</v>
      </c>
      <c r="C45" s="25" t="s">
        <v>106</v>
      </c>
      <c r="D45" s="26"/>
      <c r="E45" s="25"/>
      <c r="F45" s="27"/>
      <c r="G45" s="27"/>
      <c r="H45" s="31" t="n">
        <v>10</v>
      </c>
      <c r="I45" s="27"/>
      <c r="J45" s="25"/>
      <c r="K45" s="27" t="n">
        <v>78.22</v>
      </c>
      <c r="L45" s="26"/>
      <c r="M45" s="25"/>
      <c r="N45" s="27"/>
      <c r="O45" s="27"/>
      <c r="P45" s="27"/>
      <c r="Q45" s="25"/>
      <c r="R45" s="25"/>
      <c r="S45" s="25"/>
      <c r="T45" s="26" t="n">
        <v>3.5</v>
      </c>
      <c r="U45" s="26"/>
      <c r="V45" s="25"/>
      <c r="W45" s="31"/>
      <c r="X45" s="25"/>
      <c r="Y45" s="27"/>
      <c r="Z45" s="25"/>
      <c r="AA45" s="26"/>
      <c r="AB45" s="32"/>
      <c r="AC45" s="31"/>
      <c r="AD45" s="25"/>
      <c r="AE45" s="31"/>
      <c r="AF45" s="25"/>
      <c r="AG45" s="27" t="n">
        <v>8.28</v>
      </c>
      <c r="AH45" s="32" t="n">
        <f aca="false">SUM(D45:AG45)</f>
        <v>100</v>
      </c>
      <c r="AK45" s="25" t="n">
        <f aca="false">AVERAGE(51.08,51.11)</f>
        <v>51.095</v>
      </c>
      <c r="AL45" s="25" t="n">
        <f aca="false">AVERAGE(8.4,8.38)</f>
        <v>8.39</v>
      </c>
      <c r="AM45" s="25" t="n">
        <v>138.813</v>
      </c>
      <c r="AN45" s="25"/>
      <c r="AO45" s="25"/>
      <c r="AP45" s="25"/>
      <c r="AQ45" s="25"/>
      <c r="AR45" s="26"/>
      <c r="AS45" s="25"/>
    </row>
    <row r="46" customFormat="false" ht="15" hidden="false" customHeight="false" outlineLevel="0" collapsed="false">
      <c r="A46" s="23" t="n">
        <v>42</v>
      </c>
      <c r="B46" s="24" t="s">
        <v>100</v>
      </c>
      <c r="C46" s="25" t="s">
        <v>107</v>
      </c>
      <c r="D46" s="26"/>
      <c r="E46" s="25"/>
      <c r="F46" s="27"/>
      <c r="G46" s="27"/>
      <c r="H46" s="31" t="n">
        <v>10</v>
      </c>
      <c r="I46" s="27"/>
      <c r="J46" s="25"/>
      <c r="K46" s="27" t="n">
        <v>72.3</v>
      </c>
      <c r="L46" s="26"/>
      <c r="M46" s="25"/>
      <c r="N46" s="27"/>
      <c r="O46" s="27"/>
      <c r="P46" s="27"/>
      <c r="Q46" s="25"/>
      <c r="R46" s="25"/>
      <c r="S46" s="25"/>
      <c r="T46" s="26" t="n">
        <v>9</v>
      </c>
      <c r="U46" s="26"/>
      <c r="V46" s="25"/>
      <c r="W46" s="31"/>
      <c r="X46" s="25"/>
      <c r="Y46" s="27"/>
      <c r="Z46" s="25" t="n">
        <v>8.7</v>
      </c>
      <c r="AA46" s="26"/>
      <c r="AB46" s="32"/>
      <c r="AC46" s="31"/>
      <c r="AD46" s="25"/>
      <c r="AE46" s="31"/>
      <c r="AF46" s="25"/>
      <c r="AG46" s="27"/>
      <c r="AH46" s="32" t="n">
        <f aca="false">SUM(D46:AG46)</f>
        <v>100</v>
      </c>
      <c r="AK46" s="25" t="n">
        <f aca="false">AVERAGE(79.08,79.08)</f>
        <v>79.08</v>
      </c>
      <c r="AL46" s="25" t="n">
        <f aca="false">AVERAGE(11.72,11.7)</f>
        <v>11.71</v>
      </c>
      <c r="AM46" s="25" t="n">
        <v>141.243</v>
      </c>
      <c r="AN46" s="25"/>
      <c r="AO46" s="25"/>
      <c r="AP46" s="25"/>
      <c r="AQ46" s="25"/>
      <c r="AR46" s="26"/>
      <c r="AS46" s="25"/>
    </row>
    <row r="47" customFormat="false" ht="15" hidden="false" customHeight="false" outlineLevel="0" collapsed="false">
      <c r="A47" s="43" t="n">
        <v>43</v>
      </c>
      <c r="B47" s="36" t="s">
        <v>100</v>
      </c>
      <c r="C47" s="35" t="s">
        <v>108</v>
      </c>
      <c r="D47" s="44"/>
      <c r="E47" s="25"/>
      <c r="F47" s="27"/>
      <c r="G47" s="46"/>
      <c r="H47" s="45" t="n">
        <v>10</v>
      </c>
      <c r="I47" s="27"/>
      <c r="J47" s="25"/>
      <c r="K47" s="46" t="n">
        <v>71.3</v>
      </c>
      <c r="L47" s="44"/>
      <c r="M47" s="25"/>
      <c r="N47" s="27"/>
      <c r="O47" s="27"/>
      <c r="P47" s="46"/>
      <c r="Q47" s="35"/>
      <c r="R47" s="35"/>
      <c r="S47" s="35"/>
      <c r="T47" s="44" t="n">
        <v>10</v>
      </c>
      <c r="U47" s="44"/>
      <c r="V47" s="25"/>
      <c r="W47" s="45"/>
      <c r="X47" s="35"/>
      <c r="Y47" s="46"/>
      <c r="Z47" s="35" t="n">
        <v>8.7</v>
      </c>
      <c r="AA47" s="44"/>
      <c r="AB47" s="32"/>
      <c r="AC47" s="31"/>
      <c r="AD47" s="25"/>
      <c r="AE47" s="45"/>
      <c r="AF47" s="25"/>
      <c r="AG47" s="46"/>
      <c r="AH47" s="32" t="n">
        <f aca="false">SUM(D47:AG47)</f>
        <v>100</v>
      </c>
      <c r="AK47" s="35" t="n">
        <f aca="false">AVERAGE(81.97,81.3)</f>
        <v>81.635</v>
      </c>
      <c r="AL47" s="35" t="n">
        <f aca="false">AVERAGE(13.62,13.61)</f>
        <v>13.615</v>
      </c>
      <c r="AM47" s="35" t="n">
        <v>170.959</v>
      </c>
      <c r="AN47" s="35"/>
      <c r="AO47" s="35"/>
      <c r="AP47" s="35"/>
      <c r="AQ47" s="35"/>
      <c r="AR47" s="44"/>
      <c r="AS47" s="25"/>
    </row>
    <row r="48" customFormat="false" ht="15" hidden="false" customHeight="false" outlineLevel="0" collapsed="false">
      <c r="A48" s="23" t="n">
        <v>44</v>
      </c>
      <c r="B48" s="24" t="s">
        <v>109</v>
      </c>
      <c r="C48" s="25" t="s">
        <v>110</v>
      </c>
      <c r="D48" s="26"/>
      <c r="E48" s="25"/>
      <c r="F48" s="27"/>
      <c r="G48" s="27"/>
      <c r="H48" s="26" t="n">
        <v>10</v>
      </c>
      <c r="I48" s="27"/>
      <c r="J48" s="25"/>
      <c r="K48" s="27" t="n">
        <v>17.52</v>
      </c>
      <c r="L48" s="26" t="n">
        <v>60</v>
      </c>
      <c r="M48" s="25"/>
      <c r="N48" s="27"/>
      <c r="O48" s="27"/>
      <c r="P48" s="27"/>
      <c r="Q48" s="25"/>
      <c r="R48" s="25"/>
      <c r="S48" s="25"/>
      <c r="T48" s="25" t="n">
        <v>4.2</v>
      </c>
      <c r="U48" s="26"/>
      <c r="V48" s="25"/>
      <c r="W48" s="27"/>
      <c r="X48" s="25"/>
      <c r="Y48" s="25"/>
      <c r="Z48" s="25"/>
      <c r="AA48" s="26"/>
      <c r="AB48" s="32"/>
      <c r="AC48" s="31"/>
      <c r="AD48" s="25"/>
      <c r="AE48" s="31"/>
      <c r="AF48" s="25"/>
      <c r="AG48" s="27" t="n">
        <v>8.28</v>
      </c>
      <c r="AH48" s="32" t="n">
        <f aca="false">SUM(D48:AG48)</f>
        <v>100</v>
      </c>
      <c r="AK48" s="25" t="n">
        <f aca="false">AVERAGE(64.66,64.98)</f>
        <v>64.82</v>
      </c>
      <c r="AL48" s="25" t="n">
        <f aca="false">AVERAGE(9.88,9.88)</f>
        <v>9.88</v>
      </c>
      <c r="AM48" s="25" t="n">
        <v>136.046</v>
      </c>
      <c r="AN48" s="25"/>
      <c r="AO48" s="25"/>
      <c r="AP48" s="25"/>
      <c r="AQ48" s="25"/>
      <c r="AR48" s="26"/>
      <c r="AS48" s="25"/>
    </row>
    <row r="49" customFormat="false" ht="15" hidden="false" customHeight="false" outlineLevel="0" collapsed="false">
      <c r="A49" s="23" t="n">
        <v>45</v>
      </c>
      <c r="B49" s="24" t="s">
        <v>109</v>
      </c>
      <c r="C49" s="25" t="s">
        <v>111</v>
      </c>
      <c r="D49" s="26"/>
      <c r="E49" s="25"/>
      <c r="F49" s="27"/>
      <c r="G49" s="27"/>
      <c r="H49" s="26" t="n">
        <v>10</v>
      </c>
      <c r="I49" s="27"/>
      <c r="J49" s="25"/>
      <c r="K49" s="27" t="n">
        <v>17.72</v>
      </c>
      <c r="L49" s="26" t="n">
        <v>60</v>
      </c>
      <c r="M49" s="25"/>
      <c r="N49" s="27"/>
      <c r="O49" s="27"/>
      <c r="P49" s="27"/>
      <c r="Q49" s="25"/>
      <c r="R49" s="25"/>
      <c r="S49" s="25"/>
      <c r="T49" s="25" t="n">
        <v>4</v>
      </c>
      <c r="U49" s="26"/>
      <c r="V49" s="25"/>
      <c r="W49" s="27"/>
      <c r="X49" s="25"/>
      <c r="Y49" s="25"/>
      <c r="Z49" s="25"/>
      <c r="AA49" s="26"/>
      <c r="AB49" s="32"/>
      <c r="AC49" s="31"/>
      <c r="AD49" s="25"/>
      <c r="AE49" s="31"/>
      <c r="AF49" s="25"/>
      <c r="AG49" s="27" t="n">
        <v>8.28</v>
      </c>
      <c r="AH49" s="32" t="n">
        <f aca="false">SUM(D49:AG49)</f>
        <v>100</v>
      </c>
      <c r="AK49" s="25" t="n">
        <f aca="false">AVERAGE(62.42,62.57)</f>
        <v>62.495</v>
      </c>
      <c r="AL49" s="25" t="n">
        <f aca="false">AVERAGE(10.72,10.73)</f>
        <v>10.725</v>
      </c>
      <c r="AM49" s="25" t="n">
        <v>163.078</v>
      </c>
      <c r="AN49" s="25"/>
      <c r="AO49" s="25"/>
      <c r="AP49" s="25"/>
      <c r="AQ49" s="25"/>
      <c r="AR49" s="26"/>
      <c r="AS49" s="25"/>
    </row>
    <row r="50" customFormat="false" ht="15" hidden="false" customHeight="false" outlineLevel="0" collapsed="false">
      <c r="A50" s="23" t="n">
        <v>46</v>
      </c>
      <c r="B50" s="24" t="s">
        <v>109</v>
      </c>
      <c r="C50" s="25" t="s">
        <v>112</v>
      </c>
      <c r="D50" s="26"/>
      <c r="E50" s="25"/>
      <c r="F50" s="27"/>
      <c r="G50" s="27" t="n">
        <v>10</v>
      </c>
      <c r="H50" s="26"/>
      <c r="I50" s="27"/>
      <c r="J50" s="25"/>
      <c r="K50" s="27" t="n">
        <v>18.22</v>
      </c>
      <c r="L50" s="26" t="n">
        <v>60.5</v>
      </c>
      <c r="M50" s="25"/>
      <c r="N50" s="27"/>
      <c r="O50" s="27"/>
      <c r="P50" s="27"/>
      <c r="Q50" s="25"/>
      <c r="R50" s="25"/>
      <c r="S50" s="25"/>
      <c r="T50" s="25" t="n">
        <v>3</v>
      </c>
      <c r="U50" s="26"/>
      <c r="V50" s="25"/>
      <c r="W50" s="27"/>
      <c r="X50" s="25"/>
      <c r="Y50" s="25"/>
      <c r="Z50" s="25"/>
      <c r="AA50" s="26"/>
      <c r="AB50" s="32"/>
      <c r="AC50" s="31"/>
      <c r="AD50" s="25"/>
      <c r="AE50" s="31"/>
      <c r="AF50" s="25"/>
      <c r="AG50" s="27" t="n">
        <v>8.28</v>
      </c>
      <c r="AH50" s="32" t="n">
        <f aca="false">SUM(D50:AG50)</f>
        <v>100</v>
      </c>
      <c r="AK50" s="25" t="n">
        <f aca="false">AVERAGE(41.86,41.79)</f>
        <v>41.825</v>
      </c>
      <c r="AL50" s="25" t="n">
        <f aca="false">AVERAGE(7.47,7.47)</f>
        <v>7.47</v>
      </c>
      <c r="AM50" s="25" t="n">
        <v>146.14</v>
      </c>
      <c r="AN50" s="25"/>
      <c r="AO50" s="25"/>
      <c r="AP50" s="25"/>
      <c r="AQ50" s="25"/>
      <c r="AR50" s="26"/>
      <c r="AS50" s="25"/>
    </row>
    <row r="51" customFormat="false" ht="15" hidden="false" customHeight="false" outlineLevel="0" collapsed="false">
      <c r="A51" s="23" t="n">
        <v>47</v>
      </c>
      <c r="B51" s="24" t="s">
        <v>109</v>
      </c>
      <c r="C51" s="25" t="s">
        <v>113</v>
      </c>
      <c r="D51" s="26"/>
      <c r="E51" s="25"/>
      <c r="F51" s="27"/>
      <c r="G51" s="27" t="n">
        <v>10</v>
      </c>
      <c r="H51" s="26"/>
      <c r="I51" s="27"/>
      <c r="J51" s="25"/>
      <c r="K51" s="27" t="n">
        <v>78.22</v>
      </c>
      <c r="L51" s="26"/>
      <c r="M51" s="25"/>
      <c r="N51" s="27"/>
      <c r="O51" s="27"/>
      <c r="P51" s="27"/>
      <c r="Q51" s="25"/>
      <c r="R51" s="25"/>
      <c r="S51" s="25"/>
      <c r="T51" s="25" t="n">
        <v>3.5</v>
      </c>
      <c r="U51" s="26"/>
      <c r="V51" s="25"/>
      <c r="W51" s="27"/>
      <c r="X51" s="25"/>
      <c r="Y51" s="25"/>
      <c r="Z51" s="25"/>
      <c r="AA51" s="26"/>
      <c r="AB51" s="32"/>
      <c r="AC51" s="31"/>
      <c r="AD51" s="25"/>
      <c r="AE51" s="31"/>
      <c r="AF51" s="25"/>
      <c r="AG51" s="27" t="n">
        <v>8.28</v>
      </c>
      <c r="AH51" s="32" t="n">
        <f aca="false">SUM(D51:AG51)</f>
        <v>100</v>
      </c>
      <c r="AK51" s="25" t="n">
        <f aca="false">AVERAGE(49.11,49.21)</f>
        <v>49.16</v>
      </c>
      <c r="AL51" s="25" t="n">
        <f aca="false">AVERAGE(8.17,8.18)</f>
        <v>8.175</v>
      </c>
      <c r="AM51" s="25" t="n">
        <v>139.233</v>
      </c>
      <c r="AN51" s="25"/>
      <c r="AO51" s="25"/>
      <c r="AP51" s="25"/>
      <c r="AQ51" s="25"/>
      <c r="AR51" s="26"/>
      <c r="AS51" s="25"/>
    </row>
    <row r="52" customFormat="false" ht="15" hidden="false" customHeight="false" outlineLevel="0" collapsed="false">
      <c r="A52" s="23" t="n">
        <v>48</v>
      </c>
      <c r="B52" s="24" t="s">
        <v>109</v>
      </c>
      <c r="C52" s="25" t="s">
        <v>114</v>
      </c>
      <c r="D52" s="26" t="n">
        <v>10</v>
      </c>
      <c r="E52" s="25"/>
      <c r="F52" s="27"/>
      <c r="G52" s="27"/>
      <c r="H52" s="26"/>
      <c r="I52" s="27"/>
      <c r="J52" s="25"/>
      <c r="K52" s="27"/>
      <c r="L52" s="31" t="n">
        <v>76.55</v>
      </c>
      <c r="M52" s="25"/>
      <c r="N52" s="27"/>
      <c r="O52" s="27"/>
      <c r="P52" s="27"/>
      <c r="Q52" s="25"/>
      <c r="R52" s="25"/>
      <c r="S52" s="25"/>
      <c r="T52" s="25"/>
      <c r="U52" s="26" t="n">
        <v>5</v>
      </c>
      <c r="V52" s="25"/>
      <c r="W52" s="27"/>
      <c r="X52" s="25" t="n">
        <v>7.65</v>
      </c>
      <c r="Y52" s="25"/>
      <c r="Z52" s="25"/>
      <c r="AA52" s="26" t="n">
        <v>0.6</v>
      </c>
      <c r="AB52" s="32"/>
      <c r="AC52" s="31"/>
      <c r="AD52" s="25"/>
      <c r="AE52" s="31" t="n">
        <v>0.2</v>
      </c>
      <c r="AF52" s="25"/>
      <c r="AG52" s="27"/>
      <c r="AH52" s="32" t="n">
        <f aca="false">SUM(D52:AG52)</f>
        <v>100</v>
      </c>
      <c r="AK52" s="25" t="n">
        <f aca="false">AVERAGE(63.13,63.04)</f>
        <v>63.085</v>
      </c>
      <c r="AL52" s="25" t="n">
        <f aca="false">AVERAGE(13.07,13.09)</f>
        <v>13.08</v>
      </c>
      <c r="AM52" s="25" t="n">
        <v>213.762</v>
      </c>
      <c r="AN52" s="25"/>
      <c r="AO52" s="25"/>
      <c r="AP52" s="25"/>
      <c r="AQ52" s="25"/>
      <c r="AR52" s="26"/>
      <c r="AS52" s="25"/>
    </row>
    <row r="53" customFormat="false" ht="15" hidden="false" customHeight="false" outlineLevel="0" collapsed="false">
      <c r="A53" s="23" t="n">
        <v>49</v>
      </c>
      <c r="B53" s="24" t="s">
        <v>109</v>
      </c>
      <c r="C53" s="25" t="s">
        <v>115</v>
      </c>
      <c r="D53" s="26" t="n">
        <v>10</v>
      </c>
      <c r="E53" s="25"/>
      <c r="F53" s="27"/>
      <c r="G53" s="27"/>
      <c r="H53" s="26"/>
      <c r="I53" s="27"/>
      <c r="J53" s="25"/>
      <c r="K53" s="27"/>
      <c r="L53" s="31" t="n">
        <v>76.55</v>
      </c>
      <c r="M53" s="25"/>
      <c r="N53" s="27"/>
      <c r="O53" s="27"/>
      <c r="P53" s="27"/>
      <c r="Q53" s="25"/>
      <c r="R53" s="25"/>
      <c r="S53" s="25"/>
      <c r="T53" s="25"/>
      <c r="U53" s="26"/>
      <c r="V53" s="25"/>
      <c r="W53" s="27" t="n">
        <v>5</v>
      </c>
      <c r="X53" s="25" t="n">
        <v>7.65</v>
      </c>
      <c r="Y53" s="25"/>
      <c r="Z53" s="25"/>
      <c r="AA53" s="26" t="n">
        <v>0.6</v>
      </c>
      <c r="AB53" s="32"/>
      <c r="AC53" s="31"/>
      <c r="AD53" s="25"/>
      <c r="AE53" s="31" t="n">
        <v>0.2</v>
      </c>
      <c r="AF53" s="25"/>
      <c r="AG53" s="27"/>
      <c r="AH53" s="32" t="n">
        <f aca="false">SUM(D53:AG53)</f>
        <v>100</v>
      </c>
      <c r="AK53" s="25" t="n">
        <f aca="false">AVERAGE(88.35,88.21)</f>
        <v>88.28</v>
      </c>
      <c r="AL53" s="25" t="n">
        <f aca="false">AVERAGE(10.33,10.32)</f>
        <v>10.325</v>
      </c>
      <c r="AM53" s="25" t="n">
        <v>97.88</v>
      </c>
      <c r="AN53" s="25"/>
      <c r="AO53" s="25"/>
      <c r="AP53" s="25"/>
      <c r="AQ53" s="25"/>
      <c r="AR53" s="26"/>
      <c r="AS53" s="25"/>
    </row>
    <row r="54" customFormat="false" ht="15" hidden="false" customHeight="false" outlineLevel="0" collapsed="false">
      <c r="A54" s="23" t="n">
        <v>50</v>
      </c>
      <c r="B54" s="24" t="s">
        <v>109</v>
      </c>
      <c r="C54" s="25" t="s">
        <v>116</v>
      </c>
      <c r="D54" s="26" t="n">
        <v>2</v>
      </c>
      <c r="E54" s="25"/>
      <c r="F54" s="27"/>
      <c r="G54" s="27"/>
      <c r="H54" s="26"/>
      <c r="I54" s="27"/>
      <c r="J54" s="25"/>
      <c r="K54" s="27"/>
      <c r="L54" s="26" t="n">
        <v>15.51</v>
      </c>
      <c r="M54" s="25"/>
      <c r="N54" s="27"/>
      <c r="O54" s="27"/>
      <c r="P54" s="27"/>
      <c r="Q54" s="25"/>
      <c r="R54" s="25"/>
      <c r="S54" s="25"/>
      <c r="T54" s="25"/>
      <c r="U54" s="26"/>
      <c r="V54" s="25"/>
      <c r="W54" s="27" t="n">
        <v>0.8</v>
      </c>
      <c r="X54" s="25"/>
      <c r="Y54" s="25" t="n">
        <v>1.53</v>
      </c>
      <c r="Z54" s="25"/>
      <c r="AA54" s="26" t="n">
        <v>0.12</v>
      </c>
      <c r="AB54" s="32"/>
      <c r="AC54" s="31"/>
      <c r="AD54" s="25"/>
      <c r="AE54" s="31" t="n">
        <v>0.04</v>
      </c>
      <c r="AF54" s="25"/>
      <c r="AG54" s="27"/>
      <c r="AH54" s="32" t="n">
        <f aca="false">SUM(D54:AG54)</f>
        <v>20</v>
      </c>
      <c r="AK54" s="25" t="s">
        <v>79</v>
      </c>
      <c r="AL54" s="25" t="n">
        <f aca="false">AVERAGE(9.8,9.81)</f>
        <v>9.805</v>
      </c>
      <c r="AM54" s="25" t="s">
        <v>79</v>
      </c>
      <c r="AN54" s="25"/>
      <c r="AO54" s="25"/>
      <c r="AP54" s="25"/>
      <c r="AQ54" s="25"/>
      <c r="AR54" s="26"/>
      <c r="AS54" s="25"/>
    </row>
    <row r="55" customFormat="false" ht="15" hidden="false" customHeight="false" outlineLevel="0" collapsed="false">
      <c r="A55" s="23" t="n">
        <v>51</v>
      </c>
      <c r="B55" s="24" t="s">
        <v>109</v>
      </c>
      <c r="C55" s="25" t="s">
        <v>117</v>
      </c>
      <c r="D55" s="26" t="n">
        <v>2</v>
      </c>
      <c r="E55" s="25"/>
      <c r="F55" s="27"/>
      <c r="G55" s="27"/>
      <c r="H55" s="26"/>
      <c r="I55" s="27"/>
      <c r="J55" s="25"/>
      <c r="K55" s="27"/>
      <c r="L55" s="26" t="n">
        <v>15.41</v>
      </c>
      <c r="M55" s="25"/>
      <c r="N55" s="27"/>
      <c r="O55" s="27"/>
      <c r="P55" s="27"/>
      <c r="Q55" s="25"/>
      <c r="R55" s="25"/>
      <c r="S55" s="25"/>
      <c r="T55" s="25"/>
      <c r="U55" s="26"/>
      <c r="V55" s="25"/>
      <c r="W55" s="27" t="n">
        <v>0.9</v>
      </c>
      <c r="X55" s="25"/>
      <c r="Y55" s="25" t="n">
        <v>1.53</v>
      </c>
      <c r="Z55" s="25"/>
      <c r="AA55" s="26" t="n">
        <v>0.12</v>
      </c>
      <c r="AB55" s="32"/>
      <c r="AC55" s="31"/>
      <c r="AD55" s="25"/>
      <c r="AE55" s="31" t="n">
        <v>0.04</v>
      </c>
      <c r="AF55" s="25"/>
      <c r="AG55" s="27"/>
      <c r="AH55" s="32" t="n">
        <f aca="false">SUM(D55:AG55)</f>
        <v>20</v>
      </c>
      <c r="AK55" s="25" t="s">
        <v>79</v>
      </c>
      <c r="AL55" s="25" t="n">
        <f aca="false">AVERAGE(10.07,10.07)</f>
        <v>10.07</v>
      </c>
      <c r="AM55" s="25" t="s">
        <v>79</v>
      </c>
      <c r="AN55" s="25"/>
      <c r="AO55" s="25"/>
      <c r="AP55" s="25"/>
      <c r="AQ55" s="25"/>
      <c r="AR55" s="26"/>
      <c r="AS55" s="25"/>
    </row>
    <row r="56" customFormat="false" ht="15" hidden="false" customHeight="false" outlineLevel="0" collapsed="false">
      <c r="A56" s="43" t="n">
        <v>52</v>
      </c>
      <c r="B56" s="36" t="s">
        <v>109</v>
      </c>
      <c r="C56" s="35" t="s">
        <v>118</v>
      </c>
      <c r="D56" s="44" t="n">
        <v>2</v>
      </c>
      <c r="E56" s="25"/>
      <c r="F56" s="27"/>
      <c r="G56" s="46"/>
      <c r="H56" s="44"/>
      <c r="I56" s="27"/>
      <c r="J56" s="25"/>
      <c r="K56" s="46"/>
      <c r="L56" s="44" t="n">
        <v>15.21</v>
      </c>
      <c r="M56" s="25"/>
      <c r="N56" s="27"/>
      <c r="O56" s="27"/>
      <c r="P56" s="46"/>
      <c r="Q56" s="35"/>
      <c r="R56" s="35"/>
      <c r="S56" s="35"/>
      <c r="T56" s="35"/>
      <c r="U56" s="44"/>
      <c r="V56" s="25"/>
      <c r="W56" s="46" t="n">
        <v>1.1</v>
      </c>
      <c r="X56" s="35"/>
      <c r="Y56" s="35" t="n">
        <v>1.53</v>
      </c>
      <c r="Z56" s="35"/>
      <c r="AA56" s="44" t="n">
        <v>0.12</v>
      </c>
      <c r="AB56" s="32"/>
      <c r="AC56" s="31"/>
      <c r="AD56" s="25"/>
      <c r="AE56" s="45" t="n">
        <v>0.04</v>
      </c>
      <c r="AF56" s="25"/>
      <c r="AG56" s="46"/>
      <c r="AH56" s="32" t="n">
        <f aca="false">SUM(D56:AG56)</f>
        <v>20</v>
      </c>
      <c r="AK56" s="25" t="s">
        <v>79</v>
      </c>
      <c r="AL56" s="25" t="n">
        <f aca="false">AVERAGE(10.68,10.64)</f>
        <v>10.66</v>
      </c>
      <c r="AM56" s="25" t="s">
        <v>79</v>
      </c>
      <c r="AN56" s="25"/>
      <c r="AO56" s="25"/>
      <c r="AP56" s="25"/>
      <c r="AQ56" s="25"/>
      <c r="AR56" s="26"/>
      <c r="AS56" s="25"/>
    </row>
    <row r="57" customFormat="false" ht="15" hidden="false" customHeight="false" outlineLevel="0" collapsed="false">
      <c r="A57" s="23" t="n">
        <v>53</v>
      </c>
      <c r="B57" s="24" t="s">
        <v>109</v>
      </c>
      <c r="C57" s="25" t="s">
        <v>119</v>
      </c>
      <c r="D57" s="26" t="n">
        <v>2</v>
      </c>
      <c r="E57" s="25"/>
      <c r="F57" s="27"/>
      <c r="G57" s="27"/>
      <c r="H57" s="26"/>
      <c r="I57" s="27"/>
      <c r="J57" s="25"/>
      <c r="K57" s="27"/>
      <c r="L57" s="26" t="n">
        <v>15.11</v>
      </c>
      <c r="M57" s="25"/>
      <c r="N57" s="27"/>
      <c r="O57" s="27"/>
      <c r="P57" s="27"/>
      <c r="Q57" s="25"/>
      <c r="R57" s="25"/>
      <c r="S57" s="25"/>
      <c r="T57" s="25"/>
      <c r="U57" s="26"/>
      <c r="V57" s="25"/>
      <c r="W57" s="27" t="n">
        <v>1.2</v>
      </c>
      <c r="X57" s="25"/>
      <c r="Y57" s="25" t="n">
        <v>1.53</v>
      </c>
      <c r="Z57" s="25"/>
      <c r="AA57" s="26" t="n">
        <v>0.12</v>
      </c>
      <c r="AB57" s="32"/>
      <c r="AC57" s="31"/>
      <c r="AD57" s="25"/>
      <c r="AE57" s="31" t="n">
        <v>0.04</v>
      </c>
      <c r="AF57" s="25"/>
      <c r="AG57" s="27"/>
      <c r="AH57" s="32" t="n">
        <f aca="false">SUM(D57:AG57)</f>
        <v>20</v>
      </c>
      <c r="AK57" s="25" t="s">
        <v>79</v>
      </c>
      <c r="AL57" s="25" t="n">
        <f aca="false">AVERAGE(10.46,10.46)</f>
        <v>10.46</v>
      </c>
      <c r="AM57" s="25" t="s">
        <v>79</v>
      </c>
      <c r="AN57" s="25"/>
      <c r="AO57" s="25"/>
      <c r="AP57" s="25"/>
      <c r="AQ57" s="25"/>
      <c r="AR57" s="26"/>
      <c r="AS57" s="25"/>
    </row>
    <row r="58" customFormat="false" ht="15" hidden="false" customHeight="false" outlineLevel="0" collapsed="false">
      <c r="A58" s="23" t="n">
        <v>54</v>
      </c>
      <c r="B58" s="24" t="s">
        <v>120</v>
      </c>
      <c r="C58" s="25" t="s">
        <v>121</v>
      </c>
      <c r="D58" s="26"/>
      <c r="E58" s="25"/>
      <c r="F58" s="27"/>
      <c r="G58" s="27" t="n">
        <v>10</v>
      </c>
      <c r="H58" s="26"/>
      <c r="I58" s="27"/>
      <c r="J58" s="25"/>
      <c r="K58" s="27" t="n">
        <v>38.72</v>
      </c>
      <c r="L58" s="26" t="n">
        <v>40</v>
      </c>
      <c r="M58" s="25"/>
      <c r="N58" s="27"/>
      <c r="O58" s="27"/>
      <c r="P58" s="27"/>
      <c r="Q58" s="25"/>
      <c r="R58" s="25"/>
      <c r="S58" s="25"/>
      <c r="T58" s="25" t="n">
        <v>3</v>
      </c>
      <c r="U58" s="26"/>
      <c r="V58" s="25"/>
      <c r="W58" s="27"/>
      <c r="X58" s="25"/>
      <c r="Y58" s="25"/>
      <c r="Z58" s="25"/>
      <c r="AA58" s="26"/>
      <c r="AB58" s="32"/>
      <c r="AC58" s="31"/>
      <c r="AD58" s="25"/>
      <c r="AE58" s="31"/>
      <c r="AF58" s="25"/>
      <c r="AG58" s="27" t="n">
        <v>8.28</v>
      </c>
      <c r="AH58" s="32" t="n">
        <f aca="false">SUM(D58:AG58)</f>
        <v>100</v>
      </c>
      <c r="AK58" s="25" t="n">
        <f aca="false">AVERAGE(47.99,47.98)</f>
        <v>47.985</v>
      </c>
      <c r="AL58" s="25" t="n">
        <f aca="false">AVERAGE(8.01,8.01)</f>
        <v>8.01</v>
      </c>
      <c r="AM58" s="25" t="n">
        <v>138.293</v>
      </c>
      <c r="AN58" s="25"/>
      <c r="AO58" s="25"/>
      <c r="AP58" s="25"/>
      <c r="AQ58" s="25"/>
      <c r="AR58" s="26"/>
      <c r="AS58" s="25"/>
    </row>
    <row r="59" customFormat="false" ht="15" hidden="false" customHeight="false" outlineLevel="0" collapsed="false">
      <c r="A59" s="23" t="n">
        <v>55</v>
      </c>
      <c r="B59" s="24" t="s">
        <v>120</v>
      </c>
      <c r="C59" s="25" t="s">
        <v>122</v>
      </c>
      <c r="D59" s="26"/>
      <c r="E59" s="25"/>
      <c r="F59" s="27"/>
      <c r="G59" s="27" t="n">
        <v>10</v>
      </c>
      <c r="H59" s="26"/>
      <c r="I59" s="27"/>
      <c r="J59" s="25"/>
      <c r="K59" s="27" t="n">
        <v>48.72</v>
      </c>
      <c r="L59" s="26" t="n">
        <v>30</v>
      </c>
      <c r="M59" s="25"/>
      <c r="N59" s="27"/>
      <c r="O59" s="27"/>
      <c r="P59" s="27"/>
      <c r="Q59" s="25"/>
      <c r="R59" s="25"/>
      <c r="S59" s="25"/>
      <c r="T59" s="25" t="n">
        <v>3</v>
      </c>
      <c r="U59" s="26"/>
      <c r="V59" s="25"/>
      <c r="W59" s="27"/>
      <c r="X59" s="25"/>
      <c r="Y59" s="25"/>
      <c r="Z59" s="25"/>
      <c r="AA59" s="26"/>
      <c r="AB59" s="32"/>
      <c r="AC59" s="31"/>
      <c r="AD59" s="25"/>
      <c r="AE59" s="31"/>
      <c r="AF59" s="25"/>
      <c r="AG59" s="27" t="n">
        <v>8.28</v>
      </c>
      <c r="AH59" s="32" t="n">
        <f aca="false">SUM(D59:AG59)</f>
        <v>100</v>
      </c>
      <c r="AK59" s="25" t="n">
        <f aca="false">AVERAGE(46.27,46.31)</f>
        <v>46.29</v>
      </c>
      <c r="AL59" s="25" t="n">
        <f aca="false">AVERAGE(7.87,7.88)</f>
        <v>7.875</v>
      </c>
      <c r="AM59" s="25" t="n">
        <v>140.587</v>
      </c>
      <c r="AN59" s="25"/>
      <c r="AO59" s="25"/>
      <c r="AP59" s="25"/>
      <c r="AQ59" s="25"/>
      <c r="AR59" s="26"/>
      <c r="AS59" s="25"/>
    </row>
    <row r="60" customFormat="false" ht="15" hidden="false" customHeight="false" outlineLevel="0" collapsed="false">
      <c r="A60" s="23" t="n">
        <v>56</v>
      </c>
      <c r="B60" s="24" t="s">
        <v>120</v>
      </c>
      <c r="C60" s="25" t="s">
        <v>115</v>
      </c>
      <c r="D60" s="26" t="n">
        <v>10</v>
      </c>
      <c r="E60" s="25"/>
      <c r="F60" s="27"/>
      <c r="G60" s="27"/>
      <c r="H60" s="26"/>
      <c r="I60" s="27"/>
      <c r="J60" s="25"/>
      <c r="K60" s="27"/>
      <c r="L60" s="31" t="n">
        <v>76.55</v>
      </c>
      <c r="M60" s="25"/>
      <c r="N60" s="27"/>
      <c r="O60" s="27"/>
      <c r="P60" s="27"/>
      <c r="Q60" s="25"/>
      <c r="R60" s="25"/>
      <c r="S60" s="25"/>
      <c r="T60" s="25"/>
      <c r="U60" s="26"/>
      <c r="V60" s="25"/>
      <c r="W60" s="27" t="n">
        <v>5</v>
      </c>
      <c r="X60" s="25" t="n">
        <v>7.65</v>
      </c>
      <c r="Y60" s="25"/>
      <c r="Z60" s="25"/>
      <c r="AA60" s="26" t="n">
        <v>0.6</v>
      </c>
      <c r="AB60" s="32"/>
      <c r="AC60" s="31"/>
      <c r="AD60" s="25"/>
      <c r="AE60" s="31" t="n">
        <v>0.2</v>
      </c>
      <c r="AF60" s="25"/>
      <c r="AG60" s="27"/>
      <c r="AH60" s="32" t="n">
        <f aca="false">SUM(D60:AG60)</f>
        <v>100</v>
      </c>
      <c r="AK60" s="25" t="n">
        <f aca="false">AVERAGE(64.3,64.12)</f>
        <v>64.21</v>
      </c>
      <c r="AL60" s="25" t="n">
        <f aca="false">AVERAGE(10.67,10.67)</f>
        <v>10.67</v>
      </c>
      <c r="AM60" s="25" t="n">
        <v>156.546</v>
      </c>
      <c r="AN60" s="25"/>
      <c r="AO60" s="25"/>
      <c r="AP60" s="25"/>
      <c r="AQ60" s="25"/>
      <c r="AR60" s="26"/>
      <c r="AS60" s="25"/>
    </row>
    <row r="61" customFormat="false" ht="15" hidden="false" customHeight="false" outlineLevel="0" collapsed="false">
      <c r="A61" s="23" t="n">
        <v>57</v>
      </c>
      <c r="B61" s="24" t="s">
        <v>120</v>
      </c>
      <c r="C61" s="25" t="s">
        <v>123</v>
      </c>
      <c r="D61" s="26" t="n">
        <v>10</v>
      </c>
      <c r="E61" s="25"/>
      <c r="F61" s="27"/>
      <c r="G61" s="27"/>
      <c r="H61" s="26"/>
      <c r="I61" s="27"/>
      <c r="J61" s="25"/>
      <c r="K61" s="27"/>
      <c r="L61" s="31" t="n">
        <v>78.55</v>
      </c>
      <c r="M61" s="25"/>
      <c r="N61" s="27"/>
      <c r="O61" s="27"/>
      <c r="P61" s="27"/>
      <c r="Q61" s="25"/>
      <c r="R61" s="25"/>
      <c r="S61" s="25"/>
      <c r="T61" s="25"/>
      <c r="U61" s="26"/>
      <c r="V61" s="25"/>
      <c r="W61" s="27" t="n">
        <v>3</v>
      </c>
      <c r="X61" s="25" t="n">
        <v>7.65</v>
      </c>
      <c r="Y61" s="25"/>
      <c r="Z61" s="25"/>
      <c r="AA61" s="26" t="n">
        <v>0.6</v>
      </c>
      <c r="AB61" s="32"/>
      <c r="AC61" s="31"/>
      <c r="AD61" s="25"/>
      <c r="AE61" s="31" t="n">
        <v>0.2</v>
      </c>
      <c r="AF61" s="25"/>
      <c r="AG61" s="27"/>
      <c r="AH61" s="32" t="n">
        <f aca="false">SUM(D61:AG61)</f>
        <v>100</v>
      </c>
      <c r="AK61" s="25" t="n">
        <f aca="false">AVERAGE(60.81,60.8)</f>
        <v>60.805</v>
      </c>
      <c r="AL61" s="25" t="n">
        <f aca="false">AVERAGE(9.9,9.9)</f>
        <v>9.9</v>
      </c>
      <c r="AM61" s="25" t="n">
        <v>148.236</v>
      </c>
      <c r="AN61" s="25"/>
      <c r="AO61" s="25"/>
      <c r="AP61" s="25"/>
      <c r="AQ61" s="25"/>
      <c r="AR61" s="26"/>
      <c r="AS61" s="25"/>
    </row>
    <row r="62" customFormat="false" ht="15" hidden="false" customHeight="false" outlineLevel="0" collapsed="false">
      <c r="A62" s="23" t="n">
        <v>58</v>
      </c>
      <c r="B62" s="24" t="s">
        <v>120</v>
      </c>
      <c r="C62" s="25" t="s">
        <v>124</v>
      </c>
      <c r="D62" s="26" t="n">
        <v>10</v>
      </c>
      <c r="E62" s="25"/>
      <c r="F62" s="27"/>
      <c r="G62" s="27"/>
      <c r="H62" s="26"/>
      <c r="I62" s="27"/>
      <c r="J62" s="25"/>
      <c r="K62" s="27"/>
      <c r="L62" s="31" t="n">
        <v>74.55</v>
      </c>
      <c r="M62" s="25"/>
      <c r="N62" s="27"/>
      <c r="O62" s="27"/>
      <c r="P62" s="27"/>
      <c r="Q62" s="25"/>
      <c r="R62" s="25"/>
      <c r="S62" s="25"/>
      <c r="T62" s="25"/>
      <c r="U62" s="26"/>
      <c r="V62" s="25"/>
      <c r="W62" s="27" t="n">
        <v>7</v>
      </c>
      <c r="X62" s="25" t="n">
        <v>7.65</v>
      </c>
      <c r="Y62" s="25"/>
      <c r="Z62" s="25"/>
      <c r="AA62" s="26" t="n">
        <v>0.6</v>
      </c>
      <c r="AB62" s="32"/>
      <c r="AC62" s="31"/>
      <c r="AD62" s="25"/>
      <c r="AE62" s="31" t="n">
        <v>0.2</v>
      </c>
      <c r="AF62" s="25"/>
      <c r="AG62" s="27"/>
      <c r="AH62" s="32" t="n">
        <f aca="false">SUM(D62:AG62)</f>
        <v>100</v>
      </c>
      <c r="AK62" s="25" t="n">
        <f aca="false">AVERAGE(65.3,65.07)</f>
        <v>65.185</v>
      </c>
      <c r="AL62" s="25" t="n">
        <f aca="false">AVERAGE(10.86,10.89)</f>
        <v>10.875</v>
      </c>
      <c r="AM62" s="25" t="n">
        <v>158.434</v>
      </c>
      <c r="AN62" s="25"/>
      <c r="AO62" s="25"/>
      <c r="AP62" s="25"/>
      <c r="AQ62" s="25"/>
      <c r="AR62" s="26"/>
      <c r="AS62" s="25"/>
    </row>
    <row r="63" customFormat="false" ht="15" hidden="false" customHeight="false" outlineLevel="0" collapsed="false">
      <c r="A63" s="23" t="n">
        <v>59</v>
      </c>
      <c r="B63" s="24" t="s">
        <v>120</v>
      </c>
      <c r="C63" s="25" t="s">
        <v>125</v>
      </c>
      <c r="D63" s="26"/>
      <c r="E63" s="25"/>
      <c r="F63" s="27"/>
      <c r="G63" s="27"/>
      <c r="H63" s="26" t="n">
        <v>10</v>
      </c>
      <c r="I63" s="27"/>
      <c r="J63" s="25"/>
      <c r="K63" s="27" t="n">
        <v>63.22</v>
      </c>
      <c r="L63" s="26" t="n">
        <v>15</v>
      </c>
      <c r="M63" s="25"/>
      <c r="N63" s="27"/>
      <c r="O63" s="27"/>
      <c r="P63" s="27"/>
      <c r="Q63" s="25"/>
      <c r="R63" s="25"/>
      <c r="S63" s="25"/>
      <c r="T63" s="25" t="n">
        <v>3.5</v>
      </c>
      <c r="U63" s="26"/>
      <c r="V63" s="25"/>
      <c r="W63" s="27"/>
      <c r="X63" s="25"/>
      <c r="Y63" s="25"/>
      <c r="Z63" s="25"/>
      <c r="AA63" s="26"/>
      <c r="AB63" s="32"/>
      <c r="AC63" s="31"/>
      <c r="AD63" s="25"/>
      <c r="AE63" s="31"/>
      <c r="AF63" s="25"/>
      <c r="AG63" s="27" t="n">
        <v>8.28</v>
      </c>
      <c r="AH63" s="32" t="n">
        <f aca="false">SUM(D63:AG63)</f>
        <v>100</v>
      </c>
      <c r="AK63" s="25" t="n">
        <f aca="false">AVERAGE(53.94,53.83)</f>
        <v>53.885</v>
      </c>
      <c r="AL63" s="25" t="n">
        <f aca="false">AVERAGE(8.96,8.94)</f>
        <v>8.95</v>
      </c>
      <c r="AM63" s="25" t="n">
        <v>145.686</v>
      </c>
      <c r="AN63" s="25"/>
      <c r="AO63" s="25"/>
      <c r="AP63" s="25"/>
      <c r="AQ63" s="25"/>
      <c r="AR63" s="26"/>
      <c r="AS63" s="25"/>
    </row>
    <row r="64" customFormat="false" ht="15" hidden="false" customHeight="false" outlineLevel="0" collapsed="false">
      <c r="A64" s="23" t="n">
        <v>60</v>
      </c>
      <c r="B64" s="24" t="s">
        <v>120</v>
      </c>
      <c r="C64" s="25" t="s">
        <v>126</v>
      </c>
      <c r="D64" s="26"/>
      <c r="E64" s="25"/>
      <c r="F64" s="27"/>
      <c r="G64" s="27" t="n">
        <v>5</v>
      </c>
      <c r="H64" s="26"/>
      <c r="I64" s="27"/>
      <c r="J64" s="25"/>
      <c r="K64" s="27" t="n">
        <v>31.61</v>
      </c>
      <c r="L64" s="26" t="n">
        <v>7.5</v>
      </c>
      <c r="M64" s="25"/>
      <c r="N64" s="27"/>
      <c r="O64" s="27"/>
      <c r="P64" s="27"/>
      <c r="Q64" s="25"/>
      <c r="R64" s="25"/>
      <c r="S64" s="25"/>
      <c r="T64" s="25" t="n">
        <v>1.75</v>
      </c>
      <c r="U64" s="26"/>
      <c r="V64" s="25"/>
      <c r="W64" s="27"/>
      <c r="X64" s="25"/>
      <c r="Y64" s="25"/>
      <c r="Z64" s="25"/>
      <c r="AA64" s="26"/>
      <c r="AB64" s="32"/>
      <c r="AC64" s="31"/>
      <c r="AD64" s="25"/>
      <c r="AE64" s="31"/>
      <c r="AF64" s="25"/>
      <c r="AG64" s="27" t="n">
        <v>4.14</v>
      </c>
      <c r="AH64" s="32" t="n">
        <f aca="false">SUM(D64:AG64)</f>
        <v>50</v>
      </c>
      <c r="AK64" s="25" t="n">
        <f aca="false">AVERAGE(44.74,44.64)</f>
        <v>44.69</v>
      </c>
      <c r="AL64" s="25" t="n">
        <f aca="false">AVERAGE(8,7.99)</f>
        <v>7.995</v>
      </c>
      <c r="AM64" s="25" t="n">
        <v>152.327</v>
      </c>
      <c r="AN64" s="25"/>
      <c r="AO64" s="25"/>
      <c r="AP64" s="25"/>
      <c r="AQ64" s="25"/>
      <c r="AR64" s="26"/>
      <c r="AS64" s="25"/>
    </row>
    <row r="65" customFormat="false" ht="15" hidden="false" customHeight="true" outlineLevel="0" collapsed="false">
      <c r="A65" s="43" t="n">
        <v>61</v>
      </c>
      <c r="B65" s="36" t="s">
        <v>120</v>
      </c>
      <c r="C65" s="35" t="s">
        <v>127</v>
      </c>
      <c r="D65" s="44"/>
      <c r="E65" s="25"/>
      <c r="F65" s="27"/>
      <c r="G65" s="46" t="n">
        <v>2.5</v>
      </c>
      <c r="H65" s="44" t="n">
        <v>2.5</v>
      </c>
      <c r="I65" s="27"/>
      <c r="J65" s="25"/>
      <c r="K65" s="46" t="n">
        <v>39.235</v>
      </c>
      <c r="L65" s="44"/>
      <c r="M65" s="25"/>
      <c r="N65" s="27"/>
      <c r="O65" s="27"/>
      <c r="P65" s="46"/>
      <c r="Q65" s="35"/>
      <c r="R65" s="35"/>
      <c r="S65" s="35"/>
      <c r="T65" s="35" t="n">
        <v>1.625</v>
      </c>
      <c r="U65" s="44"/>
      <c r="V65" s="25"/>
      <c r="W65" s="46"/>
      <c r="X65" s="35"/>
      <c r="Y65" s="35"/>
      <c r="Z65" s="35"/>
      <c r="AA65" s="44"/>
      <c r="AB65" s="32"/>
      <c r="AC65" s="31"/>
      <c r="AD65" s="25"/>
      <c r="AE65" s="45"/>
      <c r="AF65" s="25"/>
      <c r="AG65" s="45" t="n">
        <v>4.14</v>
      </c>
      <c r="AH65" s="32" t="n">
        <f aca="false">SUM(D65:AG65)</f>
        <v>50</v>
      </c>
      <c r="AK65" s="35" t="n">
        <f aca="false">AVERAGE(46.72,46.62)</f>
        <v>46.67</v>
      </c>
      <c r="AL65" s="35" t="n">
        <f aca="false">AVERAGE(7.99,7.99)</f>
        <v>7.99</v>
      </c>
      <c r="AM65" s="35" t="n">
        <v>143.136</v>
      </c>
      <c r="AN65" s="35"/>
      <c r="AO65" s="35"/>
      <c r="AP65" s="35"/>
      <c r="AQ65" s="35"/>
      <c r="AR65" s="44"/>
      <c r="AS65" s="25"/>
    </row>
    <row r="66" customFormat="false" ht="15" hidden="false" customHeight="false" outlineLevel="0" collapsed="false">
      <c r="A66" s="43" t="n">
        <v>62</v>
      </c>
      <c r="B66" s="36" t="s">
        <v>120</v>
      </c>
      <c r="C66" s="35" t="s">
        <v>128</v>
      </c>
      <c r="D66" s="44"/>
      <c r="E66" s="25"/>
      <c r="F66" s="27"/>
      <c r="G66" s="46"/>
      <c r="H66" s="44" t="n">
        <v>10</v>
      </c>
      <c r="I66" s="46"/>
      <c r="J66" s="25"/>
      <c r="K66" s="46" t="n">
        <v>17.72</v>
      </c>
      <c r="L66" s="44" t="n">
        <v>60</v>
      </c>
      <c r="M66" s="25"/>
      <c r="N66" s="27"/>
      <c r="O66" s="46"/>
      <c r="P66" s="46"/>
      <c r="Q66" s="35"/>
      <c r="R66" s="35"/>
      <c r="S66" s="35"/>
      <c r="T66" s="35" t="n">
        <v>4</v>
      </c>
      <c r="U66" s="44"/>
      <c r="V66" s="25"/>
      <c r="W66" s="46"/>
      <c r="X66" s="35"/>
      <c r="Y66" s="35"/>
      <c r="Z66" s="35"/>
      <c r="AA66" s="44"/>
      <c r="AB66" s="32"/>
      <c r="AC66" s="31"/>
      <c r="AD66" s="25"/>
      <c r="AE66" s="45"/>
      <c r="AF66" s="25"/>
      <c r="AG66" s="46" t="n">
        <v>8.28</v>
      </c>
      <c r="AH66" s="32" t="n">
        <f aca="false">SUM(D66:AG66)</f>
        <v>100</v>
      </c>
      <c r="AK66" s="35" t="n">
        <f aca="false">AVERAGE(72.29,72.3)</f>
        <v>72.295</v>
      </c>
      <c r="AL66" s="35" t="n">
        <f aca="false">AVERAGE(10.67,10.67)</f>
        <v>10.67</v>
      </c>
      <c r="AM66" s="35" t="n">
        <v>135.149</v>
      </c>
      <c r="AN66" s="35" t="n">
        <v>3.59807</v>
      </c>
      <c r="AO66" s="35"/>
      <c r="AP66" s="35"/>
      <c r="AQ66" s="48" t="n">
        <v>0.0554828</v>
      </c>
      <c r="AR66" s="44"/>
      <c r="AS66" s="25"/>
    </row>
    <row r="67" customFormat="false" ht="15" hidden="false" customHeight="false" outlineLevel="0" collapsed="false">
      <c r="A67" s="23" t="n">
        <v>63</v>
      </c>
      <c r="B67" s="24" t="s">
        <v>129</v>
      </c>
      <c r="C67" s="25" t="s">
        <v>130</v>
      </c>
      <c r="D67" s="26"/>
      <c r="E67" s="25"/>
      <c r="F67" s="27"/>
      <c r="G67" s="27"/>
      <c r="H67" s="26" t="n">
        <v>10</v>
      </c>
      <c r="I67" s="27" t="n">
        <v>14.3</v>
      </c>
      <c r="J67" s="25"/>
      <c r="K67" s="27"/>
      <c r="L67" s="26" t="n">
        <v>65.7</v>
      </c>
      <c r="M67" s="25"/>
      <c r="N67" s="27"/>
      <c r="O67" s="27"/>
      <c r="P67" s="25"/>
      <c r="Q67" s="25"/>
      <c r="R67" s="25"/>
      <c r="S67" s="25"/>
      <c r="T67" s="25" t="n">
        <v>10</v>
      </c>
      <c r="U67" s="26"/>
      <c r="V67" s="25"/>
      <c r="W67" s="27"/>
      <c r="X67" s="25"/>
      <c r="Y67" s="25"/>
      <c r="Z67" s="25"/>
      <c r="AA67" s="26"/>
      <c r="AB67" s="32"/>
      <c r="AC67" s="31"/>
      <c r="AD67" s="25"/>
      <c r="AE67" s="31"/>
      <c r="AF67" s="25"/>
      <c r="AG67" s="27"/>
      <c r="AH67" s="32" t="n">
        <f aca="false">SUM(D67:AG67)</f>
        <v>100</v>
      </c>
      <c r="AK67" s="25" t="n">
        <f aca="false">AVERAGE(94.02,94.2)</f>
        <v>94.11</v>
      </c>
      <c r="AL67" s="25" t="n">
        <f aca="false">AVERAGE(14.09,14.1)</f>
        <v>14.095</v>
      </c>
      <c r="AM67" s="25" t="n">
        <v>153.727</v>
      </c>
      <c r="AN67" s="25"/>
      <c r="AO67" s="25"/>
      <c r="AP67" s="25"/>
      <c r="AQ67" s="25"/>
      <c r="AR67" s="26"/>
      <c r="AS67" s="25"/>
    </row>
    <row r="68" customFormat="false" ht="15" hidden="false" customHeight="false" outlineLevel="0" collapsed="false">
      <c r="A68" s="23" t="n">
        <v>64</v>
      </c>
      <c r="B68" s="24" t="s">
        <v>129</v>
      </c>
      <c r="C68" s="25" t="s">
        <v>131</v>
      </c>
      <c r="D68" s="26"/>
      <c r="E68" s="25"/>
      <c r="F68" s="27"/>
      <c r="G68" s="27"/>
      <c r="H68" s="26" t="n">
        <v>10</v>
      </c>
      <c r="I68" s="27" t="n">
        <v>14.3</v>
      </c>
      <c r="J68" s="25"/>
      <c r="K68" s="27"/>
      <c r="L68" s="26" t="n">
        <v>68.7</v>
      </c>
      <c r="M68" s="25"/>
      <c r="N68" s="27"/>
      <c r="O68" s="27"/>
      <c r="P68" s="25"/>
      <c r="Q68" s="25"/>
      <c r="R68" s="25"/>
      <c r="S68" s="25" t="n">
        <v>7</v>
      </c>
      <c r="T68" s="25"/>
      <c r="U68" s="26"/>
      <c r="V68" s="25"/>
      <c r="W68" s="27"/>
      <c r="X68" s="25"/>
      <c r="Y68" s="25"/>
      <c r="Z68" s="25"/>
      <c r="AA68" s="26"/>
      <c r="AB68" s="32"/>
      <c r="AC68" s="31"/>
      <c r="AD68" s="25"/>
      <c r="AE68" s="31"/>
      <c r="AF68" s="25"/>
      <c r="AG68" s="27"/>
      <c r="AH68" s="32" t="n">
        <f aca="false">SUM(D68:AG68)</f>
        <v>100</v>
      </c>
      <c r="AK68" s="25" t="n">
        <f aca="false">AVERAGE(95.24,95.5)</f>
        <v>95.37</v>
      </c>
      <c r="AL68" s="25" t="n">
        <f aca="false">AVERAGE(14.52,14.52)</f>
        <v>14.52</v>
      </c>
      <c r="AM68" s="25" t="n">
        <v>157.979</v>
      </c>
      <c r="AN68" s="25" t="n">
        <v>4.255</v>
      </c>
      <c r="AO68" s="25"/>
      <c r="AP68" s="25"/>
      <c r="AQ68" s="25"/>
      <c r="AR68" s="26"/>
      <c r="AS68" s="25"/>
    </row>
    <row r="69" customFormat="false" ht="15" hidden="false" customHeight="false" outlineLevel="0" collapsed="false">
      <c r="A69" s="23" t="n">
        <v>65</v>
      </c>
      <c r="B69" s="24" t="s">
        <v>129</v>
      </c>
      <c r="C69" s="25" t="s">
        <v>132</v>
      </c>
      <c r="D69" s="26"/>
      <c r="E69" s="25"/>
      <c r="F69" s="27"/>
      <c r="G69" s="27"/>
      <c r="H69" s="26" t="n">
        <v>10</v>
      </c>
      <c r="I69" s="27" t="n">
        <v>14.3</v>
      </c>
      <c r="J69" s="25"/>
      <c r="K69" s="27"/>
      <c r="L69" s="26" t="n">
        <v>68.7</v>
      </c>
      <c r="M69" s="25"/>
      <c r="N69" s="27"/>
      <c r="O69" s="27"/>
      <c r="P69" s="25"/>
      <c r="Q69" s="25"/>
      <c r="R69" s="25"/>
      <c r="S69" s="25"/>
      <c r="T69" s="25" t="n">
        <v>7</v>
      </c>
      <c r="U69" s="26"/>
      <c r="V69" s="25"/>
      <c r="W69" s="27"/>
      <c r="X69" s="25"/>
      <c r="Y69" s="25"/>
      <c r="Z69" s="25"/>
      <c r="AA69" s="26"/>
      <c r="AB69" s="32"/>
      <c r="AC69" s="31"/>
      <c r="AD69" s="25"/>
      <c r="AE69" s="31"/>
      <c r="AF69" s="25"/>
      <c r="AG69" s="27"/>
      <c r="AH69" s="32" t="n">
        <f aca="false">SUM(D69:AG69)</f>
        <v>100</v>
      </c>
      <c r="AK69" s="25" t="n">
        <f aca="false">AVERAGE(83.71,83.95)</f>
        <v>83.83</v>
      </c>
      <c r="AL69" s="25" t="n">
        <f aca="false">AVERAGE(12.6,12.58)</f>
        <v>12.59</v>
      </c>
      <c r="AM69" s="25" t="n">
        <v>147.848</v>
      </c>
      <c r="AN69" s="25"/>
      <c r="AO69" s="25"/>
      <c r="AP69" s="25"/>
      <c r="AQ69" s="25"/>
      <c r="AR69" s="26"/>
      <c r="AS69" s="25"/>
    </row>
    <row r="70" customFormat="false" ht="15" hidden="false" customHeight="false" outlineLevel="0" collapsed="false">
      <c r="A70" s="23" t="n">
        <v>66</v>
      </c>
      <c r="B70" s="36" t="s">
        <v>129</v>
      </c>
      <c r="C70" s="35" t="s">
        <v>133</v>
      </c>
      <c r="D70" s="44"/>
      <c r="E70" s="25"/>
      <c r="F70" s="27"/>
      <c r="G70" s="46"/>
      <c r="H70" s="44" t="n">
        <v>10</v>
      </c>
      <c r="I70" s="46" t="n">
        <v>14.3</v>
      </c>
      <c r="J70" s="25"/>
      <c r="K70" s="46"/>
      <c r="L70" s="44" t="n">
        <v>65.7</v>
      </c>
      <c r="M70" s="25"/>
      <c r="N70" s="27"/>
      <c r="O70" s="46"/>
      <c r="P70" s="35"/>
      <c r="Q70" s="35"/>
      <c r="R70" s="35"/>
      <c r="S70" s="35" t="n">
        <v>10</v>
      </c>
      <c r="T70" s="35"/>
      <c r="U70" s="44"/>
      <c r="V70" s="25"/>
      <c r="W70" s="46"/>
      <c r="X70" s="35"/>
      <c r="Y70" s="35"/>
      <c r="Z70" s="35"/>
      <c r="AA70" s="44"/>
      <c r="AB70" s="32"/>
      <c r="AC70" s="31"/>
      <c r="AD70" s="25"/>
      <c r="AE70" s="45"/>
      <c r="AF70" s="25"/>
      <c r="AG70" s="46"/>
      <c r="AH70" s="32" t="n">
        <f aca="false">SUM(D70:AG70)</f>
        <v>100</v>
      </c>
      <c r="AK70" s="35" t="n">
        <f aca="false">AVERAGE(125.7,125.53)</f>
        <v>125.615</v>
      </c>
      <c r="AL70" s="35" t="n">
        <f aca="false">AVERAGE(16.86,16.86)</f>
        <v>16.86</v>
      </c>
      <c r="AM70" s="35" t="n">
        <v>145.921</v>
      </c>
      <c r="AN70" s="35"/>
      <c r="AO70" s="35"/>
      <c r="AP70" s="35"/>
      <c r="AQ70" s="35"/>
      <c r="AR70" s="44"/>
      <c r="AS70" s="25"/>
    </row>
    <row r="71" customFormat="false" ht="15" hidden="false" customHeight="false" outlineLevel="0" collapsed="false">
      <c r="A71" s="49" t="n">
        <v>67</v>
      </c>
      <c r="B71" s="24" t="s">
        <v>134</v>
      </c>
      <c r="C71" s="25" t="s">
        <v>135</v>
      </c>
      <c r="D71" s="26"/>
      <c r="E71" s="25"/>
      <c r="F71" s="27"/>
      <c r="G71" s="27"/>
      <c r="H71" s="26" t="n">
        <v>3.75</v>
      </c>
      <c r="I71" s="27" t="n">
        <v>7.15</v>
      </c>
      <c r="J71" s="25"/>
      <c r="K71" s="27" t="n">
        <v>2.5</v>
      </c>
      <c r="L71" s="26" t="n">
        <v>31.6</v>
      </c>
      <c r="M71" s="25"/>
      <c r="N71" s="27"/>
      <c r="O71" s="27"/>
      <c r="P71" s="25"/>
      <c r="Q71" s="25"/>
      <c r="R71" s="25"/>
      <c r="S71" s="25"/>
      <c r="T71" s="25" t="n">
        <v>5</v>
      </c>
      <c r="U71" s="26"/>
      <c r="V71" s="25"/>
      <c r="W71" s="27"/>
      <c r="X71" s="25"/>
      <c r="Y71" s="25"/>
      <c r="Z71" s="25"/>
      <c r="AA71" s="26"/>
      <c r="AB71" s="32"/>
      <c r="AC71" s="31"/>
      <c r="AD71" s="25"/>
      <c r="AE71" s="31"/>
      <c r="AF71" s="25"/>
      <c r="AG71" s="27"/>
      <c r="AH71" s="32" t="n">
        <f aca="false">SUM(D71:AG71)</f>
        <v>50</v>
      </c>
      <c r="AK71" s="25" t="n">
        <f aca="false">AVERAGE(91.34,91.24)</f>
        <v>91.29</v>
      </c>
      <c r="AL71" s="25" t="n">
        <f aca="false">AVERAGE(13.39)</f>
        <v>13.39</v>
      </c>
      <c r="AM71" s="25" t="n">
        <v>147.431</v>
      </c>
      <c r="AN71" s="25"/>
      <c r="AO71" s="25"/>
      <c r="AP71" s="25"/>
      <c r="AQ71" s="25"/>
      <c r="AR71" s="26"/>
      <c r="AS71" s="25"/>
    </row>
    <row r="72" customFormat="false" ht="15" hidden="false" customHeight="false" outlineLevel="0" collapsed="false">
      <c r="A72" s="40" t="n">
        <v>68</v>
      </c>
      <c r="B72" s="24" t="s">
        <v>134</v>
      </c>
      <c r="C72" s="25" t="s">
        <v>136</v>
      </c>
      <c r="D72" s="26"/>
      <c r="E72" s="25"/>
      <c r="F72" s="27"/>
      <c r="G72" s="27" t="n">
        <v>2.5</v>
      </c>
      <c r="H72" s="26" t="n">
        <v>5</v>
      </c>
      <c r="I72" s="27" t="n">
        <v>7.15</v>
      </c>
      <c r="J72" s="25"/>
      <c r="K72" s="27"/>
      <c r="L72" s="26" t="n">
        <v>30.35</v>
      </c>
      <c r="M72" s="25"/>
      <c r="N72" s="27"/>
      <c r="O72" s="27"/>
      <c r="P72" s="25"/>
      <c r="Q72" s="25"/>
      <c r="R72" s="25"/>
      <c r="S72" s="25"/>
      <c r="T72" s="25" t="n">
        <v>5</v>
      </c>
      <c r="U72" s="26"/>
      <c r="V72" s="25"/>
      <c r="W72" s="27"/>
      <c r="X72" s="25"/>
      <c r="Y72" s="25"/>
      <c r="Z72" s="25"/>
      <c r="AA72" s="26"/>
      <c r="AB72" s="32"/>
      <c r="AC72" s="31"/>
      <c r="AD72" s="25"/>
      <c r="AE72" s="31"/>
      <c r="AF72" s="25"/>
      <c r="AG72" s="27"/>
      <c r="AH72" s="32" t="n">
        <f aca="false">SUM(D72:AG72)</f>
        <v>50</v>
      </c>
      <c r="AK72" s="25" t="s">
        <v>79</v>
      </c>
      <c r="AL72" s="25" t="n">
        <f aca="false">AVERAGE(13.15,13.15)</f>
        <v>13.15</v>
      </c>
      <c r="AM72" s="25" t="s">
        <v>79</v>
      </c>
      <c r="AN72" s="25"/>
      <c r="AO72" s="25"/>
      <c r="AP72" s="25"/>
      <c r="AQ72" s="25"/>
      <c r="AR72" s="26"/>
      <c r="AS72" s="25"/>
    </row>
    <row r="73" customFormat="false" ht="15" hidden="false" customHeight="false" outlineLevel="0" collapsed="false">
      <c r="A73" s="40" t="n">
        <v>69</v>
      </c>
      <c r="B73" s="24" t="s">
        <v>134</v>
      </c>
      <c r="C73" s="25" t="s">
        <v>137</v>
      </c>
      <c r="D73" s="26"/>
      <c r="E73" s="25"/>
      <c r="F73" s="27"/>
      <c r="G73" s="27"/>
      <c r="H73" s="26" t="n">
        <v>5</v>
      </c>
      <c r="I73" s="27" t="n">
        <v>7.15</v>
      </c>
      <c r="J73" s="25"/>
      <c r="K73" s="27"/>
      <c r="L73" s="26" t="n">
        <v>30.35</v>
      </c>
      <c r="M73" s="25"/>
      <c r="N73" s="27"/>
      <c r="O73" s="27" t="n">
        <v>2.5</v>
      </c>
      <c r="P73" s="25"/>
      <c r="Q73" s="25"/>
      <c r="R73" s="25"/>
      <c r="S73" s="25"/>
      <c r="T73" s="25" t="n">
        <v>5</v>
      </c>
      <c r="U73" s="26"/>
      <c r="V73" s="25"/>
      <c r="W73" s="27"/>
      <c r="X73" s="25"/>
      <c r="Y73" s="25"/>
      <c r="Z73" s="25"/>
      <c r="AA73" s="26"/>
      <c r="AB73" s="32"/>
      <c r="AC73" s="31"/>
      <c r="AD73" s="25"/>
      <c r="AE73" s="31"/>
      <c r="AF73" s="25"/>
      <c r="AG73" s="27"/>
      <c r="AH73" s="32" t="n">
        <f aca="false">SUM(D73:AG73)</f>
        <v>50</v>
      </c>
      <c r="AK73" s="25" t="s">
        <v>79</v>
      </c>
      <c r="AL73" s="25" t="n">
        <f aca="false">AVERAGE(13.29,13.3)</f>
        <v>13.295</v>
      </c>
      <c r="AM73" s="25" t="s">
        <v>79</v>
      </c>
      <c r="AN73" s="25"/>
      <c r="AO73" s="25"/>
      <c r="AP73" s="25"/>
      <c r="AQ73" s="25"/>
      <c r="AR73" s="26"/>
      <c r="AS73" s="25"/>
    </row>
    <row r="74" customFormat="false" ht="15" hidden="false" customHeight="false" outlineLevel="0" collapsed="false">
      <c r="A74" s="40" t="n">
        <v>70</v>
      </c>
      <c r="B74" s="24" t="s">
        <v>134</v>
      </c>
      <c r="C74" s="25" t="s">
        <v>138</v>
      </c>
      <c r="D74" s="26"/>
      <c r="E74" s="25"/>
      <c r="F74" s="27"/>
      <c r="G74" s="27" t="n">
        <v>2.5</v>
      </c>
      <c r="H74" s="26" t="n">
        <v>7.5</v>
      </c>
      <c r="I74" s="27" t="n">
        <v>14.3</v>
      </c>
      <c r="J74" s="25"/>
      <c r="K74" s="27"/>
      <c r="L74" s="26" t="n">
        <v>65.7</v>
      </c>
      <c r="M74" s="25"/>
      <c r="N74" s="27"/>
      <c r="O74" s="27"/>
      <c r="P74" s="25"/>
      <c r="Q74" s="25"/>
      <c r="R74" s="25"/>
      <c r="S74" s="25"/>
      <c r="T74" s="25" t="n">
        <v>10</v>
      </c>
      <c r="U74" s="26"/>
      <c r="V74" s="25"/>
      <c r="W74" s="27"/>
      <c r="X74" s="25"/>
      <c r="Y74" s="25"/>
      <c r="Z74" s="25"/>
      <c r="AA74" s="26"/>
      <c r="AB74" s="32"/>
      <c r="AC74" s="31"/>
      <c r="AD74" s="25"/>
      <c r="AE74" s="31"/>
      <c r="AF74" s="25"/>
      <c r="AG74" s="27"/>
      <c r="AH74" s="32" t="n">
        <f aca="false">SUM(D74:AG74)</f>
        <v>100</v>
      </c>
      <c r="AK74" s="25" t="s">
        <v>79</v>
      </c>
      <c r="AL74" s="25" t="n">
        <f aca="false">AVERAGE(13.09,13.09)</f>
        <v>13.09</v>
      </c>
      <c r="AM74" s="25" t="s">
        <v>79</v>
      </c>
      <c r="AN74" s="25"/>
      <c r="AO74" s="25"/>
      <c r="AP74" s="25"/>
      <c r="AQ74" s="25"/>
      <c r="AR74" s="26"/>
      <c r="AS74" s="25"/>
    </row>
    <row r="75" customFormat="false" ht="15" hidden="false" customHeight="false" outlineLevel="0" collapsed="false">
      <c r="A75" s="40" t="n">
        <v>71</v>
      </c>
      <c r="B75" s="24" t="s">
        <v>134</v>
      </c>
      <c r="C75" s="25" t="s">
        <v>139</v>
      </c>
      <c r="D75" s="26"/>
      <c r="E75" s="25"/>
      <c r="F75" s="27"/>
      <c r="G75" s="27" t="n">
        <v>2.5</v>
      </c>
      <c r="H75" s="26" t="n">
        <v>7.5</v>
      </c>
      <c r="I75" s="27" t="n">
        <v>14.3</v>
      </c>
      <c r="J75" s="25"/>
      <c r="K75" s="27"/>
      <c r="L75" s="26" t="n">
        <v>68.7</v>
      </c>
      <c r="M75" s="25"/>
      <c r="N75" s="27"/>
      <c r="O75" s="27"/>
      <c r="P75" s="25"/>
      <c r="Q75" s="25"/>
      <c r="R75" s="25"/>
      <c r="S75" s="25"/>
      <c r="T75" s="25" t="n">
        <v>7</v>
      </c>
      <c r="U75" s="26"/>
      <c r="V75" s="25"/>
      <c r="W75" s="27"/>
      <c r="X75" s="25"/>
      <c r="Y75" s="25"/>
      <c r="Z75" s="25"/>
      <c r="AA75" s="26"/>
      <c r="AB75" s="32"/>
      <c r="AC75" s="31"/>
      <c r="AD75" s="25"/>
      <c r="AE75" s="31"/>
      <c r="AF75" s="25"/>
      <c r="AG75" s="27"/>
      <c r="AH75" s="32" t="n">
        <f aca="false">SUM(D75:AG75)</f>
        <v>100</v>
      </c>
      <c r="AK75" s="25" t="n">
        <f aca="false">AVERAGE(81.78,81.88)</f>
        <v>81.83</v>
      </c>
      <c r="AL75" s="25" t="n">
        <f aca="false">AVERAGE(11.67,11.7)</f>
        <v>11.685</v>
      </c>
      <c r="AM75" s="25" t="n">
        <v>135.063</v>
      </c>
      <c r="AN75" s="25"/>
      <c r="AO75" s="25"/>
      <c r="AP75" s="25"/>
      <c r="AQ75" s="25"/>
      <c r="AR75" s="26"/>
      <c r="AS75" s="25"/>
    </row>
    <row r="76" customFormat="false" ht="15" hidden="false" customHeight="false" outlineLevel="0" collapsed="false">
      <c r="A76" s="40" t="n">
        <v>72</v>
      </c>
      <c r="B76" s="24" t="s">
        <v>134</v>
      </c>
      <c r="C76" s="25" t="s">
        <v>140</v>
      </c>
      <c r="D76" s="26"/>
      <c r="E76" s="25"/>
      <c r="F76" s="27"/>
      <c r="G76" s="27"/>
      <c r="H76" s="26" t="n">
        <v>10</v>
      </c>
      <c r="I76" s="27" t="n">
        <v>14.3</v>
      </c>
      <c r="J76" s="25"/>
      <c r="K76" s="27" t="n">
        <v>5</v>
      </c>
      <c r="L76" s="26" t="n">
        <v>62.7</v>
      </c>
      <c r="M76" s="25"/>
      <c r="N76" s="27"/>
      <c r="O76" s="27"/>
      <c r="P76" s="25"/>
      <c r="Q76" s="25"/>
      <c r="R76" s="25"/>
      <c r="S76" s="25" t="n">
        <v>8</v>
      </c>
      <c r="T76" s="25"/>
      <c r="U76" s="26"/>
      <c r="V76" s="25"/>
      <c r="W76" s="27"/>
      <c r="X76" s="25"/>
      <c r="Y76" s="25"/>
      <c r="Z76" s="25"/>
      <c r="AA76" s="26"/>
      <c r="AB76" s="32"/>
      <c r="AC76" s="31"/>
      <c r="AD76" s="25"/>
      <c r="AE76" s="31"/>
      <c r="AF76" s="25"/>
      <c r="AG76" s="27"/>
      <c r="AH76" s="32" t="n">
        <f aca="false">SUM(D76:AG76)</f>
        <v>100</v>
      </c>
      <c r="AK76" s="25" t="s">
        <v>79</v>
      </c>
      <c r="AL76" s="25" t="n">
        <f aca="false">AVERAGE(15.89,15.9)</f>
        <v>15.895</v>
      </c>
      <c r="AM76" s="25" t="s">
        <v>79</v>
      </c>
      <c r="AN76" s="25"/>
      <c r="AO76" s="25"/>
      <c r="AP76" s="25"/>
      <c r="AQ76" s="25"/>
      <c r="AR76" s="26"/>
      <c r="AS76" s="25"/>
    </row>
    <row r="77" customFormat="false" ht="15" hidden="false" customHeight="false" outlineLevel="0" collapsed="false">
      <c r="A77" s="40" t="n">
        <v>73</v>
      </c>
      <c r="B77" s="24" t="s">
        <v>134</v>
      </c>
      <c r="C77" s="25" t="s">
        <v>141</v>
      </c>
      <c r="D77" s="26"/>
      <c r="E77" s="25"/>
      <c r="F77" s="27"/>
      <c r="G77" s="27" t="n">
        <v>5</v>
      </c>
      <c r="H77" s="26" t="n">
        <v>5</v>
      </c>
      <c r="I77" s="27" t="n">
        <v>14.3</v>
      </c>
      <c r="J77" s="25"/>
      <c r="K77" s="27"/>
      <c r="L77" s="26" t="n">
        <v>68.7</v>
      </c>
      <c r="M77" s="25"/>
      <c r="N77" s="27"/>
      <c r="O77" s="27"/>
      <c r="P77" s="25"/>
      <c r="Q77" s="25"/>
      <c r="R77" s="25"/>
      <c r="S77" s="25" t="n">
        <v>7</v>
      </c>
      <c r="T77" s="25"/>
      <c r="U77" s="26"/>
      <c r="V77" s="25"/>
      <c r="W77" s="27"/>
      <c r="X77" s="25"/>
      <c r="Y77" s="25"/>
      <c r="Z77" s="25"/>
      <c r="AA77" s="26"/>
      <c r="AB77" s="32"/>
      <c r="AC77" s="31"/>
      <c r="AD77" s="25"/>
      <c r="AE77" s="31"/>
      <c r="AF77" s="25"/>
      <c r="AG77" s="27"/>
      <c r="AH77" s="32" t="n">
        <f aca="false">SUM(D77:AG77)</f>
        <v>100</v>
      </c>
      <c r="AK77" s="25" t="n">
        <f aca="false">AVERAGE(87.62,87.82)</f>
        <v>87.72</v>
      </c>
      <c r="AL77" s="25" t="n">
        <f aca="false">AVERAGE(13.46,13.42)</f>
        <v>13.44</v>
      </c>
      <c r="AM77" s="25" t="n">
        <v>154.821</v>
      </c>
      <c r="AN77" s="25"/>
      <c r="AO77" s="25"/>
      <c r="AP77" s="25"/>
      <c r="AQ77" s="25"/>
      <c r="AR77" s="26"/>
      <c r="AS77" s="25"/>
    </row>
    <row r="78" customFormat="false" ht="15" hidden="false" customHeight="false" outlineLevel="0" collapsed="false">
      <c r="A78" s="50" t="n">
        <v>74</v>
      </c>
      <c r="B78" s="36" t="s">
        <v>134</v>
      </c>
      <c r="C78" s="35" t="s">
        <v>142</v>
      </c>
      <c r="D78" s="44"/>
      <c r="E78" s="25"/>
      <c r="F78" s="27"/>
      <c r="G78" s="46" t="n">
        <v>2.5</v>
      </c>
      <c r="H78" s="44" t="n">
        <v>7.5</v>
      </c>
      <c r="I78" s="46" t="n">
        <v>14.3</v>
      </c>
      <c r="J78" s="25"/>
      <c r="K78" s="46" t="n">
        <v>5</v>
      </c>
      <c r="L78" s="44" t="n">
        <v>64.2</v>
      </c>
      <c r="M78" s="25"/>
      <c r="N78" s="27"/>
      <c r="O78" s="46"/>
      <c r="P78" s="35"/>
      <c r="Q78" s="35"/>
      <c r="R78" s="35"/>
      <c r="S78" s="35" t="n">
        <v>6.5</v>
      </c>
      <c r="T78" s="35"/>
      <c r="U78" s="44"/>
      <c r="V78" s="25"/>
      <c r="W78" s="46"/>
      <c r="X78" s="35"/>
      <c r="Y78" s="35"/>
      <c r="Z78" s="35"/>
      <c r="AA78" s="44"/>
      <c r="AB78" s="32"/>
      <c r="AC78" s="31"/>
      <c r="AD78" s="25"/>
      <c r="AE78" s="45"/>
      <c r="AF78" s="25"/>
      <c r="AG78" s="46"/>
      <c r="AH78" s="32" t="n">
        <f aca="false">SUM(D78:AG78)</f>
        <v>100</v>
      </c>
      <c r="AK78" s="25" t="n">
        <f aca="false">AVERAGE(92.4,92.52)</f>
        <v>92.46</v>
      </c>
      <c r="AL78" s="25" t="n">
        <f aca="false">AVERAGE(14.27,14.26)</f>
        <v>14.265</v>
      </c>
      <c r="AM78" s="25" t="n">
        <v>159.385</v>
      </c>
      <c r="AN78" s="25" t="n">
        <v>4.162</v>
      </c>
      <c r="AO78" s="25"/>
      <c r="AP78" s="25"/>
      <c r="AQ78" s="25"/>
      <c r="AR78" s="26"/>
      <c r="AS78" s="25"/>
    </row>
    <row r="79" customFormat="false" ht="15" hidden="false" customHeight="false" outlineLevel="0" collapsed="false">
      <c r="A79" s="43" t="n">
        <v>75</v>
      </c>
      <c r="B79" s="36" t="s">
        <v>134</v>
      </c>
      <c r="C79" s="35" t="s">
        <v>143</v>
      </c>
      <c r="D79" s="44"/>
      <c r="E79" s="25"/>
      <c r="F79" s="27"/>
      <c r="G79" s="46"/>
      <c r="H79" s="44" t="n">
        <v>10</v>
      </c>
      <c r="I79" s="46"/>
      <c r="J79" s="35"/>
      <c r="K79" s="46"/>
      <c r="L79" s="44" t="n">
        <v>71.3</v>
      </c>
      <c r="M79" s="25"/>
      <c r="N79" s="27"/>
      <c r="O79" s="46"/>
      <c r="P79" s="35"/>
      <c r="Q79" s="35"/>
      <c r="R79" s="35" t="n">
        <v>10</v>
      </c>
      <c r="S79" s="35"/>
      <c r="T79" s="35"/>
      <c r="U79" s="44"/>
      <c r="V79" s="25"/>
      <c r="W79" s="46"/>
      <c r="X79" s="35"/>
      <c r="Y79" s="35"/>
      <c r="Z79" s="35" t="n">
        <v>8.7</v>
      </c>
      <c r="AA79" s="44"/>
      <c r="AB79" s="32"/>
      <c r="AC79" s="31"/>
      <c r="AD79" s="25"/>
      <c r="AE79" s="45"/>
      <c r="AF79" s="25"/>
      <c r="AG79" s="46"/>
      <c r="AH79" s="32" t="n">
        <f aca="false">SUM(D79:AG79)</f>
        <v>100</v>
      </c>
      <c r="AK79" s="35" t="n">
        <f aca="false">AVERAGE(85.2,85.18)</f>
        <v>85.19</v>
      </c>
      <c r="AL79" s="35" t="n">
        <f aca="false">AVERAGE(13.1,13.07)</f>
        <v>13.085</v>
      </c>
      <c r="AM79" s="35" t="n">
        <v>154.027</v>
      </c>
      <c r="AN79" s="35"/>
      <c r="AO79" s="35"/>
      <c r="AP79" s="35"/>
      <c r="AQ79" s="35"/>
      <c r="AR79" s="44"/>
      <c r="AS79" s="25"/>
    </row>
    <row r="80" customFormat="false" ht="15" hidden="false" customHeight="false" outlineLevel="0" collapsed="false">
      <c r="A80" s="23" t="n">
        <v>76</v>
      </c>
      <c r="B80" s="24" t="s">
        <v>144</v>
      </c>
      <c r="C80" s="25" t="s">
        <v>145</v>
      </c>
      <c r="D80" s="26"/>
      <c r="E80" s="25"/>
      <c r="F80" s="27"/>
      <c r="G80" s="27"/>
      <c r="H80" s="25" t="n">
        <v>7.5</v>
      </c>
      <c r="I80" s="25" t="n">
        <v>14.3</v>
      </c>
      <c r="J80" s="25"/>
      <c r="K80" s="25"/>
      <c r="L80" s="26" t="n">
        <v>68.7</v>
      </c>
      <c r="M80" s="25"/>
      <c r="N80" s="27"/>
      <c r="O80" s="25" t="n">
        <v>2.5</v>
      </c>
      <c r="P80" s="25"/>
      <c r="Q80" s="25"/>
      <c r="R80" s="25"/>
      <c r="S80" s="25"/>
      <c r="T80" s="25" t="n">
        <v>7</v>
      </c>
      <c r="U80" s="26"/>
      <c r="V80" s="25"/>
      <c r="W80" s="27"/>
      <c r="X80" s="25"/>
      <c r="Y80" s="25"/>
      <c r="Z80" s="25"/>
      <c r="AA80" s="26"/>
      <c r="AB80" s="32"/>
      <c r="AC80" s="31"/>
      <c r="AD80" s="25"/>
      <c r="AE80" s="31"/>
      <c r="AF80" s="25"/>
      <c r="AG80" s="27"/>
      <c r="AH80" s="32" t="n">
        <f aca="false">SUM(D80:AG80)</f>
        <v>100</v>
      </c>
      <c r="AK80" s="25" t="n">
        <f aca="false">AVERAGE(89.17,89.5)</f>
        <v>89.335</v>
      </c>
      <c r="AL80" s="25" t="n">
        <f aca="false">AVERAGE(12.02,12)</f>
        <v>12.01</v>
      </c>
      <c r="AM80" s="25" t="n">
        <v>127.074</v>
      </c>
      <c r="AN80" s="25"/>
      <c r="AO80" s="25"/>
      <c r="AP80" s="25"/>
      <c r="AQ80" s="25"/>
      <c r="AR80" s="26"/>
      <c r="AS80" s="25"/>
    </row>
    <row r="81" customFormat="false" ht="15" hidden="false" customHeight="false" outlineLevel="0" collapsed="false">
      <c r="A81" s="23" t="n">
        <v>77</v>
      </c>
      <c r="B81" s="24" t="s">
        <v>144</v>
      </c>
      <c r="C81" s="25" t="s">
        <v>146</v>
      </c>
      <c r="D81" s="26"/>
      <c r="E81" s="25"/>
      <c r="F81" s="27"/>
      <c r="G81" s="27"/>
      <c r="H81" s="25" t="n">
        <v>5</v>
      </c>
      <c r="I81" s="25" t="n">
        <v>14.3</v>
      </c>
      <c r="J81" s="25"/>
      <c r="K81" s="25"/>
      <c r="L81" s="26" t="n">
        <v>67.7</v>
      </c>
      <c r="M81" s="25"/>
      <c r="N81" s="27"/>
      <c r="O81" s="25" t="n">
        <v>5</v>
      </c>
      <c r="P81" s="25"/>
      <c r="Q81" s="25"/>
      <c r="R81" s="25"/>
      <c r="S81" s="25"/>
      <c r="T81" s="25" t="n">
        <v>8</v>
      </c>
      <c r="U81" s="26"/>
      <c r="V81" s="25"/>
      <c r="W81" s="27"/>
      <c r="X81" s="25"/>
      <c r="Y81" s="25"/>
      <c r="Z81" s="25"/>
      <c r="AA81" s="26"/>
      <c r="AB81" s="32"/>
      <c r="AC81" s="31"/>
      <c r="AD81" s="25"/>
      <c r="AE81" s="31"/>
      <c r="AF81" s="25"/>
      <c r="AG81" s="27"/>
      <c r="AH81" s="32" t="n">
        <f aca="false">SUM(D81:AG81)</f>
        <v>100</v>
      </c>
      <c r="AK81" s="25" t="n">
        <f aca="false">AVERAGE(80.23,80.26)</f>
        <v>80.245</v>
      </c>
      <c r="AL81" s="25" t="n">
        <f aca="false">AVERAGE(11.91,11.93)</f>
        <v>11.92</v>
      </c>
      <c r="AM81" s="25" t="n">
        <v>142.804</v>
      </c>
      <c r="AN81" s="25"/>
      <c r="AO81" s="25"/>
      <c r="AP81" s="25"/>
      <c r="AQ81" s="25"/>
      <c r="AR81" s="26"/>
      <c r="AS81" s="25"/>
    </row>
    <row r="82" customFormat="false" ht="15" hidden="false" customHeight="false" outlineLevel="0" collapsed="false">
      <c r="A82" s="23" t="n">
        <v>78</v>
      </c>
      <c r="B82" s="24" t="s">
        <v>144</v>
      </c>
      <c r="C82" s="25" t="s">
        <v>147</v>
      </c>
      <c r="D82" s="26"/>
      <c r="E82" s="25"/>
      <c r="F82" s="27"/>
      <c r="G82" s="27"/>
      <c r="H82" s="25" t="n">
        <v>10</v>
      </c>
      <c r="I82" s="25"/>
      <c r="J82" s="25" t="n">
        <v>59</v>
      </c>
      <c r="K82" s="25" t="n">
        <v>28</v>
      </c>
      <c r="L82" s="26"/>
      <c r="M82" s="25"/>
      <c r="N82" s="27"/>
      <c r="O82" s="27"/>
      <c r="P82" s="25"/>
      <c r="Q82" s="25"/>
      <c r="R82" s="25"/>
      <c r="S82" s="25"/>
      <c r="T82" s="25" t="n">
        <v>3</v>
      </c>
      <c r="U82" s="26"/>
      <c r="V82" s="25"/>
      <c r="W82" s="27"/>
      <c r="X82" s="25"/>
      <c r="Y82" s="25"/>
      <c r="Z82" s="25"/>
      <c r="AA82" s="26"/>
      <c r="AB82" s="32"/>
      <c r="AC82" s="31"/>
      <c r="AD82" s="25"/>
      <c r="AE82" s="31"/>
      <c r="AF82" s="25"/>
      <c r="AG82" s="27" t="n">
        <v>8.28</v>
      </c>
      <c r="AH82" s="32" t="n">
        <f aca="false">SUM(D82:AG82)</f>
        <v>108.28</v>
      </c>
      <c r="AK82" s="25" t="s">
        <v>79</v>
      </c>
      <c r="AL82" s="25" t="n">
        <f aca="false">AVERAGE(6.9,6.9)</f>
        <v>6.9</v>
      </c>
      <c r="AM82" s="25" t="s">
        <v>79</v>
      </c>
      <c r="AN82" s="25" t="n">
        <v>2.39350667</v>
      </c>
      <c r="AO82" s="25"/>
      <c r="AP82" s="25"/>
      <c r="AQ82" s="47" t="n">
        <v>0.1187</v>
      </c>
      <c r="AR82" s="26"/>
      <c r="AS82" s="25"/>
    </row>
    <row r="83" customFormat="false" ht="15" hidden="false" customHeight="false" outlineLevel="0" collapsed="false">
      <c r="A83" s="23" t="n">
        <v>79</v>
      </c>
      <c r="B83" s="24" t="s">
        <v>144</v>
      </c>
      <c r="C83" s="25" t="s">
        <v>148</v>
      </c>
      <c r="D83" s="26"/>
      <c r="E83" s="25"/>
      <c r="F83" s="27"/>
      <c r="G83" s="27" t="n">
        <v>10</v>
      </c>
      <c r="H83" s="25"/>
      <c r="I83" s="25"/>
      <c r="J83" s="25" t="n">
        <v>59</v>
      </c>
      <c r="K83" s="25" t="n">
        <v>28</v>
      </c>
      <c r="L83" s="26"/>
      <c r="M83" s="25"/>
      <c r="N83" s="27"/>
      <c r="O83" s="27"/>
      <c r="P83" s="25"/>
      <c r="Q83" s="25"/>
      <c r="R83" s="25"/>
      <c r="S83" s="25"/>
      <c r="T83" s="25" t="n">
        <v>3</v>
      </c>
      <c r="U83" s="26"/>
      <c r="V83" s="25"/>
      <c r="W83" s="27"/>
      <c r="X83" s="25"/>
      <c r="Y83" s="25"/>
      <c r="Z83" s="25"/>
      <c r="AA83" s="26"/>
      <c r="AB83" s="32"/>
      <c r="AC83" s="31"/>
      <c r="AD83" s="25"/>
      <c r="AE83" s="31"/>
      <c r="AF83" s="25"/>
      <c r="AG83" s="27" t="n">
        <v>8.28</v>
      </c>
      <c r="AH83" s="32" t="n">
        <f aca="false">SUM(D83:AG83)</f>
        <v>108.28</v>
      </c>
      <c r="AK83" s="25" t="s">
        <v>79</v>
      </c>
      <c r="AL83" s="25" t="n">
        <f aca="false">AVERAGE(6.21,6.22)</f>
        <v>6.215</v>
      </c>
      <c r="AM83" s="25" t="s">
        <v>79</v>
      </c>
      <c r="AN83" s="25" t="n">
        <v>2.301725</v>
      </c>
      <c r="AO83" s="25"/>
      <c r="AP83" s="25"/>
      <c r="AQ83" s="47" t="n">
        <v>0.1297</v>
      </c>
      <c r="AR83" s="26"/>
      <c r="AS83" s="25"/>
    </row>
    <row r="84" customFormat="false" ht="15" hidden="false" customHeight="false" outlineLevel="0" collapsed="false">
      <c r="A84" s="23" t="n">
        <v>80</v>
      </c>
      <c r="B84" s="24" t="s">
        <v>144</v>
      </c>
      <c r="C84" s="25" t="s">
        <v>149</v>
      </c>
      <c r="D84" s="26"/>
      <c r="E84" s="25"/>
      <c r="F84" s="27"/>
      <c r="G84" s="27" t="n">
        <v>5</v>
      </c>
      <c r="H84" s="25" t="n">
        <v>5</v>
      </c>
      <c r="I84" s="25"/>
      <c r="J84" s="25" t="n">
        <v>59</v>
      </c>
      <c r="K84" s="25" t="n">
        <v>28</v>
      </c>
      <c r="L84" s="26"/>
      <c r="M84" s="25"/>
      <c r="N84" s="27"/>
      <c r="O84" s="27"/>
      <c r="P84" s="25"/>
      <c r="Q84" s="25"/>
      <c r="R84" s="25"/>
      <c r="S84" s="25"/>
      <c r="T84" s="25" t="n">
        <v>3</v>
      </c>
      <c r="U84" s="26"/>
      <c r="V84" s="25"/>
      <c r="W84" s="27"/>
      <c r="X84" s="25"/>
      <c r="Y84" s="25"/>
      <c r="Z84" s="25"/>
      <c r="AA84" s="26"/>
      <c r="AB84" s="32"/>
      <c r="AC84" s="31"/>
      <c r="AD84" s="25"/>
      <c r="AE84" s="31"/>
      <c r="AF84" s="25"/>
      <c r="AG84" s="27" t="n">
        <v>8.28</v>
      </c>
      <c r="AH84" s="32" t="n">
        <f aca="false">SUM(D84:AG84)</f>
        <v>108.28</v>
      </c>
      <c r="AK84" s="25" t="s">
        <v>79</v>
      </c>
      <c r="AL84" s="25" t="n">
        <f aca="false">AVERAGE(6.51,6.51)</f>
        <v>6.51</v>
      </c>
      <c r="AM84" s="25" t="s">
        <v>79</v>
      </c>
      <c r="AN84" s="25" t="n">
        <v>2.310815</v>
      </c>
      <c r="AO84" s="25"/>
      <c r="AP84" s="25"/>
      <c r="AQ84" s="47" t="n">
        <v>0.1308</v>
      </c>
      <c r="AR84" s="26"/>
      <c r="AS84" s="25"/>
    </row>
    <row r="85" customFormat="false" ht="15" hidden="false" customHeight="false" outlineLevel="0" collapsed="false">
      <c r="A85" s="23" t="n">
        <v>81</v>
      </c>
      <c r="B85" s="24" t="s">
        <v>144</v>
      </c>
      <c r="C85" s="25" t="s">
        <v>150</v>
      </c>
      <c r="D85" s="26"/>
      <c r="E85" s="25"/>
      <c r="F85" s="27"/>
      <c r="G85" s="27"/>
      <c r="H85" s="25"/>
      <c r="I85" s="25"/>
      <c r="J85" s="25" t="n">
        <v>59</v>
      </c>
      <c r="K85" s="25" t="n">
        <v>28</v>
      </c>
      <c r="L85" s="26"/>
      <c r="M85" s="25"/>
      <c r="N85" s="27"/>
      <c r="O85" s="25" t="n">
        <v>10</v>
      </c>
      <c r="P85" s="25"/>
      <c r="Q85" s="25"/>
      <c r="R85" s="25"/>
      <c r="S85" s="25"/>
      <c r="T85" s="25" t="n">
        <v>3</v>
      </c>
      <c r="U85" s="26"/>
      <c r="V85" s="25"/>
      <c r="W85" s="27"/>
      <c r="X85" s="25"/>
      <c r="Y85" s="25"/>
      <c r="Z85" s="25"/>
      <c r="AA85" s="26"/>
      <c r="AB85" s="32"/>
      <c r="AC85" s="31"/>
      <c r="AD85" s="25"/>
      <c r="AE85" s="31"/>
      <c r="AF85" s="25"/>
      <c r="AG85" s="27" t="n">
        <v>8.28</v>
      </c>
      <c r="AH85" s="32" t="n">
        <f aca="false">SUM(D85:AG85)</f>
        <v>108.28</v>
      </c>
      <c r="AK85" s="25" t="s">
        <v>79</v>
      </c>
      <c r="AL85" s="25" t="n">
        <f aca="false">AVERAGE(6.36,6.37)</f>
        <v>6.365</v>
      </c>
      <c r="AM85" s="25" t="s">
        <v>79</v>
      </c>
      <c r="AN85" s="25" t="n">
        <v>2.3404</v>
      </c>
      <c r="AO85" s="25"/>
      <c r="AP85" s="25"/>
      <c r="AQ85" s="47" t="n">
        <v>0.1125</v>
      </c>
      <c r="AR85" s="26"/>
      <c r="AS85" s="25"/>
    </row>
    <row r="86" customFormat="false" ht="15" hidden="false" customHeight="false" outlineLevel="0" collapsed="false">
      <c r="A86" s="23" t="n">
        <v>82</v>
      </c>
      <c r="B86" s="24" t="s">
        <v>144</v>
      </c>
      <c r="C86" s="25" t="s">
        <v>151</v>
      </c>
      <c r="D86" s="26"/>
      <c r="E86" s="25"/>
      <c r="F86" s="27"/>
      <c r="G86" s="27"/>
      <c r="H86" s="25" t="n">
        <v>10</v>
      </c>
      <c r="I86" s="25"/>
      <c r="J86" s="25" t="n">
        <v>58</v>
      </c>
      <c r="K86" s="25" t="n">
        <v>26</v>
      </c>
      <c r="L86" s="26"/>
      <c r="M86" s="25"/>
      <c r="N86" s="27"/>
      <c r="O86" s="27"/>
      <c r="P86" s="25"/>
      <c r="Q86" s="25"/>
      <c r="R86" s="25"/>
      <c r="S86" s="25"/>
      <c r="T86" s="25" t="n">
        <v>6</v>
      </c>
      <c r="U86" s="26"/>
      <c r="V86" s="25"/>
      <c r="W86" s="27"/>
      <c r="X86" s="25"/>
      <c r="Y86" s="25"/>
      <c r="Z86" s="25"/>
      <c r="AA86" s="26"/>
      <c r="AB86" s="32"/>
      <c r="AC86" s="31"/>
      <c r="AD86" s="25"/>
      <c r="AE86" s="31"/>
      <c r="AF86" s="25"/>
      <c r="AG86" s="27" t="n">
        <v>8.28</v>
      </c>
      <c r="AH86" s="32" t="n">
        <f aca="false">SUM(D86:AG86)</f>
        <v>108.28</v>
      </c>
      <c r="AK86" s="25" t="s">
        <v>79</v>
      </c>
      <c r="AL86" s="25" t="n">
        <f aca="false">AVERAGE(7.52,7.52)</f>
        <v>7.52</v>
      </c>
      <c r="AM86" s="25" t="s">
        <v>79</v>
      </c>
      <c r="AN86" s="25" t="n">
        <v>2.4986</v>
      </c>
      <c r="AO86" s="25"/>
      <c r="AP86" s="25"/>
      <c r="AQ86" s="47" t="n">
        <v>0.1187</v>
      </c>
      <c r="AR86" s="26"/>
      <c r="AS86" s="25"/>
    </row>
    <row r="87" customFormat="false" ht="15" hidden="false" customHeight="false" outlineLevel="0" collapsed="false">
      <c r="A87" s="43" t="n">
        <v>83</v>
      </c>
      <c r="B87" s="36" t="s">
        <v>144</v>
      </c>
      <c r="C87" s="35" t="s">
        <v>152</v>
      </c>
      <c r="D87" s="44"/>
      <c r="E87" s="25"/>
      <c r="F87" s="27"/>
      <c r="G87" s="46"/>
      <c r="H87" s="35" t="n">
        <v>10</v>
      </c>
      <c r="I87" s="35"/>
      <c r="J87" s="35" t="n">
        <v>57</v>
      </c>
      <c r="K87" s="35" t="n">
        <v>26</v>
      </c>
      <c r="L87" s="44"/>
      <c r="M87" s="25"/>
      <c r="N87" s="27"/>
      <c r="O87" s="46"/>
      <c r="P87" s="35"/>
      <c r="Q87" s="35"/>
      <c r="R87" s="35"/>
      <c r="S87" s="35"/>
      <c r="T87" s="35" t="n">
        <v>7</v>
      </c>
      <c r="U87" s="44"/>
      <c r="V87" s="25"/>
      <c r="W87" s="46"/>
      <c r="X87" s="35"/>
      <c r="Y87" s="35"/>
      <c r="Z87" s="35"/>
      <c r="AA87" s="44"/>
      <c r="AB87" s="32"/>
      <c r="AC87" s="31"/>
      <c r="AD87" s="25"/>
      <c r="AE87" s="45"/>
      <c r="AF87" s="25"/>
      <c r="AG87" s="46" t="n">
        <v>8.28</v>
      </c>
      <c r="AH87" s="32" t="n">
        <f aca="false">SUM(D87:AG87)</f>
        <v>108.28</v>
      </c>
      <c r="AK87" s="25" t="n">
        <f aca="false">AVERAGE(42.95,42.98)</f>
        <v>42.965</v>
      </c>
      <c r="AL87" s="25" t="n">
        <f aca="false">AVERAGE(8.26,8.2)</f>
        <v>8.23</v>
      </c>
      <c r="AM87" s="25" t="n">
        <v>169.797</v>
      </c>
      <c r="AN87" s="25" t="n">
        <v>2.59711</v>
      </c>
      <c r="AO87" s="25"/>
      <c r="AP87" s="25"/>
      <c r="AQ87" s="47" t="n">
        <v>0.1202</v>
      </c>
      <c r="AR87" s="26"/>
      <c r="AS87" s="25"/>
    </row>
    <row r="88" customFormat="false" ht="15" hidden="false" customHeight="false" outlineLevel="0" collapsed="false">
      <c r="A88" s="23" t="n">
        <v>84</v>
      </c>
      <c r="B88" s="24" t="s">
        <v>153</v>
      </c>
      <c r="C88" s="25" t="s">
        <v>154</v>
      </c>
      <c r="D88" s="26"/>
      <c r="E88" s="25"/>
      <c r="F88" s="27"/>
      <c r="G88" s="27"/>
      <c r="H88" s="25" t="n">
        <v>10</v>
      </c>
      <c r="I88" s="25"/>
      <c r="J88" s="25" t="n">
        <v>57</v>
      </c>
      <c r="K88" s="25" t="n">
        <v>26</v>
      </c>
      <c r="L88" s="26"/>
      <c r="M88" s="25"/>
      <c r="N88" s="27"/>
      <c r="O88" s="27"/>
      <c r="P88" s="25"/>
      <c r="Q88" s="25"/>
      <c r="R88" s="25"/>
      <c r="S88" s="25"/>
      <c r="T88" s="25" t="n">
        <v>7</v>
      </c>
      <c r="U88" s="26"/>
      <c r="V88" s="25"/>
      <c r="W88" s="27"/>
      <c r="X88" s="25"/>
      <c r="Y88" s="25"/>
      <c r="Z88" s="25"/>
      <c r="AA88" s="26"/>
      <c r="AB88" s="32"/>
      <c r="AC88" s="31"/>
      <c r="AD88" s="25"/>
      <c r="AE88" s="31"/>
      <c r="AF88" s="25"/>
      <c r="AG88" s="27" t="n">
        <v>8.28</v>
      </c>
      <c r="AH88" s="32" t="n">
        <f aca="false">SUM(D88:AG88)</f>
        <v>108.28</v>
      </c>
      <c r="AK88" s="25" t="n">
        <f aca="false">AVERAGE(64.04,64.11)</f>
        <v>64.075</v>
      </c>
      <c r="AL88" s="25" t="n">
        <f aca="false">AVERAGE(11.06,11.06)</f>
        <v>11.06</v>
      </c>
      <c r="AM88" s="25" t="n">
        <v>166.052</v>
      </c>
      <c r="AN88" s="25" t="n">
        <v>3.475925</v>
      </c>
      <c r="AO88" s="25"/>
      <c r="AP88" s="25"/>
      <c r="AQ88" s="25"/>
      <c r="AR88" s="26"/>
      <c r="AS88" s="25"/>
    </row>
    <row r="89" customFormat="false" ht="15" hidden="false" customHeight="false" outlineLevel="0" collapsed="false">
      <c r="A89" s="23" t="n">
        <v>85</v>
      </c>
      <c r="B89" s="24" t="s">
        <v>153</v>
      </c>
      <c r="C89" s="25" t="s">
        <v>155</v>
      </c>
      <c r="D89" s="26"/>
      <c r="E89" s="25"/>
      <c r="F89" s="27"/>
      <c r="G89" s="27"/>
      <c r="H89" s="25" t="n">
        <v>10</v>
      </c>
      <c r="I89" s="25"/>
      <c r="J89" s="25" t="n">
        <v>56.5</v>
      </c>
      <c r="K89" s="25" t="n">
        <v>26</v>
      </c>
      <c r="L89" s="26"/>
      <c r="M89" s="25"/>
      <c r="N89" s="27"/>
      <c r="O89" s="27"/>
      <c r="P89" s="25"/>
      <c r="Q89" s="25"/>
      <c r="R89" s="25"/>
      <c r="S89" s="25"/>
      <c r="T89" s="25" t="n">
        <v>7.5</v>
      </c>
      <c r="U89" s="26"/>
      <c r="V89" s="25"/>
      <c r="W89" s="27"/>
      <c r="X89" s="25"/>
      <c r="Y89" s="25"/>
      <c r="Z89" s="25"/>
      <c r="AA89" s="26"/>
      <c r="AB89" s="32"/>
      <c r="AC89" s="31"/>
      <c r="AD89" s="25"/>
      <c r="AE89" s="31"/>
      <c r="AF89" s="25"/>
      <c r="AG89" s="27" t="n">
        <v>8.28</v>
      </c>
      <c r="AH89" s="32" t="n">
        <f aca="false">SUM(D89:AG89)</f>
        <v>108.28</v>
      </c>
      <c r="AK89" s="25" t="n">
        <f aca="false">AVERAGE(46.39,46.31)</f>
        <v>46.35</v>
      </c>
      <c r="AL89" s="25" t="n">
        <f aca="false">AVERAGE(8.04,8.05)</f>
        <v>8.045</v>
      </c>
      <c r="AM89" s="25" t="n">
        <v>146.517</v>
      </c>
      <c r="AN89" s="25" t="n">
        <v>2.74351</v>
      </c>
      <c r="AO89" s="25"/>
      <c r="AP89" s="25"/>
      <c r="AQ89" s="25"/>
      <c r="AR89" s="26"/>
      <c r="AS89" s="25"/>
    </row>
    <row r="90" customFormat="false" ht="15" hidden="false" customHeight="false" outlineLevel="0" collapsed="false">
      <c r="A90" s="23" t="n">
        <v>86</v>
      </c>
      <c r="B90" s="24" t="s">
        <v>153</v>
      </c>
      <c r="C90" s="25" t="s">
        <v>156</v>
      </c>
      <c r="D90" s="26"/>
      <c r="E90" s="25"/>
      <c r="F90" s="27"/>
      <c r="G90" s="27" t="n">
        <v>10</v>
      </c>
      <c r="H90" s="25"/>
      <c r="I90" s="25"/>
      <c r="J90" s="25" t="n">
        <v>37.55</v>
      </c>
      <c r="K90" s="25" t="n">
        <v>38</v>
      </c>
      <c r="L90" s="26"/>
      <c r="M90" s="25"/>
      <c r="N90" s="27"/>
      <c r="O90" s="27"/>
      <c r="P90" s="25"/>
      <c r="Q90" s="25"/>
      <c r="R90" s="25"/>
      <c r="S90" s="25"/>
      <c r="T90" s="25" t="n">
        <v>6</v>
      </c>
      <c r="U90" s="26"/>
      <c r="V90" s="25"/>
      <c r="W90" s="27"/>
      <c r="X90" s="25"/>
      <c r="Y90" s="25" t="n">
        <v>7.65</v>
      </c>
      <c r="Z90" s="25"/>
      <c r="AA90" s="26" t="n">
        <v>0.6</v>
      </c>
      <c r="AB90" s="32"/>
      <c r="AC90" s="31"/>
      <c r="AD90" s="25"/>
      <c r="AE90" s="31" t="n">
        <v>0.2</v>
      </c>
      <c r="AF90" s="25"/>
      <c r="AG90" s="27"/>
      <c r="AH90" s="32" t="n">
        <f aca="false">SUM(D90:AG90)</f>
        <v>100</v>
      </c>
      <c r="AK90" s="25" t="n">
        <f aca="false">AVERAGE(48.27,48.2)</f>
        <v>48.235</v>
      </c>
      <c r="AL90" s="25" t="n">
        <f aca="false">AVERAGE(8.12,8.14)</f>
        <v>8.13</v>
      </c>
      <c r="AM90" s="25" t="n">
        <v>141.441</v>
      </c>
      <c r="AN90" s="25" t="n">
        <v>2.7290775</v>
      </c>
      <c r="AO90" s="25"/>
      <c r="AP90" s="25"/>
      <c r="AQ90" s="25"/>
      <c r="AR90" s="26"/>
      <c r="AS90" s="25"/>
    </row>
    <row r="91" customFormat="false" ht="15" hidden="false" customHeight="false" outlineLevel="0" collapsed="false">
      <c r="A91" s="23" t="n">
        <v>87</v>
      </c>
      <c r="B91" s="24" t="s">
        <v>153</v>
      </c>
      <c r="C91" s="25" t="s">
        <v>157</v>
      </c>
      <c r="D91" s="26"/>
      <c r="E91" s="25"/>
      <c r="F91" s="27"/>
      <c r="G91" s="27"/>
      <c r="H91" s="25" t="n">
        <v>7.5</v>
      </c>
      <c r="I91" s="25" t="n">
        <v>14.3</v>
      </c>
      <c r="J91" s="25" t="n">
        <v>5</v>
      </c>
      <c r="K91" s="25" t="n">
        <v>62.7</v>
      </c>
      <c r="L91" s="26"/>
      <c r="M91" s="25"/>
      <c r="N91" s="27"/>
      <c r="O91" s="25" t="n">
        <v>2.5</v>
      </c>
      <c r="P91" s="25"/>
      <c r="Q91" s="25"/>
      <c r="R91" s="25"/>
      <c r="S91" s="25"/>
      <c r="T91" s="25" t="n">
        <v>8</v>
      </c>
      <c r="U91" s="26"/>
      <c r="V91" s="25"/>
      <c r="W91" s="27"/>
      <c r="X91" s="25"/>
      <c r="Y91" s="25"/>
      <c r="Z91" s="25"/>
      <c r="AA91" s="26"/>
      <c r="AB91" s="32"/>
      <c r="AC91" s="31"/>
      <c r="AD91" s="25"/>
      <c r="AE91" s="31"/>
      <c r="AF91" s="25"/>
      <c r="AG91" s="27"/>
      <c r="AH91" s="32" t="n">
        <f aca="false">SUM(D91:AG91)</f>
        <v>100</v>
      </c>
      <c r="AK91" s="25" t="n">
        <f aca="false">AVERAGE(81.8,81.65)</f>
        <v>81.725</v>
      </c>
      <c r="AL91" s="25" t="n">
        <f aca="false">AVERAGE(12.08,12.2)</f>
        <v>12.14</v>
      </c>
      <c r="AM91" s="25" t="n">
        <v>143.97</v>
      </c>
      <c r="AN91" s="25"/>
      <c r="AO91" s="25"/>
      <c r="AP91" s="25"/>
      <c r="AQ91" s="25"/>
      <c r="AR91" s="26"/>
      <c r="AS91" s="25"/>
    </row>
    <row r="92" customFormat="false" ht="15" hidden="false" customHeight="false" outlineLevel="0" collapsed="false">
      <c r="A92" s="23" t="n">
        <v>88</v>
      </c>
      <c r="B92" s="24" t="s">
        <v>153</v>
      </c>
      <c r="C92" s="25" t="s">
        <v>158</v>
      </c>
      <c r="D92" s="26"/>
      <c r="E92" s="25"/>
      <c r="F92" s="27"/>
      <c r="G92" s="27"/>
      <c r="H92" s="25" t="n">
        <v>5</v>
      </c>
      <c r="I92" s="25" t="n">
        <v>14.3</v>
      </c>
      <c r="J92" s="25" t="n">
        <v>7.5</v>
      </c>
      <c r="K92" s="25" t="n">
        <v>58.2</v>
      </c>
      <c r="L92" s="26"/>
      <c r="M92" s="25"/>
      <c r="N92" s="27"/>
      <c r="O92" s="25" t="n">
        <v>5</v>
      </c>
      <c r="P92" s="25"/>
      <c r="Q92" s="25"/>
      <c r="R92" s="25"/>
      <c r="S92" s="25"/>
      <c r="T92" s="25" t="n">
        <v>10</v>
      </c>
      <c r="U92" s="26"/>
      <c r="V92" s="25"/>
      <c r="W92" s="27"/>
      <c r="X92" s="25"/>
      <c r="Y92" s="25"/>
      <c r="Z92" s="25"/>
      <c r="AA92" s="26"/>
      <c r="AB92" s="32"/>
      <c r="AC92" s="31"/>
      <c r="AD92" s="25"/>
      <c r="AE92" s="31"/>
      <c r="AF92" s="25"/>
      <c r="AG92" s="27"/>
      <c r="AH92" s="32" t="n">
        <f aca="false">SUM(D92:AG92)</f>
        <v>100</v>
      </c>
      <c r="AK92" s="25" t="n">
        <f aca="false">AVERAGE(82.57,82.54)</f>
        <v>82.555</v>
      </c>
      <c r="AL92" s="25" t="n">
        <f aca="false">AVERAGE(11.09,11.09)</f>
        <v>11.09</v>
      </c>
      <c r="AM92" s="25" t="n">
        <v>122.248</v>
      </c>
      <c r="AN92" s="25"/>
      <c r="AO92" s="25"/>
      <c r="AP92" s="25"/>
      <c r="AQ92" s="25"/>
      <c r="AR92" s="26"/>
      <c r="AS92" s="25"/>
    </row>
    <row r="93" customFormat="false" ht="15" hidden="false" customHeight="false" outlineLevel="0" collapsed="false">
      <c r="A93" s="23" t="n">
        <v>89</v>
      </c>
      <c r="B93" s="24" t="s">
        <v>153</v>
      </c>
      <c r="C93" s="25" t="s">
        <v>159</v>
      </c>
      <c r="D93" s="26"/>
      <c r="E93" s="25"/>
      <c r="F93" s="27"/>
      <c r="G93" s="27"/>
      <c r="H93" s="25" t="n">
        <v>5</v>
      </c>
      <c r="I93" s="25" t="n">
        <v>14.3</v>
      </c>
      <c r="J93" s="25" t="n">
        <v>15</v>
      </c>
      <c r="K93" s="25" t="n">
        <v>50.7</v>
      </c>
      <c r="L93" s="26"/>
      <c r="M93" s="25"/>
      <c r="N93" s="27"/>
      <c r="O93" s="27" t="n">
        <v>5</v>
      </c>
      <c r="P93" s="25"/>
      <c r="Q93" s="25"/>
      <c r="R93" s="25"/>
      <c r="S93" s="25"/>
      <c r="T93" s="25" t="n">
        <v>10</v>
      </c>
      <c r="U93" s="26"/>
      <c r="V93" s="25"/>
      <c r="W93" s="27"/>
      <c r="X93" s="25"/>
      <c r="Y93" s="25"/>
      <c r="Z93" s="25"/>
      <c r="AA93" s="26"/>
      <c r="AB93" s="32"/>
      <c r="AC93" s="31"/>
      <c r="AD93" s="25"/>
      <c r="AE93" s="31"/>
      <c r="AF93" s="25"/>
      <c r="AG93" s="27"/>
      <c r="AH93" s="32" t="n">
        <f aca="false">SUM(D93:AG93)</f>
        <v>100</v>
      </c>
      <c r="AK93" s="25" t="n">
        <f aca="false">AVERAGE(83.31,83.49)</f>
        <v>83.4</v>
      </c>
      <c r="AL93" s="25" t="n">
        <f aca="false">AVERAGE(11.68,11.67)</f>
        <v>11.675</v>
      </c>
      <c r="AM93" s="25" t="n">
        <v>131.788</v>
      </c>
      <c r="AN93" s="25"/>
      <c r="AO93" s="25"/>
      <c r="AP93" s="25"/>
      <c r="AQ93" s="25"/>
      <c r="AR93" s="26"/>
      <c r="AS93" s="25"/>
    </row>
    <row r="94" customFormat="false" ht="15" hidden="false" customHeight="false" outlineLevel="0" collapsed="false">
      <c r="A94" s="23" t="n">
        <v>90</v>
      </c>
      <c r="B94" s="24" t="s">
        <v>153</v>
      </c>
      <c r="C94" s="25" t="s">
        <v>160</v>
      </c>
      <c r="D94" s="26"/>
      <c r="E94" s="25"/>
      <c r="F94" s="27"/>
      <c r="G94" s="27"/>
      <c r="H94" s="25" t="n">
        <v>5</v>
      </c>
      <c r="I94" s="25" t="n">
        <v>14.3</v>
      </c>
      <c r="J94" s="25" t="n">
        <v>30</v>
      </c>
      <c r="K94" s="25" t="n">
        <v>35.7</v>
      </c>
      <c r="L94" s="26"/>
      <c r="M94" s="25"/>
      <c r="N94" s="27"/>
      <c r="O94" s="27" t="n">
        <v>5</v>
      </c>
      <c r="P94" s="25"/>
      <c r="Q94" s="25"/>
      <c r="R94" s="25"/>
      <c r="S94" s="25"/>
      <c r="T94" s="25" t="n">
        <v>10</v>
      </c>
      <c r="U94" s="26"/>
      <c r="V94" s="25"/>
      <c r="W94" s="27"/>
      <c r="X94" s="25"/>
      <c r="Y94" s="25"/>
      <c r="Z94" s="25"/>
      <c r="AA94" s="26"/>
      <c r="AB94" s="32"/>
      <c r="AC94" s="31"/>
      <c r="AD94" s="25"/>
      <c r="AE94" s="31"/>
      <c r="AF94" s="25"/>
      <c r="AG94" s="27"/>
      <c r="AH94" s="32" t="n">
        <f aca="false">SUM(D94:AG94)</f>
        <v>100</v>
      </c>
      <c r="AK94" s="25" t="n">
        <f aca="false">AVERAGE(75.53,75.49)</f>
        <v>75.51</v>
      </c>
      <c r="AL94" s="25" t="n">
        <f aca="false">AVERAGE(11.78,11.73)</f>
        <v>11.755</v>
      </c>
      <c r="AM94" s="25" t="n">
        <v>150.146</v>
      </c>
      <c r="AN94" s="25"/>
      <c r="AO94" s="25"/>
      <c r="AP94" s="25"/>
      <c r="AQ94" s="25"/>
      <c r="AR94" s="26"/>
      <c r="AS94" s="25"/>
    </row>
    <row r="95" customFormat="false" ht="15" hidden="false" customHeight="false" outlineLevel="0" collapsed="false">
      <c r="A95" s="23" t="n">
        <v>91</v>
      </c>
      <c r="B95" s="24" t="s">
        <v>153</v>
      </c>
      <c r="C95" s="25" t="s">
        <v>161</v>
      </c>
      <c r="D95" s="26"/>
      <c r="E95" s="25"/>
      <c r="F95" s="27"/>
      <c r="G95" s="27"/>
      <c r="H95" s="25"/>
      <c r="I95" s="25"/>
      <c r="J95" s="25"/>
      <c r="K95" s="25"/>
      <c r="L95" s="26"/>
      <c r="M95" s="25"/>
      <c r="N95" s="27"/>
      <c r="O95" s="27"/>
      <c r="P95" s="25"/>
      <c r="Q95" s="25"/>
      <c r="R95" s="25"/>
      <c r="S95" s="25"/>
      <c r="T95" s="25" t="n">
        <v>100</v>
      </c>
      <c r="U95" s="26"/>
      <c r="V95" s="25"/>
      <c r="W95" s="27"/>
      <c r="X95" s="25"/>
      <c r="Y95" s="25"/>
      <c r="Z95" s="25"/>
      <c r="AA95" s="26"/>
      <c r="AB95" s="32"/>
      <c r="AC95" s="31"/>
      <c r="AD95" s="25"/>
      <c r="AE95" s="31"/>
      <c r="AF95" s="25"/>
      <c r="AG95" s="27"/>
      <c r="AH95" s="32" t="n">
        <f aca="false">SUM(D95:AG95)</f>
        <v>100</v>
      </c>
      <c r="AK95" s="25" t="n">
        <f aca="false">AVERAGE(1451.09,1452.25)</f>
        <v>1451.67</v>
      </c>
      <c r="AL95" s="25" t="n">
        <f aca="false">AVERAGE(153.32,153.16)</f>
        <v>153.24</v>
      </c>
      <c r="AM95" s="25" t="n">
        <v>221.099</v>
      </c>
      <c r="AN95" s="25"/>
      <c r="AO95" s="25"/>
      <c r="AP95" s="25"/>
      <c r="AQ95" s="25"/>
      <c r="AR95" s="26"/>
      <c r="AS95" s="25"/>
    </row>
    <row r="96" customFormat="false" ht="15" hidden="false" customHeight="false" outlineLevel="0" collapsed="false">
      <c r="A96" s="23" t="n">
        <v>92</v>
      </c>
      <c r="B96" s="24" t="s">
        <v>153</v>
      </c>
      <c r="C96" s="25" t="s">
        <v>162</v>
      </c>
      <c r="D96" s="26"/>
      <c r="E96" s="25"/>
      <c r="F96" s="27"/>
      <c r="G96" s="27"/>
      <c r="H96" s="25"/>
      <c r="I96" s="25"/>
      <c r="J96" s="25" t="n">
        <v>95</v>
      </c>
      <c r="K96" s="25"/>
      <c r="L96" s="26"/>
      <c r="M96" s="25"/>
      <c r="N96" s="27"/>
      <c r="O96" s="27"/>
      <c r="P96" s="25"/>
      <c r="Q96" s="25"/>
      <c r="R96" s="25"/>
      <c r="S96" s="25"/>
      <c r="T96" s="25" t="n">
        <v>5</v>
      </c>
      <c r="U96" s="26"/>
      <c r="V96" s="25"/>
      <c r="W96" s="27"/>
      <c r="X96" s="25"/>
      <c r="Y96" s="25"/>
      <c r="Z96" s="25"/>
      <c r="AA96" s="26"/>
      <c r="AB96" s="32"/>
      <c r="AC96" s="31"/>
      <c r="AD96" s="25"/>
      <c r="AE96" s="31"/>
      <c r="AF96" s="25"/>
      <c r="AG96" s="27"/>
      <c r="AH96" s="32" t="n">
        <f aca="false">SUM(D96:AG96)</f>
        <v>100</v>
      </c>
      <c r="AK96" s="25" t="s">
        <v>79</v>
      </c>
      <c r="AL96" s="25" t="n">
        <f aca="false">AVERAGE(5.24,5.23)</f>
        <v>5.235</v>
      </c>
      <c r="AM96" s="25" t="s">
        <v>79</v>
      </c>
      <c r="AN96" s="25"/>
      <c r="AO96" s="25"/>
      <c r="AP96" s="25"/>
      <c r="AQ96" s="25"/>
      <c r="AR96" s="26"/>
      <c r="AS96" s="25"/>
    </row>
    <row r="97" customFormat="false" ht="15" hidden="false" customHeight="false" outlineLevel="0" collapsed="false">
      <c r="A97" s="23" t="n">
        <v>93</v>
      </c>
      <c r="B97" s="24" t="s">
        <v>153</v>
      </c>
      <c r="C97" s="25" t="s">
        <v>163</v>
      </c>
      <c r="D97" s="26"/>
      <c r="E97" s="25"/>
      <c r="F97" s="27"/>
      <c r="G97" s="27"/>
      <c r="H97" s="25"/>
      <c r="I97" s="25"/>
      <c r="J97" s="25" t="n">
        <v>90</v>
      </c>
      <c r="K97" s="25"/>
      <c r="L97" s="26"/>
      <c r="M97" s="25"/>
      <c r="N97" s="27"/>
      <c r="O97" s="27"/>
      <c r="P97" s="25"/>
      <c r="Q97" s="25"/>
      <c r="R97" s="25"/>
      <c r="S97" s="25"/>
      <c r="T97" s="25" t="n">
        <v>10</v>
      </c>
      <c r="U97" s="26"/>
      <c r="V97" s="25"/>
      <c r="W97" s="27"/>
      <c r="X97" s="25"/>
      <c r="Y97" s="25"/>
      <c r="Z97" s="25"/>
      <c r="AA97" s="26"/>
      <c r="AB97" s="32"/>
      <c r="AC97" s="31"/>
      <c r="AD97" s="25"/>
      <c r="AE97" s="31"/>
      <c r="AF97" s="25"/>
      <c r="AG97" s="27"/>
      <c r="AH97" s="32" t="n">
        <f aca="false">SUM(D97:AG97)</f>
        <v>100</v>
      </c>
      <c r="AK97" s="25" t="s">
        <v>79</v>
      </c>
      <c r="AL97" s="25" t="n">
        <f aca="false">AVERAGE(5.8,5.81)</f>
        <v>5.805</v>
      </c>
      <c r="AM97" s="25" t="s">
        <v>79</v>
      </c>
      <c r="AN97" s="25"/>
      <c r="AO97" s="25"/>
      <c r="AP97" s="25"/>
      <c r="AQ97" s="25"/>
      <c r="AR97" s="26"/>
      <c r="AS97" s="25"/>
    </row>
    <row r="98" customFormat="false" ht="15" hidden="false" customHeight="false" outlineLevel="0" collapsed="false">
      <c r="A98" s="23" t="n">
        <v>94</v>
      </c>
      <c r="B98" s="24" t="s">
        <v>153</v>
      </c>
      <c r="C98" s="25" t="s">
        <v>164</v>
      </c>
      <c r="D98" s="26"/>
      <c r="E98" s="25"/>
      <c r="F98" s="27"/>
      <c r="G98" s="27"/>
      <c r="H98" s="25"/>
      <c r="I98" s="25"/>
      <c r="J98" s="25"/>
      <c r="K98" s="25" t="n">
        <v>95</v>
      </c>
      <c r="L98" s="26"/>
      <c r="M98" s="25"/>
      <c r="N98" s="27"/>
      <c r="O98" s="27"/>
      <c r="P98" s="25"/>
      <c r="Q98" s="25"/>
      <c r="R98" s="25"/>
      <c r="S98" s="25"/>
      <c r="T98" s="25" t="n">
        <v>5</v>
      </c>
      <c r="U98" s="26"/>
      <c r="V98" s="25"/>
      <c r="W98" s="27"/>
      <c r="X98" s="25"/>
      <c r="Y98" s="25"/>
      <c r="Z98" s="25"/>
      <c r="AA98" s="26"/>
      <c r="AB98" s="32"/>
      <c r="AC98" s="31"/>
      <c r="AD98" s="25"/>
      <c r="AE98" s="31"/>
      <c r="AF98" s="25"/>
      <c r="AG98" s="27"/>
      <c r="AH98" s="32" t="n">
        <f aca="false">SUM(D98:AG98)</f>
        <v>100</v>
      </c>
      <c r="AK98" s="25" t="s">
        <v>79</v>
      </c>
      <c r="AL98" s="25" t="n">
        <f aca="false">AVERAGE(6.95,696)</f>
        <v>351.475</v>
      </c>
      <c r="AM98" s="25" t="s">
        <v>79</v>
      </c>
      <c r="AN98" s="25"/>
      <c r="AO98" s="25"/>
      <c r="AP98" s="25"/>
      <c r="AQ98" s="25"/>
      <c r="AR98" s="26"/>
      <c r="AS98" s="25"/>
    </row>
    <row r="99" customFormat="false" ht="15" hidden="false" customHeight="false" outlineLevel="0" collapsed="false">
      <c r="A99" s="23" t="n">
        <v>95</v>
      </c>
      <c r="B99" s="24" t="s">
        <v>153</v>
      </c>
      <c r="C99" s="25" t="s">
        <v>165</v>
      </c>
      <c r="D99" s="26"/>
      <c r="E99" s="25"/>
      <c r="F99" s="27"/>
      <c r="G99" s="27"/>
      <c r="H99" s="25"/>
      <c r="I99" s="25"/>
      <c r="J99" s="25"/>
      <c r="K99" s="25" t="n">
        <v>90</v>
      </c>
      <c r="L99" s="26"/>
      <c r="M99" s="25"/>
      <c r="N99" s="27"/>
      <c r="O99" s="27"/>
      <c r="P99" s="25"/>
      <c r="Q99" s="25"/>
      <c r="R99" s="25"/>
      <c r="S99" s="25"/>
      <c r="T99" s="25" t="n">
        <v>10</v>
      </c>
      <c r="U99" s="26"/>
      <c r="V99" s="25"/>
      <c r="W99" s="27"/>
      <c r="X99" s="25"/>
      <c r="Y99" s="25"/>
      <c r="Z99" s="25"/>
      <c r="AA99" s="26"/>
      <c r="AB99" s="32"/>
      <c r="AC99" s="31"/>
      <c r="AD99" s="25"/>
      <c r="AE99" s="31"/>
      <c r="AF99" s="25"/>
      <c r="AG99" s="27"/>
      <c r="AH99" s="32" t="n">
        <f aca="false">SUM(D99:AG99)</f>
        <v>100</v>
      </c>
      <c r="AK99" s="25" t="s">
        <v>79</v>
      </c>
      <c r="AL99" s="25" t="n">
        <f aca="false">AVERAGE(7.48,7.49)</f>
        <v>7.485</v>
      </c>
      <c r="AM99" s="25" t="s">
        <v>79</v>
      </c>
      <c r="AN99" s="25"/>
      <c r="AO99" s="25"/>
      <c r="AP99" s="25"/>
      <c r="AQ99" s="25"/>
      <c r="AR99" s="26"/>
      <c r="AS99" s="25"/>
    </row>
    <row r="100" customFormat="false" ht="15" hidden="false" customHeight="false" outlineLevel="0" collapsed="false">
      <c r="A100" s="23" t="n">
        <v>96</v>
      </c>
      <c r="B100" s="24" t="s">
        <v>153</v>
      </c>
      <c r="C100" s="25" t="s">
        <v>166</v>
      </c>
      <c r="D100" s="26"/>
      <c r="E100" s="25"/>
      <c r="F100" s="27"/>
      <c r="G100" s="27"/>
      <c r="H100" s="25"/>
      <c r="I100" s="25"/>
      <c r="J100" s="25"/>
      <c r="K100" s="25"/>
      <c r="L100" s="26" t="n">
        <v>95</v>
      </c>
      <c r="M100" s="25"/>
      <c r="N100" s="27"/>
      <c r="O100" s="27"/>
      <c r="P100" s="25"/>
      <c r="Q100" s="25"/>
      <c r="R100" s="25"/>
      <c r="S100" s="25"/>
      <c r="T100" s="25" t="n">
        <v>5</v>
      </c>
      <c r="U100" s="26"/>
      <c r="V100" s="25"/>
      <c r="W100" s="27"/>
      <c r="X100" s="25"/>
      <c r="Y100" s="25"/>
      <c r="Z100" s="25"/>
      <c r="AA100" s="26"/>
      <c r="AB100" s="32"/>
      <c r="AC100" s="31"/>
      <c r="AD100" s="25"/>
      <c r="AE100" s="31"/>
      <c r="AF100" s="25"/>
      <c r="AG100" s="27"/>
      <c r="AH100" s="32" t="n">
        <f aca="false">SUM(D100:AG100)</f>
        <v>100</v>
      </c>
      <c r="AK100" s="25" t="s">
        <v>79</v>
      </c>
      <c r="AL100" s="25" t="n">
        <f aca="false">AVERAGE(8.19,8.18)</f>
        <v>8.185</v>
      </c>
      <c r="AM100" s="25" t="s">
        <v>79</v>
      </c>
      <c r="AN100" s="25"/>
      <c r="AO100" s="25"/>
      <c r="AP100" s="25"/>
      <c r="AQ100" s="25"/>
      <c r="AR100" s="26"/>
      <c r="AS100" s="25"/>
    </row>
    <row r="101" customFormat="false" ht="15" hidden="false" customHeight="false" outlineLevel="0" collapsed="false">
      <c r="A101" s="43" t="n">
        <v>97</v>
      </c>
      <c r="B101" s="36" t="s">
        <v>153</v>
      </c>
      <c r="C101" s="35" t="s">
        <v>167</v>
      </c>
      <c r="D101" s="44"/>
      <c r="E101" s="25"/>
      <c r="F101" s="27"/>
      <c r="G101" s="46"/>
      <c r="H101" s="35"/>
      <c r="I101" s="35"/>
      <c r="J101" s="35"/>
      <c r="K101" s="35"/>
      <c r="L101" s="44" t="n">
        <v>90</v>
      </c>
      <c r="M101" s="25"/>
      <c r="N101" s="27"/>
      <c r="O101" s="46"/>
      <c r="P101" s="35"/>
      <c r="Q101" s="35"/>
      <c r="R101" s="35"/>
      <c r="S101" s="35"/>
      <c r="T101" s="35" t="n">
        <v>10</v>
      </c>
      <c r="U101" s="44"/>
      <c r="V101" s="25"/>
      <c r="W101" s="46"/>
      <c r="X101" s="35"/>
      <c r="Y101" s="35"/>
      <c r="Z101" s="35"/>
      <c r="AA101" s="44"/>
      <c r="AB101" s="32"/>
      <c r="AC101" s="31"/>
      <c r="AD101" s="25"/>
      <c r="AE101" s="45"/>
      <c r="AF101" s="25"/>
      <c r="AG101" s="46"/>
      <c r="AH101" s="32" t="n">
        <f aca="false">SUM(D101:AG101)</f>
        <v>100</v>
      </c>
      <c r="AK101" s="25" t="s">
        <v>79</v>
      </c>
      <c r="AL101" s="25" t="n">
        <f aca="false">AVERAGE(8.86,8.86)</f>
        <v>8.86</v>
      </c>
      <c r="AM101" s="25" t="s">
        <v>79</v>
      </c>
      <c r="AN101" s="25"/>
      <c r="AO101" s="25"/>
      <c r="AP101" s="25"/>
      <c r="AQ101" s="25"/>
      <c r="AR101" s="26"/>
      <c r="AS101" s="25"/>
    </row>
    <row r="102" customFormat="false" ht="15" hidden="false" customHeight="false" outlineLevel="0" collapsed="false">
      <c r="A102" s="23" t="n">
        <v>98</v>
      </c>
      <c r="B102" s="24" t="s">
        <v>168</v>
      </c>
      <c r="C102" s="25" t="s">
        <v>169</v>
      </c>
      <c r="D102" s="26"/>
      <c r="E102" s="25"/>
      <c r="F102" s="27"/>
      <c r="G102" s="27"/>
      <c r="H102" s="25" t="n">
        <v>10</v>
      </c>
      <c r="I102" s="25"/>
      <c r="J102" s="25"/>
      <c r="K102" s="25" t="n">
        <v>37.55</v>
      </c>
      <c r="L102" s="26" t="n">
        <v>38.34</v>
      </c>
      <c r="M102" s="25"/>
      <c r="N102" s="27"/>
      <c r="O102" s="27"/>
      <c r="P102" s="25"/>
      <c r="Q102" s="25"/>
      <c r="R102" s="25"/>
      <c r="S102" s="25"/>
      <c r="T102" s="25" t="n">
        <v>5.83</v>
      </c>
      <c r="U102" s="26"/>
      <c r="V102" s="25"/>
      <c r="W102" s="27"/>
      <c r="X102" s="25"/>
      <c r="Y102" s="25"/>
      <c r="Z102" s="25"/>
      <c r="AA102" s="26"/>
      <c r="AB102" s="32"/>
      <c r="AC102" s="31"/>
      <c r="AD102" s="25"/>
      <c r="AE102" s="31"/>
      <c r="AF102" s="25"/>
      <c r="AG102" s="27" t="n">
        <v>8.28</v>
      </c>
      <c r="AH102" s="32" t="n">
        <f aca="false">SUM(D102:AG102)</f>
        <v>100</v>
      </c>
      <c r="AK102" s="25" t="n">
        <f aca="false">AVERAGE(62.37,62.44)</f>
        <v>62.405</v>
      </c>
      <c r="AL102" s="25" t="n">
        <f aca="false">AVERAGE(9.84,9.84)</f>
        <v>9.84</v>
      </c>
      <c r="AM102" s="25" t="n">
        <v>141.882</v>
      </c>
      <c r="AN102" s="25" t="n">
        <v>3.28400667</v>
      </c>
      <c r="AO102" s="25"/>
      <c r="AP102" s="25"/>
      <c r="AQ102" s="25"/>
      <c r="AR102" s="26"/>
      <c r="AS102" s="25"/>
    </row>
    <row r="103" customFormat="false" ht="15" hidden="false" customHeight="false" outlineLevel="0" collapsed="false">
      <c r="A103" s="23" t="n">
        <v>99</v>
      </c>
      <c r="B103" s="24" t="s">
        <v>168</v>
      </c>
      <c r="C103" s="25" t="s">
        <v>170</v>
      </c>
      <c r="D103" s="26"/>
      <c r="E103" s="25"/>
      <c r="F103" s="27"/>
      <c r="G103" s="27"/>
      <c r="H103" s="25" t="n">
        <v>10</v>
      </c>
      <c r="I103" s="25"/>
      <c r="J103" s="25"/>
      <c r="K103" s="25"/>
      <c r="L103" s="26" t="n">
        <v>73.75</v>
      </c>
      <c r="M103" s="25"/>
      <c r="N103" s="27"/>
      <c r="O103" s="27"/>
      <c r="P103" s="25"/>
      <c r="Q103" s="25"/>
      <c r="R103" s="25"/>
      <c r="S103" s="25" t="n">
        <v>7.55</v>
      </c>
      <c r="T103" s="25"/>
      <c r="U103" s="26"/>
      <c r="V103" s="25"/>
      <c r="W103" s="27"/>
      <c r="X103" s="25"/>
      <c r="Y103" s="25"/>
      <c r="Z103" s="25" t="n">
        <v>8.7</v>
      </c>
      <c r="AA103" s="26"/>
      <c r="AB103" s="32"/>
      <c r="AC103" s="31"/>
      <c r="AD103" s="25"/>
      <c r="AE103" s="31"/>
      <c r="AF103" s="25"/>
      <c r="AG103" s="27"/>
      <c r="AH103" s="32" t="n">
        <f aca="false">SUM(D103:AG103)</f>
        <v>100</v>
      </c>
      <c r="AK103" s="25" t="n">
        <f aca="false">AVERAGE(87.37,87.44)</f>
        <v>87.405</v>
      </c>
      <c r="AL103" s="25" t="n">
        <f aca="false">AVERAGE(14.38,14.37)</f>
        <v>14.375</v>
      </c>
      <c r="AM103" s="25" t="n">
        <v>171.084</v>
      </c>
      <c r="AN103" s="25" t="n">
        <v>4.0394475</v>
      </c>
      <c r="AO103" s="25"/>
      <c r="AP103" s="25"/>
      <c r="AQ103" s="25"/>
      <c r="AR103" s="26"/>
      <c r="AS103" s="25"/>
    </row>
    <row r="104" customFormat="false" ht="15" hidden="false" customHeight="false" outlineLevel="0" collapsed="false">
      <c r="A104" s="23" t="n">
        <v>100</v>
      </c>
      <c r="B104" s="24" t="s">
        <v>168</v>
      </c>
      <c r="C104" s="25" t="s">
        <v>171</v>
      </c>
      <c r="D104" s="26"/>
      <c r="E104" s="25"/>
      <c r="F104" s="27"/>
      <c r="G104" s="27"/>
      <c r="H104" s="25" t="n">
        <v>5</v>
      </c>
      <c r="I104" s="25" t="n">
        <v>14.3</v>
      </c>
      <c r="J104" s="25"/>
      <c r="K104" s="25" t="n">
        <v>40</v>
      </c>
      <c r="L104" s="26" t="n">
        <v>25.7</v>
      </c>
      <c r="M104" s="25"/>
      <c r="N104" s="27"/>
      <c r="O104" s="27" t="n">
        <v>5</v>
      </c>
      <c r="P104" s="25"/>
      <c r="Q104" s="25"/>
      <c r="R104" s="25"/>
      <c r="S104" s="25"/>
      <c r="T104" s="25" t="n">
        <v>10</v>
      </c>
      <c r="U104" s="26"/>
      <c r="V104" s="25"/>
      <c r="W104" s="27"/>
      <c r="X104" s="25"/>
      <c r="Y104" s="25"/>
      <c r="Z104" s="25"/>
      <c r="AA104" s="26"/>
      <c r="AB104" s="32"/>
      <c r="AC104" s="31"/>
      <c r="AD104" s="25"/>
      <c r="AE104" s="31"/>
      <c r="AF104" s="25"/>
      <c r="AG104" s="27"/>
      <c r="AH104" s="32" t="n">
        <f aca="false">SUM(D104:AG104)</f>
        <v>100</v>
      </c>
      <c r="AK104" s="25" t="n">
        <f aca="false">AVERAGE(75.33,75.31)</f>
        <v>75.32</v>
      </c>
      <c r="AL104" s="25" t="n">
        <f aca="false">AVERAGE(11.32,11.32)</f>
        <v>11.32</v>
      </c>
      <c r="AM104" s="25" t="n">
        <v>141.796</v>
      </c>
      <c r="AN104" s="25"/>
      <c r="AO104" s="25"/>
      <c r="AP104" s="25"/>
      <c r="AQ104" s="25"/>
      <c r="AR104" s="26"/>
      <c r="AS104" s="25"/>
    </row>
    <row r="105" customFormat="false" ht="15" hidden="false" customHeight="false" outlineLevel="0" collapsed="false">
      <c r="A105" s="23" t="n">
        <v>101</v>
      </c>
      <c r="B105" s="24" t="s">
        <v>168</v>
      </c>
      <c r="C105" s="25" t="s">
        <v>172</v>
      </c>
      <c r="D105" s="26"/>
      <c r="E105" s="25"/>
      <c r="F105" s="27"/>
      <c r="G105" s="27"/>
      <c r="H105" s="25"/>
      <c r="I105" s="25" t="n">
        <v>14.3</v>
      </c>
      <c r="J105" s="25"/>
      <c r="K105" s="25" t="n">
        <v>30</v>
      </c>
      <c r="L105" s="26" t="n">
        <v>35.7</v>
      </c>
      <c r="M105" s="25"/>
      <c r="N105" s="27"/>
      <c r="O105" s="27" t="n">
        <v>10</v>
      </c>
      <c r="P105" s="25"/>
      <c r="Q105" s="25"/>
      <c r="R105" s="25"/>
      <c r="S105" s="25"/>
      <c r="T105" s="25" t="n">
        <v>10</v>
      </c>
      <c r="U105" s="26"/>
      <c r="V105" s="25"/>
      <c r="W105" s="27"/>
      <c r="X105" s="25"/>
      <c r="Y105" s="25"/>
      <c r="Z105" s="25"/>
      <c r="AA105" s="26"/>
      <c r="AB105" s="32"/>
      <c r="AC105" s="31"/>
      <c r="AD105" s="25"/>
      <c r="AE105" s="31"/>
      <c r="AF105" s="25"/>
      <c r="AG105" s="27"/>
      <c r="AH105" s="32" t="n">
        <f aca="false">SUM(D105:AG105)</f>
        <v>100</v>
      </c>
      <c r="AK105" s="25" t="n">
        <f aca="false">AVERAGE(68.46,68.48)</f>
        <v>68.47</v>
      </c>
      <c r="AL105" s="25" t="n">
        <f aca="false">AVERAGE(10.48,10.46)</f>
        <v>10.47</v>
      </c>
      <c r="AM105" s="25" t="n">
        <v>140.171</v>
      </c>
      <c r="AN105" s="25"/>
      <c r="AO105" s="25"/>
      <c r="AP105" s="25"/>
      <c r="AQ105" s="25"/>
      <c r="AR105" s="26"/>
      <c r="AS105" s="25"/>
    </row>
    <row r="106" customFormat="false" ht="15" hidden="false" customHeight="false" outlineLevel="0" collapsed="false">
      <c r="A106" s="23" t="n">
        <v>102</v>
      </c>
      <c r="B106" s="24" t="s">
        <v>168</v>
      </c>
      <c r="C106" s="25" t="s">
        <v>173</v>
      </c>
      <c r="D106" s="26"/>
      <c r="E106" s="25"/>
      <c r="F106" s="27"/>
      <c r="G106" s="27"/>
      <c r="H106" s="25" t="n">
        <v>10</v>
      </c>
      <c r="I106" s="25"/>
      <c r="J106" s="25"/>
      <c r="K106" s="25" t="n">
        <v>38.72</v>
      </c>
      <c r="L106" s="26" t="n">
        <v>36</v>
      </c>
      <c r="M106" s="25"/>
      <c r="N106" s="27"/>
      <c r="O106" s="27"/>
      <c r="P106" s="25"/>
      <c r="Q106" s="25"/>
      <c r="R106" s="25"/>
      <c r="S106" s="25"/>
      <c r="T106" s="25" t="n">
        <v>7</v>
      </c>
      <c r="U106" s="26"/>
      <c r="V106" s="25"/>
      <c r="W106" s="27"/>
      <c r="X106" s="25"/>
      <c r="Y106" s="25"/>
      <c r="Z106" s="25"/>
      <c r="AA106" s="26"/>
      <c r="AB106" s="32"/>
      <c r="AC106" s="31"/>
      <c r="AD106" s="25"/>
      <c r="AE106" s="31"/>
      <c r="AF106" s="25"/>
      <c r="AG106" s="27" t="n">
        <v>8.28</v>
      </c>
      <c r="AH106" s="32" t="n">
        <f aca="false">SUM(D106:AG106)</f>
        <v>100</v>
      </c>
      <c r="AK106" s="25" t="n">
        <f aca="false">AVERAGE(65.98,65.55)</f>
        <v>65.765</v>
      </c>
      <c r="AL106" s="25" t="n">
        <f aca="false">AVERAGE(10.55,10.54)</f>
        <v>10.545</v>
      </c>
      <c r="AM106" s="25" t="n">
        <v>149.176</v>
      </c>
      <c r="AN106" s="25" t="n">
        <v>3.36076</v>
      </c>
      <c r="AO106" s="25"/>
      <c r="AP106" s="25"/>
      <c r="AQ106" s="25"/>
      <c r="AR106" s="26"/>
      <c r="AS106" s="25"/>
    </row>
    <row r="107" customFormat="false" ht="15" hidden="false" customHeight="false" outlineLevel="0" collapsed="false">
      <c r="A107" s="43" t="n">
        <v>103</v>
      </c>
      <c r="B107" s="36" t="s">
        <v>168</v>
      </c>
      <c r="C107" s="35" t="s">
        <v>174</v>
      </c>
      <c r="D107" s="44" t="n">
        <v>500</v>
      </c>
      <c r="E107" s="25"/>
      <c r="F107" s="27"/>
      <c r="G107" s="46"/>
      <c r="H107" s="35"/>
      <c r="I107" s="35"/>
      <c r="J107" s="35"/>
      <c r="K107" s="35" t="n">
        <v>1877.5</v>
      </c>
      <c r="L107" s="44" t="n">
        <v>1900</v>
      </c>
      <c r="M107" s="25"/>
      <c r="N107" s="27"/>
      <c r="O107" s="46"/>
      <c r="P107" s="35"/>
      <c r="Q107" s="35"/>
      <c r="R107" s="35"/>
      <c r="S107" s="35"/>
      <c r="T107" s="35"/>
      <c r="U107" s="44"/>
      <c r="V107" s="25"/>
      <c r="W107" s="46"/>
      <c r="X107" s="35"/>
      <c r="Y107" s="35" t="n">
        <v>382.5</v>
      </c>
      <c r="Z107" s="35"/>
      <c r="AA107" s="44" t="n">
        <v>30</v>
      </c>
      <c r="AB107" s="32"/>
      <c r="AC107" s="31"/>
      <c r="AD107" s="25"/>
      <c r="AE107" s="45" t="n">
        <v>10</v>
      </c>
      <c r="AF107" s="25"/>
      <c r="AG107" s="46"/>
      <c r="AH107" s="32" t="n">
        <f aca="false">SUM(D107:AG107)</f>
        <v>4700</v>
      </c>
      <c r="AK107" s="25" t="n">
        <f aca="false">AVERAGE(64.35,64.15)</f>
        <v>64.25</v>
      </c>
      <c r="AL107" s="25" t="n">
        <f aca="false">AVERAGE(9.74,9.72)</f>
        <v>9.73</v>
      </c>
      <c r="AM107" s="25" t="n">
        <v>133.921</v>
      </c>
      <c r="AN107" s="25" t="n">
        <v>3.475925</v>
      </c>
      <c r="AO107" s="25"/>
      <c r="AP107" s="25"/>
      <c r="AQ107" s="25"/>
      <c r="AR107" s="26"/>
      <c r="AS107" s="25"/>
    </row>
    <row r="108" customFormat="false" ht="15" hidden="false" customHeight="false" outlineLevel="0" collapsed="false">
      <c r="A108" s="23" t="n">
        <v>104</v>
      </c>
      <c r="B108" s="24" t="s">
        <v>175</v>
      </c>
      <c r="C108" s="25" t="s">
        <v>176</v>
      </c>
      <c r="D108" s="26"/>
      <c r="E108" s="25"/>
      <c r="F108" s="27"/>
      <c r="G108" s="27"/>
      <c r="H108" s="25" t="n">
        <v>5</v>
      </c>
      <c r="I108" s="25" t="n">
        <v>14.3</v>
      </c>
      <c r="J108" s="25"/>
      <c r="K108" s="25" t="n">
        <v>45</v>
      </c>
      <c r="L108" s="26" t="n">
        <v>20.7</v>
      </c>
      <c r="M108" s="25"/>
      <c r="N108" s="27"/>
      <c r="O108" s="27" t="n">
        <v>5</v>
      </c>
      <c r="P108" s="25"/>
      <c r="Q108" s="25"/>
      <c r="R108" s="25"/>
      <c r="S108" s="25"/>
      <c r="T108" s="25" t="n">
        <v>10</v>
      </c>
      <c r="U108" s="26"/>
      <c r="V108" s="25"/>
      <c r="W108" s="27"/>
      <c r="X108" s="25"/>
      <c r="Y108" s="25"/>
      <c r="Z108" s="25"/>
      <c r="AA108" s="26"/>
      <c r="AB108" s="32"/>
      <c r="AC108" s="31"/>
      <c r="AD108" s="25"/>
      <c r="AE108" s="31"/>
      <c r="AF108" s="25"/>
      <c r="AG108" s="27"/>
      <c r="AH108" s="32" t="n">
        <f aca="false">SUM(D108:AG108)</f>
        <v>100</v>
      </c>
      <c r="AK108" s="25" t="n">
        <f aca="false">AVERAGE(74.4,74.45)</f>
        <v>74.425</v>
      </c>
      <c r="AL108" s="25" t="s">
        <v>79</v>
      </c>
      <c r="AM108" s="25" t="s">
        <v>79</v>
      </c>
      <c r="AN108" s="25"/>
      <c r="AO108" s="25"/>
      <c r="AP108" s="25"/>
      <c r="AQ108" s="25"/>
      <c r="AR108" s="26"/>
      <c r="AS108" s="25"/>
    </row>
    <row r="109" customFormat="false" ht="15" hidden="false" customHeight="false" outlineLevel="0" collapsed="false">
      <c r="A109" s="23" t="n">
        <v>105</v>
      </c>
      <c r="B109" s="24" t="s">
        <v>175</v>
      </c>
      <c r="C109" s="25" t="s">
        <v>177</v>
      </c>
      <c r="D109" s="26"/>
      <c r="E109" s="25"/>
      <c r="F109" s="27"/>
      <c r="G109" s="27"/>
      <c r="H109" s="25" t="n">
        <v>5</v>
      </c>
      <c r="I109" s="25" t="n">
        <v>14.3</v>
      </c>
      <c r="J109" s="25"/>
      <c r="K109" s="25" t="n">
        <v>50</v>
      </c>
      <c r="L109" s="26" t="n">
        <v>15.7</v>
      </c>
      <c r="M109" s="25"/>
      <c r="N109" s="27"/>
      <c r="O109" s="27" t="n">
        <v>5</v>
      </c>
      <c r="P109" s="25"/>
      <c r="Q109" s="25"/>
      <c r="R109" s="25"/>
      <c r="S109" s="25"/>
      <c r="T109" s="25" t="n">
        <v>10</v>
      </c>
      <c r="U109" s="26"/>
      <c r="V109" s="25"/>
      <c r="W109" s="27"/>
      <c r="X109" s="25"/>
      <c r="Y109" s="25"/>
      <c r="Z109" s="25"/>
      <c r="AA109" s="26"/>
      <c r="AB109" s="32"/>
      <c r="AC109" s="31"/>
      <c r="AD109" s="25"/>
      <c r="AE109" s="31"/>
      <c r="AF109" s="25"/>
      <c r="AG109" s="27"/>
      <c r="AH109" s="32" t="n">
        <f aca="false">SUM(D109:AG109)</f>
        <v>100</v>
      </c>
      <c r="AK109" s="25" t="n">
        <f aca="false">AVERAGE(72.83,72.75)</f>
        <v>72.79</v>
      </c>
      <c r="AL109" s="25" t="s">
        <v>79</v>
      </c>
      <c r="AM109" s="25" t="s">
        <v>79</v>
      </c>
      <c r="AN109" s="25"/>
      <c r="AO109" s="25"/>
      <c r="AP109" s="25"/>
      <c r="AQ109" s="25"/>
      <c r="AR109" s="26"/>
      <c r="AS109" s="25"/>
    </row>
    <row r="110" customFormat="false" ht="15" hidden="false" customHeight="false" outlineLevel="0" collapsed="false">
      <c r="A110" s="23" t="n">
        <v>106</v>
      </c>
      <c r="B110" s="24" t="s">
        <v>175</v>
      </c>
      <c r="C110" s="25" t="s">
        <v>178</v>
      </c>
      <c r="D110" s="26"/>
      <c r="E110" s="25"/>
      <c r="F110" s="27"/>
      <c r="G110" s="27"/>
      <c r="H110" s="25" t="n">
        <v>5</v>
      </c>
      <c r="I110" s="25" t="n">
        <v>14.3</v>
      </c>
      <c r="J110" s="25"/>
      <c r="K110" s="25" t="n">
        <v>65.7</v>
      </c>
      <c r="L110" s="26"/>
      <c r="M110" s="25"/>
      <c r="N110" s="27"/>
      <c r="O110" s="27" t="n">
        <v>5</v>
      </c>
      <c r="P110" s="25"/>
      <c r="Q110" s="25"/>
      <c r="R110" s="25"/>
      <c r="S110" s="25"/>
      <c r="T110" s="25" t="n">
        <v>10</v>
      </c>
      <c r="U110" s="26"/>
      <c r="V110" s="25"/>
      <c r="W110" s="27"/>
      <c r="X110" s="25"/>
      <c r="Y110" s="25"/>
      <c r="Z110" s="25"/>
      <c r="AA110" s="26"/>
      <c r="AB110" s="32"/>
      <c r="AC110" s="31"/>
      <c r="AD110" s="25"/>
      <c r="AE110" s="31"/>
      <c r="AF110" s="25"/>
      <c r="AG110" s="27"/>
      <c r="AH110" s="32" t="n">
        <f aca="false">SUM(D110:AG110)</f>
        <v>100</v>
      </c>
      <c r="AK110" s="25" t="n">
        <f aca="false">AVERAGE(69.96,69.97)</f>
        <v>69.965</v>
      </c>
      <c r="AL110" s="25" t="n">
        <f aca="false">AVERAGE(10.78,10.72)</f>
        <v>10.75</v>
      </c>
      <c r="AM110" s="25" t="n">
        <v>142.569</v>
      </c>
      <c r="AN110" s="25"/>
      <c r="AO110" s="25"/>
      <c r="AP110" s="25"/>
      <c r="AQ110" s="25"/>
      <c r="AR110" s="26"/>
      <c r="AS110" s="25"/>
    </row>
    <row r="111" customFormat="false" ht="15" hidden="false" customHeight="false" outlineLevel="0" collapsed="false">
      <c r="A111" s="23" t="n">
        <v>107</v>
      </c>
      <c r="B111" s="24" t="s">
        <v>175</v>
      </c>
      <c r="C111" s="25" t="s">
        <v>179</v>
      </c>
      <c r="D111" s="26"/>
      <c r="E111" s="25"/>
      <c r="F111" s="27"/>
      <c r="G111" s="27"/>
      <c r="H111" s="25"/>
      <c r="I111" s="25" t="n">
        <v>14.3</v>
      </c>
      <c r="J111" s="25"/>
      <c r="K111" s="25" t="n">
        <v>65.7</v>
      </c>
      <c r="L111" s="26"/>
      <c r="M111" s="25"/>
      <c r="N111" s="27"/>
      <c r="O111" s="27" t="n">
        <v>10</v>
      </c>
      <c r="P111" s="25"/>
      <c r="Q111" s="25"/>
      <c r="R111" s="25"/>
      <c r="S111" s="25"/>
      <c r="T111" s="25" t="n">
        <v>10</v>
      </c>
      <c r="U111" s="26"/>
      <c r="V111" s="25"/>
      <c r="W111" s="27"/>
      <c r="X111" s="25"/>
      <c r="Y111" s="25"/>
      <c r="Z111" s="25"/>
      <c r="AA111" s="26"/>
      <c r="AB111" s="32"/>
      <c r="AC111" s="31"/>
      <c r="AD111" s="25"/>
      <c r="AE111" s="31"/>
      <c r="AF111" s="25"/>
      <c r="AG111" s="27"/>
      <c r="AH111" s="32" t="n">
        <f aca="false">SUM(D111:AG111)</f>
        <v>100</v>
      </c>
      <c r="AK111" s="25" t="n">
        <f aca="false">AVERAGE(62.1,61.95)</f>
        <v>62.025</v>
      </c>
      <c r="AL111" s="25" t="n">
        <f aca="false">AVERAGE(9.91,9.98)</f>
        <v>9.945</v>
      </c>
      <c r="AM111" s="25" t="n">
        <v>145.641</v>
      </c>
      <c r="AN111" s="25"/>
      <c r="AO111" s="25"/>
      <c r="AP111" s="25"/>
      <c r="AQ111" s="25"/>
      <c r="AR111" s="26"/>
      <c r="AS111" s="25"/>
    </row>
    <row r="112" customFormat="false" ht="15" hidden="false" customHeight="false" outlineLevel="0" collapsed="false">
      <c r="A112" s="23" t="n">
        <v>108</v>
      </c>
      <c r="B112" s="24" t="s">
        <v>175</v>
      </c>
      <c r="C112" s="25" t="s">
        <v>180</v>
      </c>
      <c r="D112" s="26"/>
      <c r="E112" s="25"/>
      <c r="F112" s="27"/>
      <c r="G112" s="27"/>
      <c r="H112" s="25" t="n">
        <v>10</v>
      </c>
      <c r="I112" s="25" t="n">
        <v>14.3</v>
      </c>
      <c r="J112" s="25" t="n">
        <v>41.82</v>
      </c>
      <c r="K112" s="25" t="n">
        <v>27.88</v>
      </c>
      <c r="L112" s="26"/>
      <c r="M112" s="25"/>
      <c r="N112" s="27"/>
      <c r="O112" s="27"/>
      <c r="P112" s="25"/>
      <c r="Q112" s="25"/>
      <c r="R112" s="25"/>
      <c r="S112" s="25"/>
      <c r="T112" s="25" t="n">
        <v>6</v>
      </c>
      <c r="U112" s="26"/>
      <c r="V112" s="25"/>
      <c r="W112" s="27"/>
      <c r="X112" s="25"/>
      <c r="Y112" s="25"/>
      <c r="Z112" s="25"/>
      <c r="AA112" s="26"/>
      <c r="AB112" s="32"/>
      <c r="AC112" s="31"/>
      <c r="AD112" s="25"/>
      <c r="AE112" s="31"/>
      <c r="AF112" s="25"/>
      <c r="AG112" s="27"/>
      <c r="AH112" s="32" t="n">
        <f aca="false">SUM(D112:AG112)</f>
        <v>100</v>
      </c>
      <c r="AK112" s="25" t="n">
        <f aca="false">AVERAGE(53.42,53.46)</f>
        <v>53.44</v>
      </c>
      <c r="AL112" s="25" t="n">
        <f aca="false">AVERAGE(8.99,8.98)</f>
        <v>8.985</v>
      </c>
      <c r="AM112" s="25" t="n">
        <v>148.343</v>
      </c>
      <c r="AN112" s="25"/>
      <c r="AO112" s="25"/>
      <c r="AP112" s="25"/>
      <c r="AQ112" s="25"/>
      <c r="AR112" s="26"/>
      <c r="AS112" s="25"/>
    </row>
    <row r="113" customFormat="false" ht="15" hidden="false" customHeight="false" outlineLevel="0" collapsed="false">
      <c r="A113" s="43" t="n">
        <v>109</v>
      </c>
      <c r="B113" s="36" t="s">
        <v>175</v>
      </c>
      <c r="C113" s="35" t="s">
        <v>181</v>
      </c>
      <c r="D113" s="44"/>
      <c r="E113" s="25"/>
      <c r="F113" s="27"/>
      <c r="G113" s="46"/>
      <c r="H113" s="35" t="n">
        <v>10</v>
      </c>
      <c r="I113" s="35"/>
      <c r="J113" s="35"/>
      <c r="K113" s="35" t="n">
        <v>45.22</v>
      </c>
      <c r="L113" s="44" t="n">
        <v>30</v>
      </c>
      <c r="M113" s="25"/>
      <c r="N113" s="27"/>
      <c r="O113" s="46"/>
      <c r="P113" s="35"/>
      <c r="Q113" s="35"/>
      <c r="R113" s="35"/>
      <c r="S113" s="35"/>
      <c r="T113" s="35" t="n">
        <v>6.5</v>
      </c>
      <c r="U113" s="44"/>
      <c r="V113" s="25"/>
      <c r="W113" s="46"/>
      <c r="X113" s="35"/>
      <c r="Y113" s="35"/>
      <c r="Z113" s="35"/>
      <c r="AA113" s="44"/>
      <c r="AB113" s="32"/>
      <c r="AC113" s="31"/>
      <c r="AD113" s="25"/>
      <c r="AE113" s="45"/>
      <c r="AF113" s="25"/>
      <c r="AG113" s="46" t="n">
        <v>8.28</v>
      </c>
      <c r="AH113" s="32" t="n">
        <f aca="false">SUM(D113:AG113)</f>
        <v>100</v>
      </c>
      <c r="AK113" s="25" t="n">
        <f aca="false">AVERAGE(64.26,64.16)</f>
        <v>64.21</v>
      </c>
      <c r="AL113" s="25" t="n">
        <f aca="false">AVERAGE(9.12,9.15)</f>
        <v>9.135</v>
      </c>
      <c r="AM113" s="25" t="n">
        <v>119.236</v>
      </c>
      <c r="AN113" s="25" t="n">
        <v>3.3675</v>
      </c>
      <c r="AO113" s="25"/>
      <c r="AP113" s="25"/>
      <c r="AQ113" s="25"/>
      <c r="AR113" s="26"/>
      <c r="AS113" s="25"/>
    </row>
    <row r="114" customFormat="false" ht="15" hidden="false" customHeight="false" outlineLevel="0" collapsed="false">
      <c r="A114" s="23" t="n">
        <v>110</v>
      </c>
      <c r="B114" s="24" t="s">
        <v>182</v>
      </c>
      <c r="C114" s="25" t="s">
        <v>183</v>
      </c>
      <c r="D114" s="26"/>
      <c r="E114" s="25"/>
      <c r="F114" s="27"/>
      <c r="G114" s="27"/>
      <c r="H114" s="25" t="n">
        <v>10</v>
      </c>
      <c r="I114" s="25" t="n">
        <v>14.3</v>
      </c>
      <c r="J114" s="25" t="n">
        <v>39.42</v>
      </c>
      <c r="K114" s="25" t="n">
        <v>26.28</v>
      </c>
      <c r="L114" s="26"/>
      <c r="M114" s="25"/>
      <c r="N114" s="27"/>
      <c r="O114" s="27"/>
      <c r="P114" s="25"/>
      <c r="Q114" s="25"/>
      <c r="R114" s="25"/>
      <c r="S114" s="25"/>
      <c r="T114" s="25" t="n">
        <v>10</v>
      </c>
      <c r="U114" s="26"/>
      <c r="V114" s="25"/>
      <c r="W114" s="27"/>
      <c r="X114" s="25"/>
      <c r="Y114" s="25"/>
      <c r="Z114" s="25"/>
      <c r="AA114" s="26"/>
      <c r="AB114" s="32"/>
      <c r="AC114" s="31"/>
      <c r="AD114" s="25"/>
      <c r="AE114" s="31"/>
      <c r="AF114" s="25"/>
      <c r="AG114" s="27"/>
      <c r="AH114" s="32" t="n">
        <f aca="false">SUM(D114:AG114)</f>
        <v>100</v>
      </c>
      <c r="AK114" s="25" t="n">
        <f aca="false">AVERAGE(61.57,61.44)</f>
        <v>61.505</v>
      </c>
      <c r="AL114" s="25" t="n">
        <f aca="false">AVERAGE(9.92,9.97)</f>
        <v>9.945</v>
      </c>
      <c r="AM114" s="25" t="n">
        <v>147.213</v>
      </c>
      <c r="AN114" s="25"/>
      <c r="AO114" s="25"/>
      <c r="AP114" s="25"/>
      <c r="AQ114" s="25"/>
      <c r="AR114" s="26"/>
      <c r="AS114" s="25"/>
    </row>
    <row r="115" customFormat="false" ht="15" hidden="false" customHeight="false" outlineLevel="0" collapsed="false">
      <c r="A115" s="23" t="n">
        <v>111</v>
      </c>
      <c r="B115" s="24" t="s">
        <v>182</v>
      </c>
      <c r="C115" s="25" t="s">
        <v>184</v>
      </c>
      <c r="D115" s="26"/>
      <c r="E115" s="25"/>
      <c r="F115" s="27"/>
      <c r="G115" s="27"/>
      <c r="H115" s="25" t="n">
        <v>5</v>
      </c>
      <c r="I115" s="25" t="n">
        <v>14.3</v>
      </c>
      <c r="J115" s="25" t="n">
        <v>39.42</v>
      </c>
      <c r="K115" s="25" t="n">
        <v>26.28</v>
      </c>
      <c r="L115" s="26"/>
      <c r="M115" s="25"/>
      <c r="N115" s="27"/>
      <c r="O115" s="27" t="n">
        <v>5</v>
      </c>
      <c r="P115" s="25"/>
      <c r="Q115" s="25"/>
      <c r="R115" s="25"/>
      <c r="S115" s="25"/>
      <c r="T115" s="25" t="n">
        <v>10</v>
      </c>
      <c r="U115" s="26"/>
      <c r="V115" s="25"/>
      <c r="W115" s="27"/>
      <c r="X115" s="25"/>
      <c r="Y115" s="25"/>
      <c r="Z115" s="25"/>
      <c r="AA115" s="26"/>
      <c r="AB115" s="32"/>
      <c r="AC115" s="31"/>
      <c r="AD115" s="25"/>
      <c r="AE115" s="31"/>
      <c r="AF115" s="25"/>
      <c r="AG115" s="27"/>
      <c r="AH115" s="32" t="n">
        <f aca="false">SUM(D115:AG115)</f>
        <v>100</v>
      </c>
      <c r="AK115" s="25" t="n">
        <f aca="false">AVERAGE(55.9,55.82)</f>
        <v>55.86</v>
      </c>
      <c r="AL115" s="25" t="n">
        <f aca="false">AVERAGE(9.32,9.29)</f>
        <v>9.305</v>
      </c>
      <c r="AM115" s="25" t="n">
        <v>148.747</v>
      </c>
      <c r="AN115" s="25"/>
      <c r="AO115" s="25"/>
      <c r="AP115" s="25"/>
      <c r="AQ115" s="25"/>
      <c r="AR115" s="26"/>
      <c r="AS115" s="25"/>
    </row>
    <row r="116" customFormat="false" ht="15" hidden="false" customHeight="false" outlineLevel="0" collapsed="false">
      <c r="A116" s="23" t="n">
        <v>112</v>
      </c>
      <c r="B116" s="24" t="s">
        <v>182</v>
      </c>
      <c r="C116" s="25" t="s">
        <v>185</v>
      </c>
      <c r="D116" s="26"/>
      <c r="E116" s="25"/>
      <c r="F116" s="27"/>
      <c r="G116" s="27"/>
      <c r="H116" s="25" t="n">
        <v>10</v>
      </c>
      <c r="I116" s="25" t="n">
        <v>14.3</v>
      </c>
      <c r="J116" s="25"/>
      <c r="K116" s="25" t="n">
        <v>10</v>
      </c>
      <c r="L116" s="26" t="n">
        <v>65.7</v>
      </c>
      <c r="M116" s="25"/>
      <c r="N116" s="27"/>
      <c r="O116" s="27"/>
      <c r="P116" s="25"/>
      <c r="Q116" s="25"/>
      <c r="R116" s="25"/>
      <c r="S116" s="25"/>
      <c r="T116" s="25"/>
      <c r="U116" s="26"/>
      <c r="V116" s="25"/>
      <c r="W116" s="27"/>
      <c r="X116" s="25"/>
      <c r="Y116" s="25"/>
      <c r="Z116" s="25"/>
      <c r="AA116" s="26"/>
      <c r="AB116" s="32"/>
      <c r="AC116" s="31"/>
      <c r="AD116" s="25"/>
      <c r="AE116" s="31"/>
      <c r="AF116" s="25"/>
      <c r="AG116" s="27"/>
      <c r="AH116" s="32" t="n">
        <f aca="false">SUM(D116:AG116)</f>
        <v>100</v>
      </c>
      <c r="AK116" s="25" t="n">
        <f aca="false">AVERAGE(96.02,96.02)</f>
        <v>96.02</v>
      </c>
      <c r="AL116" s="25" t="n">
        <f aca="false">AVERAGE(14.73,14.75)</f>
        <v>14.74</v>
      </c>
      <c r="AM116" s="25" t="n">
        <v>160.212</v>
      </c>
      <c r="AN116" s="25" t="n">
        <v>4.289</v>
      </c>
      <c r="AO116" s="25"/>
      <c r="AP116" s="25"/>
      <c r="AQ116" s="25"/>
      <c r="AR116" s="26"/>
      <c r="AS116" s="25"/>
    </row>
    <row r="117" customFormat="false" ht="15" hidden="false" customHeight="false" outlineLevel="0" collapsed="false">
      <c r="A117" s="23" t="n">
        <v>113</v>
      </c>
      <c r="B117" s="24" t="s">
        <v>182</v>
      </c>
      <c r="C117" s="25" t="s">
        <v>186</v>
      </c>
      <c r="D117" s="26"/>
      <c r="E117" s="25"/>
      <c r="F117" s="27"/>
      <c r="G117" s="27"/>
      <c r="H117" s="25" t="n">
        <v>10</v>
      </c>
      <c r="I117" s="25" t="n">
        <v>14.3</v>
      </c>
      <c r="J117" s="25"/>
      <c r="K117" s="25" t="n">
        <v>15</v>
      </c>
      <c r="L117" s="26" t="n">
        <v>60.7</v>
      </c>
      <c r="M117" s="25"/>
      <c r="N117" s="27"/>
      <c r="O117" s="27"/>
      <c r="P117" s="25"/>
      <c r="Q117" s="25"/>
      <c r="R117" s="25"/>
      <c r="S117" s="25"/>
      <c r="T117" s="25"/>
      <c r="U117" s="26"/>
      <c r="V117" s="25"/>
      <c r="W117" s="27"/>
      <c r="X117" s="25"/>
      <c r="Y117" s="25"/>
      <c r="Z117" s="25"/>
      <c r="AA117" s="26"/>
      <c r="AB117" s="32"/>
      <c r="AC117" s="31"/>
      <c r="AD117" s="25"/>
      <c r="AE117" s="31"/>
      <c r="AF117" s="25"/>
      <c r="AG117" s="27"/>
      <c r="AH117" s="32" t="n">
        <f aca="false">SUM(D117:AG117)</f>
        <v>100</v>
      </c>
      <c r="AK117" s="25" t="n">
        <f aca="false">AVERAGE(93.88,93.11)</f>
        <v>93.495</v>
      </c>
      <c r="AL117" s="25" t="n">
        <f aca="false">AVERAGE(14.92,14.95)</f>
        <v>14.935</v>
      </c>
      <c r="AM117" s="25" t="n">
        <v>167.813</v>
      </c>
      <c r="AN117" s="25" t="n">
        <v>4.25</v>
      </c>
      <c r="AO117" s="25"/>
      <c r="AP117" s="25"/>
      <c r="AQ117" s="25"/>
      <c r="AR117" s="26"/>
      <c r="AS117" s="25"/>
    </row>
    <row r="118" customFormat="false" ht="15" hidden="false" customHeight="false" outlineLevel="0" collapsed="false">
      <c r="A118" s="23" t="n">
        <v>114</v>
      </c>
      <c r="B118" s="24" t="s">
        <v>182</v>
      </c>
      <c r="C118" s="25" t="s">
        <v>187</v>
      </c>
      <c r="D118" s="26"/>
      <c r="E118" s="25"/>
      <c r="F118" s="27"/>
      <c r="G118" s="27"/>
      <c r="H118" s="25" t="n">
        <v>10</v>
      </c>
      <c r="I118" s="25"/>
      <c r="J118" s="25"/>
      <c r="K118" s="25" t="n">
        <v>44.72</v>
      </c>
      <c r="L118" s="26" t="n">
        <v>30</v>
      </c>
      <c r="M118" s="25"/>
      <c r="N118" s="27"/>
      <c r="O118" s="27"/>
      <c r="P118" s="25"/>
      <c r="Q118" s="25"/>
      <c r="R118" s="25"/>
      <c r="S118" s="25"/>
      <c r="T118" s="25" t="n">
        <v>7</v>
      </c>
      <c r="U118" s="26"/>
      <c r="V118" s="25"/>
      <c r="W118" s="27"/>
      <c r="X118" s="25"/>
      <c r="Y118" s="25"/>
      <c r="Z118" s="25"/>
      <c r="AA118" s="26"/>
      <c r="AB118" s="32"/>
      <c r="AC118" s="31"/>
      <c r="AD118" s="25"/>
      <c r="AE118" s="31"/>
      <c r="AF118" s="25"/>
      <c r="AG118" s="27" t="n">
        <v>8.28</v>
      </c>
      <c r="AH118" s="32" t="n">
        <f aca="false">SUM(D118:AG118)</f>
        <v>100</v>
      </c>
      <c r="AK118" s="25" t="n">
        <f aca="false">AVERAGE(62.16,62.1)</f>
        <v>62.13</v>
      </c>
      <c r="AL118" s="25" t="n">
        <f aca="false">AVERAGE(9.76,9.72)</f>
        <v>9.74</v>
      </c>
      <c r="AM118" s="25" t="n">
        <v>140.175</v>
      </c>
      <c r="AN118" s="25"/>
      <c r="AO118" s="25"/>
      <c r="AP118" s="25"/>
      <c r="AQ118" s="25"/>
      <c r="AR118" s="26"/>
      <c r="AS118" s="25"/>
    </row>
    <row r="119" customFormat="false" ht="15" hidden="false" customHeight="false" outlineLevel="0" collapsed="false">
      <c r="A119" s="23" t="n">
        <v>115</v>
      </c>
      <c r="B119" s="24" t="s">
        <v>182</v>
      </c>
      <c r="C119" s="25" t="s">
        <v>188</v>
      </c>
      <c r="D119" s="26"/>
      <c r="E119" s="25"/>
      <c r="F119" s="27"/>
      <c r="G119" s="27"/>
      <c r="H119" s="25"/>
      <c r="I119" s="25"/>
      <c r="J119" s="25"/>
      <c r="K119" s="25"/>
      <c r="L119" s="26"/>
      <c r="M119" s="25"/>
      <c r="N119" s="27"/>
      <c r="O119" s="27"/>
      <c r="P119" s="25"/>
      <c r="Q119" s="25"/>
      <c r="R119" s="25"/>
      <c r="S119" s="25" t="n">
        <v>100</v>
      </c>
      <c r="T119" s="25"/>
      <c r="U119" s="26"/>
      <c r="V119" s="25"/>
      <c r="W119" s="27"/>
      <c r="X119" s="25"/>
      <c r="Y119" s="25"/>
      <c r="Z119" s="25"/>
      <c r="AA119" s="26"/>
      <c r="AB119" s="32"/>
      <c r="AC119" s="31"/>
      <c r="AD119" s="25"/>
      <c r="AE119" s="31"/>
      <c r="AF119" s="25"/>
      <c r="AG119" s="27"/>
      <c r="AH119" s="32" t="n">
        <f aca="false">SUM(D119:AG119)</f>
        <v>100</v>
      </c>
      <c r="AK119" s="25" t="n">
        <f aca="false">AVERAGE(1591.89,1594.15)</f>
        <v>1593.02</v>
      </c>
      <c r="AL119" s="25" t="n">
        <f aca="false">AVERAGE(220.31,222.42)</f>
        <v>221.365</v>
      </c>
      <c r="AM119" s="25" t="n">
        <v>276.193</v>
      </c>
      <c r="AN119" s="25"/>
      <c r="AO119" s="25"/>
      <c r="AP119" s="25"/>
      <c r="AQ119" s="25"/>
      <c r="AR119" s="26"/>
      <c r="AS119" s="25"/>
    </row>
    <row r="120" customFormat="false" ht="15" hidden="false" customHeight="false" outlineLevel="0" collapsed="false">
      <c r="A120" s="23" t="n">
        <v>116</v>
      </c>
      <c r="B120" s="24" t="s">
        <v>182</v>
      </c>
      <c r="C120" s="25" t="s">
        <v>189</v>
      </c>
      <c r="D120" s="26"/>
      <c r="E120" s="25"/>
      <c r="F120" s="27"/>
      <c r="G120" s="27"/>
      <c r="H120" s="25"/>
      <c r="I120" s="25"/>
      <c r="J120" s="25" t="n">
        <v>95</v>
      </c>
      <c r="K120" s="25"/>
      <c r="L120" s="26"/>
      <c r="M120" s="25"/>
      <c r="N120" s="27"/>
      <c r="O120" s="27"/>
      <c r="P120" s="25"/>
      <c r="Q120" s="25"/>
      <c r="R120" s="25"/>
      <c r="S120" s="25" t="n">
        <v>5</v>
      </c>
      <c r="T120" s="25"/>
      <c r="U120" s="26"/>
      <c r="V120" s="25"/>
      <c r="W120" s="27"/>
      <c r="X120" s="25"/>
      <c r="Y120" s="25"/>
      <c r="Z120" s="25"/>
      <c r="AA120" s="26"/>
      <c r="AB120" s="32"/>
      <c r="AC120" s="31"/>
      <c r="AD120" s="25"/>
      <c r="AE120" s="31"/>
      <c r="AF120" s="25"/>
      <c r="AG120" s="27"/>
      <c r="AH120" s="32" t="n">
        <f aca="false">SUM(D120:AG120)</f>
        <v>100</v>
      </c>
      <c r="AK120" s="25" t="s">
        <v>79</v>
      </c>
      <c r="AL120" s="25" t="n">
        <f aca="false">AVERAGE(7.73,7.73)</f>
        <v>7.73</v>
      </c>
      <c r="AM120" s="25" t="s">
        <v>79</v>
      </c>
      <c r="AN120" s="25"/>
      <c r="AO120" s="25"/>
      <c r="AP120" s="25"/>
      <c r="AQ120" s="25"/>
      <c r="AR120" s="26"/>
      <c r="AS120" s="25"/>
    </row>
    <row r="121" customFormat="false" ht="15" hidden="false" customHeight="false" outlineLevel="0" collapsed="false">
      <c r="A121" s="23" t="n">
        <v>117</v>
      </c>
      <c r="B121" s="24" t="s">
        <v>182</v>
      </c>
      <c r="C121" s="25" t="s">
        <v>190</v>
      </c>
      <c r="D121" s="26"/>
      <c r="E121" s="25"/>
      <c r="F121" s="27"/>
      <c r="G121" s="27"/>
      <c r="H121" s="25"/>
      <c r="I121" s="25"/>
      <c r="J121" s="25" t="n">
        <v>90</v>
      </c>
      <c r="K121" s="25"/>
      <c r="L121" s="26"/>
      <c r="M121" s="25"/>
      <c r="N121" s="27"/>
      <c r="O121" s="27"/>
      <c r="P121" s="25"/>
      <c r="Q121" s="25"/>
      <c r="R121" s="25"/>
      <c r="S121" s="25" t="n">
        <v>10</v>
      </c>
      <c r="T121" s="25"/>
      <c r="U121" s="26"/>
      <c r="V121" s="25"/>
      <c r="W121" s="27"/>
      <c r="X121" s="25"/>
      <c r="Y121" s="25"/>
      <c r="Z121" s="25"/>
      <c r="AA121" s="26"/>
      <c r="AB121" s="32"/>
      <c r="AC121" s="31"/>
      <c r="AD121" s="25"/>
      <c r="AE121" s="31"/>
      <c r="AF121" s="25"/>
      <c r="AG121" s="27"/>
      <c r="AH121" s="32" t="n">
        <f aca="false">SUM(D121:AG121)</f>
        <v>100</v>
      </c>
      <c r="AK121" s="25" t="s">
        <v>79</v>
      </c>
      <c r="AL121" s="25" t="n">
        <f aca="false">AVERAGE(11.79,11.79)</f>
        <v>11.79</v>
      </c>
      <c r="AM121" s="25" t="s">
        <v>79</v>
      </c>
      <c r="AN121" s="25"/>
      <c r="AO121" s="25"/>
      <c r="AP121" s="25"/>
      <c r="AQ121" s="25"/>
      <c r="AR121" s="26"/>
      <c r="AS121" s="25"/>
    </row>
    <row r="122" customFormat="false" ht="15" hidden="false" customHeight="false" outlineLevel="0" collapsed="false">
      <c r="A122" s="23" t="n">
        <v>118</v>
      </c>
      <c r="B122" s="24" t="s">
        <v>182</v>
      </c>
      <c r="C122" s="25" t="s">
        <v>191</v>
      </c>
      <c r="D122" s="26"/>
      <c r="E122" s="25"/>
      <c r="F122" s="27"/>
      <c r="G122" s="27"/>
      <c r="H122" s="25"/>
      <c r="I122" s="25"/>
      <c r="J122" s="25"/>
      <c r="K122" s="25" t="n">
        <v>95</v>
      </c>
      <c r="L122" s="26"/>
      <c r="M122" s="25"/>
      <c r="N122" s="27"/>
      <c r="O122" s="27"/>
      <c r="P122" s="25"/>
      <c r="Q122" s="25"/>
      <c r="R122" s="25"/>
      <c r="S122" s="25" t="n">
        <v>5</v>
      </c>
      <c r="T122" s="25"/>
      <c r="U122" s="26"/>
      <c r="V122" s="25"/>
      <c r="W122" s="27"/>
      <c r="X122" s="25"/>
      <c r="Y122" s="25"/>
      <c r="Z122" s="25"/>
      <c r="AA122" s="26"/>
      <c r="AB122" s="32"/>
      <c r="AC122" s="31"/>
      <c r="AD122" s="25"/>
      <c r="AE122" s="31"/>
      <c r="AF122" s="25"/>
      <c r="AG122" s="27"/>
      <c r="AH122" s="32" t="n">
        <f aca="false">SUM(D122:AG122)</f>
        <v>100</v>
      </c>
      <c r="AK122" s="25" t="s">
        <v>79</v>
      </c>
      <c r="AL122" s="25" t="n">
        <f aca="false">AVERAGE(8.9,8.9)</f>
        <v>8.9</v>
      </c>
      <c r="AM122" s="25" t="s">
        <v>79</v>
      </c>
      <c r="AN122" s="25"/>
      <c r="AO122" s="25"/>
      <c r="AP122" s="25"/>
      <c r="AQ122" s="25"/>
      <c r="AR122" s="26"/>
      <c r="AS122" s="25"/>
    </row>
    <row r="123" customFormat="false" ht="15" hidden="false" customHeight="false" outlineLevel="0" collapsed="false">
      <c r="A123" s="23" t="n">
        <v>119</v>
      </c>
      <c r="B123" s="24" t="s">
        <v>182</v>
      </c>
      <c r="C123" s="25" t="s">
        <v>192</v>
      </c>
      <c r="D123" s="26"/>
      <c r="E123" s="25"/>
      <c r="F123" s="27"/>
      <c r="G123" s="27"/>
      <c r="H123" s="25"/>
      <c r="I123" s="25"/>
      <c r="J123" s="25"/>
      <c r="K123" s="25" t="n">
        <v>90</v>
      </c>
      <c r="L123" s="26"/>
      <c r="M123" s="25"/>
      <c r="N123" s="27"/>
      <c r="O123" s="27"/>
      <c r="P123" s="25"/>
      <c r="Q123" s="25"/>
      <c r="R123" s="25"/>
      <c r="S123" s="25" t="n">
        <v>10</v>
      </c>
      <c r="T123" s="25"/>
      <c r="U123" s="26"/>
      <c r="V123" s="25"/>
      <c r="W123" s="27"/>
      <c r="X123" s="25"/>
      <c r="Y123" s="25"/>
      <c r="Z123" s="25"/>
      <c r="AA123" s="26"/>
      <c r="AB123" s="32"/>
      <c r="AC123" s="31"/>
      <c r="AD123" s="25"/>
      <c r="AE123" s="31"/>
      <c r="AF123" s="25"/>
      <c r="AG123" s="27"/>
      <c r="AH123" s="32" t="n">
        <f aca="false">SUM(D123:AG123)</f>
        <v>100</v>
      </c>
      <c r="AK123" s="25" t="s">
        <v>79</v>
      </c>
      <c r="AL123" s="25" t="n">
        <f aca="false">AVERAGE(9.78,9.78)</f>
        <v>9.78</v>
      </c>
      <c r="AM123" s="25" t="s">
        <v>79</v>
      </c>
      <c r="AN123" s="25"/>
      <c r="AO123" s="25"/>
      <c r="AP123" s="25"/>
      <c r="AQ123" s="25"/>
      <c r="AR123" s="26"/>
      <c r="AS123" s="25"/>
    </row>
    <row r="124" customFormat="false" ht="15" hidden="false" customHeight="false" outlineLevel="0" collapsed="false">
      <c r="A124" s="23" t="n">
        <v>120</v>
      </c>
      <c r="B124" s="24" t="s">
        <v>182</v>
      </c>
      <c r="C124" s="25" t="s">
        <v>193</v>
      </c>
      <c r="D124" s="26"/>
      <c r="E124" s="25"/>
      <c r="F124" s="27"/>
      <c r="G124" s="27"/>
      <c r="H124" s="25"/>
      <c r="I124" s="25"/>
      <c r="J124" s="25"/>
      <c r="K124" s="25"/>
      <c r="L124" s="26" t="n">
        <v>95</v>
      </c>
      <c r="M124" s="25"/>
      <c r="N124" s="27"/>
      <c r="O124" s="27"/>
      <c r="P124" s="25"/>
      <c r="Q124" s="25"/>
      <c r="R124" s="25"/>
      <c r="S124" s="25" t="n">
        <v>5</v>
      </c>
      <c r="T124" s="25"/>
      <c r="U124" s="26"/>
      <c r="V124" s="25"/>
      <c r="W124" s="27"/>
      <c r="X124" s="25"/>
      <c r="Y124" s="25"/>
      <c r="Z124" s="25"/>
      <c r="AA124" s="26"/>
      <c r="AB124" s="32"/>
      <c r="AC124" s="31"/>
      <c r="AD124" s="25"/>
      <c r="AE124" s="31"/>
      <c r="AF124" s="25"/>
      <c r="AG124" s="27"/>
      <c r="AH124" s="32" t="n">
        <f aca="false">SUM(D124:AG124)</f>
        <v>100</v>
      </c>
      <c r="AK124" s="25" t="s">
        <v>79</v>
      </c>
      <c r="AL124" s="25" t="n">
        <f aca="false">AVERAGE(9.21,9.21)</f>
        <v>9.21</v>
      </c>
      <c r="AM124" s="25" t="s">
        <v>79</v>
      </c>
      <c r="AN124" s="25"/>
      <c r="AO124" s="25"/>
      <c r="AP124" s="25"/>
      <c r="AQ124" s="25"/>
      <c r="AR124" s="26"/>
      <c r="AS124" s="25"/>
    </row>
    <row r="125" customFormat="false" ht="15" hidden="false" customHeight="false" outlineLevel="0" collapsed="false">
      <c r="A125" s="43" t="n">
        <v>121</v>
      </c>
      <c r="B125" s="36" t="s">
        <v>182</v>
      </c>
      <c r="C125" s="35" t="s">
        <v>194</v>
      </c>
      <c r="D125" s="44"/>
      <c r="E125" s="25"/>
      <c r="F125" s="27"/>
      <c r="G125" s="46"/>
      <c r="H125" s="35"/>
      <c r="I125" s="35"/>
      <c r="J125" s="35"/>
      <c r="K125" s="35"/>
      <c r="L125" s="44" t="n">
        <v>90</v>
      </c>
      <c r="M125" s="25"/>
      <c r="N125" s="27"/>
      <c r="O125" s="46"/>
      <c r="P125" s="35"/>
      <c r="Q125" s="35"/>
      <c r="R125" s="35"/>
      <c r="S125" s="35" t="n">
        <v>10</v>
      </c>
      <c r="T125" s="35"/>
      <c r="U125" s="44"/>
      <c r="V125" s="25"/>
      <c r="W125" s="46"/>
      <c r="X125" s="35"/>
      <c r="Y125" s="35"/>
      <c r="Z125" s="35"/>
      <c r="AA125" s="44"/>
      <c r="AB125" s="32"/>
      <c r="AC125" s="31"/>
      <c r="AD125" s="25"/>
      <c r="AE125" s="45"/>
      <c r="AF125" s="25"/>
      <c r="AG125" s="46"/>
      <c r="AH125" s="32" t="n">
        <f aca="false">SUM(D125:AG125)</f>
        <v>100</v>
      </c>
      <c r="AK125" s="35" t="s">
        <v>79</v>
      </c>
      <c r="AL125" s="35" t="n">
        <f aca="false">AVERAGE(19.63,19.59)</f>
        <v>19.61</v>
      </c>
      <c r="AM125" s="35" t="s">
        <v>79</v>
      </c>
      <c r="AN125" s="35"/>
      <c r="AO125" s="35"/>
      <c r="AP125" s="35"/>
      <c r="AQ125" s="35"/>
      <c r="AR125" s="44"/>
      <c r="AS125" s="25"/>
    </row>
    <row r="126" customFormat="false" ht="15" hidden="false" customHeight="false" outlineLevel="0" collapsed="false">
      <c r="A126" s="23" t="n">
        <v>122</v>
      </c>
      <c r="B126" s="24" t="s">
        <v>195</v>
      </c>
      <c r="C126" s="25" t="s">
        <v>196</v>
      </c>
      <c r="D126" s="26" t="n">
        <v>5</v>
      </c>
      <c r="E126" s="25"/>
      <c r="F126" s="27"/>
      <c r="G126" s="27" t="n">
        <v>5</v>
      </c>
      <c r="H126" s="25"/>
      <c r="I126" s="25"/>
      <c r="J126" s="25"/>
      <c r="K126" s="25"/>
      <c r="L126" s="26" t="n">
        <v>76.55</v>
      </c>
      <c r="M126" s="25"/>
      <c r="N126" s="27"/>
      <c r="O126" s="27"/>
      <c r="P126" s="25"/>
      <c r="Q126" s="25"/>
      <c r="R126" s="25"/>
      <c r="S126" s="25"/>
      <c r="T126" s="25" t="n">
        <v>5</v>
      </c>
      <c r="U126" s="26"/>
      <c r="V126" s="25"/>
      <c r="W126" s="27"/>
      <c r="X126" s="25"/>
      <c r="Y126" s="25" t="n">
        <v>7.65</v>
      </c>
      <c r="Z126" s="25"/>
      <c r="AA126" s="26" t="n">
        <v>0.6</v>
      </c>
      <c r="AB126" s="32"/>
      <c r="AC126" s="31"/>
      <c r="AD126" s="25"/>
      <c r="AE126" s="31" t="n">
        <v>0.2</v>
      </c>
      <c r="AF126" s="25"/>
      <c r="AG126" s="27"/>
      <c r="AH126" s="32" t="n">
        <f aca="false">SUM(D126:AG126)</f>
        <v>100</v>
      </c>
      <c r="AK126" s="25" t="n">
        <f aca="false">AVERAGE(59.27,59.27)</f>
        <v>59.27</v>
      </c>
      <c r="AL126" s="25" t="n">
        <f aca="false">AVERAGE(10.14,9.96)</f>
        <v>10.05</v>
      </c>
      <c r="AM126" s="25" t="n">
        <v>156.971</v>
      </c>
      <c r="AN126" s="25"/>
      <c r="AO126" s="25"/>
      <c r="AP126" s="25"/>
      <c r="AQ126" s="25"/>
      <c r="AR126" s="26"/>
      <c r="AS126" s="25"/>
    </row>
    <row r="127" customFormat="false" ht="15" hidden="false" customHeight="false" outlineLevel="0" collapsed="false">
      <c r="A127" s="23" t="n">
        <v>123</v>
      </c>
      <c r="B127" s="24" t="s">
        <v>195</v>
      </c>
      <c r="C127" s="25" t="s">
        <v>197</v>
      </c>
      <c r="D127" s="26" t="n">
        <v>5</v>
      </c>
      <c r="E127" s="25"/>
      <c r="F127" s="27"/>
      <c r="G127" s="27" t="n">
        <v>5</v>
      </c>
      <c r="H127" s="25"/>
      <c r="I127" s="25"/>
      <c r="J127" s="25"/>
      <c r="K127" s="25"/>
      <c r="L127" s="26" t="n">
        <v>75.55</v>
      </c>
      <c r="M127" s="25"/>
      <c r="N127" s="27"/>
      <c r="O127" s="27"/>
      <c r="P127" s="25"/>
      <c r="Q127" s="25"/>
      <c r="R127" s="25"/>
      <c r="S127" s="25"/>
      <c r="T127" s="25" t="n">
        <v>6</v>
      </c>
      <c r="U127" s="26"/>
      <c r="V127" s="25"/>
      <c r="W127" s="27"/>
      <c r="X127" s="25"/>
      <c r="Y127" s="25" t="n">
        <v>7.65</v>
      </c>
      <c r="Z127" s="25"/>
      <c r="AA127" s="26" t="n">
        <v>0.6</v>
      </c>
      <c r="AB127" s="32"/>
      <c r="AC127" s="31"/>
      <c r="AD127" s="25"/>
      <c r="AE127" s="31" t="n">
        <v>0.2</v>
      </c>
      <c r="AF127" s="25"/>
      <c r="AG127" s="27"/>
      <c r="AH127" s="32" t="n">
        <f aca="false">SUM(D127:AG127)</f>
        <v>100</v>
      </c>
      <c r="AK127" s="25" t="n">
        <f aca="false">AVERAGE(62.04,61.9)</f>
        <v>61.97</v>
      </c>
      <c r="AL127" s="25" t="n">
        <f aca="false">AVERAGE(10.27,10.2)</f>
        <v>10.235</v>
      </c>
      <c r="AM127" s="25" t="n">
        <v>152.983</v>
      </c>
      <c r="AN127" s="25"/>
      <c r="AO127" s="25"/>
      <c r="AP127" s="25"/>
      <c r="AQ127" s="25"/>
      <c r="AR127" s="26"/>
      <c r="AS127" s="25"/>
    </row>
    <row r="128" customFormat="false" ht="15" hidden="false" customHeight="false" outlineLevel="0" collapsed="false">
      <c r="A128" s="23" t="n">
        <v>124</v>
      </c>
      <c r="B128" s="24" t="s">
        <v>195</v>
      </c>
      <c r="C128" s="25" t="s">
        <v>198</v>
      </c>
      <c r="D128" s="26" t="n">
        <v>5</v>
      </c>
      <c r="E128" s="25"/>
      <c r="F128" s="27"/>
      <c r="G128" s="27" t="n">
        <v>5</v>
      </c>
      <c r="H128" s="25"/>
      <c r="I128" s="25"/>
      <c r="J128" s="25"/>
      <c r="K128" s="25"/>
      <c r="L128" s="26" t="n">
        <v>74.55</v>
      </c>
      <c r="M128" s="25"/>
      <c r="N128" s="27"/>
      <c r="O128" s="27"/>
      <c r="P128" s="25"/>
      <c r="Q128" s="25"/>
      <c r="R128" s="25"/>
      <c r="S128" s="25"/>
      <c r="T128" s="25" t="n">
        <v>7</v>
      </c>
      <c r="U128" s="26"/>
      <c r="V128" s="25"/>
      <c r="W128" s="27"/>
      <c r="X128" s="25"/>
      <c r="Y128" s="25" t="n">
        <v>7.65</v>
      </c>
      <c r="Z128" s="25"/>
      <c r="AA128" s="26" t="n">
        <v>0.6</v>
      </c>
      <c r="AB128" s="32"/>
      <c r="AC128" s="31"/>
      <c r="AD128" s="25"/>
      <c r="AE128" s="31" t="n">
        <v>0.2</v>
      </c>
      <c r="AF128" s="25"/>
      <c r="AG128" s="27"/>
      <c r="AH128" s="32" t="n">
        <f aca="false">SUM(D128:AG128)</f>
        <v>100</v>
      </c>
      <c r="AK128" s="25" t="n">
        <f aca="false">AVERAGE(63.76,63.6)</f>
        <v>63.68</v>
      </c>
      <c r="AL128" s="25" t="n">
        <f aca="false">AVERAGE(10.4,10.36)</f>
        <v>10.38</v>
      </c>
      <c r="AM128" s="25" t="n">
        <v>151.298</v>
      </c>
      <c r="AN128" s="25"/>
      <c r="AO128" s="25"/>
      <c r="AP128" s="25"/>
      <c r="AQ128" s="25"/>
      <c r="AR128" s="26"/>
      <c r="AS128" s="25"/>
    </row>
    <row r="129" customFormat="false" ht="15" hidden="false" customHeight="false" outlineLevel="0" collapsed="false">
      <c r="A129" s="23" t="n">
        <v>125</v>
      </c>
      <c r="B129" s="24" t="s">
        <v>195</v>
      </c>
      <c r="C129" s="25" t="s">
        <v>185</v>
      </c>
      <c r="D129" s="26"/>
      <c r="E129" s="25"/>
      <c r="F129" s="27"/>
      <c r="G129" s="27"/>
      <c r="H129" s="25" t="n">
        <v>10</v>
      </c>
      <c r="I129" s="25" t="n">
        <v>14.3</v>
      </c>
      <c r="J129" s="25"/>
      <c r="K129" s="25" t="n">
        <v>10</v>
      </c>
      <c r="L129" s="26" t="n">
        <v>57.7</v>
      </c>
      <c r="M129" s="25"/>
      <c r="N129" s="27"/>
      <c r="O129" s="27"/>
      <c r="P129" s="25"/>
      <c r="Q129" s="25"/>
      <c r="R129" s="25"/>
      <c r="S129" s="25" t="n">
        <v>8</v>
      </c>
      <c r="T129" s="25"/>
      <c r="U129" s="26"/>
      <c r="V129" s="25"/>
      <c r="W129" s="27"/>
      <c r="X129" s="25"/>
      <c r="Y129" s="25"/>
      <c r="Z129" s="25"/>
      <c r="AA129" s="26"/>
      <c r="AB129" s="32"/>
      <c r="AC129" s="31"/>
      <c r="AD129" s="25"/>
      <c r="AE129" s="31"/>
      <c r="AF129" s="25"/>
      <c r="AG129" s="27"/>
      <c r="AH129" s="32" t="n">
        <f aca="false">SUM(D129:AG129)</f>
        <v>100</v>
      </c>
      <c r="AK129" s="25" t="n">
        <f aca="false">AVERAGE(96.02,96.02)</f>
        <v>96.02</v>
      </c>
      <c r="AL129" s="25" t="n">
        <f aca="false">AVERAGE(14.73,14.75)</f>
        <v>14.74</v>
      </c>
      <c r="AM129" s="25" t="n">
        <v>160.212</v>
      </c>
      <c r="AN129" s="25"/>
      <c r="AO129" s="25"/>
      <c r="AP129" s="25"/>
      <c r="AQ129" s="25"/>
      <c r="AR129" s="26"/>
      <c r="AS129" s="25"/>
    </row>
    <row r="130" customFormat="false" ht="15" hidden="false" customHeight="false" outlineLevel="0" collapsed="false">
      <c r="A130" s="23" t="n">
        <v>126</v>
      </c>
      <c r="B130" s="24" t="s">
        <v>195</v>
      </c>
      <c r="C130" s="25" t="s">
        <v>186</v>
      </c>
      <c r="D130" s="26"/>
      <c r="E130" s="25"/>
      <c r="F130" s="27"/>
      <c r="G130" s="27"/>
      <c r="H130" s="25" t="n">
        <v>10</v>
      </c>
      <c r="I130" s="25" t="n">
        <v>14.3</v>
      </c>
      <c r="J130" s="25"/>
      <c r="K130" s="25" t="n">
        <v>15</v>
      </c>
      <c r="L130" s="26" t="n">
        <v>52.7</v>
      </c>
      <c r="M130" s="25"/>
      <c r="N130" s="27"/>
      <c r="O130" s="27"/>
      <c r="P130" s="25"/>
      <c r="Q130" s="25"/>
      <c r="R130" s="25"/>
      <c r="S130" s="25" t="n">
        <v>8</v>
      </c>
      <c r="T130" s="25"/>
      <c r="U130" s="26"/>
      <c r="V130" s="25"/>
      <c r="W130" s="27"/>
      <c r="X130" s="25"/>
      <c r="Y130" s="25"/>
      <c r="Z130" s="25"/>
      <c r="AA130" s="26"/>
      <c r="AB130" s="32"/>
      <c r="AC130" s="31"/>
      <c r="AD130" s="25"/>
      <c r="AE130" s="31"/>
      <c r="AF130" s="25"/>
      <c r="AG130" s="27"/>
      <c r="AH130" s="32" t="n">
        <f aca="false">SUM(D130:AG130)</f>
        <v>100</v>
      </c>
      <c r="AK130" s="25" t="n">
        <f aca="false">AVERAGE(93.88,93.11)</f>
        <v>93.495</v>
      </c>
      <c r="AL130" s="25" t="n">
        <f aca="false">AVERAGE(14.92,14.95)</f>
        <v>14.935</v>
      </c>
      <c r="AM130" s="25" t="n">
        <v>167.813</v>
      </c>
      <c r="AN130" s="25" t="n">
        <v>4.258</v>
      </c>
      <c r="AO130" s="25" t="n">
        <v>15089</v>
      </c>
      <c r="AP130" s="25" t="n">
        <v>-33</v>
      </c>
      <c r="AQ130" s="47" t="n">
        <v>0.065</v>
      </c>
      <c r="AR130" s="26"/>
      <c r="AS130" s="25"/>
    </row>
    <row r="131" customFormat="false" ht="15" hidden="false" customHeight="false" outlineLevel="0" collapsed="false">
      <c r="A131" s="23" t="n">
        <v>127</v>
      </c>
      <c r="B131" s="24" t="s">
        <v>195</v>
      </c>
      <c r="C131" s="25" t="s">
        <v>199</v>
      </c>
      <c r="D131" s="26"/>
      <c r="E131" s="25"/>
      <c r="F131" s="27"/>
      <c r="G131" s="27"/>
      <c r="H131" s="25" t="n">
        <v>10</v>
      </c>
      <c r="I131" s="25" t="n">
        <v>14.3</v>
      </c>
      <c r="J131" s="25" t="n">
        <v>35</v>
      </c>
      <c r="K131" s="25" t="n">
        <v>20</v>
      </c>
      <c r="L131" s="26" t="n">
        <v>10.7</v>
      </c>
      <c r="M131" s="25"/>
      <c r="N131" s="27"/>
      <c r="O131" s="27"/>
      <c r="P131" s="25"/>
      <c r="Q131" s="25"/>
      <c r="R131" s="25"/>
      <c r="S131" s="25"/>
      <c r="T131" s="25" t="n">
        <v>10</v>
      </c>
      <c r="U131" s="26"/>
      <c r="V131" s="25"/>
      <c r="W131" s="27"/>
      <c r="X131" s="25"/>
      <c r="Y131" s="25"/>
      <c r="Z131" s="25"/>
      <c r="AA131" s="26"/>
      <c r="AB131" s="32"/>
      <c r="AC131" s="31"/>
      <c r="AD131" s="25"/>
      <c r="AE131" s="31"/>
      <c r="AF131" s="25"/>
      <c r="AG131" s="27"/>
      <c r="AH131" s="32" t="n">
        <f aca="false">SUM(D131:AG131)</f>
        <v>100</v>
      </c>
      <c r="AK131" s="25" t="n">
        <f aca="false">AVERAGE(63.88,63.89)</f>
        <v>63.885</v>
      </c>
      <c r="AL131" s="25" t="n">
        <f aca="false">AVERAGE(10.56,10.57)</f>
        <v>10.565</v>
      </c>
      <c r="AM131" s="25" t="n">
        <v>155.087</v>
      </c>
      <c r="AN131" s="25"/>
      <c r="AO131" s="25"/>
      <c r="AP131" s="25"/>
      <c r="AQ131" s="25"/>
      <c r="AR131" s="26"/>
      <c r="AS131" s="25"/>
    </row>
    <row r="132" customFormat="false" ht="15" hidden="false" customHeight="false" outlineLevel="0" collapsed="false">
      <c r="A132" s="23" t="n">
        <v>128</v>
      </c>
      <c r="B132" s="24" t="s">
        <v>195</v>
      </c>
      <c r="C132" s="25" t="s">
        <v>200</v>
      </c>
      <c r="D132" s="26"/>
      <c r="E132" s="25"/>
      <c r="F132" s="27"/>
      <c r="G132" s="27"/>
      <c r="H132" s="25" t="n">
        <v>5</v>
      </c>
      <c r="I132" s="25" t="n">
        <v>14.3</v>
      </c>
      <c r="J132" s="25" t="n">
        <v>35</v>
      </c>
      <c r="K132" s="25" t="n">
        <v>20</v>
      </c>
      <c r="L132" s="26" t="n">
        <v>10.7</v>
      </c>
      <c r="M132" s="25"/>
      <c r="N132" s="27"/>
      <c r="O132" s="27" t="n">
        <v>5</v>
      </c>
      <c r="P132" s="25"/>
      <c r="Q132" s="25"/>
      <c r="R132" s="25"/>
      <c r="S132" s="25"/>
      <c r="T132" s="25" t="n">
        <v>10</v>
      </c>
      <c r="U132" s="26"/>
      <c r="V132" s="25"/>
      <c r="W132" s="27"/>
      <c r="X132" s="25"/>
      <c r="Y132" s="25"/>
      <c r="Z132" s="25"/>
      <c r="AA132" s="26"/>
      <c r="AB132" s="32"/>
      <c r="AC132" s="31"/>
      <c r="AD132" s="25"/>
      <c r="AE132" s="31"/>
      <c r="AF132" s="25"/>
      <c r="AG132" s="27"/>
      <c r="AH132" s="32" t="n">
        <f aca="false">SUM(D132:AG132)</f>
        <v>100</v>
      </c>
      <c r="AK132" s="25" t="n">
        <f aca="false">AVERAGE(56.38,56.37)</f>
        <v>56.375</v>
      </c>
      <c r="AL132" s="25" t="n">
        <f aca="false">AVERAGE(9.92,9.92)</f>
        <v>9.92</v>
      </c>
      <c r="AM132" s="25" t="n">
        <v>163.615</v>
      </c>
      <c r="AN132" s="25"/>
      <c r="AO132" s="25"/>
      <c r="AP132" s="25"/>
      <c r="AQ132" s="25"/>
      <c r="AR132" s="26"/>
      <c r="AS132" s="25"/>
    </row>
    <row r="133" customFormat="false" ht="15" hidden="false" customHeight="false" outlineLevel="0" collapsed="false">
      <c r="A133" s="23" t="n">
        <v>129</v>
      </c>
      <c r="B133" s="24" t="s">
        <v>195</v>
      </c>
      <c r="C133" s="25" t="s">
        <v>201</v>
      </c>
      <c r="D133" s="26"/>
      <c r="E133" s="25"/>
      <c r="F133" s="27"/>
      <c r="G133" s="27"/>
      <c r="H133" s="25" t="n">
        <v>10</v>
      </c>
      <c r="I133" s="25"/>
      <c r="J133" s="25"/>
      <c r="K133" s="25"/>
      <c r="L133" s="26" t="n">
        <v>76.72</v>
      </c>
      <c r="M133" s="25"/>
      <c r="N133" s="27"/>
      <c r="O133" s="27"/>
      <c r="P133" s="25"/>
      <c r="Q133" s="25"/>
      <c r="R133" s="25"/>
      <c r="S133" s="25"/>
      <c r="T133" s="25" t="n">
        <v>5</v>
      </c>
      <c r="U133" s="26"/>
      <c r="V133" s="25"/>
      <c r="W133" s="27"/>
      <c r="X133" s="25"/>
      <c r="Y133" s="25"/>
      <c r="Z133" s="25"/>
      <c r="AA133" s="26"/>
      <c r="AB133" s="32"/>
      <c r="AC133" s="31"/>
      <c r="AD133" s="25"/>
      <c r="AE133" s="31"/>
      <c r="AF133" s="25"/>
      <c r="AG133" s="27" t="n">
        <v>8.28</v>
      </c>
      <c r="AH133" s="32" t="n">
        <f aca="false">SUM(D133:AG133)</f>
        <v>100</v>
      </c>
      <c r="AK133" s="25" t="n">
        <f aca="false">AVERAGE(70.1,70.07)</f>
        <v>70.085</v>
      </c>
      <c r="AL133" s="25" t="n">
        <f aca="false">AVERAGE(10.57,10.59)</f>
        <v>10.58</v>
      </c>
      <c r="AM133" s="25" t="n">
        <v>138.559</v>
      </c>
      <c r="AN133" s="25" t="n">
        <v>3.388</v>
      </c>
      <c r="AO133" s="25"/>
      <c r="AP133" s="25"/>
      <c r="AQ133" s="25"/>
      <c r="AR133" s="26"/>
      <c r="AS133" s="25"/>
    </row>
    <row r="134" customFormat="false" ht="15" hidden="false" customHeight="false" outlineLevel="0" collapsed="false">
      <c r="A134" s="23" t="n">
        <v>130</v>
      </c>
      <c r="B134" s="24" t="s">
        <v>195</v>
      </c>
      <c r="C134" s="25" t="s">
        <v>202</v>
      </c>
      <c r="D134" s="26"/>
      <c r="E134" s="25"/>
      <c r="F134" s="27"/>
      <c r="G134" s="27"/>
      <c r="H134" s="25" t="n">
        <v>10</v>
      </c>
      <c r="I134" s="25"/>
      <c r="J134" s="25"/>
      <c r="K134" s="25"/>
      <c r="L134" s="26" t="n">
        <v>75.72</v>
      </c>
      <c r="M134" s="25"/>
      <c r="N134" s="27"/>
      <c r="O134" s="27"/>
      <c r="P134" s="25"/>
      <c r="Q134" s="25"/>
      <c r="R134" s="25"/>
      <c r="S134" s="25"/>
      <c r="T134" s="25" t="n">
        <v>6</v>
      </c>
      <c r="U134" s="26"/>
      <c r="V134" s="25"/>
      <c r="W134" s="27"/>
      <c r="X134" s="25"/>
      <c r="Y134" s="25"/>
      <c r="Z134" s="25"/>
      <c r="AA134" s="26"/>
      <c r="AB134" s="32"/>
      <c r="AC134" s="31"/>
      <c r="AD134" s="25"/>
      <c r="AE134" s="31"/>
      <c r="AF134" s="25"/>
      <c r="AG134" s="27" t="n">
        <v>8.28</v>
      </c>
      <c r="AH134" s="32" t="n">
        <f aca="false">SUM(D134:AG134)</f>
        <v>100</v>
      </c>
      <c r="AK134" s="25" t="n">
        <f aca="false">AVERAGE(71.05,71.07)</f>
        <v>71.06</v>
      </c>
      <c r="AL134" s="25" t="n">
        <f aca="false">AVERAGE(10.94,10.94)</f>
        <v>10.94</v>
      </c>
      <c r="AM134" s="25" t="n">
        <v>144.019</v>
      </c>
      <c r="AN134" s="25" t="n">
        <v>3.389</v>
      </c>
      <c r="AO134" s="25"/>
      <c r="AP134" s="25"/>
      <c r="AQ134" s="25"/>
      <c r="AR134" s="26"/>
      <c r="AS134" s="25"/>
    </row>
    <row r="135" customFormat="false" ht="15" hidden="false" customHeight="false" outlineLevel="0" collapsed="false">
      <c r="A135" s="23" t="n">
        <v>131</v>
      </c>
      <c r="B135" s="24" t="s">
        <v>195</v>
      </c>
      <c r="C135" s="25" t="s">
        <v>203</v>
      </c>
      <c r="D135" s="26"/>
      <c r="E135" s="25"/>
      <c r="F135" s="27"/>
      <c r="G135" s="27" t="n">
        <v>5</v>
      </c>
      <c r="H135" s="25" t="n">
        <v>5</v>
      </c>
      <c r="I135" s="25"/>
      <c r="J135" s="25"/>
      <c r="K135" s="25"/>
      <c r="L135" s="26" t="n">
        <v>75.72</v>
      </c>
      <c r="M135" s="25"/>
      <c r="N135" s="27"/>
      <c r="O135" s="27"/>
      <c r="P135" s="25"/>
      <c r="Q135" s="25"/>
      <c r="R135" s="25"/>
      <c r="S135" s="25"/>
      <c r="T135" s="25" t="n">
        <v>6</v>
      </c>
      <c r="U135" s="26"/>
      <c r="V135" s="25"/>
      <c r="W135" s="27"/>
      <c r="X135" s="25"/>
      <c r="Y135" s="25"/>
      <c r="Z135" s="25"/>
      <c r="AA135" s="26"/>
      <c r="AB135" s="32"/>
      <c r="AC135" s="31"/>
      <c r="AD135" s="25"/>
      <c r="AE135" s="31"/>
      <c r="AF135" s="25"/>
      <c r="AG135" s="27" t="n">
        <v>8.28</v>
      </c>
      <c r="AH135" s="32" t="n">
        <f aca="false">SUM(D135:AG135)</f>
        <v>100</v>
      </c>
      <c r="AK135" s="25" t="n">
        <f aca="false">AVERAGE(64.8,64.77)</f>
        <v>64.785</v>
      </c>
      <c r="AL135" s="25" t="n">
        <f aca="false">AVERAGE(10.17,10.18)</f>
        <v>10.175</v>
      </c>
      <c r="AM135" s="25" t="n">
        <v>143.258</v>
      </c>
      <c r="AN135" s="25" t="n">
        <v>3.357</v>
      </c>
      <c r="AO135" s="25"/>
      <c r="AP135" s="25"/>
      <c r="AQ135" s="25"/>
      <c r="AR135" s="26"/>
      <c r="AS135" s="25"/>
    </row>
    <row r="136" customFormat="false" ht="15" hidden="false" customHeight="false" outlineLevel="0" collapsed="false">
      <c r="A136" s="43" t="n">
        <v>132</v>
      </c>
      <c r="B136" s="36" t="s">
        <v>195</v>
      </c>
      <c r="C136" s="35" t="s">
        <v>204</v>
      </c>
      <c r="D136" s="44"/>
      <c r="E136" s="25"/>
      <c r="F136" s="27"/>
      <c r="G136" s="46" t="n">
        <v>5</v>
      </c>
      <c r="H136" s="35" t="n">
        <v>5</v>
      </c>
      <c r="I136" s="35"/>
      <c r="J136" s="35"/>
      <c r="K136" s="35"/>
      <c r="L136" s="44" t="n">
        <v>74.72</v>
      </c>
      <c r="M136" s="25"/>
      <c r="N136" s="46"/>
      <c r="O136" s="46"/>
      <c r="P136" s="35"/>
      <c r="Q136" s="35"/>
      <c r="R136" s="35"/>
      <c r="S136" s="35"/>
      <c r="T136" s="35" t="n">
        <v>7</v>
      </c>
      <c r="U136" s="44"/>
      <c r="V136" s="25"/>
      <c r="W136" s="46"/>
      <c r="X136" s="35"/>
      <c r="Y136" s="35"/>
      <c r="Z136" s="35"/>
      <c r="AA136" s="44"/>
      <c r="AB136" s="32"/>
      <c r="AC136" s="31"/>
      <c r="AD136" s="25"/>
      <c r="AE136" s="45"/>
      <c r="AF136" s="25"/>
      <c r="AG136" s="46" t="n">
        <v>8.28</v>
      </c>
      <c r="AH136" s="32" t="n">
        <f aca="false">SUM(D136:AG136)</f>
        <v>100</v>
      </c>
      <c r="AK136" s="25" t="n">
        <f aca="false">AVERAGE(66.28,66.28)</f>
        <v>66.28</v>
      </c>
      <c r="AL136" s="25" t="n">
        <f aca="false">AVERAGE(10.36,10.36)</f>
        <v>10.36</v>
      </c>
      <c r="AM136" s="25" t="n">
        <v>143.457</v>
      </c>
      <c r="AN136" s="25" t="n">
        <v>3.419</v>
      </c>
      <c r="AO136" s="25"/>
      <c r="AP136" s="25"/>
      <c r="AQ136" s="25"/>
      <c r="AR136" s="26"/>
      <c r="AS136" s="25"/>
    </row>
    <row r="137" customFormat="false" ht="15" hidden="false" customHeight="false" outlineLevel="0" collapsed="false">
      <c r="A137" s="23" t="n">
        <v>133</v>
      </c>
      <c r="B137" s="24" t="s">
        <v>205</v>
      </c>
      <c r="C137" s="25" t="s">
        <v>206</v>
      </c>
      <c r="D137" s="26"/>
      <c r="E137" s="25"/>
      <c r="F137" s="27"/>
      <c r="G137" s="27" t="n">
        <v>10</v>
      </c>
      <c r="H137" s="25"/>
      <c r="I137" s="25"/>
      <c r="J137" s="25"/>
      <c r="K137" s="25"/>
      <c r="L137" s="26" t="n">
        <v>21.69</v>
      </c>
      <c r="M137" s="25"/>
      <c r="N137" s="27" t="n">
        <v>50.61</v>
      </c>
      <c r="O137" s="25"/>
      <c r="P137" s="25"/>
      <c r="Q137" s="25"/>
      <c r="R137" s="25"/>
      <c r="S137" s="25" t="n">
        <v>9</v>
      </c>
      <c r="T137" s="25"/>
      <c r="U137" s="26"/>
      <c r="V137" s="25"/>
      <c r="W137" s="27"/>
      <c r="X137" s="25"/>
      <c r="Y137" s="25"/>
      <c r="Z137" s="25" t="n">
        <v>8.7</v>
      </c>
      <c r="AA137" s="26"/>
      <c r="AB137" s="32"/>
      <c r="AC137" s="31"/>
      <c r="AD137" s="25"/>
      <c r="AE137" s="31"/>
      <c r="AF137" s="25"/>
      <c r="AG137" s="27"/>
      <c r="AH137" s="32" t="n">
        <f aca="false">SUM(D137:AG137)</f>
        <v>100</v>
      </c>
      <c r="AK137" s="25" t="n">
        <v>151.66</v>
      </c>
      <c r="AL137" s="25" t="n">
        <f aca="false">AVERAGE(21.09,21.09)</f>
        <v>21.09</v>
      </c>
      <c r="AM137" s="25" t="n">
        <v>163.352</v>
      </c>
      <c r="AN137" s="25"/>
      <c r="AO137" s="25"/>
      <c r="AP137" s="25"/>
      <c r="AQ137" s="25"/>
      <c r="AR137" s="26"/>
      <c r="AS137" s="25"/>
    </row>
    <row r="138" customFormat="false" ht="15" hidden="false" customHeight="false" outlineLevel="0" collapsed="false">
      <c r="A138" s="23" t="n">
        <v>134</v>
      </c>
      <c r="B138" s="24" t="s">
        <v>205</v>
      </c>
      <c r="C138" s="25" t="s">
        <v>207</v>
      </c>
      <c r="D138" s="26"/>
      <c r="E138" s="25"/>
      <c r="F138" s="27"/>
      <c r="G138" s="27" t="n">
        <v>10</v>
      </c>
      <c r="H138" s="25"/>
      <c r="I138" s="25"/>
      <c r="J138" s="25"/>
      <c r="K138" s="25"/>
      <c r="L138" s="26" t="n">
        <v>21.39</v>
      </c>
      <c r="M138" s="25"/>
      <c r="N138" s="27" t="n">
        <v>49.91</v>
      </c>
      <c r="O138" s="25"/>
      <c r="P138" s="25"/>
      <c r="Q138" s="25"/>
      <c r="R138" s="25"/>
      <c r="S138" s="25" t="n">
        <v>10</v>
      </c>
      <c r="T138" s="25"/>
      <c r="U138" s="26"/>
      <c r="V138" s="25"/>
      <c r="W138" s="27"/>
      <c r="X138" s="25"/>
      <c r="Y138" s="25"/>
      <c r="Z138" s="25" t="n">
        <v>8.7</v>
      </c>
      <c r="AA138" s="26"/>
      <c r="AB138" s="32"/>
      <c r="AC138" s="31"/>
      <c r="AD138" s="25"/>
      <c r="AE138" s="31"/>
      <c r="AF138" s="25"/>
      <c r="AG138" s="27"/>
      <c r="AH138" s="32" t="n">
        <f aca="false">SUM(D138:AG138)</f>
        <v>100</v>
      </c>
      <c r="AK138" s="25" t="n">
        <v>160.46</v>
      </c>
      <c r="AL138" s="25" t="n">
        <f aca="false">AVERAGE(21.98,21.95)</f>
        <v>21.965</v>
      </c>
      <c r="AM138" s="25" t="n">
        <v>160.016</v>
      </c>
      <c r="AN138" s="25"/>
      <c r="AO138" s="25"/>
      <c r="AP138" s="25"/>
      <c r="AQ138" s="25"/>
      <c r="AR138" s="26"/>
      <c r="AS138" s="25"/>
    </row>
    <row r="139" customFormat="false" ht="15" hidden="false" customHeight="false" outlineLevel="0" collapsed="false">
      <c r="A139" s="23" t="n">
        <v>135</v>
      </c>
      <c r="B139" s="24" t="s">
        <v>205</v>
      </c>
      <c r="C139" s="25" t="s">
        <v>208</v>
      </c>
      <c r="D139" s="26"/>
      <c r="E139" s="25"/>
      <c r="F139" s="27"/>
      <c r="G139" s="27" t="n">
        <v>10</v>
      </c>
      <c r="H139" s="25"/>
      <c r="I139" s="25"/>
      <c r="J139" s="25"/>
      <c r="K139" s="25"/>
      <c r="L139" s="26" t="n">
        <v>14.46</v>
      </c>
      <c r="M139" s="25"/>
      <c r="N139" s="27" t="n">
        <v>57.84</v>
      </c>
      <c r="O139" s="25"/>
      <c r="P139" s="25"/>
      <c r="Q139" s="25"/>
      <c r="R139" s="25"/>
      <c r="S139" s="25" t="n">
        <v>9</v>
      </c>
      <c r="T139" s="25"/>
      <c r="U139" s="26"/>
      <c r="V139" s="25"/>
      <c r="W139" s="27"/>
      <c r="X139" s="25"/>
      <c r="Y139" s="25"/>
      <c r="Z139" s="25" t="n">
        <v>8.7</v>
      </c>
      <c r="AA139" s="26"/>
      <c r="AB139" s="32"/>
      <c r="AC139" s="31"/>
      <c r="AD139" s="25"/>
      <c r="AE139" s="31"/>
      <c r="AF139" s="25"/>
      <c r="AG139" s="27"/>
      <c r="AH139" s="32" t="n">
        <f aca="false">SUM(D139:AG139)</f>
        <v>100</v>
      </c>
      <c r="AK139" s="25" t="n">
        <v>143.1</v>
      </c>
      <c r="AL139" s="25" t="n">
        <f aca="false">AVERAGE(20.82,20.81)</f>
        <v>20.815</v>
      </c>
      <c r="AM139" s="25" t="n">
        <v>169.632</v>
      </c>
      <c r="AN139" s="25"/>
      <c r="AO139" s="25"/>
      <c r="AP139" s="25"/>
      <c r="AQ139" s="25"/>
      <c r="AR139" s="26"/>
      <c r="AS139" s="25"/>
    </row>
    <row r="140" customFormat="false" ht="15" hidden="false" customHeight="false" outlineLevel="0" collapsed="false">
      <c r="A140" s="23" t="n">
        <v>136</v>
      </c>
      <c r="B140" s="24" t="s">
        <v>205</v>
      </c>
      <c r="C140" s="25" t="s">
        <v>209</v>
      </c>
      <c r="D140" s="26"/>
      <c r="E140" s="25"/>
      <c r="F140" s="27"/>
      <c r="G140" s="27" t="n">
        <v>10</v>
      </c>
      <c r="H140" s="25"/>
      <c r="I140" s="25"/>
      <c r="J140" s="25"/>
      <c r="K140" s="25"/>
      <c r="L140" s="26" t="n">
        <v>14.26</v>
      </c>
      <c r="M140" s="25"/>
      <c r="N140" s="27" t="n">
        <v>57.04</v>
      </c>
      <c r="O140" s="25"/>
      <c r="P140" s="25"/>
      <c r="Q140" s="25"/>
      <c r="R140" s="25"/>
      <c r="S140" s="25" t="n">
        <v>10</v>
      </c>
      <c r="T140" s="25"/>
      <c r="U140" s="26"/>
      <c r="V140" s="25"/>
      <c r="W140" s="27"/>
      <c r="X140" s="25"/>
      <c r="Y140" s="25"/>
      <c r="Z140" s="25" t="n">
        <v>8.7</v>
      </c>
      <c r="AA140" s="26"/>
      <c r="AB140" s="32"/>
      <c r="AC140" s="31"/>
      <c r="AD140" s="25"/>
      <c r="AE140" s="31"/>
      <c r="AF140" s="25"/>
      <c r="AG140" s="27"/>
      <c r="AH140" s="32" t="n">
        <f aca="false">SUM(D140:AG140)</f>
        <v>100</v>
      </c>
      <c r="AK140" s="25" t="n">
        <v>163.84</v>
      </c>
      <c r="AL140" s="25" t="n">
        <f aca="false">AVERAGE(21.85,21.9)</f>
        <v>21.875</v>
      </c>
      <c r="AM140" s="25" t="n">
        <v>159.119</v>
      </c>
      <c r="AN140" s="25"/>
      <c r="AO140" s="25"/>
      <c r="AP140" s="25"/>
      <c r="AQ140" s="25"/>
      <c r="AR140" s="26"/>
      <c r="AS140" s="25"/>
    </row>
    <row r="141" customFormat="false" ht="15" hidden="false" customHeight="false" outlineLevel="0" collapsed="false">
      <c r="A141" s="23" t="n">
        <v>137</v>
      </c>
      <c r="B141" s="24" t="s">
        <v>205</v>
      </c>
      <c r="C141" s="25" t="s">
        <v>210</v>
      </c>
      <c r="D141" s="26"/>
      <c r="E141" s="25"/>
      <c r="F141" s="27"/>
      <c r="G141" s="27"/>
      <c r="H141" s="25" t="n">
        <v>10</v>
      </c>
      <c r="I141" s="25"/>
      <c r="J141" s="25"/>
      <c r="K141" s="25"/>
      <c r="L141" s="26" t="n">
        <v>36.9</v>
      </c>
      <c r="M141" s="25"/>
      <c r="N141" s="27" t="n">
        <v>36.9</v>
      </c>
      <c r="O141" s="25"/>
      <c r="P141" s="25"/>
      <c r="Q141" s="25"/>
      <c r="R141" s="25"/>
      <c r="S141" s="25" t="n">
        <v>7.5</v>
      </c>
      <c r="T141" s="25"/>
      <c r="U141" s="26"/>
      <c r="V141" s="25"/>
      <c r="W141" s="27"/>
      <c r="X141" s="25"/>
      <c r="Y141" s="25"/>
      <c r="Z141" s="25" t="n">
        <v>8.7</v>
      </c>
      <c r="AA141" s="26"/>
      <c r="AB141" s="32"/>
      <c r="AC141" s="31"/>
      <c r="AD141" s="25"/>
      <c r="AE141" s="31"/>
      <c r="AF141" s="25"/>
      <c r="AG141" s="27"/>
      <c r="AH141" s="32" t="n">
        <f aca="false">SUM(D141:AG141)</f>
        <v>100</v>
      </c>
      <c r="AK141" s="25" t="n">
        <f aca="false">AVERAGE(119.08,119.06)</f>
        <v>119.07</v>
      </c>
      <c r="AL141" s="25" t="n">
        <f aca="false">AVERAGE(15.85,15.8)</f>
        <v>15.825</v>
      </c>
      <c r="AM141" s="25" t="n">
        <v>140.91</v>
      </c>
      <c r="AN141" s="25" t="n">
        <v>4.399</v>
      </c>
      <c r="AO141" s="25"/>
      <c r="AP141" s="25"/>
      <c r="AQ141" s="25"/>
      <c r="AR141" s="26"/>
      <c r="AS141" s="25"/>
    </row>
    <row r="142" customFormat="false" ht="15" hidden="false" customHeight="false" outlineLevel="0" collapsed="false">
      <c r="A142" s="23" t="n">
        <v>138</v>
      </c>
      <c r="B142" s="24" t="s">
        <v>205</v>
      </c>
      <c r="C142" s="25" t="s">
        <v>211</v>
      </c>
      <c r="D142" s="26"/>
      <c r="E142" s="25"/>
      <c r="F142" s="27"/>
      <c r="G142" s="27"/>
      <c r="H142" s="25" t="n">
        <v>10</v>
      </c>
      <c r="I142" s="25"/>
      <c r="J142" s="25"/>
      <c r="K142" s="25"/>
      <c r="L142" s="26" t="n">
        <v>36.65</v>
      </c>
      <c r="M142" s="25"/>
      <c r="N142" s="27" t="n">
        <v>36.65</v>
      </c>
      <c r="O142" s="25"/>
      <c r="P142" s="25"/>
      <c r="Q142" s="25"/>
      <c r="R142" s="25"/>
      <c r="S142" s="25" t="n">
        <v>8</v>
      </c>
      <c r="T142" s="25"/>
      <c r="U142" s="26"/>
      <c r="V142" s="25"/>
      <c r="W142" s="27"/>
      <c r="X142" s="25"/>
      <c r="Y142" s="25"/>
      <c r="Z142" s="25" t="n">
        <v>8.7</v>
      </c>
      <c r="AA142" s="26"/>
      <c r="AB142" s="32"/>
      <c r="AC142" s="31"/>
      <c r="AD142" s="25"/>
      <c r="AE142" s="31"/>
      <c r="AF142" s="25"/>
      <c r="AG142" s="27"/>
      <c r="AH142" s="32" t="n">
        <f aca="false">SUM(D142:AG142)</f>
        <v>100</v>
      </c>
      <c r="AK142" s="25" t="n">
        <f aca="false">AVERAGE(119.71,119.71)</f>
        <v>119.71</v>
      </c>
      <c r="AL142" s="25" t="n">
        <f aca="false">AVERAGE(17.36,17.37)</f>
        <v>17.365</v>
      </c>
      <c r="AM142" s="25" t="n">
        <v>159.649</v>
      </c>
      <c r="AN142" s="25" t="n">
        <v>4.42</v>
      </c>
      <c r="AO142" s="25"/>
      <c r="AP142" s="25"/>
      <c r="AQ142" s="25"/>
      <c r="AR142" s="26"/>
      <c r="AS142" s="25"/>
    </row>
    <row r="143" customFormat="false" ht="15" hidden="false" customHeight="false" outlineLevel="0" collapsed="false">
      <c r="A143" s="23" t="n">
        <v>139</v>
      </c>
      <c r="B143" s="24" t="s">
        <v>205</v>
      </c>
      <c r="C143" s="25" t="s">
        <v>212</v>
      </c>
      <c r="D143" s="26"/>
      <c r="E143" s="25"/>
      <c r="F143" s="27"/>
      <c r="G143" s="27"/>
      <c r="H143" s="25" t="n">
        <v>10</v>
      </c>
      <c r="I143" s="25"/>
      <c r="J143" s="25"/>
      <c r="K143" s="25"/>
      <c r="L143" s="26" t="n">
        <v>29.52</v>
      </c>
      <c r="M143" s="25"/>
      <c r="N143" s="27" t="n">
        <v>44.28</v>
      </c>
      <c r="O143" s="25"/>
      <c r="P143" s="25"/>
      <c r="Q143" s="25"/>
      <c r="R143" s="25"/>
      <c r="S143" s="25" t="n">
        <v>7.5</v>
      </c>
      <c r="T143" s="25"/>
      <c r="U143" s="26"/>
      <c r="V143" s="25"/>
      <c r="W143" s="27"/>
      <c r="X143" s="25"/>
      <c r="Y143" s="25"/>
      <c r="Z143" s="25" t="n">
        <v>8.7</v>
      </c>
      <c r="AA143" s="26"/>
      <c r="AB143" s="32"/>
      <c r="AC143" s="31"/>
      <c r="AD143" s="25"/>
      <c r="AE143" s="31"/>
      <c r="AF143" s="25"/>
      <c r="AG143" s="27"/>
      <c r="AH143" s="32" t="n">
        <f aca="false">SUM(D143:AG143)</f>
        <v>100</v>
      </c>
      <c r="AK143" s="25" t="n">
        <f aca="false">AVERAGE(123.08,123.56)</f>
        <v>123.32</v>
      </c>
      <c r="AL143" s="25" t="n">
        <f aca="false">AVERAGE(16.41,16.34)</f>
        <v>16.375</v>
      </c>
      <c r="AM143" s="25" t="n">
        <v>142.613</v>
      </c>
      <c r="AN143" s="25" t="n">
        <v>4.452</v>
      </c>
      <c r="AO143" s="25"/>
      <c r="AP143" s="25"/>
      <c r="AQ143" s="25"/>
      <c r="AR143" s="26"/>
      <c r="AS143" s="25"/>
    </row>
    <row r="144" customFormat="false" ht="15" hidden="false" customHeight="false" outlineLevel="0" collapsed="false">
      <c r="A144" s="43" t="n">
        <v>140</v>
      </c>
      <c r="B144" s="36" t="s">
        <v>205</v>
      </c>
      <c r="C144" s="35" t="s">
        <v>213</v>
      </c>
      <c r="D144" s="44"/>
      <c r="E144" s="25"/>
      <c r="F144" s="27"/>
      <c r="G144" s="46"/>
      <c r="H144" s="35" t="n">
        <v>10</v>
      </c>
      <c r="I144" s="35"/>
      <c r="J144" s="35"/>
      <c r="K144" s="35"/>
      <c r="L144" s="44" t="n">
        <v>29.32</v>
      </c>
      <c r="M144" s="25"/>
      <c r="N144" s="46" t="n">
        <v>43.98</v>
      </c>
      <c r="O144" s="35"/>
      <c r="P144" s="35"/>
      <c r="Q144" s="35"/>
      <c r="R144" s="35"/>
      <c r="S144" s="35" t="n">
        <v>8</v>
      </c>
      <c r="T144" s="35"/>
      <c r="U144" s="44"/>
      <c r="V144" s="25"/>
      <c r="W144" s="46"/>
      <c r="X144" s="35"/>
      <c r="Y144" s="35"/>
      <c r="Z144" s="35" t="n">
        <v>8.7</v>
      </c>
      <c r="AA144" s="44"/>
      <c r="AB144" s="32"/>
      <c r="AC144" s="31"/>
      <c r="AD144" s="25"/>
      <c r="AE144" s="45"/>
      <c r="AF144" s="25"/>
      <c r="AG144" s="46"/>
      <c r="AH144" s="32" t="n">
        <f aca="false">SUM(D144:AG144)</f>
        <v>100</v>
      </c>
      <c r="AK144" s="25" t="n">
        <f aca="false">AVERAGE(127.95,123.14)</f>
        <v>125.545</v>
      </c>
      <c r="AL144" s="25" t="n">
        <f aca="false">AVERAGE(17.01,17.13)</f>
        <v>17.07</v>
      </c>
      <c r="AM144" s="25" t="n">
        <v>151.027</v>
      </c>
      <c r="AN144" s="25" t="n">
        <v>4.537</v>
      </c>
      <c r="AO144" s="25"/>
      <c r="AP144" s="25"/>
      <c r="AQ144" s="25"/>
      <c r="AR144" s="26"/>
      <c r="AS144" s="25"/>
    </row>
    <row r="145" customFormat="false" ht="15" hidden="false" customHeight="false" outlineLevel="0" collapsed="false">
      <c r="A145" s="23" t="n">
        <v>141</v>
      </c>
      <c r="B145" s="24" t="s">
        <v>214</v>
      </c>
      <c r="C145" s="25" t="s">
        <v>215</v>
      </c>
      <c r="D145" s="26"/>
      <c r="E145" s="25"/>
      <c r="F145" s="27"/>
      <c r="G145" s="27"/>
      <c r="H145" s="25" t="n">
        <v>10</v>
      </c>
      <c r="I145" s="25" t="n">
        <v>14.3</v>
      </c>
      <c r="J145" s="25" t="n">
        <v>25</v>
      </c>
      <c r="K145" s="25" t="n">
        <v>20</v>
      </c>
      <c r="L145" s="26" t="n">
        <v>20.7</v>
      </c>
      <c r="M145" s="25"/>
      <c r="N145" s="27"/>
      <c r="O145" s="25"/>
      <c r="P145" s="25"/>
      <c r="Q145" s="25"/>
      <c r="R145" s="25"/>
      <c r="S145" s="25"/>
      <c r="T145" s="25" t="n">
        <v>10</v>
      </c>
      <c r="U145" s="26"/>
      <c r="V145" s="25"/>
      <c r="W145" s="27"/>
      <c r="X145" s="25"/>
      <c r="Y145" s="25"/>
      <c r="Z145" s="25"/>
      <c r="AA145" s="26"/>
      <c r="AB145" s="32"/>
      <c r="AC145" s="31"/>
      <c r="AD145" s="25"/>
      <c r="AE145" s="31"/>
      <c r="AF145" s="25"/>
      <c r="AG145" s="27"/>
      <c r="AH145" s="32" t="n">
        <f aca="false">SUM(D145:AG145)</f>
        <v>100</v>
      </c>
      <c r="AK145" s="25" t="n">
        <f aca="false">AVERAGE(70.58,70.2)</f>
        <v>70.39</v>
      </c>
      <c r="AL145" s="25" t="n">
        <f aca="false">AVERAGE(10.95,10.98)</f>
        <v>10.965</v>
      </c>
      <c r="AM145" s="25" t="n">
        <v>146.253</v>
      </c>
      <c r="AN145" s="25"/>
      <c r="AO145" s="25"/>
      <c r="AP145" s="25"/>
      <c r="AQ145" s="25"/>
      <c r="AR145" s="26"/>
      <c r="AS145" s="25"/>
    </row>
    <row r="146" customFormat="false" ht="15" hidden="false" customHeight="false" outlineLevel="0" collapsed="false">
      <c r="A146" s="23" t="n">
        <v>142</v>
      </c>
      <c r="B146" s="24" t="s">
        <v>214</v>
      </c>
      <c r="C146" s="25" t="s">
        <v>216</v>
      </c>
      <c r="D146" s="26"/>
      <c r="E146" s="25"/>
      <c r="F146" s="27"/>
      <c r="G146" s="27"/>
      <c r="H146" s="25" t="n">
        <v>10</v>
      </c>
      <c r="I146" s="25" t="n">
        <v>14.3</v>
      </c>
      <c r="J146" s="25" t="n">
        <v>30</v>
      </c>
      <c r="K146" s="25" t="n">
        <v>20</v>
      </c>
      <c r="L146" s="26" t="n">
        <v>15.7</v>
      </c>
      <c r="M146" s="25"/>
      <c r="N146" s="27"/>
      <c r="O146" s="25"/>
      <c r="P146" s="25"/>
      <c r="Q146" s="25"/>
      <c r="R146" s="25"/>
      <c r="S146" s="25"/>
      <c r="T146" s="25" t="n">
        <v>10</v>
      </c>
      <c r="U146" s="26"/>
      <c r="V146" s="25"/>
      <c r="W146" s="27"/>
      <c r="X146" s="25"/>
      <c r="Y146" s="25"/>
      <c r="Z146" s="25"/>
      <c r="AA146" s="26"/>
      <c r="AB146" s="32"/>
      <c r="AC146" s="31"/>
      <c r="AD146" s="25"/>
      <c r="AE146" s="31"/>
      <c r="AF146" s="25"/>
      <c r="AG146" s="27"/>
      <c r="AH146" s="32" t="n">
        <f aca="false">SUM(D146:AG146)</f>
        <v>100</v>
      </c>
      <c r="AK146" s="25" t="n">
        <f aca="false">AVERAGE(67.49,67.53)</f>
        <v>67.51</v>
      </c>
      <c r="AL146" s="25" t="n">
        <f aca="false">AVERAGE(10.65,10.67)</f>
        <v>10.66</v>
      </c>
      <c r="AM146" s="25" t="n">
        <v>146.982</v>
      </c>
      <c r="AN146" s="25"/>
      <c r="AO146" s="25"/>
      <c r="AP146" s="25"/>
      <c r="AQ146" s="25"/>
      <c r="AR146" s="26"/>
      <c r="AS146" s="25"/>
    </row>
    <row r="147" customFormat="false" ht="15" hidden="false" customHeight="false" outlineLevel="0" collapsed="false">
      <c r="A147" s="23" t="n">
        <v>143</v>
      </c>
      <c r="B147" s="24" t="s">
        <v>214</v>
      </c>
      <c r="C147" s="25" t="s">
        <v>217</v>
      </c>
      <c r="D147" s="26"/>
      <c r="E147" s="25"/>
      <c r="F147" s="27"/>
      <c r="G147" s="27"/>
      <c r="H147" s="25" t="n">
        <v>5</v>
      </c>
      <c r="I147" s="25" t="n">
        <v>14.3</v>
      </c>
      <c r="J147" s="25" t="n">
        <v>30</v>
      </c>
      <c r="K147" s="25" t="n">
        <v>20</v>
      </c>
      <c r="L147" s="26" t="n">
        <v>15.7</v>
      </c>
      <c r="M147" s="25"/>
      <c r="N147" s="27"/>
      <c r="O147" s="25" t="n">
        <v>5</v>
      </c>
      <c r="P147" s="25"/>
      <c r="Q147" s="25"/>
      <c r="R147" s="25"/>
      <c r="S147" s="25"/>
      <c r="T147" s="25" t="n">
        <v>10</v>
      </c>
      <c r="U147" s="26"/>
      <c r="V147" s="25"/>
      <c r="W147" s="27"/>
      <c r="X147" s="25"/>
      <c r="Y147" s="25"/>
      <c r="Z147" s="25"/>
      <c r="AA147" s="26"/>
      <c r="AB147" s="32"/>
      <c r="AC147" s="31"/>
      <c r="AD147" s="25"/>
      <c r="AE147" s="31"/>
      <c r="AF147" s="25"/>
      <c r="AG147" s="27"/>
      <c r="AH147" s="32" t="n">
        <f aca="false">SUM(D147:AG147)</f>
        <v>100</v>
      </c>
      <c r="AK147" s="25" t="n">
        <f aca="false">AVERAGE(61.41,61.41)</f>
        <v>61.41</v>
      </c>
      <c r="AL147" s="25" t="n">
        <f aca="false">AVERAGE(9.78,9.76)</f>
        <v>9.77</v>
      </c>
      <c r="AM147" s="25" t="n">
        <v>143.069</v>
      </c>
      <c r="AN147" s="25"/>
      <c r="AO147" s="25"/>
      <c r="AP147" s="25"/>
      <c r="AQ147" s="25"/>
      <c r="AR147" s="26"/>
      <c r="AS147" s="25"/>
    </row>
    <row r="148" customFormat="false" ht="15" hidden="false" customHeight="false" outlineLevel="0" collapsed="false">
      <c r="A148" s="23" t="n">
        <v>144</v>
      </c>
      <c r="B148" s="24" t="s">
        <v>214</v>
      </c>
      <c r="C148" s="25" t="s">
        <v>218</v>
      </c>
      <c r="D148" s="26"/>
      <c r="E148" s="25"/>
      <c r="F148" s="27"/>
      <c r="G148" s="27"/>
      <c r="H148" s="25" t="n">
        <v>5</v>
      </c>
      <c r="I148" s="25" t="n">
        <v>14.3</v>
      </c>
      <c r="J148" s="25" t="n">
        <v>35</v>
      </c>
      <c r="K148" s="25" t="n">
        <v>23.33</v>
      </c>
      <c r="L148" s="26" t="n">
        <v>7.37</v>
      </c>
      <c r="M148" s="25"/>
      <c r="N148" s="27"/>
      <c r="O148" s="25" t="n">
        <v>5</v>
      </c>
      <c r="P148" s="25"/>
      <c r="Q148" s="25"/>
      <c r="R148" s="25"/>
      <c r="S148" s="25"/>
      <c r="T148" s="25" t="n">
        <v>10</v>
      </c>
      <c r="U148" s="26"/>
      <c r="V148" s="25"/>
      <c r="W148" s="27"/>
      <c r="X148" s="25"/>
      <c r="Y148" s="25"/>
      <c r="Z148" s="25"/>
      <c r="AA148" s="26"/>
      <c r="AB148" s="32"/>
      <c r="AC148" s="31"/>
      <c r="AD148" s="25"/>
      <c r="AE148" s="31"/>
      <c r="AF148" s="25"/>
      <c r="AG148" s="27"/>
      <c r="AH148" s="32" t="n">
        <f aca="false">SUM(D148:AG148)</f>
        <v>100</v>
      </c>
      <c r="AK148" s="25" t="n">
        <f aca="false">AVERAGE(57.63,57.65)</f>
        <v>57.64</v>
      </c>
      <c r="AL148" s="25" t="n">
        <f aca="false">AVERAGE(9.63,9.63)</f>
        <v>9.63</v>
      </c>
      <c r="AM148" s="25" t="n">
        <v>151.441</v>
      </c>
      <c r="AN148" s="25" t="n">
        <v>3.32</v>
      </c>
      <c r="AO148" s="25"/>
      <c r="AP148" s="25"/>
      <c r="AQ148" s="25"/>
      <c r="AR148" s="26"/>
      <c r="AS148" s="25"/>
    </row>
    <row r="149" customFormat="false" ht="15" hidden="false" customHeight="false" outlineLevel="0" collapsed="false">
      <c r="A149" s="23" t="n">
        <v>145</v>
      </c>
      <c r="B149" s="24" t="s">
        <v>214</v>
      </c>
      <c r="C149" s="25" t="s">
        <v>197</v>
      </c>
      <c r="D149" s="26" t="n">
        <v>5</v>
      </c>
      <c r="E149" s="25"/>
      <c r="F149" s="27"/>
      <c r="G149" s="27" t="n">
        <v>5</v>
      </c>
      <c r="H149" s="25"/>
      <c r="I149" s="25"/>
      <c r="J149" s="25"/>
      <c r="K149" s="25"/>
      <c r="L149" s="26" t="n">
        <v>75.55</v>
      </c>
      <c r="M149" s="25"/>
      <c r="N149" s="27"/>
      <c r="O149" s="25"/>
      <c r="P149" s="25"/>
      <c r="Q149" s="25"/>
      <c r="R149" s="25"/>
      <c r="S149" s="25"/>
      <c r="T149" s="25" t="n">
        <v>6</v>
      </c>
      <c r="U149" s="26"/>
      <c r="V149" s="25"/>
      <c r="W149" s="27"/>
      <c r="X149" s="25"/>
      <c r="Y149" s="25" t="n">
        <v>7.65</v>
      </c>
      <c r="Z149" s="25"/>
      <c r="AA149" s="26" t="n">
        <v>0.6</v>
      </c>
      <c r="AB149" s="32"/>
      <c r="AC149" s="31"/>
      <c r="AD149" s="25"/>
      <c r="AE149" s="31" t="n">
        <v>0.2</v>
      </c>
      <c r="AF149" s="25"/>
      <c r="AG149" s="27"/>
      <c r="AH149" s="32" t="n">
        <f aca="false">SUM(D149:AG149)</f>
        <v>100</v>
      </c>
      <c r="AK149" s="25" t="n">
        <f aca="false">AVERAGE(64.23,64.23)</f>
        <v>64.23</v>
      </c>
      <c r="AL149" s="25" t="n">
        <f aca="false">AVERAGE(10.02,10.01)</f>
        <v>10.015</v>
      </c>
      <c r="AM149" s="25" t="n">
        <v>140.953</v>
      </c>
      <c r="AN149" s="25" t="n">
        <v>3.01</v>
      </c>
      <c r="AO149" s="25"/>
      <c r="AP149" s="25"/>
      <c r="AQ149" s="47" t="n">
        <v>0.052</v>
      </c>
      <c r="AR149" s="26"/>
      <c r="AS149" s="25"/>
    </row>
    <row r="150" customFormat="false" ht="15" hidden="false" customHeight="false" outlineLevel="0" collapsed="false">
      <c r="A150" s="23" t="n">
        <v>146</v>
      </c>
      <c r="B150" s="24" t="s">
        <v>214</v>
      </c>
      <c r="C150" s="25" t="s">
        <v>201</v>
      </c>
      <c r="D150" s="26"/>
      <c r="E150" s="25"/>
      <c r="F150" s="27"/>
      <c r="G150" s="27"/>
      <c r="H150" s="25" t="n">
        <v>10</v>
      </c>
      <c r="I150" s="25"/>
      <c r="J150" s="25"/>
      <c r="K150" s="25" t="n">
        <v>76.72</v>
      </c>
      <c r="L150" s="26"/>
      <c r="M150" s="25"/>
      <c r="N150" s="27"/>
      <c r="O150" s="25"/>
      <c r="P150" s="25"/>
      <c r="Q150" s="25"/>
      <c r="R150" s="25"/>
      <c r="S150" s="25"/>
      <c r="T150" s="25" t="n">
        <v>5</v>
      </c>
      <c r="U150" s="26"/>
      <c r="V150" s="25"/>
      <c r="W150" s="27"/>
      <c r="X150" s="25"/>
      <c r="Y150" s="25"/>
      <c r="Z150" s="25"/>
      <c r="AA150" s="26"/>
      <c r="AB150" s="32"/>
      <c r="AC150" s="31"/>
      <c r="AD150" s="25"/>
      <c r="AE150" s="31"/>
      <c r="AF150" s="25"/>
      <c r="AG150" s="27" t="n">
        <v>8.28</v>
      </c>
      <c r="AH150" s="32" t="n">
        <f aca="false">SUM(D150:AG150)</f>
        <v>100</v>
      </c>
      <c r="AK150" s="25" t="n">
        <f aca="false">AVERAGE(54.65,64.23)</f>
        <v>59.44</v>
      </c>
      <c r="AL150" s="25" t="n">
        <f aca="false">AVERAGE(9.12,9.11)</f>
        <v>9.115</v>
      </c>
      <c r="AM150" s="25" t="n">
        <v>132.014</v>
      </c>
      <c r="AN150" s="25" t="n">
        <v>3.04</v>
      </c>
      <c r="AO150" s="25"/>
      <c r="AP150" s="25"/>
      <c r="AQ150" s="25"/>
      <c r="AR150" s="26"/>
      <c r="AS150" s="25"/>
    </row>
    <row r="151" customFormat="false" ht="15" hidden="false" customHeight="false" outlineLevel="0" collapsed="false">
      <c r="A151" s="23" t="n">
        <v>147</v>
      </c>
      <c r="B151" s="24" t="s">
        <v>214</v>
      </c>
      <c r="C151" s="25" t="s">
        <v>202</v>
      </c>
      <c r="D151" s="26"/>
      <c r="E151" s="25"/>
      <c r="F151" s="27"/>
      <c r="G151" s="27"/>
      <c r="H151" s="25" t="n">
        <v>10</v>
      </c>
      <c r="I151" s="25"/>
      <c r="J151" s="25"/>
      <c r="K151" s="25" t="n">
        <v>75.72</v>
      </c>
      <c r="L151" s="26"/>
      <c r="M151" s="25"/>
      <c r="N151" s="27"/>
      <c r="O151" s="25"/>
      <c r="P151" s="25"/>
      <c r="Q151" s="25"/>
      <c r="R151" s="25"/>
      <c r="S151" s="25"/>
      <c r="T151" s="25" t="n">
        <v>6</v>
      </c>
      <c r="U151" s="26"/>
      <c r="V151" s="25"/>
      <c r="W151" s="27"/>
      <c r="X151" s="25"/>
      <c r="Y151" s="25"/>
      <c r="Z151" s="25"/>
      <c r="AA151" s="26"/>
      <c r="AB151" s="32"/>
      <c r="AC151" s="31"/>
      <c r="AD151" s="25"/>
      <c r="AE151" s="31"/>
      <c r="AF151" s="25"/>
      <c r="AG151" s="27" t="n">
        <v>8.28</v>
      </c>
      <c r="AH151" s="32" t="n">
        <f aca="false">SUM(D151:AG151)</f>
        <v>100</v>
      </c>
      <c r="AK151" s="25" t="n">
        <f aca="false">AVERAGE(56.72,56.48)</f>
        <v>56.6</v>
      </c>
      <c r="AL151" s="25" t="n">
        <f aca="false">AVERAGE(10.67,10.67)</f>
        <v>10.67</v>
      </c>
      <c r="AM151" s="25" t="n">
        <v>182.185</v>
      </c>
      <c r="AN151" s="25" t="n">
        <v>2.87</v>
      </c>
      <c r="AO151" s="25"/>
      <c r="AP151" s="25"/>
      <c r="AQ151" s="25"/>
      <c r="AR151" s="26"/>
      <c r="AS151" s="25"/>
    </row>
    <row r="152" customFormat="false" ht="15" hidden="false" customHeight="false" outlineLevel="0" collapsed="false">
      <c r="A152" s="23" t="n">
        <v>148</v>
      </c>
      <c r="B152" s="24" t="s">
        <v>214</v>
      </c>
      <c r="C152" s="25" t="s">
        <v>203</v>
      </c>
      <c r="D152" s="26"/>
      <c r="E152" s="25"/>
      <c r="F152" s="27"/>
      <c r="G152" s="27" t="n">
        <v>5</v>
      </c>
      <c r="H152" s="25" t="n">
        <v>5</v>
      </c>
      <c r="I152" s="25"/>
      <c r="J152" s="25"/>
      <c r="K152" s="25" t="n">
        <v>75.72</v>
      </c>
      <c r="L152" s="26"/>
      <c r="M152" s="25"/>
      <c r="N152" s="27"/>
      <c r="O152" s="25"/>
      <c r="P152" s="25"/>
      <c r="Q152" s="25"/>
      <c r="R152" s="25"/>
      <c r="S152" s="25"/>
      <c r="T152" s="25" t="n">
        <v>6</v>
      </c>
      <c r="U152" s="26"/>
      <c r="V152" s="25"/>
      <c r="W152" s="27"/>
      <c r="X152" s="25"/>
      <c r="Y152" s="25"/>
      <c r="Z152" s="25"/>
      <c r="AA152" s="26"/>
      <c r="AB152" s="32"/>
      <c r="AC152" s="31"/>
      <c r="AD152" s="25"/>
      <c r="AE152" s="31"/>
      <c r="AF152" s="25"/>
      <c r="AG152" s="27" t="n">
        <v>8.28</v>
      </c>
      <c r="AH152" s="32" t="n">
        <f aca="false">SUM(D152:AG152)</f>
        <v>100</v>
      </c>
      <c r="AK152" s="25" t="n">
        <f aca="false">AVERAGE(50.62,50.45)</f>
        <v>50.535</v>
      </c>
      <c r="AL152" s="25" t="n">
        <f aca="false">AVERAGE(8.34,8.34)</f>
        <v>8.34</v>
      </c>
      <c r="AM152" s="25" t="n">
        <v>139.356</v>
      </c>
      <c r="AN152" s="25" t="n">
        <v>2.97</v>
      </c>
      <c r="AO152" s="25"/>
      <c r="AP152" s="25"/>
      <c r="AQ152" s="25"/>
      <c r="AR152" s="26"/>
      <c r="AS152" s="25"/>
    </row>
    <row r="153" customFormat="false" ht="15" hidden="false" customHeight="false" outlineLevel="0" collapsed="false">
      <c r="A153" s="23" t="n">
        <v>149</v>
      </c>
      <c r="B153" s="24" t="s">
        <v>214</v>
      </c>
      <c r="C153" s="25" t="s">
        <v>204</v>
      </c>
      <c r="D153" s="26"/>
      <c r="E153" s="25"/>
      <c r="F153" s="27"/>
      <c r="G153" s="27" t="n">
        <v>5</v>
      </c>
      <c r="H153" s="25" t="n">
        <v>5</v>
      </c>
      <c r="I153" s="25"/>
      <c r="J153" s="25"/>
      <c r="K153" s="25" t="n">
        <v>74.72</v>
      </c>
      <c r="L153" s="26"/>
      <c r="M153" s="25"/>
      <c r="N153" s="27"/>
      <c r="O153" s="25"/>
      <c r="P153" s="25"/>
      <c r="Q153" s="25"/>
      <c r="R153" s="25"/>
      <c r="S153" s="25"/>
      <c r="T153" s="25" t="n">
        <v>7</v>
      </c>
      <c r="U153" s="26"/>
      <c r="V153" s="25"/>
      <c r="W153" s="27"/>
      <c r="X153" s="25"/>
      <c r="Y153" s="25"/>
      <c r="Z153" s="25"/>
      <c r="AA153" s="26"/>
      <c r="AB153" s="32"/>
      <c r="AC153" s="31"/>
      <c r="AD153" s="25"/>
      <c r="AE153" s="31"/>
      <c r="AF153" s="25"/>
      <c r="AG153" s="27" t="n">
        <v>8.28</v>
      </c>
      <c r="AH153" s="32" t="n">
        <f aca="false">SUM(D153:AG153)</f>
        <v>100</v>
      </c>
      <c r="AK153" s="25" t="n">
        <f aca="false">AVERAGE(53.02,53.01)</f>
        <v>53.015</v>
      </c>
      <c r="AL153" s="25" t="n">
        <f aca="false">AVERAGE(8.79,8.78)</f>
        <v>8.785</v>
      </c>
      <c r="AM153" s="25" t="n">
        <v>143.967</v>
      </c>
      <c r="AN153" s="25" t="n">
        <v>3.719</v>
      </c>
      <c r="AO153" s="25"/>
      <c r="AP153" s="25"/>
      <c r="AQ153" s="25"/>
      <c r="AR153" s="26"/>
      <c r="AS153" s="25"/>
    </row>
    <row r="154" customFormat="false" ht="15" hidden="false" customHeight="false" outlineLevel="0" collapsed="false">
      <c r="A154" s="43" t="n">
        <v>150</v>
      </c>
      <c r="B154" s="36" t="s">
        <v>219</v>
      </c>
      <c r="C154" s="35" t="s">
        <v>220</v>
      </c>
      <c r="D154" s="44"/>
      <c r="E154" s="25"/>
      <c r="F154" s="27"/>
      <c r="G154" s="46"/>
      <c r="H154" s="35" t="n">
        <v>5</v>
      </c>
      <c r="I154" s="35" t="n">
        <v>14.3</v>
      </c>
      <c r="J154" s="35" t="n">
        <v>10</v>
      </c>
      <c r="K154" s="35" t="n">
        <v>40</v>
      </c>
      <c r="L154" s="44" t="n">
        <v>15.7</v>
      </c>
      <c r="M154" s="25"/>
      <c r="N154" s="46"/>
      <c r="O154" s="35" t="n">
        <v>5</v>
      </c>
      <c r="P154" s="35"/>
      <c r="Q154" s="35"/>
      <c r="R154" s="35"/>
      <c r="S154" s="35"/>
      <c r="T154" s="35" t="n">
        <v>10</v>
      </c>
      <c r="U154" s="44"/>
      <c r="V154" s="25"/>
      <c r="W154" s="46"/>
      <c r="X154" s="35"/>
      <c r="Y154" s="35"/>
      <c r="Z154" s="35"/>
      <c r="AA154" s="44"/>
      <c r="AB154" s="32"/>
      <c r="AC154" s="31"/>
      <c r="AD154" s="25"/>
      <c r="AE154" s="45"/>
      <c r="AF154" s="25"/>
      <c r="AG154" s="46"/>
      <c r="AH154" s="32" t="n">
        <f aca="false">SUM(D154:AG154)</f>
        <v>100</v>
      </c>
      <c r="AK154" s="25" t="n">
        <f aca="false">AVERAGE(67.97,67.91)</f>
        <v>67.94</v>
      </c>
      <c r="AL154" s="25" t="n">
        <f aca="false">AVERAGE(10.96,11.02)</f>
        <v>10.99</v>
      </c>
      <c r="AM154" s="25" t="n">
        <v>153.263</v>
      </c>
      <c r="AN154" s="0" t="n">
        <v>3.719</v>
      </c>
      <c r="AO154" s="25"/>
      <c r="AP154" s="25"/>
      <c r="AQ154" s="25"/>
      <c r="AR154" s="26"/>
      <c r="AS154" s="25"/>
    </row>
    <row r="155" customFormat="false" ht="15" hidden="false" customHeight="false" outlineLevel="0" collapsed="false">
      <c r="A155" s="23" t="n">
        <v>151</v>
      </c>
      <c r="B155" s="24" t="s">
        <v>219</v>
      </c>
      <c r="C155" s="25" t="s">
        <v>221</v>
      </c>
      <c r="D155" s="26"/>
      <c r="E155" s="25"/>
      <c r="F155" s="27"/>
      <c r="G155" s="27"/>
      <c r="H155" s="25" t="n">
        <v>10</v>
      </c>
      <c r="I155" s="25"/>
      <c r="J155" s="25"/>
      <c r="K155" s="25"/>
      <c r="L155" s="26" t="n">
        <v>23.69</v>
      </c>
      <c r="M155" s="25"/>
      <c r="N155" s="27" t="n">
        <v>50.61</v>
      </c>
      <c r="O155" s="25"/>
      <c r="P155" s="25"/>
      <c r="Q155" s="25"/>
      <c r="R155" s="25"/>
      <c r="S155" s="25" t="n">
        <v>7</v>
      </c>
      <c r="T155" s="25"/>
      <c r="U155" s="26"/>
      <c r="V155" s="25"/>
      <c r="W155" s="27"/>
      <c r="X155" s="25"/>
      <c r="Y155" s="25"/>
      <c r="Z155" s="25" t="n">
        <v>8.7</v>
      </c>
      <c r="AA155" s="26"/>
      <c r="AB155" s="32"/>
      <c r="AC155" s="31"/>
      <c r="AD155" s="25"/>
      <c r="AE155" s="31"/>
      <c r="AF155" s="25"/>
      <c r="AG155" s="27"/>
      <c r="AH155" s="32" t="n">
        <f aca="false">SUM(D155:AG155)</f>
        <v>100</v>
      </c>
      <c r="AK155" s="25" t="n">
        <f aca="false">AVERAGE(132.71,132.4)</f>
        <v>132.555</v>
      </c>
      <c r="AL155" s="25" t="n">
        <f aca="false">AVERAGE(17.17,17.16)</f>
        <v>17.165</v>
      </c>
      <c r="AM155" s="25" t="n">
        <v>141.537</v>
      </c>
      <c r="AN155" s="25" t="n">
        <v>4.5</v>
      </c>
      <c r="AO155" s="25"/>
      <c r="AP155" s="25"/>
      <c r="AQ155" s="25"/>
      <c r="AR155" s="26"/>
      <c r="AS155" s="25"/>
    </row>
    <row r="156" customFormat="false" ht="15" hidden="false" customHeight="false" outlineLevel="0" collapsed="false">
      <c r="A156" s="23" t="n">
        <v>152</v>
      </c>
      <c r="B156" s="24" t="s">
        <v>219</v>
      </c>
      <c r="C156" s="25" t="s">
        <v>222</v>
      </c>
      <c r="D156" s="26"/>
      <c r="E156" s="25"/>
      <c r="F156" s="27"/>
      <c r="G156" s="27"/>
      <c r="H156" s="25" t="n">
        <v>10</v>
      </c>
      <c r="I156" s="25"/>
      <c r="J156" s="25"/>
      <c r="K156" s="25"/>
      <c r="L156" s="26" t="n">
        <v>22.69</v>
      </c>
      <c r="M156" s="25"/>
      <c r="N156" s="27" t="n">
        <v>50.61</v>
      </c>
      <c r="O156" s="25"/>
      <c r="P156" s="25"/>
      <c r="Q156" s="25"/>
      <c r="R156" s="25"/>
      <c r="S156" s="25" t="n">
        <v>8</v>
      </c>
      <c r="T156" s="25"/>
      <c r="U156" s="26"/>
      <c r="V156" s="25"/>
      <c r="W156" s="27"/>
      <c r="X156" s="25"/>
      <c r="Y156" s="25"/>
      <c r="Z156" s="25" t="n">
        <v>8.7</v>
      </c>
      <c r="AA156" s="26"/>
      <c r="AB156" s="32"/>
      <c r="AC156" s="31"/>
      <c r="AD156" s="25"/>
      <c r="AE156" s="31"/>
      <c r="AF156" s="25"/>
      <c r="AG156" s="27"/>
      <c r="AH156" s="32" t="n">
        <f aca="false">SUM(D156:AG156)</f>
        <v>100</v>
      </c>
      <c r="AK156" s="25" t="n">
        <f aca="false">AVERAGE(133.15,133.15)</f>
        <v>133.15</v>
      </c>
      <c r="AL156" s="25" t="n">
        <f aca="false">AVERAGE(17.47,17.45)</f>
        <v>17.46</v>
      </c>
      <c r="AM156" s="25" t="n">
        <v>144.348</v>
      </c>
      <c r="AN156" s="25" t="n">
        <v>4.56</v>
      </c>
      <c r="AO156" s="25"/>
      <c r="AP156" s="25"/>
      <c r="AQ156" s="25"/>
      <c r="AR156" s="26"/>
      <c r="AS156" s="25"/>
    </row>
    <row r="157" customFormat="false" ht="15" hidden="false" customHeight="false" outlineLevel="0" collapsed="false">
      <c r="A157" s="23" t="n">
        <v>153</v>
      </c>
      <c r="B157" s="24" t="s">
        <v>219</v>
      </c>
      <c r="C157" s="25" t="s">
        <v>223</v>
      </c>
      <c r="D157" s="26"/>
      <c r="E157" s="25"/>
      <c r="F157" s="27"/>
      <c r="G157" s="27"/>
      <c r="H157" s="25" t="n">
        <v>10</v>
      </c>
      <c r="I157" s="25"/>
      <c r="J157" s="25"/>
      <c r="K157" s="25" t="n">
        <v>75.72</v>
      </c>
      <c r="L157" s="26"/>
      <c r="M157" s="25"/>
      <c r="N157" s="27"/>
      <c r="O157" s="25"/>
      <c r="P157" s="25"/>
      <c r="Q157" s="25"/>
      <c r="R157" s="25"/>
      <c r="S157" s="25"/>
      <c r="T157" s="25" t="n">
        <v>6</v>
      </c>
      <c r="U157" s="26"/>
      <c r="V157" s="25"/>
      <c r="W157" s="27"/>
      <c r="X157" s="25"/>
      <c r="Y157" s="25"/>
      <c r="Z157" s="25"/>
      <c r="AA157" s="26"/>
      <c r="AB157" s="32"/>
      <c r="AC157" s="31"/>
      <c r="AD157" s="25"/>
      <c r="AE157" s="31"/>
      <c r="AF157" s="25"/>
      <c r="AG157" s="27" t="n">
        <v>8.28</v>
      </c>
      <c r="AH157" s="32" t="n">
        <f aca="false">SUM(D157:AG157)</f>
        <v>100</v>
      </c>
      <c r="AK157" s="25" t="n">
        <f aca="false">AVERAGE(55.51,55.5)</f>
        <v>55.505</v>
      </c>
      <c r="AL157" s="25" t="n">
        <f aca="false">AVERAGE(9.3,9.27)</f>
        <v>9.285</v>
      </c>
      <c r="AM157" s="25" t="n">
        <v>149.442</v>
      </c>
      <c r="AO157" s="25"/>
      <c r="AP157" s="25"/>
      <c r="AQ157" s="25"/>
      <c r="AR157" s="26"/>
      <c r="AS157" s="25"/>
    </row>
    <row r="158" customFormat="false" ht="15" hidden="false" customHeight="false" outlineLevel="0" collapsed="false">
      <c r="A158" s="23" t="n">
        <v>154</v>
      </c>
      <c r="B158" s="24" t="s">
        <v>219</v>
      </c>
      <c r="C158" s="25" t="s">
        <v>224</v>
      </c>
      <c r="D158" s="26" t="n">
        <v>10</v>
      </c>
      <c r="E158" s="25"/>
      <c r="F158" s="27"/>
      <c r="G158" s="27"/>
      <c r="H158" s="25"/>
      <c r="I158" s="25"/>
      <c r="J158" s="25"/>
      <c r="K158" s="25"/>
      <c r="L158" s="26" t="n">
        <v>73.75</v>
      </c>
      <c r="M158" s="25"/>
      <c r="N158" s="27"/>
      <c r="O158" s="25"/>
      <c r="P158" s="25"/>
      <c r="Q158" s="25"/>
      <c r="R158" s="25"/>
      <c r="S158" s="25" t="n">
        <v>7.8</v>
      </c>
      <c r="T158" s="25"/>
      <c r="U158" s="26"/>
      <c r="V158" s="25"/>
      <c r="W158" s="27"/>
      <c r="X158" s="25"/>
      <c r="Y158" s="25" t="n">
        <v>7.65</v>
      </c>
      <c r="Z158" s="25"/>
      <c r="AA158" s="26" t="n">
        <v>0.6</v>
      </c>
      <c r="AB158" s="32"/>
      <c r="AC158" s="31"/>
      <c r="AD158" s="25"/>
      <c r="AE158" s="31" t="n">
        <v>0.2</v>
      </c>
      <c r="AF158" s="25"/>
      <c r="AG158" s="27"/>
      <c r="AH158" s="32" t="n">
        <f aca="false">SUM(D158:AG158)</f>
        <v>100</v>
      </c>
      <c r="AK158" s="25" t="n">
        <f aca="false">AVERAGE(87.9,88.01)</f>
        <v>87.955</v>
      </c>
      <c r="AL158" s="25" t="n">
        <f aca="false">AVERAGE(14.16,14.13)</f>
        <v>14.145</v>
      </c>
      <c r="AM158" s="25" t="n">
        <v>166.272</v>
      </c>
      <c r="AN158" s="25" t="n">
        <v>4.13</v>
      </c>
      <c r="AO158" s="25"/>
      <c r="AP158" s="25"/>
      <c r="AQ158" s="25"/>
      <c r="AR158" s="26"/>
      <c r="AS158" s="25"/>
    </row>
    <row r="159" customFormat="false" ht="15" hidden="false" customHeight="false" outlineLevel="0" collapsed="false">
      <c r="A159" s="23" t="n">
        <v>155</v>
      </c>
      <c r="B159" s="24" t="s">
        <v>225</v>
      </c>
      <c r="C159" s="25" t="s">
        <v>226</v>
      </c>
      <c r="D159" s="26"/>
      <c r="E159" s="25"/>
      <c r="F159" s="27"/>
      <c r="G159" s="27"/>
      <c r="H159" s="25" t="n">
        <v>10</v>
      </c>
      <c r="I159" s="25"/>
      <c r="J159" s="25"/>
      <c r="K159" s="25" t="n">
        <v>75.22</v>
      </c>
      <c r="L159" s="26"/>
      <c r="M159" s="25"/>
      <c r="N159" s="27"/>
      <c r="O159" s="25"/>
      <c r="P159" s="25"/>
      <c r="Q159" s="25"/>
      <c r="R159" s="25"/>
      <c r="S159" s="25"/>
      <c r="T159" s="25" t="n">
        <v>6.5</v>
      </c>
      <c r="U159" s="26"/>
      <c r="V159" s="25"/>
      <c r="W159" s="27"/>
      <c r="X159" s="25"/>
      <c r="Y159" s="25"/>
      <c r="Z159" s="25"/>
      <c r="AA159" s="26"/>
      <c r="AB159" s="32"/>
      <c r="AC159" s="31"/>
      <c r="AD159" s="25"/>
      <c r="AE159" s="31"/>
      <c r="AF159" s="25"/>
      <c r="AG159" s="27" t="n">
        <v>8.28</v>
      </c>
      <c r="AH159" s="32" t="n">
        <f aca="false">SUM(D159:AG159)</f>
        <v>100</v>
      </c>
      <c r="AK159" s="25" t="n">
        <f aca="false">AVERAGE(57.97,57.97)</f>
        <v>57.97</v>
      </c>
      <c r="AL159" s="25" t="n">
        <f aca="false">AVERAGE(9.61,9.65)</f>
        <v>9.63</v>
      </c>
      <c r="AM159" s="25" t="n">
        <v>150.334</v>
      </c>
      <c r="AN159" s="25" t="n">
        <v>3.09</v>
      </c>
      <c r="AO159" s="25"/>
      <c r="AP159" s="25"/>
      <c r="AQ159" s="25"/>
      <c r="AR159" s="26"/>
      <c r="AS159" s="25"/>
    </row>
    <row r="160" customFormat="false" ht="15" hidden="false" customHeight="false" outlineLevel="0" collapsed="false">
      <c r="A160" s="23" t="n">
        <v>156</v>
      </c>
      <c r="B160" s="24" t="s">
        <v>225</v>
      </c>
      <c r="C160" s="25" t="s">
        <v>227</v>
      </c>
      <c r="D160" s="26"/>
      <c r="E160" s="25"/>
      <c r="F160" s="27"/>
      <c r="G160" s="27"/>
      <c r="H160" s="25" t="n">
        <v>10</v>
      </c>
      <c r="I160" s="25"/>
      <c r="J160" s="25"/>
      <c r="K160" s="25" t="n">
        <v>74.72</v>
      </c>
      <c r="L160" s="26"/>
      <c r="M160" s="25"/>
      <c r="N160" s="27"/>
      <c r="O160" s="25"/>
      <c r="P160" s="25"/>
      <c r="Q160" s="25"/>
      <c r="R160" s="25"/>
      <c r="S160" s="25"/>
      <c r="T160" s="25" t="n">
        <v>7</v>
      </c>
      <c r="U160" s="26"/>
      <c r="V160" s="25"/>
      <c r="W160" s="27"/>
      <c r="X160" s="25"/>
      <c r="Y160" s="25"/>
      <c r="Z160" s="25"/>
      <c r="AA160" s="26"/>
      <c r="AB160" s="32"/>
      <c r="AC160" s="31"/>
      <c r="AD160" s="25"/>
      <c r="AE160" s="31"/>
      <c r="AF160" s="25"/>
      <c r="AG160" s="27" t="n">
        <v>8.28</v>
      </c>
      <c r="AH160" s="32" t="n">
        <f aca="false">SUM(D160:AG160)</f>
        <v>100</v>
      </c>
      <c r="AK160" s="25" t="n">
        <f aca="false">AVERAGE(58.73,58.74)</f>
        <v>58.735</v>
      </c>
      <c r="AL160" s="25" t="n">
        <f aca="false">AVERAGE(9.7,9.71)</f>
        <v>9.705</v>
      </c>
      <c r="AM160" s="25" t="n">
        <v>149.789</v>
      </c>
      <c r="AN160" s="25" t="n">
        <v>3.18</v>
      </c>
      <c r="AO160" s="25"/>
      <c r="AP160" s="25"/>
      <c r="AQ160" s="25"/>
      <c r="AR160" s="26"/>
      <c r="AS160" s="25"/>
    </row>
    <row r="161" customFormat="false" ht="15" hidden="false" customHeight="false" outlineLevel="0" collapsed="false">
      <c r="A161" s="23" t="n">
        <v>157</v>
      </c>
      <c r="B161" s="24" t="s">
        <v>225</v>
      </c>
      <c r="C161" s="25" t="s">
        <v>228</v>
      </c>
      <c r="D161" s="26"/>
      <c r="E161" s="25"/>
      <c r="F161" s="27"/>
      <c r="G161" s="27"/>
      <c r="H161" s="25" t="n">
        <v>10</v>
      </c>
      <c r="I161" s="25" t="n">
        <v>14.3</v>
      </c>
      <c r="J161" s="25" t="n">
        <v>10</v>
      </c>
      <c r="K161" s="25" t="n">
        <v>40</v>
      </c>
      <c r="L161" s="26" t="n">
        <v>15.7</v>
      </c>
      <c r="M161" s="25"/>
      <c r="N161" s="27"/>
      <c r="O161" s="25"/>
      <c r="P161" s="25"/>
      <c r="Q161" s="25"/>
      <c r="R161" s="25"/>
      <c r="S161" s="25"/>
      <c r="T161" s="25" t="n">
        <v>10</v>
      </c>
      <c r="U161" s="26"/>
      <c r="V161" s="25"/>
      <c r="W161" s="27"/>
      <c r="X161" s="25"/>
      <c r="Y161" s="25"/>
      <c r="Z161" s="25"/>
      <c r="AA161" s="26"/>
      <c r="AB161" s="32"/>
      <c r="AC161" s="31"/>
      <c r="AD161" s="25"/>
      <c r="AE161" s="31"/>
      <c r="AF161" s="25"/>
      <c r="AG161" s="27"/>
      <c r="AH161" s="32" t="n">
        <f aca="false">SUM(D161:AG161)</f>
        <v>100</v>
      </c>
      <c r="AK161" s="25" t="n">
        <f aca="false">AVERAGE(76.51,76.74)</f>
        <v>76.625</v>
      </c>
      <c r="AL161" s="25" t="n">
        <f aca="false">AVERAGE(11.65,11.65)</f>
        <v>11.65</v>
      </c>
      <c r="AM161" s="25" t="n">
        <v>145.47</v>
      </c>
      <c r="AN161" s="25" t="n">
        <v>3.82</v>
      </c>
      <c r="AO161" s="25"/>
      <c r="AP161" s="25"/>
      <c r="AQ161" s="25"/>
      <c r="AR161" s="26"/>
      <c r="AS161" s="25"/>
    </row>
    <row r="162" customFormat="false" ht="15" hidden="false" customHeight="false" outlineLevel="0" collapsed="false">
      <c r="A162" s="23" t="n">
        <v>158</v>
      </c>
      <c r="B162" s="24" t="s">
        <v>225</v>
      </c>
      <c r="C162" s="25" t="s">
        <v>229</v>
      </c>
      <c r="D162" s="26"/>
      <c r="E162" s="25"/>
      <c r="F162" s="27"/>
      <c r="G162" s="27"/>
      <c r="H162" s="25" t="n">
        <v>5</v>
      </c>
      <c r="I162" s="25" t="n">
        <v>14.3</v>
      </c>
      <c r="J162" s="25" t="n">
        <v>10</v>
      </c>
      <c r="K162" s="25" t="n">
        <v>30</v>
      </c>
      <c r="L162" s="26" t="n">
        <v>25.7</v>
      </c>
      <c r="M162" s="25"/>
      <c r="N162" s="27"/>
      <c r="O162" s="25" t="n">
        <v>5</v>
      </c>
      <c r="P162" s="25"/>
      <c r="Q162" s="25"/>
      <c r="R162" s="25"/>
      <c r="S162" s="25"/>
      <c r="T162" s="25" t="n">
        <v>10</v>
      </c>
      <c r="U162" s="26"/>
      <c r="V162" s="25"/>
      <c r="W162" s="27"/>
      <c r="X162" s="25"/>
      <c r="Y162" s="25"/>
      <c r="Z162" s="25"/>
      <c r="AA162" s="26"/>
      <c r="AB162" s="32"/>
      <c r="AC162" s="31"/>
      <c r="AD162" s="25"/>
      <c r="AE162" s="31"/>
      <c r="AF162" s="25"/>
      <c r="AG162" s="27"/>
      <c r="AH162" s="32" t="n">
        <f aca="false">SUM(D162:AG162)</f>
        <v>100</v>
      </c>
      <c r="AK162" s="25" t="n">
        <f aca="false">AVERAGE(70.46,70.25)</f>
        <v>70.355</v>
      </c>
      <c r="AL162" s="25" t="n">
        <f aca="false">AVERAGE(11.14,11.14)</f>
        <v>11.14</v>
      </c>
      <c r="AM162" s="25" t="n">
        <v>150.18</v>
      </c>
      <c r="AN162" s="25" t="n">
        <v>3.73</v>
      </c>
      <c r="AO162" s="25"/>
      <c r="AP162" s="25"/>
      <c r="AQ162" s="25"/>
      <c r="AR162" s="26"/>
      <c r="AS162" s="25"/>
    </row>
    <row r="163" customFormat="false" ht="15" hidden="false" customHeight="false" outlineLevel="0" collapsed="false">
      <c r="A163" s="23" t="n">
        <v>159</v>
      </c>
      <c r="B163" s="24" t="s">
        <v>225</v>
      </c>
      <c r="C163" s="25" t="s">
        <v>230</v>
      </c>
      <c r="D163" s="26"/>
      <c r="E163" s="25"/>
      <c r="F163" s="27"/>
      <c r="G163" s="27"/>
      <c r="H163" s="25" t="n">
        <v>10</v>
      </c>
      <c r="I163" s="25" t="n">
        <v>14.3</v>
      </c>
      <c r="J163" s="25" t="n">
        <v>10</v>
      </c>
      <c r="K163" s="25" t="n">
        <v>30</v>
      </c>
      <c r="L163" s="26" t="n">
        <v>25.7</v>
      </c>
      <c r="M163" s="25"/>
      <c r="N163" s="27"/>
      <c r="O163" s="25"/>
      <c r="P163" s="25"/>
      <c r="Q163" s="25"/>
      <c r="R163" s="25"/>
      <c r="S163" s="25"/>
      <c r="T163" s="25" t="n">
        <v>10</v>
      </c>
      <c r="U163" s="26"/>
      <c r="V163" s="25"/>
      <c r="W163" s="27"/>
      <c r="X163" s="25"/>
      <c r="Y163" s="25"/>
      <c r="Z163" s="25"/>
      <c r="AA163" s="26"/>
      <c r="AB163" s="32"/>
      <c r="AC163" s="31"/>
      <c r="AD163" s="25"/>
      <c r="AE163" s="31"/>
      <c r="AF163" s="25"/>
      <c r="AG163" s="27"/>
      <c r="AH163" s="32" t="n">
        <f aca="false">SUM(D163:AG163)</f>
        <v>100</v>
      </c>
      <c r="AK163" s="25" t="n">
        <f aca="false">AVERAGE(80.37,80.27)</f>
        <v>80.32</v>
      </c>
      <c r="AL163" s="25" t="n">
        <f aca="false">AVERAGE(11.89,11.89)</f>
        <v>11.89</v>
      </c>
      <c r="AM163" s="25" t="n">
        <v>142.075</v>
      </c>
      <c r="AN163" s="25"/>
      <c r="AO163" s="25"/>
      <c r="AP163" s="25"/>
      <c r="AQ163" s="25"/>
      <c r="AR163" s="26"/>
      <c r="AS163" s="25"/>
    </row>
    <row r="164" customFormat="false" ht="15" hidden="false" customHeight="false" outlineLevel="0" collapsed="false">
      <c r="A164" s="23" t="n">
        <v>160</v>
      </c>
      <c r="B164" s="24" t="s">
        <v>225</v>
      </c>
      <c r="C164" s="25" t="s">
        <v>231</v>
      </c>
      <c r="D164" s="26"/>
      <c r="E164" s="25"/>
      <c r="F164" s="27"/>
      <c r="G164" s="27"/>
      <c r="H164" s="25" t="n">
        <v>10</v>
      </c>
      <c r="I164" s="25" t="n">
        <v>14.3</v>
      </c>
      <c r="J164" s="25"/>
      <c r="K164" s="25" t="n">
        <v>30</v>
      </c>
      <c r="L164" s="26" t="n">
        <v>37.7</v>
      </c>
      <c r="M164" s="25"/>
      <c r="N164" s="27"/>
      <c r="O164" s="25"/>
      <c r="P164" s="25"/>
      <c r="Q164" s="25"/>
      <c r="R164" s="25"/>
      <c r="S164" s="25" t="n">
        <v>8</v>
      </c>
      <c r="T164" s="25"/>
      <c r="U164" s="26"/>
      <c r="V164" s="25"/>
      <c r="W164" s="27"/>
      <c r="X164" s="25"/>
      <c r="Y164" s="25"/>
      <c r="Z164" s="25"/>
      <c r="AA164" s="26"/>
      <c r="AB164" s="32"/>
      <c r="AC164" s="31"/>
      <c r="AD164" s="25"/>
      <c r="AE164" s="31"/>
      <c r="AF164" s="25"/>
      <c r="AG164" s="27"/>
      <c r="AH164" s="32" t="n">
        <f aca="false">SUM(D164:AG164)</f>
        <v>100</v>
      </c>
      <c r="AK164" s="25" t="n">
        <f aca="false">AVERAGE(97.31,97.07)</f>
        <v>97.19</v>
      </c>
      <c r="AL164" s="25" t="n">
        <f aca="false">AVERAGE(14.97,14.96)</f>
        <v>14.965</v>
      </c>
      <c r="AM164" s="25" t="n">
        <v>161.533</v>
      </c>
      <c r="AN164" s="25"/>
      <c r="AO164" s="25"/>
      <c r="AP164" s="25"/>
      <c r="AQ164" s="25"/>
      <c r="AR164" s="26"/>
      <c r="AS164" s="25"/>
    </row>
    <row r="165" customFormat="false" ht="15" hidden="false" customHeight="false" outlineLevel="0" collapsed="false">
      <c r="A165" s="23" t="n">
        <v>161</v>
      </c>
      <c r="B165" s="24" t="s">
        <v>225</v>
      </c>
      <c r="C165" s="25" t="s">
        <v>232</v>
      </c>
      <c r="D165" s="26"/>
      <c r="E165" s="25"/>
      <c r="F165" s="27"/>
      <c r="G165" s="27"/>
      <c r="H165" s="25" t="n">
        <v>5</v>
      </c>
      <c r="I165" s="25" t="n">
        <v>14.3</v>
      </c>
      <c r="J165" s="25" t="n">
        <v>20</v>
      </c>
      <c r="K165" s="25" t="n">
        <v>40</v>
      </c>
      <c r="L165" s="26" t="n">
        <v>5.7</v>
      </c>
      <c r="M165" s="25"/>
      <c r="N165" s="27"/>
      <c r="O165" s="25" t="n">
        <v>5</v>
      </c>
      <c r="P165" s="25"/>
      <c r="Q165" s="25"/>
      <c r="R165" s="25"/>
      <c r="S165" s="25"/>
      <c r="T165" s="25" t="n">
        <v>10</v>
      </c>
      <c r="U165" s="26"/>
      <c r="V165" s="25"/>
      <c r="W165" s="27"/>
      <c r="X165" s="25"/>
      <c r="Y165" s="25"/>
      <c r="Z165" s="25"/>
      <c r="AA165" s="26"/>
      <c r="AB165" s="32"/>
      <c r="AC165" s="31"/>
      <c r="AD165" s="25"/>
      <c r="AE165" s="31"/>
      <c r="AF165" s="25"/>
      <c r="AG165" s="27"/>
      <c r="AH165" s="32" t="n">
        <f aca="false">SUM(D165:AG165)</f>
        <v>100</v>
      </c>
      <c r="AK165" s="25" t="n">
        <f aca="false">AVERAGE(65.66,64.74)</f>
        <v>65.2</v>
      </c>
      <c r="AL165" s="25" t="n">
        <f aca="false">AVERAGE(10.14,10.11)</f>
        <v>10.125</v>
      </c>
      <c r="AM165" s="25" t="n">
        <v>140.903</v>
      </c>
      <c r="AN165" s="25"/>
      <c r="AO165" s="25"/>
      <c r="AP165" s="25"/>
      <c r="AQ165" s="25"/>
      <c r="AR165" s="26"/>
      <c r="AS165" s="25"/>
    </row>
    <row r="166" customFormat="false" ht="15" hidden="false" customHeight="false" outlineLevel="0" collapsed="false">
      <c r="A166" s="23" t="n">
        <v>162</v>
      </c>
      <c r="B166" s="24" t="s">
        <v>225</v>
      </c>
      <c r="C166" s="25" t="s">
        <v>233</v>
      </c>
      <c r="D166" s="26"/>
      <c r="E166" s="25"/>
      <c r="F166" s="27"/>
      <c r="G166" s="27"/>
      <c r="H166" s="25" t="n">
        <v>5</v>
      </c>
      <c r="I166" s="25" t="n">
        <v>14.3</v>
      </c>
      <c r="J166" s="25" t="n">
        <v>20</v>
      </c>
      <c r="K166" s="25" t="n">
        <v>30</v>
      </c>
      <c r="L166" s="26" t="n">
        <v>15.7</v>
      </c>
      <c r="M166" s="25"/>
      <c r="N166" s="27"/>
      <c r="O166" s="25" t="n">
        <v>5</v>
      </c>
      <c r="P166" s="25"/>
      <c r="Q166" s="25"/>
      <c r="R166" s="25"/>
      <c r="S166" s="25"/>
      <c r="T166" s="25" t="n">
        <v>10</v>
      </c>
      <c r="U166" s="26"/>
      <c r="V166" s="25"/>
      <c r="W166" s="27"/>
      <c r="X166" s="25"/>
      <c r="Y166" s="25"/>
      <c r="Z166" s="25"/>
      <c r="AA166" s="26"/>
      <c r="AB166" s="32"/>
      <c r="AC166" s="31"/>
      <c r="AD166" s="25"/>
      <c r="AE166" s="31"/>
      <c r="AF166" s="25"/>
      <c r="AG166" s="27"/>
      <c r="AH166" s="32" t="n">
        <f aca="false">SUM(D166:AG166)</f>
        <v>100</v>
      </c>
      <c r="AK166" s="25" t="n">
        <f aca="false">AVERAGE(66.86,66.9)</f>
        <v>66.88</v>
      </c>
      <c r="AL166" s="25" t="n">
        <f aca="false">AVERAGE(10.5,10.51)</f>
        <v>10.505</v>
      </c>
      <c r="AM166" s="25" t="n">
        <v>145.171</v>
      </c>
      <c r="AN166" s="25"/>
      <c r="AO166" s="25"/>
      <c r="AP166" s="25"/>
      <c r="AQ166" s="25"/>
      <c r="AR166" s="26"/>
      <c r="AS166" s="25"/>
    </row>
    <row r="167" customFormat="false" ht="15" hidden="false" customHeight="false" outlineLevel="0" collapsed="false">
      <c r="A167" s="23" t="n">
        <v>163</v>
      </c>
      <c r="B167" s="24" t="s">
        <v>225</v>
      </c>
      <c r="C167" s="25" t="s">
        <v>234</v>
      </c>
      <c r="D167" s="26"/>
      <c r="E167" s="25"/>
      <c r="F167" s="27"/>
      <c r="G167" s="27"/>
      <c r="H167" s="25" t="n">
        <v>10</v>
      </c>
      <c r="I167" s="25" t="n">
        <v>14.3</v>
      </c>
      <c r="J167" s="25"/>
      <c r="K167" s="25" t="n">
        <v>20</v>
      </c>
      <c r="L167" s="26" t="n">
        <v>45.7</v>
      </c>
      <c r="M167" s="25"/>
      <c r="N167" s="27"/>
      <c r="O167" s="25"/>
      <c r="P167" s="25"/>
      <c r="Q167" s="25"/>
      <c r="R167" s="25"/>
      <c r="S167" s="25"/>
      <c r="T167" s="25" t="n">
        <v>10</v>
      </c>
      <c r="U167" s="26"/>
      <c r="V167" s="25"/>
      <c r="W167" s="27"/>
      <c r="X167" s="25"/>
      <c r="Y167" s="25"/>
      <c r="Z167" s="25"/>
      <c r="AA167" s="26"/>
      <c r="AB167" s="32"/>
      <c r="AC167" s="31"/>
      <c r="AD167" s="25"/>
      <c r="AE167" s="31"/>
      <c r="AF167" s="25"/>
      <c r="AG167" s="27"/>
      <c r="AH167" s="32" t="n">
        <f aca="false">SUM(D167:AG167)</f>
        <v>100</v>
      </c>
      <c r="AK167" s="25" t="n">
        <f aca="false">AVERAGE(90.54,90.59)</f>
        <v>90.565</v>
      </c>
      <c r="AL167" s="25" t="n">
        <f aca="false">AVERAGE(12.78,12.76)</f>
        <v>12.77</v>
      </c>
      <c r="AM167" s="25" t="n">
        <v>138.219</v>
      </c>
      <c r="AN167" s="25"/>
      <c r="AO167" s="25"/>
      <c r="AP167" s="25"/>
      <c r="AQ167" s="25"/>
      <c r="AR167" s="26"/>
      <c r="AS167" s="25"/>
    </row>
    <row r="168" customFormat="false" ht="15" hidden="false" customHeight="false" outlineLevel="0" collapsed="false">
      <c r="A168" s="43" t="n">
        <v>164</v>
      </c>
      <c r="B168" s="36" t="s">
        <v>225</v>
      </c>
      <c r="C168" s="35" t="s">
        <v>235</v>
      </c>
      <c r="D168" s="44"/>
      <c r="E168" s="25"/>
      <c r="F168" s="27"/>
      <c r="G168" s="46"/>
      <c r="H168" s="35" t="n">
        <v>10</v>
      </c>
      <c r="I168" s="35" t="n">
        <v>14.3</v>
      </c>
      <c r="J168" s="35"/>
      <c r="K168" s="35" t="n">
        <v>25</v>
      </c>
      <c r="L168" s="44" t="n">
        <v>40.7</v>
      </c>
      <c r="M168" s="25"/>
      <c r="N168" s="46"/>
      <c r="O168" s="35"/>
      <c r="P168" s="35"/>
      <c r="Q168" s="35"/>
      <c r="R168" s="35"/>
      <c r="S168" s="35"/>
      <c r="T168" s="35" t="n">
        <v>10</v>
      </c>
      <c r="U168" s="44"/>
      <c r="V168" s="25"/>
      <c r="W168" s="46"/>
      <c r="X168" s="35"/>
      <c r="Y168" s="35"/>
      <c r="Z168" s="35"/>
      <c r="AA168" s="44"/>
      <c r="AB168" s="32"/>
      <c r="AC168" s="31"/>
      <c r="AD168" s="25"/>
      <c r="AE168" s="45"/>
      <c r="AF168" s="25"/>
      <c r="AG168" s="46"/>
      <c r="AH168" s="32" t="n">
        <f aca="false">SUM(D168:AG168)</f>
        <v>100</v>
      </c>
      <c r="AK168" s="35" t="n">
        <f aca="false">AVERAGE(89.15,89.28)</f>
        <v>89.215</v>
      </c>
      <c r="AL168" s="35" t="n">
        <f aca="false">AVERAGE(12.83,12.84)</f>
        <v>12.835</v>
      </c>
      <c r="AM168" s="35" t="n">
        <v>141.772</v>
      </c>
      <c r="AN168" s="35"/>
      <c r="AO168" s="35"/>
      <c r="AP168" s="35"/>
      <c r="AQ168" s="35"/>
      <c r="AR168" s="44"/>
      <c r="AS168" s="25"/>
    </row>
    <row r="169" customFormat="false" ht="15" hidden="false" customHeight="false" outlineLevel="0" collapsed="false">
      <c r="A169" s="23" t="n">
        <v>165</v>
      </c>
      <c r="B169" s="24" t="s">
        <v>236</v>
      </c>
      <c r="C169" s="25" t="s">
        <v>237</v>
      </c>
      <c r="D169" s="26" t="n">
        <v>17.5</v>
      </c>
      <c r="E169" s="25"/>
      <c r="F169" s="27"/>
      <c r="G169" s="27" t="n">
        <v>17.5</v>
      </c>
      <c r="H169" s="25"/>
      <c r="I169" s="25"/>
      <c r="J169" s="25"/>
      <c r="K169" s="25"/>
      <c r="L169" s="26" t="n">
        <v>260.93</v>
      </c>
      <c r="M169" s="25"/>
      <c r="N169" s="27"/>
      <c r="O169" s="25"/>
      <c r="P169" s="25"/>
      <c r="Q169" s="25"/>
      <c r="R169" s="25"/>
      <c r="S169" s="25"/>
      <c r="T169" s="25" t="n">
        <v>24.5</v>
      </c>
      <c r="U169" s="26"/>
      <c r="V169" s="25"/>
      <c r="W169" s="27"/>
      <c r="X169" s="25"/>
      <c r="Y169" s="25" t="n">
        <v>26.77</v>
      </c>
      <c r="Z169" s="25"/>
      <c r="AA169" s="26" t="n">
        <v>2.1</v>
      </c>
      <c r="AB169" s="32"/>
      <c r="AC169" s="31"/>
      <c r="AD169" s="25"/>
      <c r="AE169" s="31" t="n">
        <v>0.7</v>
      </c>
      <c r="AF169" s="25"/>
      <c r="AG169" s="27"/>
      <c r="AH169" s="32" t="n">
        <f aca="false">SUM(D169:AG169)</f>
        <v>350</v>
      </c>
      <c r="AK169" s="25" t="n">
        <f aca="false">AVERAGE(66.4,66.27)</f>
        <v>66.335</v>
      </c>
      <c r="AL169" s="25" t="n">
        <f aca="false">AVERAGE(10.49,10.51)</f>
        <v>10.5</v>
      </c>
      <c r="AM169" s="25" t="n">
        <v>146.543</v>
      </c>
      <c r="AN169" s="25" t="n">
        <v>3.396</v>
      </c>
      <c r="AO169" s="25" t="n">
        <v>5699.65</v>
      </c>
      <c r="AP169" s="25" t="n">
        <v>-31</v>
      </c>
      <c r="AQ169" s="25" t="n">
        <v>5.44</v>
      </c>
      <c r="AR169" s="26"/>
      <c r="AS169" s="25"/>
    </row>
    <row r="170" customFormat="false" ht="15" hidden="false" customHeight="false" outlineLevel="0" collapsed="false">
      <c r="A170" s="23" t="n">
        <v>166</v>
      </c>
      <c r="B170" s="24" t="s">
        <v>236</v>
      </c>
      <c r="C170" s="25" t="s">
        <v>238</v>
      </c>
      <c r="D170" s="26" t="n">
        <v>35</v>
      </c>
      <c r="E170" s="25"/>
      <c r="F170" s="27"/>
      <c r="G170" s="27"/>
      <c r="H170" s="25"/>
      <c r="I170" s="25"/>
      <c r="J170" s="25"/>
      <c r="K170" s="25"/>
      <c r="L170" s="26" t="n">
        <v>258.13</v>
      </c>
      <c r="M170" s="25"/>
      <c r="N170" s="27"/>
      <c r="O170" s="25"/>
      <c r="P170" s="25"/>
      <c r="Q170" s="25"/>
      <c r="R170" s="25"/>
      <c r="S170" s="25" t="n">
        <v>27.3</v>
      </c>
      <c r="T170" s="25"/>
      <c r="U170" s="26"/>
      <c r="V170" s="25"/>
      <c r="W170" s="27"/>
      <c r="X170" s="25"/>
      <c r="Y170" s="25" t="n">
        <v>26.77</v>
      </c>
      <c r="Z170" s="25"/>
      <c r="AA170" s="26" t="n">
        <v>2.1</v>
      </c>
      <c r="AB170" s="32"/>
      <c r="AC170" s="31"/>
      <c r="AD170" s="25"/>
      <c r="AE170" s="31" t="n">
        <v>0.7</v>
      </c>
      <c r="AF170" s="25"/>
      <c r="AG170" s="27"/>
      <c r="AH170" s="32" t="n">
        <f aca="false">SUM(D170:AG170)</f>
        <v>350</v>
      </c>
      <c r="AK170" s="25" t="n">
        <f aca="false">AVERAGE(88.94,88.9)</f>
        <v>88.92</v>
      </c>
      <c r="AL170" s="25" t="n">
        <f aca="false">AVERAGE(14.42,14.42)</f>
        <v>14.42</v>
      </c>
      <c r="AM170" s="25" t="n">
        <v>168.682</v>
      </c>
      <c r="AN170" s="25" t="n">
        <v>4.097</v>
      </c>
      <c r="AO170" s="25" t="n">
        <v>6190.18</v>
      </c>
      <c r="AP170" s="25" t="n">
        <v>-28</v>
      </c>
      <c r="AQ170" s="25" t="n">
        <v>4.42</v>
      </c>
      <c r="AR170" s="26"/>
      <c r="AS170" s="25"/>
    </row>
    <row r="171" customFormat="false" ht="15" hidden="false" customHeight="false" outlineLevel="0" collapsed="false">
      <c r="A171" s="23" t="n">
        <v>167</v>
      </c>
      <c r="B171" s="24" t="s">
        <v>236</v>
      </c>
      <c r="C171" s="25" t="s">
        <v>239</v>
      </c>
      <c r="D171" s="26"/>
      <c r="E171" s="25"/>
      <c r="F171" s="27"/>
      <c r="G171" s="27"/>
      <c r="H171" s="25" t="n">
        <v>35</v>
      </c>
      <c r="I171" s="25"/>
      <c r="J171" s="25" t="n">
        <v>183.05</v>
      </c>
      <c r="K171" s="25" t="n">
        <v>78.47</v>
      </c>
      <c r="L171" s="26"/>
      <c r="M171" s="25"/>
      <c r="N171" s="27"/>
      <c r="O171" s="25"/>
      <c r="P171" s="25"/>
      <c r="Q171" s="25"/>
      <c r="R171" s="25"/>
      <c r="S171" s="25"/>
      <c r="T171" s="25" t="n">
        <v>24.5</v>
      </c>
      <c r="U171" s="26"/>
      <c r="V171" s="25"/>
      <c r="W171" s="27"/>
      <c r="X171" s="25"/>
      <c r="Y171" s="25"/>
      <c r="Z171" s="25"/>
      <c r="AA171" s="26"/>
      <c r="AB171" s="32"/>
      <c r="AC171" s="31"/>
      <c r="AD171" s="25"/>
      <c r="AE171" s="31"/>
      <c r="AF171" s="25"/>
      <c r="AG171" s="27" t="n">
        <v>28.98</v>
      </c>
      <c r="AH171" s="32" t="n">
        <f aca="false">SUM(D171:AG171)</f>
        <v>350</v>
      </c>
      <c r="AK171" s="25" t="n">
        <f aca="false">AVERAGE(44.92,44.9)</f>
        <v>44.91</v>
      </c>
      <c r="AL171" s="25" t="n">
        <f aca="false">AVERAGE(8.12,8.12)</f>
        <v>8.12</v>
      </c>
      <c r="AM171" s="25" t="n">
        <v>155.875</v>
      </c>
      <c r="AN171" s="25" t="n">
        <v>2.699</v>
      </c>
      <c r="AO171" s="51" t="n">
        <v>9684.48</v>
      </c>
      <c r="AP171" s="25" t="n">
        <v>-34</v>
      </c>
      <c r="AQ171" s="25" t="n">
        <v>11.58</v>
      </c>
      <c r="AR171" s="26"/>
      <c r="AS171" s="25"/>
    </row>
    <row r="172" customFormat="false" ht="15" hidden="false" customHeight="false" outlineLevel="0" collapsed="false">
      <c r="A172" s="23" t="n">
        <v>168</v>
      </c>
      <c r="B172" s="24" t="s">
        <v>236</v>
      </c>
      <c r="C172" s="25" t="s">
        <v>240</v>
      </c>
      <c r="D172" s="26"/>
      <c r="E172" s="25"/>
      <c r="F172" s="27"/>
      <c r="G172" s="27"/>
      <c r="H172" s="25" t="n">
        <v>35</v>
      </c>
      <c r="I172" s="25"/>
      <c r="J172" s="25"/>
      <c r="K172" s="25" t="n">
        <v>158.27</v>
      </c>
      <c r="L172" s="26" t="n">
        <v>105</v>
      </c>
      <c r="M172" s="25"/>
      <c r="N172" s="27"/>
      <c r="O172" s="25"/>
      <c r="P172" s="25"/>
      <c r="Q172" s="25"/>
      <c r="R172" s="25"/>
      <c r="S172" s="25"/>
      <c r="T172" s="25" t="n">
        <v>22.75</v>
      </c>
      <c r="U172" s="26"/>
      <c r="V172" s="25"/>
      <c r="W172" s="27"/>
      <c r="X172" s="25"/>
      <c r="Y172" s="25"/>
      <c r="Z172" s="25"/>
      <c r="AA172" s="26"/>
      <c r="AB172" s="32"/>
      <c r="AC172" s="31"/>
      <c r="AD172" s="25"/>
      <c r="AE172" s="31"/>
      <c r="AF172" s="25"/>
      <c r="AG172" s="27" t="n">
        <v>28.98</v>
      </c>
      <c r="AH172" s="32" t="n">
        <f aca="false">SUM(D172:AG172)</f>
        <v>350</v>
      </c>
      <c r="AK172" s="25" t="n">
        <f aca="false">AVERAGE(63.51,63.49)</f>
        <v>63.5</v>
      </c>
      <c r="AL172" s="25" t="n">
        <f aca="false">AVERAGE(10.04,10.04)</f>
        <v>10.04</v>
      </c>
      <c r="AM172" s="25" t="n">
        <v>143.642</v>
      </c>
      <c r="AN172" s="25" t="n">
        <v>3.36</v>
      </c>
      <c r="AO172" s="51" t="n">
        <v>9373.76</v>
      </c>
      <c r="AP172" s="25" t="n">
        <v>-28</v>
      </c>
      <c r="AQ172" s="25" t="n">
        <v>6.37</v>
      </c>
      <c r="AR172" s="26"/>
      <c r="AS172" s="25"/>
    </row>
    <row r="173" customFormat="false" ht="15" hidden="false" customHeight="false" outlineLevel="0" collapsed="false">
      <c r="A173" s="23" t="n">
        <v>169</v>
      </c>
      <c r="B173" s="24" t="s">
        <v>236</v>
      </c>
      <c r="C173" s="25" t="s">
        <v>241</v>
      </c>
      <c r="D173" s="26"/>
      <c r="E173" s="25"/>
      <c r="F173" s="27"/>
      <c r="G173" s="27"/>
      <c r="H173" s="25" t="n">
        <v>35</v>
      </c>
      <c r="I173" s="25"/>
      <c r="J173" s="25"/>
      <c r="K173" s="25"/>
      <c r="L173" s="26" t="n">
        <v>258.13</v>
      </c>
      <c r="M173" s="25"/>
      <c r="N173" s="27"/>
      <c r="O173" s="25"/>
      <c r="P173" s="25"/>
      <c r="Q173" s="25"/>
      <c r="R173" s="25"/>
      <c r="S173" s="25" t="n">
        <v>26.42</v>
      </c>
      <c r="T173" s="25"/>
      <c r="U173" s="26"/>
      <c r="V173" s="25"/>
      <c r="W173" s="27"/>
      <c r="X173" s="25"/>
      <c r="Y173" s="25"/>
      <c r="Z173" s="25" t="n">
        <v>30.45</v>
      </c>
      <c r="AA173" s="26"/>
      <c r="AB173" s="32"/>
      <c r="AC173" s="31"/>
      <c r="AD173" s="25"/>
      <c r="AE173" s="31"/>
      <c r="AF173" s="25"/>
      <c r="AG173" s="27"/>
      <c r="AH173" s="32" t="n">
        <f aca="false">SUM(D173:AG173)</f>
        <v>350</v>
      </c>
      <c r="AK173" s="25" t="n">
        <f aca="false">AVERAGE(89.32,89.29)</f>
        <v>89.305</v>
      </c>
      <c r="AL173" s="25" t="n">
        <f aca="false">AVERAGE(14.02,14.01)</f>
        <v>14.015</v>
      </c>
      <c r="AM173" s="25" t="n">
        <v>161.473</v>
      </c>
      <c r="AN173" s="25" t="n">
        <v>4.069</v>
      </c>
      <c r="AO173" s="25" t="n">
        <v>6160.36</v>
      </c>
      <c r="AP173" s="25" t="n">
        <v>-25</v>
      </c>
      <c r="AQ173" s="25" t="n">
        <v>5.12</v>
      </c>
      <c r="AR173" s="26"/>
      <c r="AS173" s="25"/>
    </row>
    <row r="174" customFormat="false" ht="15" hidden="false" customHeight="false" outlineLevel="0" collapsed="false">
      <c r="A174" s="23" t="n">
        <v>170</v>
      </c>
      <c r="B174" s="24" t="s">
        <v>236</v>
      </c>
      <c r="C174" s="25" t="s">
        <v>242</v>
      </c>
      <c r="D174" s="26"/>
      <c r="E174" s="25"/>
      <c r="F174" s="27"/>
      <c r="G174" s="27"/>
      <c r="H174" s="25" t="n">
        <v>35</v>
      </c>
      <c r="I174" s="25"/>
      <c r="J174" s="25"/>
      <c r="K174" s="25"/>
      <c r="L174" s="26" t="n">
        <v>153.3</v>
      </c>
      <c r="M174" s="25"/>
      <c r="N174" s="27" t="n">
        <v>105</v>
      </c>
      <c r="O174" s="25"/>
      <c r="P174" s="25"/>
      <c r="Q174" s="25"/>
      <c r="R174" s="25"/>
      <c r="S174" s="25" t="n">
        <v>26.25</v>
      </c>
      <c r="T174" s="25"/>
      <c r="U174" s="26"/>
      <c r="V174" s="25"/>
      <c r="W174" s="27"/>
      <c r="X174" s="25"/>
      <c r="Y174" s="25"/>
      <c r="Z174" s="25" t="n">
        <v>30.45</v>
      </c>
      <c r="AA174" s="26"/>
      <c r="AB174" s="32"/>
      <c r="AC174" s="31"/>
      <c r="AD174" s="25"/>
      <c r="AE174" s="31"/>
      <c r="AF174" s="25"/>
      <c r="AG174" s="27"/>
      <c r="AH174" s="32" t="n">
        <f aca="false">SUM(D174:AG174)</f>
        <v>350</v>
      </c>
      <c r="AK174" s="25" t="n">
        <f aca="false">AVERAGE(121.4,121.24)</f>
        <v>121.32</v>
      </c>
      <c r="AL174" s="25" t="n">
        <f aca="false">AVERAGE(16.06,16.03)</f>
        <v>16.045</v>
      </c>
      <c r="AM174" s="25" t="n">
        <v>140.896</v>
      </c>
      <c r="AN174" s="25" t="n">
        <v>4.344</v>
      </c>
      <c r="AO174" s="25" t="n">
        <v>6180.13</v>
      </c>
      <c r="AP174" s="25" t="n">
        <v>-27</v>
      </c>
      <c r="AQ174" s="25" t="n">
        <v>5.63</v>
      </c>
      <c r="AR174" s="26"/>
      <c r="AS174" s="25"/>
    </row>
    <row r="175" customFormat="false" ht="15" hidden="false" customHeight="false" outlineLevel="0" collapsed="false">
      <c r="A175" s="23" t="n">
        <v>171</v>
      </c>
      <c r="B175" s="24" t="s">
        <v>236</v>
      </c>
      <c r="C175" s="25" t="s">
        <v>243</v>
      </c>
      <c r="D175" s="26"/>
      <c r="E175" s="25"/>
      <c r="F175" s="27"/>
      <c r="G175" s="27"/>
      <c r="H175" s="25" t="n">
        <v>35</v>
      </c>
      <c r="I175" s="25"/>
      <c r="J175" s="25"/>
      <c r="K175" s="25"/>
      <c r="L175" s="26" t="n">
        <v>78.05</v>
      </c>
      <c r="M175" s="25"/>
      <c r="N175" s="27" t="n">
        <v>182</v>
      </c>
      <c r="O175" s="25"/>
      <c r="P175" s="25"/>
      <c r="Q175" s="25"/>
      <c r="R175" s="25"/>
      <c r="S175" s="25" t="n">
        <v>24.5</v>
      </c>
      <c r="T175" s="25"/>
      <c r="U175" s="26"/>
      <c r="V175" s="25"/>
      <c r="W175" s="27"/>
      <c r="X175" s="25"/>
      <c r="Y175" s="25"/>
      <c r="Z175" s="25" t="n">
        <v>30.45</v>
      </c>
      <c r="AA175" s="26"/>
      <c r="AB175" s="32"/>
      <c r="AC175" s="31"/>
      <c r="AD175" s="25"/>
      <c r="AE175" s="31"/>
      <c r="AF175" s="25"/>
      <c r="AG175" s="27"/>
      <c r="AH175" s="32" t="n">
        <f aca="false">SUM(D175:AG175)</f>
        <v>350</v>
      </c>
      <c r="AK175" s="25" t="n">
        <f aca="false">AVERAGE(134.98,134.77)</f>
        <v>134.875</v>
      </c>
      <c r="AL175" s="25" t="n">
        <f aca="false">AVERAGE(17.04,17.07)</f>
        <v>17.055</v>
      </c>
      <c r="AM175" s="25" t="n">
        <v>137.741</v>
      </c>
      <c r="AN175" s="25" t="n">
        <v>4.574</v>
      </c>
      <c r="AO175" s="25" t="n">
        <v>9491.12</v>
      </c>
      <c r="AP175" s="25" t="n">
        <v>-24</v>
      </c>
      <c r="AQ175" s="25" t="n">
        <v>6.08</v>
      </c>
      <c r="AR175" s="26"/>
      <c r="AS175" s="25"/>
    </row>
    <row r="176" customFormat="false" ht="15" hidden="false" customHeight="false" outlineLevel="0" collapsed="false">
      <c r="A176" s="23" t="n">
        <v>172</v>
      </c>
      <c r="B176" s="24" t="s">
        <v>236</v>
      </c>
      <c r="C176" s="25" t="s">
        <v>244</v>
      </c>
      <c r="D176" s="26" t="n">
        <v>5</v>
      </c>
      <c r="E176" s="25"/>
      <c r="F176" s="27"/>
      <c r="G176" s="27" t="n">
        <v>5</v>
      </c>
      <c r="H176" s="25"/>
      <c r="I176" s="25" t="n">
        <v>14.3</v>
      </c>
      <c r="J176" s="25"/>
      <c r="K176" s="25" t="n">
        <v>69</v>
      </c>
      <c r="L176" s="26"/>
      <c r="M176" s="25"/>
      <c r="N176" s="27"/>
      <c r="O176" s="25"/>
      <c r="P176" s="25"/>
      <c r="Q176" s="25"/>
      <c r="R176" s="25"/>
      <c r="S176" s="25"/>
      <c r="T176" s="25" t="n">
        <v>6.5</v>
      </c>
      <c r="U176" s="26"/>
      <c r="V176" s="25"/>
      <c r="W176" s="27"/>
      <c r="X176" s="25"/>
      <c r="Y176" s="25"/>
      <c r="Z176" s="25"/>
      <c r="AA176" s="26"/>
      <c r="AB176" s="32"/>
      <c r="AC176" s="31"/>
      <c r="AD176" s="25"/>
      <c r="AE176" s="31" t="n">
        <v>0.2</v>
      </c>
      <c r="AF176" s="25"/>
      <c r="AG176" s="27"/>
      <c r="AH176" s="32" t="n">
        <f aca="false">SUM(D176:AG176)</f>
        <v>100</v>
      </c>
      <c r="AK176" s="25" t="n">
        <f aca="false">AVERAGE(61.71,61.65)</f>
        <v>61.68</v>
      </c>
      <c r="AL176" s="25" t="n">
        <f aca="false">AVERAGE(9.78,9.77)</f>
        <v>9.775</v>
      </c>
      <c r="AM176" s="25" t="n">
        <v>142.385</v>
      </c>
      <c r="AN176" s="25" t="n">
        <v>3.203</v>
      </c>
      <c r="AO176" s="25"/>
      <c r="AP176" s="25"/>
      <c r="AQ176" s="25"/>
      <c r="AR176" s="26"/>
      <c r="AS176" s="25"/>
    </row>
    <row r="177" customFormat="false" ht="15" hidden="false" customHeight="false" outlineLevel="0" collapsed="false">
      <c r="A177" s="23" t="n">
        <v>173</v>
      </c>
      <c r="B177" s="24" t="s">
        <v>236</v>
      </c>
      <c r="C177" s="25" t="s">
        <v>245</v>
      </c>
      <c r="D177" s="26" t="n">
        <v>5</v>
      </c>
      <c r="E177" s="25"/>
      <c r="F177" s="27"/>
      <c r="G177" s="27" t="n">
        <v>5</v>
      </c>
      <c r="H177" s="25"/>
      <c r="I177" s="25" t="n">
        <v>14.3</v>
      </c>
      <c r="J177" s="25"/>
      <c r="K177" s="25"/>
      <c r="L177" s="26" t="n">
        <v>66.5</v>
      </c>
      <c r="M177" s="25"/>
      <c r="N177" s="27"/>
      <c r="O177" s="25"/>
      <c r="P177" s="25"/>
      <c r="Q177" s="25"/>
      <c r="R177" s="25"/>
      <c r="S177" s="25"/>
      <c r="T177" s="25" t="n">
        <v>9</v>
      </c>
      <c r="U177" s="26"/>
      <c r="V177" s="25"/>
      <c r="W177" s="27"/>
      <c r="X177" s="25"/>
      <c r="Y177" s="25"/>
      <c r="Z177" s="25"/>
      <c r="AA177" s="26"/>
      <c r="AB177" s="32"/>
      <c r="AC177" s="31"/>
      <c r="AD177" s="25"/>
      <c r="AE177" s="31" t="n">
        <v>0.2</v>
      </c>
      <c r="AF177" s="25"/>
      <c r="AG177" s="27"/>
      <c r="AH177" s="32" t="n">
        <f aca="false">SUM(D177:AG177)</f>
        <v>100</v>
      </c>
      <c r="AK177" s="25" t="n">
        <f aca="false">AVERAGE(81.71,81.7)</f>
        <v>81.705</v>
      </c>
      <c r="AL177" s="25" t="n">
        <f aca="false">AVERAGE(12.01,12)</f>
        <v>12.005</v>
      </c>
      <c r="AM177" s="25" t="n">
        <v>141.366</v>
      </c>
      <c r="AN177" s="25" t="n">
        <v>3.924</v>
      </c>
      <c r="AO177" s="25"/>
      <c r="AP177" s="25"/>
      <c r="AQ177" s="25"/>
      <c r="AR177" s="26"/>
      <c r="AS177" s="25"/>
    </row>
    <row r="178" customFormat="false" ht="15" hidden="false" customHeight="false" outlineLevel="0" collapsed="false">
      <c r="A178" s="23" t="n">
        <v>174</v>
      </c>
      <c r="B178" s="24" t="s">
        <v>236</v>
      </c>
      <c r="C178" s="25" t="s">
        <v>246</v>
      </c>
      <c r="D178" s="26" t="n">
        <v>10</v>
      </c>
      <c r="E178" s="25"/>
      <c r="F178" s="27"/>
      <c r="G178" s="27"/>
      <c r="H178" s="25"/>
      <c r="I178" s="25" t="n">
        <v>11.8</v>
      </c>
      <c r="J178" s="25"/>
      <c r="K178" s="25"/>
      <c r="L178" s="26" t="n">
        <v>43.7</v>
      </c>
      <c r="M178" s="25"/>
      <c r="N178" s="27" t="n">
        <v>27</v>
      </c>
      <c r="O178" s="25"/>
      <c r="P178" s="25"/>
      <c r="Q178" s="25"/>
      <c r="R178" s="25"/>
      <c r="S178" s="25" t="n">
        <v>7.5</v>
      </c>
      <c r="T178" s="25"/>
      <c r="U178" s="26"/>
      <c r="V178" s="25"/>
      <c r="W178" s="27"/>
      <c r="X178" s="25"/>
      <c r="Y178" s="25"/>
      <c r="Z178" s="25"/>
      <c r="AA178" s="26"/>
      <c r="AB178" s="32"/>
      <c r="AC178" s="31"/>
      <c r="AD178" s="25"/>
      <c r="AE178" s="31"/>
      <c r="AF178" s="25"/>
      <c r="AG178" s="27"/>
      <c r="AH178" s="32" t="n">
        <f aca="false">SUM(D178:AG178)</f>
        <v>100</v>
      </c>
      <c r="AK178" s="25" t="n">
        <f aca="false">AVERAGE(107.88,107.78)</f>
        <v>107.83</v>
      </c>
      <c r="AL178" s="25" t="n">
        <f aca="false">AVERAGE(15.42,15.42)</f>
        <v>15.42</v>
      </c>
      <c r="AM178" s="25" t="n">
        <v>150.865</v>
      </c>
      <c r="AN178" s="25" t="n">
        <v>4.312</v>
      </c>
      <c r="AO178" s="25"/>
      <c r="AP178" s="25"/>
      <c r="AQ178" s="25"/>
      <c r="AR178" s="26"/>
      <c r="AS178" s="25"/>
    </row>
    <row r="179" customFormat="false" ht="15" hidden="false" customHeight="false" outlineLevel="0" collapsed="false">
      <c r="A179" s="23" t="n">
        <v>175</v>
      </c>
      <c r="B179" s="24" t="s">
        <v>236</v>
      </c>
      <c r="C179" s="25" t="s">
        <v>247</v>
      </c>
      <c r="D179" s="26" t="n">
        <v>300</v>
      </c>
      <c r="E179" s="25"/>
      <c r="F179" s="27"/>
      <c r="G179" s="27"/>
      <c r="H179" s="25"/>
      <c r="I179" s="25"/>
      <c r="J179" s="25"/>
      <c r="K179" s="25"/>
      <c r="L179" s="26" t="n">
        <v>2212.5</v>
      </c>
      <c r="M179" s="25"/>
      <c r="N179" s="27"/>
      <c r="O179" s="25"/>
      <c r="P179" s="25"/>
      <c r="Q179" s="25"/>
      <c r="R179" s="25"/>
      <c r="S179" s="25" t="n">
        <v>226.5</v>
      </c>
      <c r="T179" s="25"/>
      <c r="U179" s="26"/>
      <c r="V179" s="25"/>
      <c r="W179" s="27"/>
      <c r="X179" s="25"/>
      <c r="Y179" s="25"/>
      <c r="Z179" s="25" t="n">
        <v>261</v>
      </c>
      <c r="AA179" s="26"/>
      <c r="AB179" s="32"/>
      <c r="AC179" s="31"/>
      <c r="AD179" s="25"/>
      <c r="AE179" s="31"/>
      <c r="AF179" s="25"/>
      <c r="AG179" s="27"/>
      <c r="AH179" s="32" t="n">
        <f aca="false">SUM(D179:AG179)</f>
        <v>3000</v>
      </c>
      <c r="AK179" s="25" t="n">
        <f aca="false">AVERAGE(96.44,96.51)</f>
        <v>96.475</v>
      </c>
      <c r="AL179" s="25" t="n">
        <f aca="false">AVERAGE(15.03,15.01)</f>
        <v>15.02</v>
      </c>
      <c r="AM179" s="25" t="n">
        <v>163.652</v>
      </c>
      <c r="AN179" s="25"/>
      <c r="AO179" s="25"/>
      <c r="AP179" s="25"/>
      <c r="AQ179" s="25"/>
      <c r="AR179" s="26"/>
      <c r="AS179" s="25"/>
    </row>
    <row r="180" customFormat="false" ht="15" hidden="false" customHeight="false" outlineLevel="0" collapsed="false">
      <c r="A180" s="23" t="n">
        <v>176</v>
      </c>
      <c r="B180" s="24" t="s">
        <v>236</v>
      </c>
      <c r="C180" s="25" t="s">
        <v>248</v>
      </c>
      <c r="D180" s="26"/>
      <c r="E180" s="25"/>
      <c r="F180" s="27"/>
      <c r="G180" s="27"/>
      <c r="H180" s="25"/>
      <c r="I180" s="25"/>
      <c r="J180" s="25"/>
      <c r="K180" s="25"/>
      <c r="L180" s="26"/>
      <c r="M180" s="25"/>
      <c r="N180" s="27"/>
      <c r="O180" s="25"/>
      <c r="P180" s="25"/>
      <c r="Q180" s="25"/>
      <c r="R180" s="25"/>
      <c r="S180" s="25" t="n">
        <v>100</v>
      </c>
      <c r="T180" s="25"/>
      <c r="U180" s="26"/>
      <c r="V180" s="25"/>
      <c r="W180" s="27"/>
      <c r="X180" s="25"/>
      <c r="Y180" s="25"/>
      <c r="Z180" s="25"/>
      <c r="AA180" s="26"/>
      <c r="AB180" s="32"/>
      <c r="AC180" s="31"/>
      <c r="AD180" s="25"/>
      <c r="AE180" s="31"/>
      <c r="AF180" s="25"/>
      <c r="AG180" s="27"/>
      <c r="AH180" s="32" t="n">
        <f aca="false">SUM(D180:AG180)</f>
        <v>100</v>
      </c>
      <c r="AK180" s="25" t="n">
        <f aca="false">AVERAGE(1719.61,172.84)</f>
        <v>946.225</v>
      </c>
      <c r="AL180" s="25" t="n">
        <f aca="false">AVERAGE(245.8,247.45)</f>
        <v>246.625</v>
      </c>
      <c r="AM180" s="25" t="n">
        <v>379.289</v>
      </c>
      <c r="AN180" s="25"/>
      <c r="AO180" s="25"/>
      <c r="AP180" s="25"/>
      <c r="AQ180" s="25"/>
      <c r="AR180" s="26"/>
      <c r="AS180" s="25"/>
    </row>
    <row r="181" customFormat="false" ht="15" hidden="false" customHeight="false" outlineLevel="0" collapsed="false">
      <c r="A181" s="23" t="n">
        <v>177</v>
      </c>
      <c r="B181" s="24" t="s">
        <v>249</v>
      </c>
      <c r="C181" s="25" t="s">
        <v>250</v>
      </c>
      <c r="D181" s="26"/>
      <c r="E181" s="25"/>
      <c r="F181" s="27"/>
      <c r="G181" s="27"/>
      <c r="H181" s="25" t="n">
        <v>10</v>
      </c>
      <c r="I181" s="25" t="n">
        <v>14.3</v>
      </c>
      <c r="J181" s="25"/>
      <c r="K181" s="25" t="n">
        <v>30</v>
      </c>
      <c r="L181" s="26" t="n">
        <v>35.7</v>
      </c>
      <c r="M181" s="25"/>
      <c r="N181" s="27"/>
      <c r="O181" s="25"/>
      <c r="P181" s="25"/>
      <c r="Q181" s="25"/>
      <c r="R181" s="25"/>
      <c r="S181" s="25"/>
      <c r="T181" s="25" t="n">
        <v>10</v>
      </c>
      <c r="U181" s="26"/>
      <c r="V181" s="25"/>
      <c r="W181" s="27"/>
      <c r="X181" s="25"/>
      <c r="Y181" s="25"/>
      <c r="Z181" s="25"/>
      <c r="AA181" s="26"/>
      <c r="AB181" s="32"/>
      <c r="AC181" s="31"/>
      <c r="AD181" s="25"/>
      <c r="AE181" s="31"/>
      <c r="AF181" s="25"/>
      <c r="AG181" s="27"/>
      <c r="AH181" s="32" t="n">
        <f aca="false">SUM(D181:AG181)</f>
        <v>100</v>
      </c>
      <c r="AK181" s="25" t="n">
        <f aca="false">AVERAGE(85.36,85.36)</f>
        <v>85.36</v>
      </c>
      <c r="AL181" s="25" t="n">
        <f aca="false">AVERAGE(12.2,12.2)</f>
        <v>12.2</v>
      </c>
      <c r="AM181" s="25" t="n">
        <v>141.729</v>
      </c>
      <c r="AN181" s="25"/>
      <c r="AO181" s="25"/>
      <c r="AP181" s="25"/>
      <c r="AQ181" s="25"/>
      <c r="AR181" s="26"/>
      <c r="AS181" s="25"/>
    </row>
    <row r="182" customFormat="false" ht="15" hidden="false" customHeight="false" outlineLevel="0" collapsed="false">
      <c r="A182" s="23" t="n">
        <v>178</v>
      </c>
      <c r="B182" s="24" t="s">
        <v>249</v>
      </c>
      <c r="C182" s="25" t="s">
        <v>251</v>
      </c>
      <c r="D182" s="26"/>
      <c r="E182" s="25"/>
      <c r="F182" s="27"/>
      <c r="G182" s="27"/>
      <c r="H182" s="25" t="n">
        <v>10</v>
      </c>
      <c r="I182" s="25" t="n">
        <v>14.3</v>
      </c>
      <c r="J182" s="25"/>
      <c r="K182" s="25" t="n">
        <v>35</v>
      </c>
      <c r="L182" s="26" t="n">
        <v>30.7</v>
      </c>
      <c r="M182" s="25"/>
      <c r="N182" s="27"/>
      <c r="O182" s="25"/>
      <c r="P182" s="25"/>
      <c r="Q182" s="25"/>
      <c r="R182" s="25"/>
      <c r="S182" s="25"/>
      <c r="T182" s="25" t="n">
        <v>10</v>
      </c>
      <c r="U182" s="26"/>
      <c r="V182" s="25"/>
      <c r="W182" s="27"/>
      <c r="X182" s="25"/>
      <c r="Y182" s="25"/>
      <c r="Z182" s="25"/>
      <c r="AA182" s="26"/>
      <c r="AB182" s="32"/>
      <c r="AC182" s="31"/>
      <c r="AD182" s="25"/>
      <c r="AE182" s="31"/>
      <c r="AF182" s="25"/>
      <c r="AG182" s="27"/>
      <c r="AH182" s="32" t="n">
        <f aca="false">SUM(D182:AG182)</f>
        <v>100</v>
      </c>
      <c r="AK182" s="25" t="n">
        <f aca="false">AVERAGE(85.55,85.21)</f>
        <v>85.38</v>
      </c>
      <c r="AL182" s="25" t="n">
        <f aca="false">AVERAGE(12.47,12.48)</f>
        <v>12.475</v>
      </c>
      <c r="AM182" s="25" t="n">
        <v>142.721</v>
      </c>
      <c r="AN182" s="25"/>
      <c r="AO182" s="25"/>
      <c r="AP182" s="25"/>
      <c r="AQ182" s="25"/>
      <c r="AR182" s="26"/>
      <c r="AS182" s="25"/>
    </row>
    <row r="183" customFormat="false" ht="15" hidden="false" customHeight="false" outlineLevel="0" collapsed="false">
      <c r="A183" s="23" t="n">
        <v>179</v>
      </c>
      <c r="B183" s="24" t="s">
        <v>249</v>
      </c>
      <c r="C183" s="25" t="s">
        <v>252</v>
      </c>
      <c r="D183" s="26"/>
      <c r="E183" s="25"/>
      <c r="F183" s="27"/>
      <c r="G183" s="27"/>
      <c r="H183" s="25" t="n">
        <v>10</v>
      </c>
      <c r="I183" s="25" t="n">
        <v>14.3</v>
      </c>
      <c r="J183" s="25" t="n">
        <v>25</v>
      </c>
      <c r="K183" s="25" t="n">
        <v>25</v>
      </c>
      <c r="L183" s="26" t="n">
        <v>15.7</v>
      </c>
      <c r="M183" s="25"/>
      <c r="N183" s="27"/>
      <c r="O183" s="25"/>
      <c r="P183" s="25"/>
      <c r="Q183" s="25"/>
      <c r="R183" s="25"/>
      <c r="S183" s="25"/>
      <c r="T183" s="25" t="n">
        <v>10</v>
      </c>
      <c r="U183" s="26"/>
      <c r="V183" s="25"/>
      <c r="W183" s="27"/>
      <c r="X183" s="25"/>
      <c r="Y183" s="25"/>
      <c r="Z183" s="25"/>
      <c r="AA183" s="26"/>
      <c r="AB183" s="32"/>
      <c r="AC183" s="31"/>
      <c r="AD183" s="25"/>
      <c r="AE183" s="31"/>
      <c r="AF183" s="25"/>
      <c r="AG183" s="27"/>
      <c r="AH183" s="32" t="n">
        <f aca="false">SUM(D183:AG183)</f>
        <v>100</v>
      </c>
      <c r="AK183" s="25" t="n">
        <f aca="false">AVERAGE(70.16,70.25)</f>
        <v>70.205</v>
      </c>
      <c r="AL183" s="25" t="n">
        <f aca="false">AVERAGE(10.87,10.88)</f>
        <v>10.875</v>
      </c>
      <c r="AM183" s="25" t="n">
        <v>144.736</v>
      </c>
      <c r="AN183" s="25"/>
      <c r="AO183" s="25"/>
      <c r="AP183" s="25"/>
      <c r="AQ183" s="25"/>
      <c r="AR183" s="26"/>
      <c r="AS183" s="25"/>
    </row>
    <row r="184" customFormat="false" ht="15" hidden="false" customHeight="false" outlineLevel="0" collapsed="false">
      <c r="A184" s="23" t="n">
        <v>180</v>
      </c>
      <c r="B184" s="24" t="s">
        <v>249</v>
      </c>
      <c r="C184" s="25" t="s">
        <v>253</v>
      </c>
      <c r="D184" s="26"/>
      <c r="E184" s="25"/>
      <c r="F184" s="27"/>
      <c r="G184" s="27"/>
      <c r="H184" s="25" t="n">
        <v>10</v>
      </c>
      <c r="I184" s="25" t="n">
        <v>14.3</v>
      </c>
      <c r="J184" s="25" t="n">
        <v>20</v>
      </c>
      <c r="K184" s="25" t="n">
        <v>20</v>
      </c>
      <c r="L184" s="26" t="n">
        <v>25.7</v>
      </c>
      <c r="M184" s="25"/>
      <c r="N184" s="27"/>
      <c r="O184" s="25"/>
      <c r="P184" s="25"/>
      <c r="Q184" s="25"/>
      <c r="R184" s="25"/>
      <c r="S184" s="25"/>
      <c r="T184" s="25" t="n">
        <v>10</v>
      </c>
      <c r="U184" s="26"/>
      <c r="V184" s="25"/>
      <c r="W184" s="27"/>
      <c r="X184" s="25"/>
      <c r="Y184" s="25"/>
      <c r="Z184" s="25"/>
      <c r="AA184" s="26"/>
      <c r="AB184" s="32"/>
      <c r="AC184" s="31"/>
      <c r="AD184" s="25"/>
      <c r="AE184" s="31"/>
      <c r="AF184" s="25"/>
      <c r="AG184" s="27"/>
      <c r="AH184" s="32" t="n">
        <f aca="false">SUM(D184:AG184)</f>
        <v>100</v>
      </c>
      <c r="AK184" s="25" t="n">
        <f aca="false">AVERAGE(74.78,74.84)</f>
        <v>74.81</v>
      </c>
      <c r="AL184" s="25" t="n">
        <f aca="false">AVERAGE(11.41,11.41)</f>
        <v>11.41</v>
      </c>
      <c r="AM184" s="25" t="n">
        <v>144.751</v>
      </c>
      <c r="AN184" s="25"/>
      <c r="AO184" s="25"/>
      <c r="AP184" s="25"/>
      <c r="AQ184" s="25"/>
      <c r="AR184" s="26"/>
      <c r="AS184" s="25"/>
    </row>
    <row r="185" customFormat="false" ht="15" hidden="false" customHeight="false" outlineLevel="0" collapsed="false">
      <c r="A185" s="23" t="n">
        <v>181</v>
      </c>
      <c r="B185" s="24" t="s">
        <v>249</v>
      </c>
      <c r="C185" s="25" t="s">
        <v>254</v>
      </c>
      <c r="D185" s="26"/>
      <c r="E185" s="25"/>
      <c r="F185" s="27"/>
      <c r="G185" s="27"/>
      <c r="H185" s="25" t="n">
        <v>10</v>
      </c>
      <c r="I185" s="25" t="n">
        <v>14.3</v>
      </c>
      <c r="J185" s="25" t="n">
        <v>20</v>
      </c>
      <c r="K185" s="25" t="n">
        <v>25</v>
      </c>
      <c r="L185" s="26" t="n">
        <v>20.7</v>
      </c>
      <c r="M185" s="25"/>
      <c r="N185" s="27"/>
      <c r="O185" s="25"/>
      <c r="P185" s="25"/>
      <c r="Q185" s="25"/>
      <c r="R185" s="25"/>
      <c r="S185" s="25"/>
      <c r="T185" s="25" t="n">
        <v>10</v>
      </c>
      <c r="U185" s="26"/>
      <c r="V185" s="25"/>
      <c r="W185" s="27"/>
      <c r="X185" s="25"/>
      <c r="Y185" s="25"/>
      <c r="Z185" s="25"/>
      <c r="AA185" s="26"/>
      <c r="AB185" s="32"/>
      <c r="AC185" s="31"/>
      <c r="AD185" s="25"/>
      <c r="AE185" s="31"/>
      <c r="AF185" s="25"/>
      <c r="AG185" s="27"/>
      <c r="AH185" s="32" t="n">
        <f aca="false">SUM(D185:AG185)</f>
        <v>100</v>
      </c>
      <c r="AK185" s="25" t="n">
        <f aca="false">AVERAGE(73.19,73.23)</f>
        <v>73.21</v>
      </c>
      <c r="AL185" s="25" t="n">
        <f aca="false">AVERAGE(11.3,11.3)</f>
        <v>11.3</v>
      </c>
      <c r="AM185" s="25" t="n">
        <v>146.36</v>
      </c>
      <c r="AN185" s="25"/>
      <c r="AO185" s="25"/>
      <c r="AP185" s="25"/>
      <c r="AQ185" s="25"/>
      <c r="AR185" s="26"/>
      <c r="AS185" s="25"/>
    </row>
    <row r="186" customFormat="false" ht="15" hidden="false" customHeight="false" outlineLevel="0" collapsed="false">
      <c r="A186" s="23" t="n">
        <v>182</v>
      </c>
      <c r="B186" s="24" t="s">
        <v>249</v>
      </c>
      <c r="C186" s="25" t="s">
        <v>255</v>
      </c>
      <c r="D186" s="26"/>
      <c r="E186" s="25"/>
      <c r="F186" s="27"/>
      <c r="G186" s="27"/>
      <c r="H186" s="25" t="n">
        <v>10</v>
      </c>
      <c r="I186" s="25" t="n">
        <v>14.3</v>
      </c>
      <c r="J186" s="25" t="n">
        <v>15</v>
      </c>
      <c r="K186" s="25" t="n">
        <v>26.25</v>
      </c>
      <c r="L186" s="26" t="n">
        <v>24.45</v>
      </c>
      <c r="M186" s="25"/>
      <c r="N186" s="27"/>
      <c r="O186" s="25"/>
      <c r="P186" s="25"/>
      <c r="Q186" s="25"/>
      <c r="R186" s="25"/>
      <c r="S186" s="25"/>
      <c r="T186" s="25" t="n">
        <v>10</v>
      </c>
      <c r="U186" s="26"/>
      <c r="V186" s="25"/>
      <c r="W186" s="27"/>
      <c r="X186" s="25"/>
      <c r="Y186" s="25"/>
      <c r="Z186" s="25"/>
      <c r="AA186" s="26"/>
      <c r="AB186" s="32"/>
      <c r="AC186" s="31"/>
      <c r="AD186" s="25"/>
      <c r="AE186" s="31"/>
      <c r="AF186" s="25"/>
      <c r="AG186" s="27"/>
      <c r="AH186" s="32" t="n">
        <f aca="false">SUM(D186:AG186)</f>
        <v>100</v>
      </c>
      <c r="AK186" s="25" t="n">
        <f aca="false">AVERAGE(77.76,77.6)</f>
        <v>77.68</v>
      </c>
      <c r="AL186" s="25" t="n">
        <f aca="false">AVERAGE(11.71,11.72)</f>
        <v>11.715</v>
      </c>
      <c r="AM186" s="25" t="n">
        <v>144.394</v>
      </c>
      <c r="AN186" s="25"/>
      <c r="AO186" s="25"/>
      <c r="AP186" s="25"/>
      <c r="AQ186" s="25"/>
      <c r="AR186" s="26"/>
      <c r="AS186" s="25"/>
    </row>
    <row r="187" customFormat="false" ht="15" hidden="false" customHeight="false" outlineLevel="0" collapsed="false">
      <c r="A187" s="43" t="n">
        <v>183</v>
      </c>
      <c r="B187" s="36" t="s">
        <v>249</v>
      </c>
      <c r="C187" s="35" t="s">
        <v>256</v>
      </c>
      <c r="D187" s="44"/>
      <c r="E187" s="25"/>
      <c r="F187" s="27"/>
      <c r="G187" s="46"/>
      <c r="H187" s="35" t="n">
        <v>10</v>
      </c>
      <c r="I187" s="35" t="n">
        <v>14.3</v>
      </c>
      <c r="J187" s="35" t="n">
        <v>26.25</v>
      </c>
      <c r="K187" s="35" t="n">
        <v>15</v>
      </c>
      <c r="L187" s="44" t="n">
        <v>24.45</v>
      </c>
      <c r="M187" s="25"/>
      <c r="N187" s="46"/>
      <c r="O187" s="35"/>
      <c r="P187" s="35"/>
      <c r="Q187" s="35"/>
      <c r="R187" s="35"/>
      <c r="S187" s="35"/>
      <c r="T187" s="35" t="n">
        <v>10</v>
      </c>
      <c r="U187" s="44"/>
      <c r="V187" s="25"/>
      <c r="W187" s="46"/>
      <c r="X187" s="35"/>
      <c r="Y187" s="35"/>
      <c r="Z187" s="35"/>
      <c r="AA187" s="44"/>
      <c r="AB187" s="32"/>
      <c r="AC187" s="31"/>
      <c r="AD187" s="25"/>
      <c r="AE187" s="45"/>
      <c r="AF187" s="25"/>
      <c r="AG187" s="46"/>
      <c r="AH187" s="32" t="n">
        <f aca="false">SUM(D187:AG187)</f>
        <v>100</v>
      </c>
      <c r="AK187" s="35" t="n">
        <f aca="false">AVERAGE(71.93,71.82)</f>
        <v>71.875</v>
      </c>
      <c r="AL187" s="35" t="n">
        <f aca="false">AVERAGE(11.09,11.11)</f>
        <v>11.1</v>
      </c>
      <c r="AM187" s="35" t="n">
        <v>145.442</v>
      </c>
      <c r="AN187" s="35"/>
      <c r="AO187" s="35"/>
      <c r="AP187" s="35"/>
      <c r="AQ187" s="35"/>
      <c r="AR187" s="44"/>
      <c r="AS187" s="25"/>
    </row>
    <row r="188" customFormat="false" ht="15" hidden="false" customHeight="false" outlineLevel="0" collapsed="false">
      <c r="A188" s="23" t="n">
        <v>184</v>
      </c>
      <c r="B188" s="24" t="s">
        <v>257</v>
      </c>
      <c r="C188" s="25" t="s">
        <v>258</v>
      </c>
      <c r="D188" s="26"/>
      <c r="E188" s="25"/>
      <c r="F188" s="27"/>
      <c r="G188" s="27"/>
      <c r="H188" s="25" t="n">
        <v>10</v>
      </c>
      <c r="I188" s="25" t="n">
        <v>14.3</v>
      </c>
      <c r="J188" s="25" t="n">
        <v>30.625</v>
      </c>
      <c r="K188" s="25" t="n">
        <v>17.5</v>
      </c>
      <c r="L188" s="26" t="n">
        <v>17.575</v>
      </c>
      <c r="M188" s="25"/>
      <c r="N188" s="27"/>
      <c r="O188" s="25"/>
      <c r="P188" s="25"/>
      <c r="Q188" s="25"/>
      <c r="R188" s="25"/>
      <c r="S188" s="25"/>
      <c r="T188" s="25" t="n">
        <v>10</v>
      </c>
      <c r="U188" s="26"/>
      <c r="V188" s="25"/>
      <c r="W188" s="27"/>
      <c r="X188" s="25"/>
      <c r="Y188" s="25"/>
      <c r="Z188" s="25"/>
      <c r="AA188" s="26"/>
      <c r="AB188" s="32"/>
      <c r="AC188" s="31"/>
      <c r="AD188" s="25"/>
      <c r="AE188" s="31"/>
      <c r="AF188" s="25"/>
      <c r="AG188" s="27"/>
      <c r="AH188" s="32" t="n">
        <f aca="false">SUM(D188:AG188)</f>
        <v>100</v>
      </c>
      <c r="AK188" s="25" t="n">
        <f aca="false">AVERAGE(69.62,69.55)</f>
        <v>69.585</v>
      </c>
      <c r="AL188" s="25" t="n">
        <f aca="false">AVERAGE(10.97,10.93)</f>
        <v>10.95</v>
      </c>
      <c r="AM188" s="25" t="n">
        <v>147.991</v>
      </c>
      <c r="AN188" s="25"/>
      <c r="AO188" s="25"/>
      <c r="AP188" s="25"/>
      <c r="AQ188" s="25"/>
      <c r="AR188" s="26"/>
      <c r="AS188" s="25"/>
    </row>
    <row r="189" customFormat="false" ht="15" hidden="false" customHeight="false" outlineLevel="0" collapsed="false">
      <c r="A189" s="23" t="n">
        <v>185</v>
      </c>
      <c r="B189" s="24" t="s">
        <v>257</v>
      </c>
      <c r="C189" s="25" t="s">
        <v>259</v>
      </c>
      <c r="D189" s="26"/>
      <c r="E189" s="25"/>
      <c r="F189" s="27"/>
      <c r="G189" s="27"/>
      <c r="H189" s="25" t="n">
        <v>10</v>
      </c>
      <c r="I189" s="25" t="n">
        <v>14.3</v>
      </c>
      <c r="J189" s="25" t="n">
        <v>28.875</v>
      </c>
      <c r="K189" s="25" t="n">
        <v>16.5</v>
      </c>
      <c r="L189" s="26" t="n">
        <v>20.325</v>
      </c>
      <c r="M189" s="25"/>
      <c r="N189" s="27"/>
      <c r="O189" s="25"/>
      <c r="P189" s="25"/>
      <c r="Q189" s="25"/>
      <c r="R189" s="25"/>
      <c r="S189" s="25"/>
      <c r="T189" s="25" t="n">
        <v>10</v>
      </c>
      <c r="U189" s="26"/>
      <c r="V189" s="25"/>
      <c r="W189" s="27"/>
      <c r="X189" s="25"/>
      <c r="Y189" s="25"/>
      <c r="Z189" s="25"/>
      <c r="AA189" s="26"/>
      <c r="AB189" s="32"/>
      <c r="AC189" s="31"/>
      <c r="AD189" s="25"/>
      <c r="AE189" s="31"/>
      <c r="AF189" s="25"/>
      <c r="AG189" s="27"/>
      <c r="AH189" s="32" t="n">
        <f aca="false">SUM(D189:AG189)</f>
        <v>100</v>
      </c>
      <c r="AK189" s="25" t="n">
        <f aca="false">AVERAGE(70.62,70.6)</f>
        <v>70.61</v>
      </c>
      <c r="AL189" s="25" t="n">
        <f aca="false">AVERAGE(10.86,10.86)</f>
        <v>10.86</v>
      </c>
      <c r="AM189" s="25" t="n">
        <v>143.382</v>
      </c>
      <c r="AN189" s="25"/>
      <c r="AO189" s="25"/>
      <c r="AP189" s="25"/>
      <c r="AQ189" s="25"/>
      <c r="AR189" s="26"/>
      <c r="AS189" s="25"/>
    </row>
    <row r="190" customFormat="false" ht="15" hidden="false" customHeight="false" outlineLevel="0" collapsed="false">
      <c r="A190" s="23" t="n">
        <v>186</v>
      </c>
      <c r="B190" s="24" t="s">
        <v>257</v>
      </c>
      <c r="C190" s="25" t="s">
        <v>260</v>
      </c>
      <c r="D190" s="26"/>
      <c r="E190" s="25"/>
      <c r="F190" s="27"/>
      <c r="G190" s="27"/>
      <c r="H190" s="25" t="n">
        <v>10</v>
      </c>
      <c r="I190" s="25" t="n">
        <v>14.3</v>
      </c>
      <c r="J190" s="25" t="n">
        <v>35</v>
      </c>
      <c r="K190" s="25" t="n">
        <v>20</v>
      </c>
      <c r="L190" s="26" t="n">
        <v>15.7</v>
      </c>
      <c r="M190" s="25"/>
      <c r="N190" s="27"/>
      <c r="O190" s="25"/>
      <c r="P190" s="25"/>
      <c r="Q190" s="25"/>
      <c r="R190" s="25"/>
      <c r="S190" s="25" t="n">
        <v>5</v>
      </c>
      <c r="T190" s="25"/>
      <c r="U190" s="26"/>
      <c r="V190" s="25"/>
      <c r="W190" s="27"/>
      <c r="X190" s="25"/>
      <c r="Y190" s="25"/>
      <c r="Z190" s="25"/>
      <c r="AA190" s="26"/>
      <c r="AB190" s="32"/>
      <c r="AC190" s="31"/>
      <c r="AD190" s="25"/>
      <c r="AE190" s="31"/>
      <c r="AF190" s="25"/>
      <c r="AG190" s="27"/>
      <c r="AH190" s="32" t="n">
        <f aca="false">SUM(D190:AG190)</f>
        <v>100</v>
      </c>
      <c r="AK190" s="25" t="n">
        <f aca="false">AVERAGE(63.51,63.43)</f>
        <v>63.47</v>
      </c>
      <c r="AL190" s="25" t="n">
        <f aca="false">AVERAGE(10.65,10.64)</f>
        <v>10.645</v>
      </c>
      <c r="AM190" s="25" t="n">
        <v>158.2</v>
      </c>
      <c r="AN190" s="25"/>
      <c r="AO190" s="25"/>
      <c r="AP190" s="25"/>
      <c r="AQ190" s="25"/>
      <c r="AR190" s="26"/>
      <c r="AS190" s="25"/>
    </row>
    <row r="191" customFormat="false" ht="15" hidden="false" customHeight="false" outlineLevel="0" collapsed="false">
      <c r="A191" s="23" t="n">
        <v>187</v>
      </c>
      <c r="B191" s="24" t="s">
        <v>257</v>
      </c>
      <c r="C191" s="25" t="s">
        <v>261</v>
      </c>
      <c r="D191" s="26"/>
      <c r="E191" s="25"/>
      <c r="F191" s="27"/>
      <c r="G191" s="27"/>
      <c r="H191" s="25" t="n">
        <v>10</v>
      </c>
      <c r="I191" s="25" t="n">
        <v>14.3</v>
      </c>
      <c r="J191" s="25" t="n">
        <v>35</v>
      </c>
      <c r="K191" s="25" t="n">
        <v>25</v>
      </c>
      <c r="L191" s="26" t="n">
        <v>9.7</v>
      </c>
      <c r="M191" s="25"/>
      <c r="N191" s="27"/>
      <c r="O191" s="25"/>
      <c r="P191" s="25"/>
      <c r="Q191" s="25"/>
      <c r="R191" s="25"/>
      <c r="S191" s="25" t="n">
        <v>6</v>
      </c>
      <c r="T191" s="25"/>
      <c r="U191" s="26"/>
      <c r="V191" s="25"/>
      <c r="W191" s="27"/>
      <c r="X191" s="25"/>
      <c r="Y191" s="25"/>
      <c r="Z191" s="25"/>
      <c r="AA191" s="26"/>
      <c r="AB191" s="32"/>
      <c r="AC191" s="31"/>
      <c r="AD191" s="25"/>
      <c r="AE191" s="31"/>
      <c r="AF191" s="25"/>
      <c r="AG191" s="27"/>
      <c r="AH191" s="32" t="n">
        <f aca="false">SUM(D191:AG191)</f>
        <v>100</v>
      </c>
      <c r="AK191" s="25" t="n">
        <f aca="false">AVERAGE(68.32,68.3)</f>
        <v>68.31</v>
      </c>
      <c r="AL191" s="25" t="n">
        <f aca="false">AVERAGE(11.47,11.43)</f>
        <v>11.45</v>
      </c>
      <c r="AM191" s="25" t="n">
        <v>162.204</v>
      </c>
      <c r="AN191" s="25"/>
      <c r="AO191" s="25"/>
      <c r="AP191" s="25"/>
      <c r="AQ191" s="25"/>
      <c r="AR191" s="26"/>
      <c r="AS191" s="25"/>
    </row>
    <row r="192" customFormat="false" ht="15" hidden="false" customHeight="false" outlineLevel="0" collapsed="false">
      <c r="A192" s="23" t="n">
        <v>188</v>
      </c>
      <c r="B192" s="24" t="s">
        <v>257</v>
      </c>
      <c r="C192" s="25" t="s">
        <v>262</v>
      </c>
      <c r="D192" s="26"/>
      <c r="E192" s="25"/>
      <c r="F192" s="27"/>
      <c r="G192" s="27" t="n">
        <v>2.5</v>
      </c>
      <c r="H192" s="25" t="n">
        <v>7.5</v>
      </c>
      <c r="I192" s="25"/>
      <c r="J192" s="25" t="n">
        <v>52.3</v>
      </c>
      <c r="K192" s="25" t="n">
        <v>22.42</v>
      </c>
      <c r="L192" s="26"/>
      <c r="M192" s="25"/>
      <c r="N192" s="27"/>
      <c r="O192" s="25"/>
      <c r="P192" s="25"/>
      <c r="Q192" s="25"/>
      <c r="R192" s="25"/>
      <c r="S192" s="25"/>
      <c r="T192" s="25" t="n">
        <v>7</v>
      </c>
      <c r="U192" s="26"/>
      <c r="V192" s="25"/>
      <c r="W192" s="27"/>
      <c r="X192" s="25"/>
      <c r="Y192" s="25"/>
      <c r="Z192" s="25"/>
      <c r="AA192" s="26"/>
      <c r="AB192" s="32"/>
      <c r="AC192" s="31"/>
      <c r="AD192" s="25"/>
      <c r="AE192" s="31"/>
      <c r="AF192" s="25"/>
      <c r="AG192" s="27" t="n">
        <v>8.28</v>
      </c>
      <c r="AH192" s="32" t="n">
        <f aca="false">SUM(D192:AG192)</f>
        <v>100</v>
      </c>
      <c r="AK192" s="25" t="n">
        <f aca="false">AVERAGE(42.14,41.83)</f>
        <v>41.985</v>
      </c>
      <c r="AL192" s="25" t="n">
        <f aca="false">AVERAGE(7.61,7.6)</f>
        <v>7.605</v>
      </c>
      <c r="AM192" s="25" t="n">
        <v>150.725</v>
      </c>
      <c r="AN192" s="25" t="n">
        <v>2.598</v>
      </c>
      <c r="AO192" s="25"/>
      <c r="AP192" s="25"/>
      <c r="AQ192" s="25"/>
      <c r="AR192" s="26"/>
      <c r="AS192" s="25"/>
    </row>
    <row r="193" customFormat="false" ht="15" hidden="false" customHeight="false" outlineLevel="0" collapsed="false">
      <c r="A193" s="23" t="n">
        <v>189</v>
      </c>
      <c r="B193" s="24" t="s">
        <v>257</v>
      </c>
      <c r="C193" s="25" t="s">
        <v>263</v>
      </c>
      <c r="D193" s="26"/>
      <c r="E193" s="25"/>
      <c r="F193" s="27"/>
      <c r="G193" s="27" t="n">
        <v>5</v>
      </c>
      <c r="H193" s="25" t="n">
        <v>5</v>
      </c>
      <c r="I193" s="25"/>
      <c r="J193" s="25"/>
      <c r="K193" s="25" t="n">
        <v>29.72</v>
      </c>
      <c r="L193" s="26" t="n">
        <v>45</v>
      </c>
      <c r="M193" s="25"/>
      <c r="N193" s="27"/>
      <c r="O193" s="25"/>
      <c r="P193" s="25"/>
      <c r="Q193" s="25"/>
      <c r="R193" s="25"/>
      <c r="S193" s="25"/>
      <c r="T193" s="25" t="n">
        <v>7</v>
      </c>
      <c r="U193" s="26"/>
      <c r="V193" s="25"/>
      <c r="W193" s="27"/>
      <c r="X193" s="25"/>
      <c r="Y193" s="25"/>
      <c r="Z193" s="25"/>
      <c r="AA193" s="26"/>
      <c r="AB193" s="32"/>
      <c r="AC193" s="31"/>
      <c r="AD193" s="25"/>
      <c r="AE193" s="31"/>
      <c r="AF193" s="25"/>
      <c r="AG193" s="27" t="n">
        <v>8.28</v>
      </c>
      <c r="AH193" s="32" t="n">
        <f aca="false">SUM(D193:AG193)</f>
        <v>100</v>
      </c>
      <c r="AK193" s="25" t="n">
        <f aca="false">AVERAGE(59.05,59.01)</f>
        <v>59.03</v>
      </c>
      <c r="AL193" s="25" t="n">
        <f aca="false">AVERAGE(9.68,9.67)</f>
        <v>9.675</v>
      </c>
      <c r="AM193" s="25" t="n">
        <v>148.044</v>
      </c>
      <c r="AN193" s="25" t="n">
        <v>3.163</v>
      </c>
      <c r="AO193" s="25"/>
      <c r="AP193" s="25"/>
      <c r="AQ193" s="25"/>
      <c r="AR193" s="26"/>
      <c r="AS193" s="25"/>
    </row>
    <row r="194" customFormat="false" ht="15" hidden="false" customHeight="false" outlineLevel="0" collapsed="false">
      <c r="A194" s="23" t="n">
        <v>190</v>
      </c>
      <c r="B194" s="24" t="s">
        <v>257</v>
      </c>
      <c r="C194" s="25" t="s">
        <v>264</v>
      </c>
      <c r="D194" s="26"/>
      <c r="E194" s="25"/>
      <c r="F194" s="27"/>
      <c r="G194" s="27"/>
      <c r="H194" s="25" t="n">
        <v>10</v>
      </c>
      <c r="I194" s="25"/>
      <c r="J194" s="25"/>
      <c r="K194" s="25"/>
      <c r="L194" s="26" t="n">
        <v>49.3</v>
      </c>
      <c r="M194" s="25"/>
      <c r="N194" s="27" t="n">
        <v>25</v>
      </c>
      <c r="O194" s="25"/>
      <c r="P194" s="25"/>
      <c r="Q194" s="25"/>
      <c r="R194" s="25"/>
      <c r="S194" s="25" t="n">
        <v>7</v>
      </c>
      <c r="T194" s="25"/>
      <c r="U194" s="26"/>
      <c r="V194" s="25"/>
      <c r="W194" s="27"/>
      <c r="X194" s="25"/>
      <c r="Y194" s="25"/>
      <c r="Z194" s="25" t="n">
        <v>8.7</v>
      </c>
      <c r="AA194" s="26"/>
      <c r="AB194" s="32"/>
      <c r="AC194" s="31"/>
      <c r="AD194" s="25"/>
      <c r="AE194" s="31"/>
      <c r="AF194" s="25"/>
      <c r="AG194" s="27"/>
      <c r="AH194" s="32" t="n">
        <f aca="false">SUM(D194:AG194)</f>
        <v>100</v>
      </c>
      <c r="AK194" s="25" t="n">
        <f aca="false">AVERAGE(104.37,104.05)</f>
        <v>104.21</v>
      </c>
      <c r="AL194" s="25" t="n">
        <f aca="false">AVERAGE(14.8,14.78)</f>
        <v>14.79</v>
      </c>
      <c r="AM194" s="25" t="n">
        <v>147.429</v>
      </c>
      <c r="AN194" s="25" t="n">
        <v>4.144</v>
      </c>
      <c r="AO194" s="25"/>
      <c r="AP194" s="25"/>
      <c r="AQ194" s="25"/>
      <c r="AR194" s="26"/>
      <c r="AS194" s="25"/>
    </row>
    <row r="195" customFormat="false" ht="15" hidden="false" customHeight="false" outlineLevel="0" collapsed="false">
      <c r="A195" s="23" t="n">
        <v>191</v>
      </c>
      <c r="B195" s="24" t="s">
        <v>257</v>
      </c>
      <c r="C195" s="25" t="s">
        <v>265</v>
      </c>
      <c r="D195" s="26"/>
      <c r="E195" s="25"/>
      <c r="F195" s="27"/>
      <c r="G195" s="27" t="n">
        <v>5</v>
      </c>
      <c r="H195" s="25" t="n">
        <v>5</v>
      </c>
      <c r="I195" s="25" t="n">
        <v>14.3</v>
      </c>
      <c r="J195" s="25"/>
      <c r="K195" s="25"/>
      <c r="L195" s="26" t="n">
        <v>68.5</v>
      </c>
      <c r="M195" s="25"/>
      <c r="N195" s="27"/>
      <c r="O195" s="25"/>
      <c r="P195" s="25"/>
      <c r="Q195" s="25"/>
      <c r="R195" s="25"/>
      <c r="S195" s="25" t="n">
        <v>7</v>
      </c>
      <c r="T195" s="25"/>
      <c r="U195" s="26"/>
      <c r="V195" s="25"/>
      <c r="W195" s="27"/>
      <c r="X195" s="25"/>
      <c r="Y195" s="25"/>
      <c r="Z195" s="25"/>
      <c r="AA195" s="26"/>
      <c r="AB195" s="32"/>
      <c r="AC195" s="31"/>
      <c r="AD195" s="25"/>
      <c r="AE195" s="31" t="n">
        <v>0.2</v>
      </c>
      <c r="AF195" s="25"/>
      <c r="AG195" s="27"/>
      <c r="AH195" s="32" t="n">
        <f aca="false">SUM(D195:AG195)</f>
        <v>100</v>
      </c>
      <c r="AK195" s="25" t="n">
        <f aca="false">AVERAGE(89.47,89.32)</f>
        <v>89.395</v>
      </c>
      <c r="AL195" s="25" t="n">
        <f aca="false">AVERAGE(14.01,13.99)</f>
        <v>14</v>
      </c>
      <c r="AM195" s="25" t="n">
        <v>161.054</v>
      </c>
      <c r="AN195" s="25" t="n">
        <v>4.093</v>
      </c>
      <c r="AO195" s="25"/>
      <c r="AP195" s="25"/>
      <c r="AQ195" s="25"/>
      <c r="AR195" s="26"/>
      <c r="AS195" s="25"/>
    </row>
    <row r="196" customFormat="false" ht="15" hidden="false" customHeight="false" outlineLevel="0" collapsed="false">
      <c r="A196" s="43" t="n">
        <v>192</v>
      </c>
      <c r="B196" s="36" t="s">
        <v>257</v>
      </c>
      <c r="C196" s="35" t="s">
        <v>266</v>
      </c>
      <c r="D196" s="44" t="n">
        <v>7.5</v>
      </c>
      <c r="E196" s="25"/>
      <c r="F196" s="46"/>
      <c r="G196" s="46" t="n">
        <v>2.5</v>
      </c>
      <c r="H196" s="35"/>
      <c r="I196" s="35"/>
      <c r="J196" s="35" t="n">
        <v>32</v>
      </c>
      <c r="K196" s="35" t="n">
        <v>42.72</v>
      </c>
      <c r="L196" s="44"/>
      <c r="M196" s="25"/>
      <c r="N196" s="46"/>
      <c r="O196" s="35"/>
      <c r="P196" s="35"/>
      <c r="Q196" s="35"/>
      <c r="R196" s="35"/>
      <c r="S196" s="35"/>
      <c r="T196" s="35" t="n">
        <v>7</v>
      </c>
      <c r="U196" s="44"/>
      <c r="V196" s="25"/>
      <c r="W196" s="46"/>
      <c r="X196" s="35"/>
      <c r="Y196" s="35"/>
      <c r="Z196" s="35"/>
      <c r="AA196" s="44"/>
      <c r="AB196" s="32"/>
      <c r="AC196" s="31"/>
      <c r="AD196" s="25"/>
      <c r="AE196" s="45"/>
      <c r="AF196" s="25"/>
      <c r="AG196" s="46" t="n">
        <v>8.28</v>
      </c>
      <c r="AH196" s="32" t="n">
        <f aca="false">SUM(D196:AG196)</f>
        <v>100</v>
      </c>
      <c r="AK196" s="35" t="s">
        <v>79</v>
      </c>
      <c r="AL196" s="35" t="n">
        <f aca="false">AVERAGE(8.35,8.34)</f>
        <v>8.345</v>
      </c>
      <c r="AM196" s="35" t="s">
        <v>79</v>
      </c>
      <c r="AN196" s="35"/>
      <c r="AO196" s="35"/>
      <c r="AP196" s="35"/>
      <c r="AQ196" s="35"/>
      <c r="AR196" s="44"/>
      <c r="AS196" s="25"/>
    </row>
    <row r="197" customFormat="false" ht="15" hidden="false" customHeight="false" outlineLevel="0" collapsed="false">
      <c r="A197" s="23" t="n">
        <v>193</v>
      </c>
      <c r="B197" s="24" t="s">
        <v>267</v>
      </c>
      <c r="C197" s="25" t="s">
        <v>268</v>
      </c>
      <c r="D197" s="26"/>
      <c r="E197" s="25"/>
      <c r="F197" s="27"/>
      <c r="G197" s="25"/>
      <c r="H197" s="25" t="n">
        <v>10</v>
      </c>
      <c r="I197" s="25" t="n">
        <v>14.3</v>
      </c>
      <c r="J197" s="25" t="n">
        <v>40</v>
      </c>
      <c r="K197" s="25" t="n">
        <v>29.2</v>
      </c>
      <c r="L197" s="26"/>
      <c r="M197" s="25"/>
      <c r="N197" s="27"/>
      <c r="O197" s="25"/>
      <c r="P197" s="25"/>
      <c r="Q197" s="25"/>
      <c r="R197" s="25"/>
      <c r="S197" s="25" t="n">
        <v>6.5</v>
      </c>
      <c r="T197" s="25"/>
      <c r="U197" s="26"/>
      <c r="V197" s="25"/>
      <c r="W197" s="27"/>
      <c r="X197" s="25"/>
      <c r="Y197" s="25"/>
      <c r="Z197" s="25"/>
      <c r="AA197" s="26"/>
      <c r="AB197" s="32"/>
      <c r="AC197" s="31"/>
      <c r="AD197" s="25"/>
      <c r="AE197" s="31"/>
      <c r="AF197" s="25"/>
      <c r="AG197" s="27"/>
      <c r="AH197" s="32" t="n">
        <f aca="false">SUM(D197:AG197)</f>
        <v>100</v>
      </c>
      <c r="AK197" s="25" t="n">
        <f aca="false">AVERAGE(66.4,66.65)</f>
        <v>66.525</v>
      </c>
      <c r="AL197" s="25" t="n">
        <f aca="false">AVERAGE(11.19,11.19)</f>
        <v>11.19</v>
      </c>
      <c r="AM197" s="25" t="n">
        <v>161.67</v>
      </c>
      <c r="AN197" s="25"/>
      <c r="AO197" s="25"/>
      <c r="AP197" s="25"/>
      <c r="AQ197" s="25"/>
      <c r="AR197" s="26"/>
      <c r="AS197" s="25"/>
    </row>
    <row r="198" customFormat="false" ht="15" hidden="false" customHeight="false" outlineLevel="0" collapsed="false">
      <c r="A198" s="23" t="n">
        <v>194</v>
      </c>
      <c r="B198" s="24" t="s">
        <v>267</v>
      </c>
      <c r="C198" s="25" t="s">
        <v>269</v>
      </c>
      <c r="D198" s="26"/>
      <c r="E198" s="25"/>
      <c r="F198" s="27"/>
      <c r="G198" s="25"/>
      <c r="H198" s="25" t="n">
        <v>10</v>
      </c>
      <c r="I198" s="25" t="n">
        <v>14.3</v>
      </c>
      <c r="J198" s="25" t="n">
        <v>39.2</v>
      </c>
      <c r="K198" s="25" t="n">
        <v>25</v>
      </c>
      <c r="L198" s="26" t="n">
        <v>5</v>
      </c>
      <c r="M198" s="25"/>
      <c r="N198" s="27"/>
      <c r="O198" s="25"/>
      <c r="P198" s="25"/>
      <c r="Q198" s="25"/>
      <c r="R198" s="25"/>
      <c r="S198" s="25" t="n">
        <v>6.5</v>
      </c>
      <c r="T198" s="25"/>
      <c r="U198" s="26"/>
      <c r="V198" s="25"/>
      <c r="W198" s="27"/>
      <c r="X198" s="25"/>
      <c r="Y198" s="25"/>
      <c r="Z198" s="25"/>
      <c r="AA198" s="26"/>
      <c r="AB198" s="32"/>
      <c r="AC198" s="31"/>
      <c r="AD198" s="25"/>
      <c r="AE198" s="31"/>
      <c r="AF198" s="25"/>
      <c r="AG198" s="27"/>
      <c r="AH198" s="32" t="n">
        <f aca="false">SUM(D198:AG198)</f>
        <v>100</v>
      </c>
      <c r="AK198" s="25" t="n">
        <f aca="false">AVERAGE(66.6,66.96)</f>
        <v>66.78</v>
      </c>
      <c r="AL198" s="25" t="n">
        <f aca="false">AVERAGE(11.36,11.37)</f>
        <v>11.365</v>
      </c>
      <c r="AM198" s="25" t="n">
        <v>164.722</v>
      </c>
      <c r="AN198" s="25"/>
      <c r="AO198" s="25"/>
      <c r="AP198" s="25"/>
      <c r="AQ198" s="25"/>
      <c r="AR198" s="26"/>
      <c r="AS198" s="25"/>
    </row>
    <row r="199" customFormat="false" ht="15" hidden="false" customHeight="false" outlineLevel="0" collapsed="false">
      <c r="A199" s="23" t="n">
        <v>195</v>
      </c>
      <c r="B199" s="24" t="s">
        <v>267</v>
      </c>
      <c r="C199" s="25" t="s">
        <v>270</v>
      </c>
      <c r="D199" s="26"/>
      <c r="E199" s="25"/>
      <c r="F199" s="27"/>
      <c r="G199" s="25"/>
      <c r="H199" s="25" t="n">
        <v>10</v>
      </c>
      <c r="I199" s="25" t="n">
        <v>14.3</v>
      </c>
      <c r="J199" s="25" t="n">
        <v>35</v>
      </c>
      <c r="K199" s="25" t="n">
        <v>26.2</v>
      </c>
      <c r="L199" s="26" t="n">
        <v>7</v>
      </c>
      <c r="M199" s="25"/>
      <c r="N199" s="27"/>
      <c r="O199" s="25"/>
      <c r="P199" s="25"/>
      <c r="Q199" s="25"/>
      <c r="R199" s="25"/>
      <c r="S199" s="25" t="n">
        <v>7.5</v>
      </c>
      <c r="T199" s="25"/>
      <c r="U199" s="26"/>
      <c r="V199" s="25"/>
      <c r="W199" s="27"/>
      <c r="X199" s="25"/>
      <c r="Y199" s="25"/>
      <c r="Z199" s="25"/>
      <c r="AA199" s="26"/>
      <c r="AB199" s="32"/>
      <c r="AC199" s="31"/>
      <c r="AD199" s="25"/>
      <c r="AE199" s="31"/>
      <c r="AF199" s="25"/>
      <c r="AG199" s="27"/>
      <c r="AH199" s="32" t="n">
        <f aca="false">SUM(D199:AG199)</f>
        <v>100</v>
      </c>
      <c r="AK199" s="25" t="n">
        <f aca="false">AVERAGE(72.92,72.91)</f>
        <v>72.915</v>
      </c>
      <c r="AL199" s="25" t="n">
        <f aca="false">AVERAGE(12.22,12.21)</f>
        <v>12.215</v>
      </c>
      <c r="AM199" s="25" t="n">
        <v>165.838</v>
      </c>
      <c r="AN199" s="25"/>
      <c r="AO199" s="25"/>
      <c r="AP199" s="25"/>
      <c r="AQ199" s="25"/>
      <c r="AR199" s="26"/>
      <c r="AS199" s="25"/>
    </row>
    <row r="200" customFormat="false" ht="15" hidden="false" customHeight="false" outlineLevel="0" collapsed="false">
      <c r="A200" s="23" t="n">
        <v>196</v>
      </c>
      <c r="B200" s="24" t="s">
        <v>267</v>
      </c>
      <c r="C200" s="25" t="s">
        <v>271</v>
      </c>
      <c r="D200" s="26" t="n">
        <v>5</v>
      </c>
      <c r="E200" s="25"/>
      <c r="F200" s="27"/>
      <c r="G200" s="25" t="n">
        <v>5</v>
      </c>
      <c r="H200" s="25"/>
      <c r="I200" s="25"/>
      <c r="J200" s="25"/>
      <c r="K200" s="25" t="n">
        <v>30.72</v>
      </c>
      <c r="L200" s="26" t="n">
        <v>45</v>
      </c>
      <c r="M200" s="25"/>
      <c r="N200" s="27"/>
      <c r="O200" s="25"/>
      <c r="P200" s="25"/>
      <c r="Q200" s="25"/>
      <c r="R200" s="25"/>
      <c r="S200" s="25" t="n">
        <v>6</v>
      </c>
      <c r="T200" s="25"/>
      <c r="U200" s="26"/>
      <c r="V200" s="25"/>
      <c r="W200" s="27"/>
      <c r="X200" s="25"/>
      <c r="Y200" s="25"/>
      <c r="Z200" s="25"/>
      <c r="AA200" s="26"/>
      <c r="AB200" s="32"/>
      <c r="AC200" s="31"/>
      <c r="AD200" s="25"/>
      <c r="AE200" s="31"/>
      <c r="AF200" s="25"/>
      <c r="AG200" s="27" t="n">
        <v>8.28</v>
      </c>
      <c r="AH200" s="32" t="n">
        <f aca="false">SUM(D200:AG200)</f>
        <v>100</v>
      </c>
      <c r="AK200" s="25" t="n">
        <f aca="false">AVERAGE(68.23,68.65)</f>
        <v>68.44</v>
      </c>
      <c r="AL200" s="25" t="n">
        <f aca="false">AVERAGE(11.41,11.42)</f>
        <v>11.415</v>
      </c>
      <c r="AM200" s="25" t="n">
        <v>161.073</v>
      </c>
      <c r="AN200" s="25"/>
      <c r="AO200" s="25"/>
      <c r="AP200" s="25"/>
      <c r="AQ200" s="25"/>
      <c r="AR200" s="26"/>
      <c r="AS200" s="25"/>
    </row>
    <row r="201" customFormat="false" ht="15" hidden="false" customHeight="false" outlineLevel="0" collapsed="false">
      <c r="A201" s="23" t="n">
        <v>197</v>
      </c>
      <c r="B201" s="24" t="s">
        <v>267</v>
      </c>
      <c r="C201" s="25" t="s">
        <v>272</v>
      </c>
      <c r="D201" s="26"/>
      <c r="E201" s="25"/>
      <c r="F201" s="27"/>
      <c r="G201" s="25" t="n">
        <v>5</v>
      </c>
      <c r="H201" s="25" t="n">
        <v>5</v>
      </c>
      <c r="I201" s="25"/>
      <c r="J201" s="25" t="n">
        <v>32</v>
      </c>
      <c r="K201" s="25" t="n">
        <v>42.72</v>
      </c>
      <c r="L201" s="26"/>
      <c r="M201" s="25"/>
      <c r="N201" s="27"/>
      <c r="O201" s="25"/>
      <c r="P201" s="25"/>
      <c r="Q201" s="25"/>
      <c r="R201" s="25"/>
      <c r="S201" s="25"/>
      <c r="T201" s="25" t="n">
        <v>7</v>
      </c>
      <c r="U201" s="26"/>
      <c r="V201" s="25"/>
      <c r="W201" s="27"/>
      <c r="X201" s="25"/>
      <c r="Y201" s="25"/>
      <c r="Z201" s="25"/>
      <c r="AA201" s="26"/>
      <c r="AB201" s="32"/>
      <c r="AC201" s="31"/>
      <c r="AD201" s="25"/>
      <c r="AE201" s="31"/>
      <c r="AF201" s="25"/>
      <c r="AG201" s="27" t="n">
        <v>8.28</v>
      </c>
      <c r="AH201" s="32" t="n">
        <f aca="false">SUM(D201:AG201)</f>
        <v>100</v>
      </c>
      <c r="AK201" s="25" t="n">
        <f aca="false">AVERAGE(44.43,44.44)</f>
        <v>44.435</v>
      </c>
      <c r="AL201" s="25" t="n">
        <f aca="false">AVERAGE(8.01,8.01)</f>
        <v>8.01</v>
      </c>
      <c r="AM201" s="25" t="n">
        <v>154.109</v>
      </c>
      <c r="AN201" s="25"/>
      <c r="AO201" s="25"/>
      <c r="AP201" s="25"/>
      <c r="AQ201" s="25"/>
      <c r="AR201" s="26"/>
      <c r="AS201" s="25"/>
    </row>
    <row r="202" customFormat="false" ht="15" hidden="false" customHeight="false" outlineLevel="0" collapsed="false">
      <c r="A202" s="23" t="n">
        <v>198</v>
      </c>
      <c r="B202" s="24" t="s">
        <v>267</v>
      </c>
      <c r="C202" s="25" t="s">
        <v>273</v>
      </c>
      <c r="D202" s="26"/>
      <c r="E202" s="25"/>
      <c r="F202" s="27"/>
      <c r="G202" s="25"/>
      <c r="H202" s="25"/>
      <c r="I202" s="25"/>
      <c r="J202" s="25" t="n">
        <v>68.72</v>
      </c>
      <c r="K202" s="25" t="n">
        <v>10</v>
      </c>
      <c r="L202" s="26"/>
      <c r="M202" s="25"/>
      <c r="N202" s="27"/>
      <c r="O202" s="25" t="n">
        <v>10</v>
      </c>
      <c r="P202" s="25"/>
      <c r="Q202" s="25"/>
      <c r="R202" s="25"/>
      <c r="S202" s="25" t="n">
        <v>3</v>
      </c>
      <c r="T202" s="25"/>
      <c r="U202" s="26"/>
      <c r="V202" s="25"/>
      <c r="W202" s="27"/>
      <c r="X202" s="25"/>
      <c r="Y202" s="25"/>
      <c r="Z202" s="25"/>
      <c r="AA202" s="26"/>
      <c r="AB202" s="32"/>
      <c r="AC202" s="31"/>
      <c r="AD202" s="25"/>
      <c r="AE202" s="31"/>
      <c r="AF202" s="25"/>
      <c r="AG202" s="27" t="n">
        <v>8.28</v>
      </c>
      <c r="AH202" s="32" t="n">
        <f aca="false">SUM(D202:AG202)</f>
        <v>100</v>
      </c>
      <c r="AK202" s="25" t="n">
        <v>33.41</v>
      </c>
      <c r="AL202" s="25" t="n">
        <f aca="false">AVERAGE(6.84,6.85)</f>
        <v>6.845</v>
      </c>
      <c r="AM202" s="25" t="n">
        <v>170.158</v>
      </c>
      <c r="AN202" s="25"/>
      <c r="AO202" s="25"/>
      <c r="AP202" s="25"/>
      <c r="AQ202" s="25"/>
      <c r="AR202" s="26"/>
      <c r="AS202" s="25"/>
    </row>
    <row r="203" customFormat="false" ht="15" hidden="false" customHeight="false" outlineLevel="0" collapsed="false">
      <c r="A203" s="23" t="n">
        <v>199</v>
      </c>
      <c r="B203" s="24" t="s">
        <v>267</v>
      </c>
      <c r="C203" s="25" t="s">
        <v>274</v>
      </c>
      <c r="D203" s="26"/>
      <c r="E203" s="25"/>
      <c r="F203" s="27"/>
      <c r="G203" s="25"/>
      <c r="H203" s="25"/>
      <c r="I203" s="25"/>
      <c r="J203" s="25" t="n">
        <v>65.72</v>
      </c>
      <c r="K203" s="25" t="n">
        <v>10</v>
      </c>
      <c r="L203" s="26"/>
      <c r="M203" s="25"/>
      <c r="N203" s="27"/>
      <c r="O203" s="25" t="n">
        <v>10</v>
      </c>
      <c r="P203" s="25"/>
      <c r="Q203" s="25"/>
      <c r="R203" s="25"/>
      <c r="S203" s="25"/>
      <c r="T203" s="25" t="n">
        <v>6</v>
      </c>
      <c r="U203" s="26"/>
      <c r="V203" s="25"/>
      <c r="W203" s="27"/>
      <c r="X203" s="25"/>
      <c r="Y203" s="25"/>
      <c r="Z203" s="25"/>
      <c r="AA203" s="26"/>
      <c r="AB203" s="32"/>
      <c r="AC203" s="31"/>
      <c r="AD203" s="25"/>
      <c r="AE203" s="31"/>
      <c r="AF203" s="25"/>
      <c r="AG203" s="27" t="n">
        <v>8.28</v>
      </c>
      <c r="AH203" s="32" t="n">
        <f aca="false">SUM(D203:AG203)</f>
        <v>100</v>
      </c>
      <c r="AK203" s="25" t="s">
        <v>79</v>
      </c>
      <c r="AL203" s="25" t="n">
        <f aca="false">AVERAGE(6.66,6.65)</f>
        <v>6.655</v>
      </c>
      <c r="AM203" s="25" t="s">
        <v>79</v>
      </c>
      <c r="AN203" s="25"/>
      <c r="AO203" s="25"/>
      <c r="AP203" s="25"/>
      <c r="AQ203" s="25"/>
      <c r="AR203" s="26"/>
      <c r="AS203" s="25"/>
    </row>
    <row r="204" customFormat="false" ht="15" hidden="false" customHeight="false" outlineLevel="0" collapsed="false">
      <c r="A204" s="23" t="n">
        <v>200</v>
      </c>
      <c r="B204" s="24" t="s">
        <v>275</v>
      </c>
      <c r="C204" s="25" t="s">
        <v>276</v>
      </c>
      <c r="D204" s="26"/>
      <c r="E204" s="25"/>
      <c r="F204" s="27"/>
      <c r="G204" s="25"/>
      <c r="H204" s="25"/>
      <c r="I204" s="25"/>
      <c r="J204" s="25" t="n">
        <v>67.22</v>
      </c>
      <c r="K204" s="25" t="n">
        <v>10</v>
      </c>
      <c r="L204" s="26"/>
      <c r="M204" s="25"/>
      <c r="N204" s="27"/>
      <c r="O204" s="25" t="n">
        <v>10</v>
      </c>
      <c r="P204" s="25"/>
      <c r="Q204" s="25"/>
      <c r="R204" s="25"/>
      <c r="S204" s="25" t="n">
        <v>4.5</v>
      </c>
      <c r="T204" s="25"/>
      <c r="U204" s="26"/>
      <c r="V204" s="25"/>
      <c r="W204" s="27"/>
      <c r="X204" s="25"/>
      <c r="Y204" s="25"/>
      <c r="Z204" s="25"/>
      <c r="AA204" s="26"/>
      <c r="AB204" s="32"/>
      <c r="AC204" s="31"/>
      <c r="AD204" s="25"/>
      <c r="AE204" s="31"/>
      <c r="AF204" s="25"/>
      <c r="AG204" s="27" t="n">
        <v>8.28</v>
      </c>
      <c r="AH204" s="32" t="n">
        <f aca="false">SUM(D204:AG204)</f>
        <v>100</v>
      </c>
      <c r="AK204" s="25" t="n">
        <f aca="false">AVERAGE(36.39,36.33)</f>
        <v>36.36</v>
      </c>
      <c r="AL204" s="25" t="n">
        <f aca="false">AVERAGE(7.31,7.33)</f>
        <v>7.32</v>
      </c>
      <c r="AM204" s="25" t="n">
        <v>171.696</v>
      </c>
      <c r="AN204" s="25"/>
      <c r="AO204" s="25"/>
      <c r="AP204" s="25"/>
      <c r="AQ204" s="25"/>
      <c r="AR204" s="26"/>
      <c r="AS204" s="25"/>
    </row>
    <row r="205" customFormat="false" ht="15" hidden="false" customHeight="false" outlineLevel="0" collapsed="false">
      <c r="A205" s="23" t="n">
        <v>201</v>
      </c>
      <c r="B205" s="24" t="s">
        <v>275</v>
      </c>
      <c r="C205" s="25" t="s">
        <v>277</v>
      </c>
      <c r="D205" s="26"/>
      <c r="E205" s="25"/>
      <c r="F205" s="27"/>
      <c r="G205" s="25"/>
      <c r="H205" s="25"/>
      <c r="I205" s="25"/>
      <c r="J205" s="25" t="n">
        <v>63.72</v>
      </c>
      <c r="K205" s="25" t="n">
        <v>15</v>
      </c>
      <c r="L205" s="26"/>
      <c r="M205" s="25"/>
      <c r="N205" s="27"/>
      <c r="O205" s="25" t="n">
        <v>10</v>
      </c>
      <c r="P205" s="25"/>
      <c r="Q205" s="25"/>
      <c r="R205" s="25"/>
      <c r="S205" s="25" t="n">
        <v>3</v>
      </c>
      <c r="T205" s="25"/>
      <c r="U205" s="26"/>
      <c r="V205" s="25"/>
      <c r="W205" s="27"/>
      <c r="X205" s="25"/>
      <c r="Y205" s="25"/>
      <c r="Z205" s="25"/>
      <c r="AA205" s="26"/>
      <c r="AB205" s="32"/>
      <c r="AC205" s="31"/>
      <c r="AD205" s="25"/>
      <c r="AE205" s="31"/>
      <c r="AF205" s="25"/>
      <c r="AG205" s="27" t="n">
        <v>8.28</v>
      </c>
      <c r="AH205" s="32" t="n">
        <f aca="false">SUM(D205:AG205)</f>
        <v>100</v>
      </c>
      <c r="AK205" s="25" t="n">
        <f aca="false">AVERAGE(34.25,34.23)</f>
        <v>34.24</v>
      </c>
      <c r="AL205" s="25" t="n">
        <f aca="false">AVERAGE(6.89,6.89)</f>
        <v>6.89</v>
      </c>
      <c r="AM205" s="25" t="n">
        <v>166.313</v>
      </c>
      <c r="AN205" s="25"/>
      <c r="AO205" s="25"/>
      <c r="AP205" s="25"/>
      <c r="AQ205" s="25"/>
      <c r="AR205" s="26"/>
      <c r="AS205" s="25"/>
    </row>
    <row r="206" customFormat="false" ht="15" hidden="false" customHeight="false" outlineLevel="0" collapsed="false">
      <c r="A206" s="23" t="n">
        <v>202</v>
      </c>
      <c r="B206" s="24" t="s">
        <v>275</v>
      </c>
      <c r="C206" s="25" t="s">
        <v>278</v>
      </c>
      <c r="D206" s="26"/>
      <c r="E206" s="25"/>
      <c r="F206" s="27"/>
      <c r="G206" s="25"/>
      <c r="H206" s="25"/>
      <c r="I206" s="25"/>
      <c r="J206" s="25" t="n">
        <v>59.72</v>
      </c>
      <c r="K206" s="25" t="n">
        <v>15</v>
      </c>
      <c r="L206" s="26"/>
      <c r="M206" s="25"/>
      <c r="N206" s="27"/>
      <c r="O206" s="25" t="n">
        <v>10</v>
      </c>
      <c r="P206" s="25"/>
      <c r="Q206" s="25"/>
      <c r="R206" s="25"/>
      <c r="S206" s="25"/>
      <c r="T206" s="25" t="n">
        <v>7</v>
      </c>
      <c r="U206" s="26"/>
      <c r="V206" s="25"/>
      <c r="W206" s="27"/>
      <c r="X206" s="25"/>
      <c r="Y206" s="25"/>
      <c r="Z206" s="25"/>
      <c r="AA206" s="26"/>
      <c r="AB206" s="32"/>
      <c r="AC206" s="31"/>
      <c r="AD206" s="25"/>
      <c r="AE206" s="31"/>
      <c r="AF206" s="25"/>
      <c r="AG206" s="27" t="n">
        <v>8.28</v>
      </c>
      <c r="AH206" s="32" t="n">
        <f aca="false">SUM(D206:AG206)</f>
        <v>100</v>
      </c>
      <c r="AK206" s="25" t="n">
        <f aca="false">AVERAGE(35.24,35.11)</f>
        <v>35.175</v>
      </c>
      <c r="AL206" s="25" t="n">
        <v>6.84</v>
      </c>
      <c r="AM206" s="25" t="n">
        <v>157.362</v>
      </c>
      <c r="AN206" s="25"/>
      <c r="AO206" s="25"/>
      <c r="AP206" s="25"/>
      <c r="AQ206" s="25"/>
      <c r="AR206" s="26"/>
      <c r="AS206" s="25"/>
    </row>
    <row r="207" customFormat="false" ht="15" hidden="false" customHeight="false" outlineLevel="0" collapsed="false">
      <c r="A207" s="23" t="n">
        <v>203</v>
      </c>
      <c r="B207" s="24" t="s">
        <v>275</v>
      </c>
      <c r="C207" s="25" t="s">
        <v>279</v>
      </c>
      <c r="D207" s="26"/>
      <c r="E207" s="25"/>
      <c r="F207" s="27"/>
      <c r="G207" s="25"/>
      <c r="H207" s="25"/>
      <c r="I207" s="25"/>
      <c r="J207" s="25" t="n">
        <v>54.72</v>
      </c>
      <c r="K207" s="25" t="n">
        <v>20</v>
      </c>
      <c r="L207" s="26"/>
      <c r="M207" s="25"/>
      <c r="N207" s="27"/>
      <c r="O207" s="25" t="n">
        <v>10</v>
      </c>
      <c r="P207" s="25"/>
      <c r="Q207" s="25"/>
      <c r="R207" s="25"/>
      <c r="S207" s="25"/>
      <c r="T207" s="25" t="n">
        <v>7</v>
      </c>
      <c r="U207" s="26"/>
      <c r="V207" s="25"/>
      <c r="W207" s="27"/>
      <c r="X207" s="25"/>
      <c r="Y207" s="25"/>
      <c r="Z207" s="25"/>
      <c r="AA207" s="26"/>
      <c r="AB207" s="32"/>
      <c r="AC207" s="31"/>
      <c r="AD207" s="25"/>
      <c r="AE207" s="31"/>
      <c r="AF207" s="25"/>
      <c r="AG207" s="27" t="n">
        <v>8.28</v>
      </c>
      <c r="AH207" s="32" t="n">
        <f aca="false">SUM(D207:AG207)</f>
        <v>100</v>
      </c>
      <c r="AK207" s="25" t="n">
        <f aca="false">AVERAGE(36.83,36.81)</f>
        <v>36.82</v>
      </c>
      <c r="AL207" s="25" t="s">
        <v>79</v>
      </c>
      <c r="AM207" s="25" t="s">
        <v>79</v>
      </c>
      <c r="AN207" s="25"/>
      <c r="AO207" s="25"/>
      <c r="AP207" s="25"/>
      <c r="AQ207" s="25"/>
      <c r="AR207" s="26"/>
      <c r="AS207" s="25"/>
    </row>
    <row r="208" customFormat="false" ht="15" hidden="false" customHeight="false" outlineLevel="0" collapsed="false">
      <c r="A208" s="23" t="n">
        <v>204</v>
      </c>
      <c r="B208" s="24" t="s">
        <v>275</v>
      </c>
      <c r="C208" s="25" t="s">
        <v>280</v>
      </c>
      <c r="D208" s="26"/>
      <c r="E208" s="25"/>
      <c r="F208" s="27"/>
      <c r="G208" s="25"/>
      <c r="H208" s="25"/>
      <c r="I208" s="25"/>
      <c r="J208" s="25" t="n">
        <v>46.72</v>
      </c>
      <c r="K208" s="25" t="n">
        <v>30</v>
      </c>
      <c r="L208" s="26"/>
      <c r="M208" s="25"/>
      <c r="N208" s="27"/>
      <c r="O208" s="25" t="n">
        <v>10</v>
      </c>
      <c r="P208" s="25"/>
      <c r="Q208" s="25"/>
      <c r="R208" s="25"/>
      <c r="S208" s="25" t="n">
        <v>5</v>
      </c>
      <c r="T208" s="25"/>
      <c r="U208" s="26"/>
      <c r="V208" s="25"/>
      <c r="W208" s="27"/>
      <c r="X208" s="25"/>
      <c r="Y208" s="25"/>
      <c r="Z208" s="25"/>
      <c r="AA208" s="26"/>
      <c r="AB208" s="32"/>
      <c r="AC208" s="31"/>
      <c r="AD208" s="25"/>
      <c r="AE208" s="31"/>
      <c r="AF208" s="25"/>
      <c r="AG208" s="27" t="n">
        <v>8.28</v>
      </c>
      <c r="AH208" s="32" t="n">
        <f aca="false">SUM(D208:AG208)</f>
        <v>100</v>
      </c>
      <c r="AK208" s="25" t="n">
        <f aca="false">AVERAGE(41.58,41.55)</f>
        <v>41.565</v>
      </c>
      <c r="AL208" s="25" t="n">
        <f aca="false">AVERAGE(8.14,8.14)</f>
        <v>8.14</v>
      </c>
      <c r="AM208" s="25" t="n">
        <v>174.039</v>
      </c>
      <c r="AN208" s="25"/>
      <c r="AO208" s="25"/>
      <c r="AP208" s="25"/>
      <c r="AQ208" s="25"/>
      <c r="AR208" s="26"/>
      <c r="AS208" s="25"/>
    </row>
    <row r="209" customFormat="false" ht="15" hidden="false" customHeight="false" outlineLevel="0" collapsed="false">
      <c r="A209" s="23" t="n">
        <v>205</v>
      </c>
      <c r="B209" s="24" t="s">
        <v>275</v>
      </c>
      <c r="C209" s="25" t="s">
        <v>281</v>
      </c>
      <c r="D209" s="26"/>
      <c r="E209" s="25"/>
      <c r="F209" s="27"/>
      <c r="G209" s="25"/>
      <c r="H209" s="25"/>
      <c r="I209" s="25"/>
      <c r="J209" s="25" t="n">
        <v>36.72</v>
      </c>
      <c r="K209" s="25" t="n">
        <v>40</v>
      </c>
      <c r="L209" s="26"/>
      <c r="M209" s="25"/>
      <c r="N209" s="27"/>
      <c r="O209" s="25" t="n">
        <v>10</v>
      </c>
      <c r="P209" s="25"/>
      <c r="Q209" s="25"/>
      <c r="R209" s="25"/>
      <c r="S209" s="25" t="n">
        <v>5</v>
      </c>
      <c r="T209" s="25"/>
      <c r="U209" s="26"/>
      <c r="V209" s="25"/>
      <c r="W209" s="27"/>
      <c r="X209" s="25"/>
      <c r="Y209" s="25"/>
      <c r="Z209" s="25"/>
      <c r="AA209" s="26"/>
      <c r="AB209" s="32"/>
      <c r="AC209" s="31"/>
      <c r="AD209" s="25"/>
      <c r="AE209" s="31"/>
      <c r="AF209" s="25"/>
      <c r="AG209" s="27" t="n">
        <v>8.28</v>
      </c>
      <c r="AH209" s="32" t="n">
        <f aca="false">SUM(D209:AG209)</f>
        <v>100</v>
      </c>
      <c r="AK209" s="25" t="n">
        <f aca="false">AVERAGE(43.04,42.94)</f>
        <v>42.99</v>
      </c>
      <c r="AL209" s="25" t="n">
        <f aca="false">AVERAGE(8.41,8.4)</f>
        <v>8.405</v>
      </c>
      <c r="AM209" s="25" t="n">
        <v>176.087</v>
      </c>
      <c r="AN209" s="25"/>
      <c r="AO209" s="25"/>
      <c r="AP209" s="25"/>
      <c r="AQ209" s="25"/>
      <c r="AR209" s="26"/>
      <c r="AS209" s="25"/>
    </row>
    <row r="210" customFormat="false" ht="15" hidden="false" customHeight="false" outlineLevel="0" collapsed="false">
      <c r="A210" s="23" t="n">
        <v>206</v>
      </c>
      <c r="B210" s="24" t="s">
        <v>275</v>
      </c>
      <c r="C210" s="25" t="s">
        <v>10</v>
      </c>
      <c r="D210" s="26" t="n">
        <v>100</v>
      </c>
      <c r="E210" s="25"/>
      <c r="F210" s="27"/>
      <c r="G210" s="25"/>
      <c r="H210" s="25"/>
      <c r="I210" s="25"/>
      <c r="J210" s="25"/>
      <c r="K210" s="25"/>
      <c r="L210" s="26"/>
      <c r="M210" s="25"/>
      <c r="N210" s="27"/>
      <c r="O210" s="25"/>
      <c r="P210" s="25"/>
      <c r="Q210" s="25"/>
      <c r="R210" s="25"/>
      <c r="S210" s="25"/>
      <c r="T210" s="25"/>
      <c r="U210" s="26"/>
      <c r="V210" s="25"/>
      <c r="W210" s="27"/>
      <c r="X210" s="25"/>
      <c r="Y210" s="25"/>
      <c r="Z210" s="25"/>
      <c r="AA210" s="26"/>
      <c r="AB210" s="32"/>
      <c r="AC210" s="31"/>
      <c r="AD210" s="25"/>
      <c r="AE210" s="31"/>
      <c r="AF210" s="25"/>
      <c r="AG210" s="27"/>
      <c r="AH210" s="32" t="n">
        <f aca="false">SUM(D210:AG210)</f>
        <v>100</v>
      </c>
      <c r="AK210" s="25" t="n">
        <f aca="false">AVERAGE(610.57,611.97)</f>
        <v>611.27</v>
      </c>
      <c r="AL210" s="25" t="n">
        <f aca="false">AVERAGE(51.47,51.49)</f>
        <v>51.48</v>
      </c>
      <c r="AM210" s="25" t="n">
        <v>142.461</v>
      </c>
      <c r="AN210" s="25"/>
      <c r="AO210" s="25"/>
      <c r="AP210" s="25" t="n">
        <v>-19</v>
      </c>
      <c r="AQ210" s="25" t="n">
        <v>7.27</v>
      </c>
      <c r="AR210" s="26"/>
      <c r="AS210" s="25"/>
    </row>
    <row r="211" customFormat="false" ht="15" hidden="false" customHeight="false" outlineLevel="0" collapsed="false">
      <c r="A211" s="23" t="n">
        <v>207</v>
      </c>
      <c r="B211" s="24" t="s">
        <v>275</v>
      </c>
      <c r="C211" s="25" t="s">
        <v>282</v>
      </c>
      <c r="D211" s="26"/>
      <c r="E211" s="25"/>
      <c r="F211" s="27" t="n">
        <v>99</v>
      </c>
      <c r="G211" s="25"/>
      <c r="H211" s="25"/>
      <c r="I211" s="25"/>
      <c r="J211" s="25"/>
      <c r="K211" s="25" t="n">
        <v>1</v>
      </c>
      <c r="L211" s="26"/>
      <c r="M211" s="25"/>
      <c r="N211" s="27"/>
      <c r="O211" s="25"/>
      <c r="P211" s="25"/>
      <c r="Q211" s="25"/>
      <c r="R211" s="25"/>
      <c r="S211" s="25"/>
      <c r="T211" s="25"/>
      <c r="U211" s="26"/>
      <c r="V211" s="25"/>
      <c r="W211" s="27"/>
      <c r="X211" s="25"/>
      <c r="Y211" s="25"/>
      <c r="Z211" s="25"/>
      <c r="AA211" s="26"/>
      <c r="AB211" s="32"/>
      <c r="AC211" s="31"/>
      <c r="AD211" s="25"/>
      <c r="AE211" s="31"/>
      <c r="AF211" s="25"/>
      <c r="AG211" s="27"/>
      <c r="AH211" s="32" t="n">
        <f aca="false">SUM(D211:AG211)</f>
        <v>100</v>
      </c>
      <c r="AK211" s="25" t="s">
        <v>79</v>
      </c>
      <c r="AL211" s="25" t="n">
        <f aca="false">AVERAGE(46.13,46.91)</f>
        <v>46.52</v>
      </c>
      <c r="AM211" s="25" t="s">
        <v>79</v>
      </c>
      <c r="AN211" s="25"/>
      <c r="AO211" s="25"/>
      <c r="AP211" s="25"/>
      <c r="AQ211" s="25"/>
      <c r="AR211" s="26"/>
      <c r="AS211" s="25"/>
    </row>
    <row r="212" customFormat="false" ht="15" hidden="false" customHeight="false" outlineLevel="0" collapsed="false">
      <c r="A212" s="23" t="n">
        <v>208</v>
      </c>
      <c r="B212" s="24" t="s">
        <v>275</v>
      </c>
      <c r="C212" s="25" t="s">
        <v>283</v>
      </c>
      <c r="D212" s="26"/>
      <c r="E212" s="25"/>
      <c r="F212" s="27" t="n">
        <v>95</v>
      </c>
      <c r="G212" s="25"/>
      <c r="H212" s="25"/>
      <c r="I212" s="25"/>
      <c r="J212" s="25"/>
      <c r="K212" s="25" t="n">
        <v>5</v>
      </c>
      <c r="L212" s="26"/>
      <c r="M212" s="25"/>
      <c r="N212" s="27"/>
      <c r="O212" s="25"/>
      <c r="P212" s="25"/>
      <c r="Q212" s="25"/>
      <c r="R212" s="25"/>
      <c r="S212" s="25"/>
      <c r="T212" s="25"/>
      <c r="U212" s="26"/>
      <c r="V212" s="25"/>
      <c r="W212" s="27"/>
      <c r="X212" s="25"/>
      <c r="Y212" s="25"/>
      <c r="Z212" s="25"/>
      <c r="AA212" s="26"/>
      <c r="AB212" s="32"/>
      <c r="AC212" s="31"/>
      <c r="AD212" s="25"/>
      <c r="AE212" s="31"/>
      <c r="AF212" s="25"/>
      <c r="AG212" s="27"/>
      <c r="AH212" s="32" t="n">
        <f aca="false">SUM(D212:AG212)</f>
        <v>100</v>
      </c>
      <c r="AK212" s="25" t="s">
        <v>79</v>
      </c>
      <c r="AL212" s="25" t="n">
        <f aca="false">AVERAGE(41.22,41.12)</f>
        <v>41.17</v>
      </c>
      <c r="AM212" s="25" t="s">
        <v>79</v>
      </c>
      <c r="AN212" s="25"/>
      <c r="AO212" s="25"/>
      <c r="AP212" s="25"/>
      <c r="AQ212" s="25"/>
      <c r="AR212" s="26"/>
      <c r="AS212" s="25"/>
    </row>
    <row r="213" customFormat="false" ht="15" hidden="false" customHeight="false" outlineLevel="0" collapsed="false">
      <c r="A213" s="23" t="n">
        <v>209</v>
      </c>
      <c r="B213" s="24" t="s">
        <v>275</v>
      </c>
      <c r="C213" s="25" t="s">
        <v>284</v>
      </c>
      <c r="D213" s="26"/>
      <c r="E213" s="25"/>
      <c r="F213" s="27" t="n">
        <v>90</v>
      </c>
      <c r="G213" s="25"/>
      <c r="H213" s="25"/>
      <c r="I213" s="25"/>
      <c r="J213" s="25"/>
      <c r="K213" s="25" t="n">
        <v>10</v>
      </c>
      <c r="L213" s="26"/>
      <c r="M213" s="25"/>
      <c r="N213" s="27"/>
      <c r="O213" s="25"/>
      <c r="P213" s="25"/>
      <c r="Q213" s="25"/>
      <c r="R213" s="25"/>
      <c r="S213" s="25"/>
      <c r="T213" s="25"/>
      <c r="U213" s="26"/>
      <c r="V213" s="25"/>
      <c r="W213" s="27"/>
      <c r="X213" s="25"/>
      <c r="Y213" s="25"/>
      <c r="Z213" s="25"/>
      <c r="AA213" s="26"/>
      <c r="AB213" s="32"/>
      <c r="AC213" s="31"/>
      <c r="AD213" s="25"/>
      <c r="AE213" s="31"/>
      <c r="AF213" s="25"/>
      <c r="AG213" s="27"/>
      <c r="AH213" s="32" t="n">
        <f aca="false">SUM(D213:AG213)</f>
        <v>100</v>
      </c>
      <c r="AK213" s="25" t="s">
        <v>79</v>
      </c>
      <c r="AL213" s="25" t="n">
        <f aca="false">AVERAGE(35.05,35.1)</f>
        <v>35.075</v>
      </c>
      <c r="AM213" s="25" t="s">
        <v>79</v>
      </c>
      <c r="AN213" s="25"/>
      <c r="AO213" s="25"/>
      <c r="AP213" s="25"/>
      <c r="AQ213" s="25"/>
      <c r="AR213" s="26"/>
      <c r="AS213" s="25"/>
    </row>
    <row r="214" customFormat="false" ht="15" hidden="false" customHeight="false" outlineLevel="0" collapsed="false">
      <c r="A214" s="23" t="n">
        <v>210</v>
      </c>
      <c r="B214" s="24" t="s">
        <v>275</v>
      </c>
      <c r="C214" s="25" t="s">
        <v>284</v>
      </c>
      <c r="D214" s="26"/>
      <c r="E214" s="25"/>
      <c r="F214" s="27" t="n">
        <v>90</v>
      </c>
      <c r="G214" s="25"/>
      <c r="H214" s="25"/>
      <c r="I214" s="25"/>
      <c r="J214" s="25"/>
      <c r="K214" s="25" t="n">
        <v>10</v>
      </c>
      <c r="L214" s="26"/>
      <c r="M214" s="25"/>
      <c r="N214" s="27"/>
      <c r="O214" s="25"/>
      <c r="P214" s="25"/>
      <c r="Q214" s="25"/>
      <c r="R214" s="25"/>
      <c r="S214" s="25"/>
      <c r="T214" s="25"/>
      <c r="U214" s="26"/>
      <c r="V214" s="25"/>
      <c r="W214" s="27"/>
      <c r="X214" s="25"/>
      <c r="Y214" s="25"/>
      <c r="Z214" s="25"/>
      <c r="AA214" s="26"/>
      <c r="AB214" s="32"/>
      <c r="AC214" s="31"/>
      <c r="AD214" s="25"/>
      <c r="AE214" s="31"/>
      <c r="AF214" s="25"/>
      <c r="AG214" s="27"/>
      <c r="AH214" s="32" t="n">
        <f aca="false">SUM(D214:AG214)</f>
        <v>100</v>
      </c>
      <c r="AK214" s="25" t="s">
        <v>79</v>
      </c>
      <c r="AL214" s="25" t="n">
        <f aca="false">AVERAGE(36.9,36.54)</f>
        <v>36.72</v>
      </c>
      <c r="AM214" s="25" t="s">
        <v>79</v>
      </c>
      <c r="AN214" s="25"/>
      <c r="AO214" s="25"/>
      <c r="AP214" s="25"/>
      <c r="AQ214" s="25"/>
      <c r="AR214" s="26"/>
      <c r="AS214" s="25"/>
    </row>
    <row r="215" customFormat="false" ht="15" hidden="false" customHeight="false" outlineLevel="0" collapsed="false">
      <c r="A215" s="43" t="n">
        <v>211</v>
      </c>
      <c r="B215" s="36" t="s">
        <v>275</v>
      </c>
      <c r="C215" s="35" t="s">
        <v>285</v>
      </c>
      <c r="D215" s="44"/>
      <c r="E215" s="35"/>
      <c r="F215" s="46" t="n">
        <v>88</v>
      </c>
      <c r="G215" s="35"/>
      <c r="H215" s="35"/>
      <c r="I215" s="35"/>
      <c r="J215" s="35"/>
      <c r="K215" s="35" t="n">
        <v>12</v>
      </c>
      <c r="L215" s="44"/>
      <c r="M215" s="25"/>
      <c r="N215" s="46"/>
      <c r="O215" s="35"/>
      <c r="P215" s="35"/>
      <c r="Q215" s="35"/>
      <c r="R215" s="35"/>
      <c r="S215" s="35"/>
      <c r="T215" s="35"/>
      <c r="U215" s="44"/>
      <c r="V215" s="25"/>
      <c r="W215" s="46"/>
      <c r="X215" s="35"/>
      <c r="Y215" s="35"/>
      <c r="Z215" s="35"/>
      <c r="AA215" s="44"/>
      <c r="AB215" s="32"/>
      <c r="AC215" s="45"/>
      <c r="AD215" s="35"/>
      <c r="AE215" s="45"/>
      <c r="AF215" s="35"/>
      <c r="AG215" s="46"/>
      <c r="AH215" s="52" t="n">
        <f aca="false">SUM(D215:AG215)</f>
        <v>100</v>
      </c>
      <c r="AK215" s="35" t="n">
        <f aca="false">AVERAGE(347.4,347.74)</f>
        <v>347.57</v>
      </c>
      <c r="AL215" s="35" t="n">
        <f aca="false">AVERAGE(35.56,35.56)</f>
        <v>35.56</v>
      </c>
      <c r="AM215" s="35" t="n">
        <v>147.144</v>
      </c>
      <c r="AN215" s="35"/>
      <c r="AO215" s="35"/>
      <c r="AP215" s="35"/>
      <c r="AQ215" s="35"/>
      <c r="AR215" s="44"/>
      <c r="AS215" s="25"/>
    </row>
    <row r="216" customFormat="false" ht="15" hidden="false" customHeight="false" outlineLevel="0" collapsed="false">
      <c r="A216" s="23" t="n">
        <v>212</v>
      </c>
      <c r="B216" s="24" t="s">
        <v>286</v>
      </c>
      <c r="C216" s="25" t="s">
        <v>287</v>
      </c>
      <c r="D216" s="25"/>
      <c r="E216" s="25"/>
      <c r="F216" s="25" t="n">
        <v>10</v>
      </c>
      <c r="G216" s="25"/>
      <c r="H216" s="25"/>
      <c r="I216" s="25"/>
      <c r="J216" s="25"/>
      <c r="K216" s="25" t="n">
        <v>38.5</v>
      </c>
      <c r="L216" s="26" t="n">
        <v>38.5</v>
      </c>
      <c r="M216" s="25"/>
      <c r="N216" s="27"/>
      <c r="O216" s="25"/>
      <c r="P216" s="25"/>
      <c r="Q216" s="25"/>
      <c r="R216" s="25"/>
      <c r="S216" s="25"/>
      <c r="T216" s="25"/>
      <c r="U216" s="26"/>
      <c r="V216" s="25"/>
      <c r="W216" s="27"/>
      <c r="X216" s="25"/>
      <c r="Y216" s="25"/>
      <c r="Z216" s="25"/>
      <c r="AA216" s="26"/>
      <c r="AB216" s="32"/>
      <c r="AC216" s="27" t="n">
        <v>5.9</v>
      </c>
      <c r="AD216" s="25" t="n">
        <v>0.9</v>
      </c>
      <c r="AE216" s="25" t="n">
        <v>0.2</v>
      </c>
      <c r="AF216" s="25" t="n">
        <v>6</v>
      </c>
      <c r="AG216" s="25"/>
      <c r="AH216" s="32" t="n">
        <f aca="false">SUM(D216:AG216)</f>
        <v>100</v>
      </c>
      <c r="AK216" s="25" t="n">
        <f aca="false">AVERAGE(83.48,83.46)</f>
        <v>83.47</v>
      </c>
      <c r="AL216" s="25" t="n">
        <f aca="false">AVERAGE(12.73,12.7)</f>
        <v>12.715</v>
      </c>
      <c r="AM216" s="25" t="n">
        <v>150.901</v>
      </c>
      <c r="AN216" s="25" t="n">
        <v>4.041</v>
      </c>
      <c r="AO216" s="25"/>
      <c r="AP216" s="25"/>
      <c r="AQ216" s="25"/>
      <c r="AR216" s="26"/>
      <c r="AS216" s="25"/>
    </row>
    <row r="217" customFormat="false" ht="15" hidden="false" customHeight="false" outlineLevel="0" collapsed="false">
      <c r="A217" s="23" t="n">
        <v>213</v>
      </c>
      <c r="B217" s="24" t="s">
        <v>286</v>
      </c>
      <c r="C217" s="25" t="s">
        <v>288</v>
      </c>
      <c r="D217" s="25"/>
      <c r="E217" s="25"/>
      <c r="F217" s="25" t="n">
        <v>10</v>
      </c>
      <c r="G217" s="25"/>
      <c r="H217" s="25"/>
      <c r="I217" s="25"/>
      <c r="J217" s="25" t="n">
        <v>30.6</v>
      </c>
      <c r="K217" s="25" t="n">
        <v>45.9</v>
      </c>
      <c r="L217" s="26"/>
      <c r="M217" s="25"/>
      <c r="N217" s="27"/>
      <c r="O217" s="25"/>
      <c r="P217" s="25"/>
      <c r="Q217" s="25"/>
      <c r="R217" s="25"/>
      <c r="S217" s="25"/>
      <c r="T217" s="25"/>
      <c r="U217" s="26"/>
      <c r="V217" s="25"/>
      <c r="W217" s="27"/>
      <c r="X217" s="25"/>
      <c r="Y217" s="25"/>
      <c r="Z217" s="25"/>
      <c r="AA217" s="26"/>
      <c r="AB217" s="32"/>
      <c r="AC217" s="27" t="n">
        <v>5.9</v>
      </c>
      <c r="AD217" s="25" t="n">
        <v>0.9</v>
      </c>
      <c r="AE217" s="25" t="n">
        <v>0.2</v>
      </c>
      <c r="AF217" s="25" t="n">
        <v>6.5</v>
      </c>
      <c r="AG217" s="25"/>
      <c r="AH217" s="32" t="n">
        <f aca="false">SUM(D217:AG217)</f>
        <v>100</v>
      </c>
      <c r="AK217" s="25" t="n">
        <f aca="false">AVERAGE(64,63.89)</f>
        <v>63.945</v>
      </c>
      <c r="AL217" s="25" t="n">
        <f aca="false">AVERAGE(10.76,10.74)</f>
        <v>10.75</v>
      </c>
      <c r="AM217" s="25" t="n">
        <v>156.225</v>
      </c>
      <c r="AN217" s="25" t="n">
        <v>3.45</v>
      </c>
      <c r="AO217" s="25"/>
      <c r="AP217" s="25"/>
      <c r="AQ217" s="25"/>
      <c r="AR217" s="26"/>
      <c r="AS217" s="25"/>
    </row>
    <row r="218" customFormat="false" ht="15" hidden="false" customHeight="false" outlineLevel="0" collapsed="false">
      <c r="A218" s="23" t="n">
        <v>214</v>
      </c>
      <c r="B218" s="24" t="s">
        <v>286</v>
      </c>
      <c r="C218" s="25" t="s">
        <v>289</v>
      </c>
      <c r="D218" s="25"/>
      <c r="E218" s="25"/>
      <c r="F218" s="25" t="n">
        <v>10</v>
      </c>
      <c r="G218" s="25"/>
      <c r="H218" s="25"/>
      <c r="I218" s="25"/>
      <c r="J218" s="25"/>
      <c r="K218" s="25" t="n">
        <v>50.55</v>
      </c>
      <c r="L218" s="26" t="n">
        <v>25</v>
      </c>
      <c r="M218" s="25"/>
      <c r="N218" s="27"/>
      <c r="O218" s="25"/>
      <c r="P218" s="25"/>
      <c r="Q218" s="25"/>
      <c r="R218" s="25"/>
      <c r="S218" s="25"/>
      <c r="T218" s="25" t="n">
        <v>6</v>
      </c>
      <c r="U218" s="26"/>
      <c r="V218" s="25"/>
      <c r="W218" s="27"/>
      <c r="X218" s="25"/>
      <c r="Y218" s="25" t="n">
        <v>7.65</v>
      </c>
      <c r="Z218" s="25"/>
      <c r="AA218" s="26" t="n">
        <v>0.6</v>
      </c>
      <c r="AB218" s="32"/>
      <c r="AC218" s="27"/>
      <c r="AD218" s="25"/>
      <c r="AE218" s="25" t="n">
        <v>0.2</v>
      </c>
      <c r="AF218" s="25"/>
      <c r="AG218" s="25"/>
      <c r="AH218" s="32" t="n">
        <f aca="false">SUM(D218:AG218)</f>
        <v>100</v>
      </c>
      <c r="AK218" s="25" t="n">
        <f aca="false">AVERAGE(75.77,75.06)</f>
        <v>75.415</v>
      </c>
      <c r="AL218" s="25" t="n">
        <f aca="false">AVERAGE(9.9,9.2)</f>
        <v>9.55</v>
      </c>
      <c r="AM218" s="25" t="n">
        <v>103.937</v>
      </c>
      <c r="AN218" s="25" t="n">
        <v>3.354</v>
      </c>
      <c r="AO218" s="25"/>
      <c r="AP218" s="25"/>
      <c r="AQ218" s="25"/>
      <c r="AR218" s="26"/>
      <c r="AS218" s="25"/>
    </row>
    <row r="219" customFormat="false" ht="15" hidden="false" customHeight="false" outlineLevel="0" collapsed="false">
      <c r="A219" s="23" t="n">
        <v>215</v>
      </c>
      <c r="B219" s="24" t="s">
        <v>286</v>
      </c>
      <c r="C219" s="25" t="s">
        <v>290</v>
      </c>
      <c r="D219" s="25"/>
      <c r="E219" s="25"/>
      <c r="F219" s="25" t="n">
        <v>10</v>
      </c>
      <c r="G219" s="25"/>
      <c r="H219" s="25"/>
      <c r="I219" s="25"/>
      <c r="J219" s="25"/>
      <c r="K219" s="25"/>
      <c r="L219" s="26" t="n">
        <v>74.05</v>
      </c>
      <c r="M219" s="25"/>
      <c r="N219" s="27"/>
      <c r="O219" s="25"/>
      <c r="P219" s="25"/>
      <c r="Q219" s="25"/>
      <c r="R219" s="25"/>
      <c r="S219" s="25" t="n">
        <v>7.5</v>
      </c>
      <c r="T219" s="25"/>
      <c r="U219" s="26"/>
      <c r="V219" s="25"/>
      <c r="W219" s="27"/>
      <c r="X219" s="25"/>
      <c r="Y219" s="25" t="n">
        <v>7.65</v>
      </c>
      <c r="Z219" s="25"/>
      <c r="AA219" s="26" t="n">
        <v>0.6</v>
      </c>
      <c r="AB219" s="32"/>
      <c r="AC219" s="27"/>
      <c r="AD219" s="25"/>
      <c r="AE219" s="25" t="n">
        <v>0.2</v>
      </c>
      <c r="AF219" s="25"/>
      <c r="AG219" s="25"/>
      <c r="AH219" s="32" t="n">
        <f aca="false">SUM(D219:AG219)</f>
        <v>100</v>
      </c>
      <c r="AK219" s="25" t="n">
        <f aca="false">AVERAGE(96.42,96.35)</f>
        <v>96.385</v>
      </c>
      <c r="AL219" s="25" t="n">
        <f aca="false">AVERAGE(14.12,14.13)</f>
        <v>14.125</v>
      </c>
      <c r="AM219" s="25" t="n">
        <v>150.204</v>
      </c>
      <c r="AN219" s="25" t="n">
        <v>4.149</v>
      </c>
      <c r="AO219" s="25"/>
      <c r="AP219" s="25"/>
      <c r="AQ219" s="25"/>
      <c r="AR219" s="26"/>
      <c r="AS219" s="25"/>
    </row>
    <row r="220" customFormat="false" ht="15" hidden="false" customHeight="false" outlineLevel="0" collapsed="false">
      <c r="A220" s="23" t="n">
        <v>216</v>
      </c>
      <c r="B220" s="24" t="s">
        <v>286</v>
      </c>
      <c r="C220" s="25" t="s">
        <v>291</v>
      </c>
      <c r="D220" s="25"/>
      <c r="E220" s="25"/>
      <c r="F220" s="25" t="n">
        <v>5</v>
      </c>
      <c r="G220" s="25"/>
      <c r="H220" s="25"/>
      <c r="I220" s="25"/>
      <c r="J220" s="25"/>
      <c r="K220" s="25" t="n">
        <v>23.3</v>
      </c>
      <c r="L220" s="26" t="n">
        <v>60</v>
      </c>
      <c r="M220" s="25"/>
      <c r="N220" s="27"/>
      <c r="O220" s="25"/>
      <c r="P220" s="25"/>
      <c r="Q220" s="25"/>
      <c r="R220" s="25"/>
      <c r="S220" s="25"/>
      <c r="T220" s="25"/>
      <c r="U220" s="26"/>
      <c r="V220" s="25"/>
      <c r="W220" s="27"/>
      <c r="X220" s="25"/>
      <c r="Y220" s="25"/>
      <c r="Z220" s="25"/>
      <c r="AA220" s="26" t="n">
        <v>0.6</v>
      </c>
      <c r="AB220" s="32"/>
      <c r="AC220" s="27" t="n">
        <v>5.9</v>
      </c>
      <c r="AD220" s="25"/>
      <c r="AE220" s="25" t="n">
        <v>0.2</v>
      </c>
      <c r="AF220" s="25" t="n">
        <v>5</v>
      </c>
      <c r="AG220" s="25"/>
      <c r="AH220" s="32" t="n">
        <f aca="false">SUM(D220:AG220)</f>
        <v>100</v>
      </c>
      <c r="AK220" s="25" t="n">
        <f aca="false">AVERAGE(75.79,75.69)</f>
        <v>75.74</v>
      </c>
      <c r="AL220" s="25" t="n">
        <f aca="false">AVERAGE(11.52,11.53)</f>
        <v>11.525</v>
      </c>
      <c r="AM220" s="25" t="n">
        <v>144.965</v>
      </c>
      <c r="AN220" s="25" t="n">
        <v>3.732</v>
      </c>
      <c r="AO220" s="25"/>
      <c r="AP220" s="25"/>
      <c r="AQ220" s="25"/>
      <c r="AR220" s="26"/>
      <c r="AS220" s="25"/>
    </row>
    <row r="221" customFormat="false" ht="15" hidden="false" customHeight="false" outlineLevel="0" collapsed="false">
      <c r="A221" s="23" t="n">
        <v>217</v>
      </c>
      <c r="B221" s="24" t="s">
        <v>286</v>
      </c>
      <c r="C221" s="25" t="s">
        <v>292</v>
      </c>
      <c r="D221" s="25"/>
      <c r="E221" s="25"/>
      <c r="F221" s="25" t="n">
        <v>5</v>
      </c>
      <c r="G221" s="25"/>
      <c r="H221" s="25"/>
      <c r="I221" s="25"/>
      <c r="J221" s="25"/>
      <c r="K221" s="25"/>
      <c r="L221" s="26" t="n">
        <v>80.8</v>
      </c>
      <c r="M221" s="25"/>
      <c r="N221" s="27"/>
      <c r="O221" s="25"/>
      <c r="P221" s="25"/>
      <c r="Q221" s="25"/>
      <c r="R221" s="25"/>
      <c r="S221" s="25"/>
      <c r="T221" s="25"/>
      <c r="U221" s="26"/>
      <c r="V221" s="25"/>
      <c r="W221" s="27"/>
      <c r="X221" s="25"/>
      <c r="Y221" s="25"/>
      <c r="Z221" s="25"/>
      <c r="AA221" s="26" t="n">
        <v>0.6</v>
      </c>
      <c r="AB221" s="32"/>
      <c r="AC221" s="27" t="n">
        <v>5.9</v>
      </c>
      <c r="AD221" s="25"/>
      <c r="AE221" s="25" t="n">
        <v>0.2</v>
      </c>
      <c r="AF221" s="25" t="n">
        <v>7.5</v>
      </c>
      <c r="AG221" s="25"/>
      <c r="AH221" s="32" t="n">
        <f aca="false">SUM(D221:AG221)</f>
        <v>100</v>
      </c>
      <c r="AK221" s="25" t="n">
        <f aca="false">AVERAGE(98.29,98.18)</f>
        <v>98.235</v>
      </c>
      <c r="AL221" s="25" t="n">
        <f aca="false">AVERAGE(14.39,14.39)</f>
        <v>14.39</v>
      </c>
      <c r="AM221" s="25" t="n">
        <v>151.06</v>
      </c>
      <c r="AN221" s="25" t="n">
        <v>4.152</v>
      </c>
      <c r="AO221" s="25"/>
      <c r="AP221" s="25"/>
      <c r="AQ221" s="25"/>
      <c r="AR221" s="26"/>
      <c r="AS221" s="25"/>
    </row>
    <row r="222" customFormat="false" ht="15" hidden="false" customHeight="false" outlineLevel="0" collapsed="false">
      <c r="A222" s="23" t="n">
        <v>218</v>
      </c>
      <c r="B222" s="24" t="s">
        <v>286</v>
      </c>
      <c r="C222" s="25" t="s">
        <v>293</v>
      </c>
      <c r="D222" s="25"/>
      <c r="E222" s="25"/>
      <c r="F222" s="25" t="n">
        <v>5</v>
      </c>
      <c r="G222" s="25"/>
      <c r="H222" s="25"/>
      <c r="I222" s="25"/>
      <c r="J222" s="25"/>
      <c r="K222" s="25"/>
      <c r="L222" s="26" t="n">
        <v>81.4</v>
      </c>
      <c r="M222" s="25"/>
      <c r="N222" s="27"/>
      <c r="O222" s="25"/>
      <c r="P222" s="25"/>
      <c r="Q222" s="25"/>
      <c r="R222" s="25"/>
      <c r="S222" s="25"/>
      <c r="T222" s="25"/>
      <c r="U222" s="26"/>
      <c r="V222" s="25"/>
      <c r="W222" s="27"/>
      <c r="X222" s="25"/>
      <c r="Y222" s="25"/>
      <c r="Z222" s="25"/>
      <c r="AA222" s="26"/>
      <c r="AB222" s="32"/>
      <c r="AC222" s="27" t="n">
        <v>5.9</v>
      </c>
      <c r="AD222" s="25"/>
      <c r="AE222" s="25" t="n">
        <v>0.2</v>
      </c>
      <c r="AF222" s="25" t="n">
        <v>7.5</v>
      </c>
      <c r="AG222" s="25"/>
      <c r="AH222" s="32" t="n">
        <f aca="false">SUM(D222:AG222)</f>
        <v>100</v>
      </c>
      <c r="AK222" s="25" t="n">
        <f aca="false">AVERAGE(94.51,94.3)</f>
        <v>94.405</v>
      </c>
      <c r="AL222" s="25" t="n">
        <f aca="false">AVERAGE(14.3,14.3)</f>
        <v>14.3</v>
      </c>
      <c r="AM222" s="25" t="n">
        <v>156.359</v>
      </c>
      <c r="AN222" s="25" t="n">
        <v>4.148</v>
      </c>
      <c r="AO222" s="25"/>
      <c r="AP222" s="25"/>
      <c r="AQ222" s="25"/>
      <c r="AR222" s="26"/>
      <c r="AS222" s="25"/>
    </row>
    <row r="223" customFormat="false" ht="15" hidden="false" customHeight="false" outlineLevel="0" collapsed="false">
      <c r="A223" s="23" t="n">
        <v>219</v>
      </c>
      <c r="B223" s="24" t="s">
        <v>286</v>
      </c>
      <c r="C223" s="25" t="s">
        <v>294</v>
      </c>
      <c r="D223" s="25"/>
      <c r="E223" s="25"/>
      <c r="F223" s="25" t="n">
        <v>90</v>
      </c>
      <c r="G223" s="25"/>
      <c r="H223" s="25"/>
      <c r="I223" s="25"/>
      <c r="J223" s="25"/>
      <c r="K223" s="25" t="n">
        <v>5</v>
      </c>
      <c r="L223" s="26"/>
      <c r="M223" s="25"/>
      <c r="N223" s="27"/>
      <c r="O223" s="25" t="n">
        <v>5</v>
      </c>
      <c r="P223" s="25"/>
      <c r="Q223" s="25"/>
      <c r="R223" s="25"/>
      <c r="S223" s="25"/>
      <c r="T223" s="25"/>
      <c r="U223" s="26"/>
      <c r="V223" s="25"/>
      <c r="W223" s="27"/>
      <c r="X223" s="25"/>
      <c r="Y223" s="25"/>
      <c r="Z223" s="25"/>
      <c r="AA223" s="26"/>
      <c r="AB223" s="32"/>
      <c r="AC223" s="27"/>
      <c r="AD223" s="25"/>
      <c r="AE223" s="25"/>
      <c r="AF223" s="25"/>
      <c r="AG223" s="25"/>
      <c r="AH223" s="32" t="n">
        <f aca="false">SUM(D223:AG223)</f>
        <v>100</v>
      </c>
      <c r="AK223" s="25" t="n">
        <v>368.31</v>
      </c>
      <c r="AL223" s="25" t="n">
        <f aca="false">AVERAGE(36.87,37)</f>
        <v>36.935</v>
      </c>
      <c r="AM223" s="25" t="n">
        <v>146.528</v>
      </c>
      <c r="AN223" s="25"/>
      <c r="AO223" s="25"/>
      <c r="AP223" s="25"/>
      <c r="AQ223" s="25"/>
      <c r="AR223" s="26"/>
      <c r="AS223" s="25"/>
    </row>
    <row r="224" customFormat="false" ht="15" hidden="false" customHeight="false" outlineLevel="0" collapsed="false">
      <c r="A224" s="23" t="n">
        <v>220</v>
      </c>
      <c r="B224" s="24" t="s">
        <v>286</v>
      </c>
      <c r="C224" s="25" t="s">
        <v>295</v>
      </c>
      <c r="D224" s="25"/>
      <c r="E224" s="25"/>
      <c r="F224" s="25" t="n">
        <v>87.5</v>
      </c>
      <c r="G224" s="25"/>
      <c r="H224" s="25"/>
      <c r="I224" s="25"/>
      <c r="J224" s="25"/>
      <c r="K224" s="25" t="n">
        <v>6.25</v>
      </c>
      <c r="L224" s="26"/>
      <c r="M224" s="25"/>
      <c r="N224" s="27"/>
      <c r="O224" s="25" t="n">
        <v>6.25</v>
      </c>
      <c r="P224" s="25"/>
      <c r="Q224" s="25"/>
      <c r="R224" s="25"/>
      <c r="S224" s="25"/>
      <c r="T224" s="25"/>
      <c r="U224" s="26"/>
      <c r="V224" s="25"/>
      <c r="W224" s="27"/>
      <c r="X224" s="25"/>
      <c r="Y224" s="25"/>
      <c r="Z224" s="25"/>
      <c r="AA224" s="26"/>
      <c r="AB224" s="32"/>
      <c r="AC224" s="27"/>
      <c r="AD224" s="25"/>
      <c r="AE224" s="25"/>
      <c r="AF224" s="25"/>
      <c r="AG224" s="25"/>
      <c r="AH224" s="32" t="n">
        <f aca="false">SUM(D224:AG224)</f>
        <v>100</v>
      </c>
      <c r="AK224" s="25" t="n">
        <v>321.26</v>
      </c>
      <c r="AL224" s="25" t="s">
        <v>79</v>
      </c>
      <c r="AM224" s="25" t="s">
        <v>79</v>
      </c>
      <c r="AN224" s="25"/>
      <c r="AO224" s="25"/>
      <c r="AP224" s="25"/>
      <c r="AQ224" s="25"/>
      <c r="AR224" s="26"/>
      <c r="AS224" s="25"/>
    </row>
    <row r="225" customFormat="false" ht="15" hidden="false" customHeight="false" outlineLevel="0" collapsed="false">
      <c r="A225" s="23" t="n">
        <v>221</v>
      </c>
      <c r="B225" s="24" t="s">
        <v>286</v>
      </c>
      <c r="C225" s="25" t="s">
        <v>296</v>
      </c>
      <c r="D225" s="25"/>
      <c r="E225" s="25"/>
      <c r="F225" s="25" t="n">
        <v>85</v>
      </c>
      <c r="G225" s="25"/>
      <c r="H225" s="25"/>
      <c r="I225" s="25"/>
      <c r="J225" s="25"/>
      <c r="K225" s="25" t="n">
        <v>7.5</v>
      </c>
      <c r="L225" s="26"/>
      <c r="M225" s="25"/>
      <c r="N225" s="27"/>
      <c r="O225" s="25" t="n">
        <v>7.5</v>
      </c>
      <c r="P225" s="25"/>
      <c r="Q225" s="25"/>
      <c r="R225" s="25"/>
      <c r="S225" s="25"/>
      <c r="T225" s="25"/>
      <c r="U225" s="26"/>
      <c r="V225" s="25"/>
      <c r="W225" s="27"/>
      <c r="X225" s="25"/>
      <c r="Y225" s="25"/>
      <c r="Z225" s="25"/>
      <c r="AA225" s="26"/>
      <c r="AB225" s="32"/>
      <c r="AC225" s="27"/>
      <c r="AD225" s="25"/>
      <c r="AE225" s="25"/>
      <c r="AF225" s="25"/>
      <c r="AG225" s="25"/>
      <c r="AH225" s="32" t="n">
        <f aca="false">SUM(D225:AG225)</f>
        <v>100</v>
      </c>
      <c r="AK225" s="25" t="n">
        <v>281.29</v>
      </c>
      <c r="AL225" s="25" t="s">
        <v>79</v>
      </c>
      <c r="AM225" s="25" t="s">
        <v>79</v>
      </c>
      <c r="AN225" s="25"/>
      <c r="AO225" s="25"/>
      <c r="AP225" s="25"/>
      <c r="AQ225" s="25"/>
      <c r="AR225" s="26"/>
      <c r="AS225" s="25"/>
    </row>
    <row r="226" customFormat="false" ht="15" hidden="false" customHeight="false" outlineLevel="0" collapsed="false">
      <c r="A226" s="23" t="n">
        <v>222</v>
      </c>
      <c r="B226" s="24" t="s">
        <v>286</v>
      </c>
      <c r="C226" s="25" t="s">
        <v>297</v>
      </c>
      <c r="D226" s="25"/>
      <c r="E226" s="25"/>
      <c r="F226" s="25"/>
      <c r="G226" s="25"/>
      <c r="H226" s="25"/>
      <c r="I226" s="25"/>
      <c r="J226" s="25" t="n">
        <v>40</v>
      </c>
      <c r="K226" s="25" t="n">
        <v>35.22</v>
      </c>
      <c r="L226" s="26"/>
      <c r="M226" s="25"/>
      <c r="N226" s="27"/>
      <c r="O226" s="25" t="n">
        <v>10</v>
      </c>
      <c r="P226" s="25"/>
      <c r="Q226" s="25"/>
      <c r="R226" s="25"/>
      <c r="S226" s="25" t="n">
        <v>6.5</v>
      </c>
      <c r="T226" s="25"/>
      <c r="U226" s="26"/>
      <c r="V226" s="25"/>
      <c r="W226" s="27"/>
      <c r="X226" s="25"/>
      <c r="Y226" s="25"/>
      <c r="Z226" s="25"/>
      <c r="AA226" s="26"/>
      <c r="AB226" s="32"/>
      <c r="AC226" s="27"/>
      <c r="AD226" s="25"/>
      <c r="AE226" s="25"/>
      <c r="AF226" s="25"/>
      <c r="AG226" s="25" t="n">
        <v>8.28</v>
      </c>
      <c r="AH226" s="32" t="n">
        <f aca="false">SUM(D226:AG226)</f>
        <v>100</v>
      </c>
      <c r="AK226" s="25" t="n">
        <f aca="false">AVERAGE(46.46,46.46)</f>
        <v>46.46</v>
      </c>
      <c r="AL226" s="25" t="n">
        <f aca="false">AVERAGE(9.08,9.1)</f>
        <v>9.09</v>
      </c>
      <c r="AM226" s="25" t="n">
        <v>192.779</v>
      </c>
      <c r="AN226" s="25"/>
      <c r="AO226" s="25"/>
      <c r="AP226" s="25"/>
      <c r="AQ226" s="25"/>
      <c r="AR226" s="26"/>
      <c r="AS226" s="25"/>
    </row>
    <row r="227" customFormat="false" ht="15" hidden="false" customHeight="false" outlineLevel="0" collapsed="false">
      <c r="A227" s="23" t="n">
        <v>223</v>
      </c>
      <c r="B227" s="24" t="s">
        <v>286</v>
      </c>
      <c r="C227" s="25" t="s">
        <v>298</v>
      </c>
      <c r="D227" s="25"/>
      <c r="E227" s="25"/>
      <c r="F227" s="25"/>
      <c r="G227" s="25"/>
      <c r="H227" s="25"/>
      <c r="I227" s="25"/>
      <c r="J227" s="25" t="n">
        <v>36.22</v>
      </c>
      <c r="K227" s="25" t="n">
        <v>40</v>
      </c>
      <c r="L227" s="26"/>
      <c r="M227" s="25"/>
      <c r="N227" s="27"/>
      <c r="O227" s="25" t="n">
        <v>10</v>
      </c>
      <c r="P227" s="25"/>
      <c r="Q227" s="25"/>
      <c r="R227" s="25"/>
      <c r="S227" s="25" t="n">
        <v>5.5</v>
      </c>
      <c r="T227" s="25"/>
      <c r="U227" s="26"/>
      <c r="V227" s="25"/>
      <c r="W227" s="27"/>
      <c r="X227" s="25"/>
      <c r="Y227" s="25"/>
      <c r="Z227" s="25"/>
      <c r="AA227" s="26"/>
      <c r="AB227" s="32"/>
      <c r="AC227" s="27"/>
      <c r="AD227" s="25"/>
      <c r="AE227" s="25"/>
      <c r="AF227" s="25"/>
      <c r="AG227" s="25" t="n">
        <v>8.28</v>
      </c>
      <c r="AH227" s="32" t="n">
        <f aca="false">SUM(D227:AG227)</f>
        <v>100</v>
      </c>
      <c r="AK227" s="25" t="n">
        <f aca="false">AVERAGE(44.39,44.42)</f>
        <v>44.405</v>
      </c>
      <c r="AL227" s="25" t="n">
        <f aca="false">AVERAGE(8.67,8.66)</f>
        <v>8.665</v>
      </c>
      <c r="AM227" s="25" t="n">
        <v>177.814</v>
      </c>
      <c r="AN227" s="25"/>
      <c r="AO227" s="25"/>
      <c r="AP227" s="25"/>
      <c r="AQ227" s="25"/>
      <c r="AR227" s="26"/>
      <c r="AS227" s="25"/>
    </row>
    <row r="228" customFormat="false" ht="15" hidden="false" customHeight="false" outlineLevel="0" collapsed="false">
      <c r="A228" s="23" t="n">
        <v>224</v>
      </c>
      <c r="B228" s="24" t="s">
        <v>286</v>
      </c>
      <c r="C228" s="25" t="s">
        <v>299</v>
      </c>
      <c r="D228" s="25"/>
      <c r="E228" s="25" t="n">
        <v>7</v>
      </c>
      <c r="F228" s="25"/>
      <c r="G228" s="25" t="n">
        <v>3</v>
      </c>
      <c r="H228" s="25"/>
      <c r="I228" s="25"/>
      <c r="J228" s="25"/>
      <c r="K228" s="25" t="n">
        <v>50.55</v>
      </c>
      <c r="L228" s="26" t="n">
        <v>25</v>
      </c>
      <c r="M228" s="25"/>
      <c r="N228" s="27"/>
      <c r="O228" s="25"/>
      <c r="P228" s="25"/>
      <c r="Q228" s="25"/>
      <c r="R228" s="25"/>
      <c r="S228" s="25"/>
      <c r="T228" s="25" t="n">
        <v>6</v>
      </c>
      <c r="U228" s="26"/>
      <c r="V228" s="25"/>
      <c r="W228" s="27"/>
      <c r="X228" s="25"/>
      <c r="Y228" s="25" t="n">
        <v>7.65</v>
      </c>
      <c r="Z228" s="25"/>
      <c r="AA228" s="26" t="n">
        <v>0.6</v>
      </c>
      <c r="AB228" s="32"/>
      <c r="AC228" s="27"/>
      <c r="AD228" s="25"/>
      <c r="AE228" s="25" t="n">
        <v>0.2</v>
      </c>
      <c r="AF228" s="25"/>
      <c r="AG228" s="25"/>
      <c r="AH228" s="32" t="n">
        <f aca="false">SUM(D228:AG228)</f>
        <v>100</v>
      </c>
      <c r="AK228" s="25" t="n">
        <f aca="false">AVERAGE(58.75,58.52)</f>
        <v>58.635</v>
      </c>
      <c r="AL228" s="25" t="n">
        <f aca="false">AVERAGE(9.43,9.47)</f>
        <v>9.45</v>
      </c>
      <c r="AM228" s="25" t="n">
        <v>143.396</v>
      </c>
      <c r="AN228" s="25" t="n">
        <v>3.156</v>
      </c>
      <c r="AO228" s="25"/>
      <c r="AP228" s="25"/>
      <c r="AQ228" s="25"/>
      <c r="AR228" s="26"/>
      <c r="AS228" s="25"/>
    </row>
    <row r="229" customFormat="false" ht="15" hidden="false" customHeight="false" outlineLevel="0" collapsed="false">
      <c r="A229" s="23" t="n">
        <v>225</v>
      </c>
      <c r="B229" s="24" t="s">
        <v>286</v>
      </c>
      <c r="C229" s="25" t="s">
        <v>300</v>
      </c>
      <c r="D229" s="25"/>
      <c r="E229" s="25" t="n">
        <v>10</v>
      </c>
      <c r="F229" s="25"/>
      <c r="G229" s="25"/>
      <c r="H229" s="25"/>
      <c r="I229" s="25"/>
      <c r="J229" s="25"/>
      <c r="K229" s="25" t="n">
        <v>24.55</v>
      </c>
      <c r="L229" s="26" t="n">
        <v>50</v>
      </c>
      <c r="M229" s="25"/>
      <c r="N229" s="27"/>
      <c r="O229" s="25"/>
      <c r="P229" s="25"/>
      <c r="Q229" s="25"/>
      <c r="R229" s="25"/>
      <c r="S229" s="25" t="n">
        <v>7</v>
      </c>
      <c r="T229" s="25"/>
      <c r="U229" s="26"/>
      <c r="V229" s="25"/>
      <c r="W229" s="27"/>
      <c r="X229" s="25"/>
      <c r="Y229" s="25" t="n">
        <v>7.65</v>
      </c>
      <c r="Z229" s="25"/>
      <c r="AA229" s="26" t="n">
        <v>0.6</v>
      </c>
      <c r="AB229" s="32"/>
      <c r="AC229" s="27"/>
      <c r="AD229" s="25"/>
      <c r="AE229" s="25" t="n">
        <v>0.2</v>
      </c>
      <c r="AF229" s="25"/>
      <c r="AG229" s="25"/>
      <c r="AH229" s="32" t="n">
        <f aca="false">SUM(D229:AG229)</f>
        <v>100</v>
      </c>
      <c r="AK229" s="25" t="n">
        <f aca="false">AVERAGE(81.87,81.77)</f>
        <v>81.82</v>
      </c>
      <c r="AL229" s="25" t="n">
        <f aca="false">AVERAGE(13.23,13.26)</f>
        <v>13.245</v>
      </c>
      <c r="AM229" s="25" t="n">
        <v>163.937</v>
      </c>
      <c r="AN229" s="25" t="n">
        <v>4.005</v>
      </c>
      <c r="AO229" s="25"/>
      <c r="AP229" s="25"/>
      <c r="AQ229" s="25"/>
      <c r="AR229" s="26"/>
      <c r="AS229" s="25"/>
    </row>
    <row r="230" customFormat="false" ht="15" hidden="false" customHeight="false" outlineLevel="0" collapsed="false">
      <c r="A230" s="23" t="n">
        <v>226</v>
      </c>
      <c r="B230" s="24" t="s">
        <v>286</v>
      </c>
      <c r="C230" s="25" t="s">
        <v>301</v>
      </c>
      <c r="D230" s="25"/>
      <c r="E230" s="25"/>
      <c r="F230" s="25" t="n">
        <v>5</v>
      </c>
      <c r="G230" s="25"/>
      <c r="H230" s="25"/>
      <c r="I230" s="25"/>
      <c r="J230" s="25"/>
      <c r="K230" s="25"/>
      <c r="L230" s="26" t="n">
        <v>82.8</v>
      </c>
      <c r="M230" s="25"/>
      <c r="N230" s="27"/>
      <c r="O230" s="25"/>
      <c r="P230" s="25"/>
      <c r="Q230" s="25"/>
      <c r="R230" s="25"/>
      <c r="S230" s="25"/>
      <c r="T230" s="25"/>
      <c r="U230" s="26"/>
      <c r="V230" s="25"/>
      <c r="W230" s="27"/>
      <c r="X230" s="25"/>
      <c r="Y230" s="25"/>
      <c r="Z230" s="25"/>
      <c r="AA230" s="26" t="n">
        <v>0.6</v>
      </c>
      <c r="AB230" s="32"/>
      <c r="AC230" s="27" t="n">
        <v>5.9</v>
      </c>
      <c r="AD230" s="25"/>
      <c r="AE230" s="25" t="n">
        <v>0.2</v>
      </c>
      <c r="AF230" s="25" t="n">
        <v>5.5</v>
      </c>
      <c r="AG230" s="25"/>
      <c r="AH230" s="32" t="n">
        <f aca="false">SUM(D230:AG230)</f>
        <v>100</v>
      </c>
      <c r="AK230" s="25" t="n">
        <v>83.89</v>
      </c>
      <c r="AL230" s="25" t="n">
        <f aca="false">AVERAGE(12.5,12.54)</f>
        <v>12.52</v>
      </c>
      <c r="AM230" s="25" t="n">
        <v>146.504</v>
      </c>
      <c r="AN230" s="25"/>
      <c r="AO230" s="25"/>
      <c r="AP230" s="25"/>
      <c r="AQ230" s="25"/>
      <c r="AR230" s="26"/>
      <c r="AS230" s="25"/>
    </row>
    <row r="231" customFormat="false" ht="15" hidden="false" customHeight="false" outlineLevel="0" collapsed="false">
      <c r="A231" s="23" t="n">
        <v>227</v>
      </c>
      <c r="B231" s="24" t="s">
        <v>286</v>
      </c>
      <c r="C231" s="25" t="s">
        <v>302</v>
      </c>
      <c r="D231" s="25"/>
      <c r="E231" s="25"/>
      <c r="F231" s="25" t="n">
        <v>5</v>
      </c>
      <c r="G231" s="25"/>
      <c r="H231" s="25"/>
      <c r="I231" s="25"/>
      <c r="J231" s="25"/>
      <c r="K231" s="25"/>
      <c r="L231" s="26" t="n">
        <v>80.3</v>
      </c>
      <c r="M231" s="25"/>
      <c r="N231" s="27"/>
      <c r="O231" s="25"/>
      <c r="P231" s="25"/>
      <c r="Q231" s="25"/>
      <c r="R231" s="25"/>
      <c r="S231" s="25"/>
      <c r="T231" s="25"/>
      <c r="U231" s="26"/>
      <c r="V231" s="25"/>
      <c r="W231" s="27"/>
      <c r="X231" s="25"/>
      <c r="Y231" s="25"/>
      <c r="Z231" s="25"/>
      <c r="AA231" s="26" t="n">
        <v>0.6</v>
      </c>
      <c r="AB231" s="32"/>
      <c r="AC231" s="27" t="n">
        <v>5.9</v>
      </c>
      <c r="AD231" s="25"/>
      <c r="AE231" s="25" t="n">
        <v>0.2</v>
      </c>
      <c r="AF231" s="25" t="n">
        <v>8</v>
      </c>
      <c r="AG231" s="25"/>
      <c r="AH231" s="32" t="n">
        <f aca="false">SUM(D231:AG231)</f>
        <v>100</v>
      </c>
      <c r="AK231" s="25" t="n">
        <v>97.98</v>
      </c>
      <c r="AL231" s="25" t="n">
        <f aca="false">AVERAGE(14.97,15)</f>
        <v>14.985</v>
      </c>
      <c r="AM231" s="25" t="n">
        <v>160.457</v>
      </c>
      <c r="AN231" s="25"/>
      <c r="AO231" s="25"/>
      <c r="AP231" s="25"/>
      <c r="AQ231" s="25"/>
      <c r="AR231" s="26"/>
      <c r="AS231" s="25"/>
    </row>
    <row r="232" customFormat="false" ht="15" hidden="false" customHeight="false" outlineLevel="0" collapsed="false">
      <c r="A232" s="23" t="n">
        <v>228</v>
      </c>
      <c r="B232" s="24" t="s">
        <v>286</v>
      </c>
      <c r="C232" s="25" t="s">
        <v>303</v>
      </c>
      <c r="D232" s="25"/>
      <c r="E232" s="25"/>
      <c r="F232" s="25" t="n">
        <v>5</v>
      </c>
      <c r="G232" s="25"/>
      <c r="H232" s="25"/>
      <c r="I232" s="25"/>
      <c r="J232" s="25"/>
      <c r="K232" s="25"/>
      <c r="L232" s="26" t="n">
        <v>80.9</v>
      </c>
      <c r="M232" s="25"/>
      <c r="N232" s="27"/>
      <c r="O232" s="25"/>
      <c r="P232" s="25"/>
      <c r="Q232" s="25"/>
      <c r="R232" s="25"/>
      <c r="S232" s="25"/>
      <c r="T232" s="25"/>
      <c r="U232" s="26"/>
      <c r="V232" s="25"/>
      <c r="W232" s="27"/>
      <c r="X232" s="25"/>
      <c r="Y232" s="25"/>
      <c r="Z232" s="25"/>
      <c r="AA232" s="26"/>
      <c r="AB232" s="32"/>
      <c r="AC232" s="27" t="n">
        <v>5.9</v>
      </c>
      <c r="AD232" s="25"/>
      <c r="AE232" s="25" t="n">
        <v>0.2</v>
      </c>
      <c r="AF232" s="25" t="n">
        <v>8</v>
      </c>
      <c r="AG232" s="25"/>
      <c r="AH232" s="32" t="n">
        <f aca="false">SUM(D232:AG232)</f>
        <v>100</v>
      </c>
      <c r="AK232" s="25" t="n">
        <v>95.72</v>
      </c>
      <c r="AL232" s="25" t="n">
        <f aca="false">AVERAGE(14.68,14.71)</f>
        <v>14.695</v>
      </c>
      <c r="AM232" s="25" t="n">
        <v>160.041</v>
      </c>
      <c r="AN232" s="25"/>
      <c r="AO232" s="25"/>
      <c r="AP232" s="25"/>
      <c r="AQ232" s="25"/>
      <c r="AR232" s="26"/>
      <c r="AS232" s="25"/>
    </row>
    <row r="233" customFormat="false" ht="15" hidden="false" customHeight="false" outlineLevel="0" collapsed="false">
      <c r="A233" s="23" t="n">
        <v>229</v>
      </c>
      <c r="B233" s="24" t="s">
        <v>286</v>
      </c>
      <c r="C233" s="25" t="s">
        <v>304</v>
      </c>
      <c r="D233" s="25"/>
      <c r="E233" s="25"/>
      <c r="F233" s="25" t="n">
        <v>10</v>
      </c>
      <c r="G233" s="25"/>
      <c r="H233" s="25"/>
      <c r="I233" s="25"/>
      <c r="J233" s="25" t="n">
        <v>35</v>
      </c>
      <c r="K233" s="25"/>
      <c r="L233" s="26" t="n">
        <v>41.5</v>
      </c>
      <c r="M233" s="25"/>
      <c r="N233" s="27"/>
      <c r="O233" s="25"/>
      <c r="P233" s="25"/>
      <c r="Q233" s="25"/>
      <c r="R233" s="25"/>
      <c r="S233" s="25"/>
      <c r="T233" s="25"/>
      <c r="U233" s="26"/>
      <c r="V233" s="25"/>
      <c r="W233" s="27"/>
      <c r="X233" s="25"/>
      <c r="Y233" s="25"/>
      <c r="Z233" s="25"/>
      <c r="AA233" s="26"/>
      <c r="AB233" s="32"/>
      <c r="AC233" s="27" t="n">
        <v>5.9</v>
      </c>
      <c r="AD233" s="25" t="n">
        <v>0.9</v>
      </c>
      <c r="AE233" s="25" t="n">
        <v>0.2</v>
      </c>
      <c r="AF233" s="25" t="n">
        <v>6.5</v>
      </c>
      <c r="AG233" s="25"/>
      <c r="AH233" s="32" t="n">
        <f aca="false">SUM(D233:AG233)</f>
        <v>100</v>
      </c>
      <c r="AK233" s="25" t="n">
        <f aca="false">AVERAGE(72.97,72.56)</f>
        <v>72.765</v>
      </c>
      <c r="AL233" s="25" t="n">
        <f aca="false">AVERAGE(11.64,11.66)</f>
        <v>11.65</v>
      </c>
      <c r="AM233" s="25" t="n">
        <v>154.675</v>
      </c>
      <c r="AN233" s="25"/>
      <c r="AO233" s="25"/>
      <c r="AP233" s="25"/>
      <c r="AQ233" s="25"/>
      <c r="AR233" s="26"/>
      <c r="AS233" s="25"/>
    </row>
    <row r="234" customFormat="false" ht="15" hidden="false" customHeight="false" outlineLevel="0" collapsed="false">
      <c r="A234" s="23" t="n">
        <v>230</v>
      </c>
      <c r="B234" s="24" t="s">
        <v>305</v>
      </c>
      <c r="C234" s="25" t="s">
        <v>306</v>
      </c>
      <c r="D234" s="25"/>
      <c r="E234" s="25" t="n">
        <v>880</v>
      </c>
      <c r="F234" s="25"/>
      <c r="G234" s="25"/>
      <c r="H234" s="25"/>
      <c r="I234" s="25"/>
      <c r="J234" s="25"/>
      <c r="K234" s="25" t="n">
        <v>120</v>
      </c>
      <c r="L234" s="26"/>
      <c r="M234" s="25"/>
      <c r="N234" s="27"/>
      <c r="O234" s="25"/>
      <c r="P234" s="25"/>
      <c r="Q234" s="25"/>
      <c r="R234" s="25"/>
      <c r="S234" s="25"/>
      <c r="T234" s="25"/>
      <c r="U234" s="26"/>
      <c r="V234" s="25"/>
      <c r="W234" s="27"/>
      <c r="X234" s="25"/>
      <c r="Y234" s="25"/>
      <c r="Z234" s="25"/>
      <c r="AA234" s="26"/>
      <c r="AB234" s="32"/>
      <c r="AC234" s="27"/>
      <c r="AD234" s="25"/>
      <c r="AE234" s="25"/>
      <c r="AF234" s="25"/>
      <c r="AG234" s="25"/>
      <c r="AH234" s="32" t="n">
        <f aca="false">SUM(D234:AG234)</f>
        <v>1000</v>
      </c>
      <c r="AK234" s="25" t="n">
        <f aca="false">AVERAGE(334,334)</f>
        <v>334</v>
      </c>
      <c r="AL234" s="25" t="n">
        <f aca="false">AVERAGE(33.7,33.66)</f>
        <v>33.68</v>
      </c>
      <c r="AM234" s="25" t="n">
        <v>142.818</v>
      </c>
      <c r="AN234" s="25"/>
      <c r="AO234" s="25"/>
      <c r="AP234" s="25"/>
      <c r="AQ234" s="25"/>
      <c r="AR234" s="26"/>
      <c r="AS234" s="25"/>
    </row>
    <row r="235" customFormat="false" ht="15" hidden="false" customHeight="false" outlineLevel="0" collapsed="false">
      <c r="A235" s="23" t="n">
        <v>231</v>
      </c>
      <c r="B235" s="24" t="s">
        <v>305</v>
      </c>
      <c r="C235" s="25" t="s">
        <v>307</v>
      </c>
      <c r="D235" s="25"/>
      <c r="E235" s="25"/>
      <c r="F235" s="25" t="n">
        <v>89</v>
      </c>
      <c r="G235" s="25"/>
      <c r="H235" s="25"/>
      <c r="I235" s="25"/>
      <c r="J235" s="25"/>
      <c r="K235" s="25" t="n">
        <v>5.5</v>
      </c>
      <c r="L235" s="26"/>
      <c r="M235" s="25"/>
      <c r="N235" s="27"/>
      <c r="O235" s="25" t="n">
        <v>5.5</v>
      </c>
      <c r="P235" s="25"/>
      <c r="Q235" s="25"/>
      <c r="R235" s="25"/>
      <c r="S235" s="25"/>
      <c r="T235" s="25"/>
      <c r="U235" s="26"/>
      <c r="V235" s="25"/>
      <c r="W235" s="27"/>
      <c r="X235" s="25"/>
      <c r="Y235" s="25"/>
      <c r="Z235" s="25"/>
      <c r="AA235" s="26"/>
      <c r="AB235" s="32"/>
      <c r="AC235" s="27"/>
      <c r="AD235" s="25"/>
      <c r="AE235" s="25"/>
      <c r="AF235" s="25"/>
      <c r="AG235" s="25"/>
      <c r="AH235" s="32" t="n">
        <f aca="false">SUM(D235:AG235)</f>
        <v>100</v>
      </c>
      <c r="AK235" s="25" t="n">
        <f aca="false">AVERAGE(363.44,363.43)</f>
        <v>363.435</v>
      </c>
      <c r="AL235" s="25" t="n">
        <f aca="false">AVERAGE(35.08,35.1)</f>
        <v>35.09</v>
      </c>
      <c r="AM235" s="25" t="n">
        <v>139.673</v>
      </c>
      <c r="AN235" s="25"/>
      <c r="AO235" s="25"/>
      <c r="AP235" s="25"/>
      <c r="AQ235" s="25"/>
      <c r="AR235" s="26"/>
      <c r="AS235" s="25"/>
    </row>
    <row r="236" customFormat="false" ht="15" hidden="false" customHeight="false" outlineLevel="0" collapsed="false">
      <c r="A236" s="23" t="n">
        <v>232</v>
      </c>
      <c r="B236" s="24" t="s">
        <v>305</v>
      </c>
      <c r="C236" s="25" t="s">
        <v>308</v>
      </c>
      <c r="D236" s="25"/>
      <c r="E236" s="25"/>
      <c r="F236" s="25" t="n">
        <v>10</v>
      </c>
      <c r="G236" s="25"/>
      <c r="H236" s="25"/>
      <c r="I236" s="25"/>
      <c r="J236" s="25" t="n">
        <v>35.5</v>
      </c>
      <c r="K236" s="25"/>
      <c r="L236" s="26" t="n">
        <v>41.5</v>
      </c>
      <c r="M236" s="25"/>
      <c r="N236" s="27"/>
      <c r="O236" s="25"/>
      <c r="P236" s="25"/>
      <c r="Q236" s="25"/>
      <c r="R236" s="25"/>
      <c r="S236" s="25"/>
      <c r="T236" s="25"/>
      <c r="U236" s="26"/>
      <c r="V236" s="25"/>
      <c r="W236" s="27"/>
      <c r="X236" s="25"/>
      <c r="Y236" s="25"/>
      <c r="Z236" s="25"/>
      <c r="AA236" s="26"/>
      <c r="AB236" s="32"/>
      <c r="AC236" s="27" t="n">
        <v>5.9</v>
      </c>
      <c r="AD236" s="25" t="n">
        <v>0.9</v>
      </c>
      <c r="AE236" s="25" t="n">
        <v>0.2</v>
      </c>
      <c r="AF236" s="25" t="n">
        <v>6</v>
      </c>
      <c r="AG236" s="25"/>
      <c r="AH236" s="32" t="n">
        <f aca="false">SUM(D236:AG236)</f>
        <v>100</v>
      </c>
      <c r="AK236" s="25" t="n">
        <f aca="false">AVERAGE(70.06,70.02)</f>
        <v>70.04</v>
      </c>
      <c r="AL236" s="25" t="n">
        <f aca="false">AVERAGE(11.38,11.39)</f>
        <v>11.385</v>
      </c>
      <c r="AM236" s="25" t="n">
        <v>156.098</v>
      </c>
      <c r="AN236" s="25"/>
      <c r="AO236" s="25"/>
      <c r="AP236" s="25"/>
      <c r="AQ236" s="25"/>
      <c r="AR236" s="26"/>
      <c r="AS236" s="25"/>
    </row>
    <row r="237" customFormat="false" ht="15" hidden="false" customHeight="false" outlineLevel="0" collapsed="false">
      <c r="A237" s="43" t="n">
        <v>233</v>
      </c>
      <c r="B237" s="36" t="s">
        <v>305</v>
      </c>
      <c r="C237" s="35" t="s">
        <v>309</v>
      </c>
      <c r="D237" s="35"/>
      <c r="E237" s="35"/>
      <c r="F237" s="35" t="n">
        <v>10</v>
      </c>
      <c r="G237" s="35"/>
      <c r="H237" s="35"/>
      <c r="I237" s="35"/>
      <c r="J237" s="35" t="n">
        <v>36</v>
      </c>
      <c r="K237" s="35"/>
      <c r="L237" s="44" t="n">
        <v>41.5</v>
      </c>
      <c r="M237" s="25"/>
      <c r="N237" s="46"/>
      <c r="O237" s="35"/>
      <c r="P237" s="35"/>
      <c r="Q237" s="35"/>
      <c r="R237" s="35"/>
      <c r="S237" s="35"/>
      <c r="T237" s="35"/>
      <c r="U237" s="44"/>
      <c r="V237" s="25"/>
      <c r="W237" s="46"/>
      <c r="X237" s="35"/>
      <c r="Y237" s="35"/>
      <c r="Z237" s="35"/>
      <c r="AA237" s="44"/>
      <c r="AB237" s="32"/>
      <c r="AC237" s="46" t="n">
        <v>5.9</v>
      </c>
      <c r="AD237" s="35" t="n">
        <v>0.9</v>
      </c>
      <c r="AE237" s="35" t="n">
        <v>0.2</v>
      </c>
      <c r="AF237" s="35" t="n">
        <v>5.5</v>
      </c>
      <c r="AG237" s="35"/>
      <c r="AH237" s="52" t="n">
        <f aca="false">SUM(D237:AG237)</f>
        <v>100</v>
      </c>
      <c r="AK237" s="35" t="n">
        <f aca="false">AVERAGE(66.1,66.14)</f>
        <v>66.12</v>
      </c>
      <c r="AL237" s="35" t="n">
        <f aca="false">AVERAGE(10.9,10.9)</f>
        <v>10.9</v>
      </c>
      <c r="AM237" s="35" t="n">
        <v>156.304</v>
      </c>
      <c r="AN237" s="35"/>
      <c r="AO237" s="35"/>
      <c r="AP237" s="35"/>
      <c r="AQ237" s="35"/>
      <c r="AR237" s="44"/>
      <c r="AS237" s="25"/>
    </row>
    <row r="238" customFormat="false" ht="15" hidden="false" customHeight="false" outlineLevel="0" collapsed="false">
      <c r="A238" s="23" t="n">
        <v>234</v>
      </c>
      <c r="B238" s="24" t="s">
        <v>310</v>
      </c>
      <c r="C238" s="25" t="s">
        <v>311</v>
      </c>
      <c r="D238" s="25"/>
      <c r="E238" s="25"/>
      <c r="F238" s="25" t="n">
        <v>10</v>
      </c>
      <c r="G238" s="25"/>
      <c r="H238" s="25"/>
      <c r="I238" s="25"/>
      <c r="J238" s="25"/>
      <c r="K238" s="25"/>
      <c r="L238" s="26" t="n">
        <v>73.75</v>
      </c>
      <c r="M238" s="25"/>
      <c r="N238" s="27"/>
      <c r="O238" s="25"/>
      <c r="P238" s="25"/>
      <c r="Q238" s="25"/>
      <c r="R238" s="25"/>
      <c r="S238" s="25" t="n">
        <v>7.8</v>
      </c>
      <c r="T238" s="25"/>
      <c r="U238" s="26"/>
      <c r="V238" s="25"/>
      <c r="W238" s="27"/>
      <c r="X238" s="25"/>
      <c r="Y238" s="25" t="n">
        <v>7.65</v>
      </c>
      <c r="Z238" s="25"/>
      <c r="AA238" s="26" t="n">
        <v>0.6</v>
      </c>
      <c r="AB238" s="32"/>
      <c r="AC238" s="27"/>
      <c r="AD238" s="25"/>
      <c r="AE238" s="53" t="n">
        <v>0.2</v>
      </c>
      <c r="AF238" s="25"/>
      <c r="AG238" s="25"/>
      <c r="AH238" s="32" t="n">
        <f aca="false">SUM(D238:AG238)</f>
        <v>100</v>
      </c>
      <c r="AK238" s="25" t="n">
        <f aca="false">AVERAGE(88.89,88.7)</f>
        <v>88.795</v>
      </c>
      <c r="AL238" s="25" t="n">
        <f aca="false">AVERAGE(14.04,14.07)</f>
        <v>14.055</v>
      </c>
      <c r="AM238" s="25" t="n">
        <v>163.128</v>
      </c>
      <c r="AN238" s="25"/>
      <c r="AO238" s="25"/>
      <c r="AP238" s="25"/>
      <c r="AQ238" s="25"/>
      <c r="AR238" s="26"/>
      <c r="AS238" s="25"/>
    </row>
    <row r="239" customFormat="false" ht="15" hidden="false" customHeight="false" outlineLevel="0" collapsed="false">
      <c r="A239" s="23" t="n">
        <v>235</v>
      </c>
      <c r="B239" s="24" t="s">
        <v>310</v>
      </c>
      <c r="C239" s="25" t="s">
        <v>312</v>
      </c>
      <c r="D239" s="25"/>
      <c r="E239" s="25"/>
      <c r="F239" s="25" t="n">
        <v>10</v>
      </c>
      <c r="G239" s="25"/>
      <c r="H239" s="25"/>
      <c r="I239" s="25"/>
      <c r="J239" s="25"/>
      <c r="K239" s="25"/>
      <c r="L239" s="26" t="n">
        <v>73.05</v>
      </c>
      <c r="M239" s="25"/>
      <c r="N239" s="27"/>
      <c r="O239" s="25"/>
      <c r="P239" s="25"/>
      <c r="Q239" s="25"/>
      <c r="R239" s="25"/>
      <c r="S239" s="25" t="n">
        <v>8.5</v>
      </c>
      <c r="T239" s="25"/>
      <c r="U239" s="26"/>
      <c r="V239" s="25"/>
      <c r="W239" s="27"/>
      <c r="X239" s="25"/>
      <c r="Y239" s="25" t="n">
        <v>7.65</v>
      </c>
      <c r="Z239" s="25"/>
      <c r="AA239" s="26" t="n">
        <v>0.6</v>
      </c>
      <c r="AB239" s="32"/>
      <c r="AC239" s="27"/>
      <c r="AD239" s="25"/>
      <c r="AE239" s="53" t="n">
        <v>0.2</v>
      </c>
      <c r="AF239" s="25"/>
      <c r="AG239" s="25"/>
      <c r="AH239" s="32" t="n">
        <f aca="false">SUM(D239:AG239)</f>
        <v>100</v>
      </c>
      <c r="AK239" s="25" t="n">
        <f aca="false">AVERAGE(91.81,91.19)</f>
        <v>91.5</v>
      </c>
      <c r="AL239" s="25" t="n">
        <f aca="false">AVERAGE(14.89,14.89)</f>
        <v>14.89</v>
      </c>
      <c r="AM239" s="25" t="n">
        <v>170.954</v>
      </c>
      <c r="AN239" s="25"/>
      <c r="AO239" s="25"/>
      <c r="AP239" s="25"/>
      <c r="AQ239" s="25"/>
      <c r="AR239" s="26"/>
      <c r="AS239" s="25"/>
    </row>
    <row r="240" customFormat="false" ht="15" hidden="false" customHeight="false" outlineLevel="0" collapsed="false">
      <c r="A240" s="23" t="n">
        <v>236</v>
      </c>
      <c r="B240" s="24" t="s">
        <v>310</v>
      </c>
      <c r="C240" s="25" t="s">
        <v>313</v>
      </c>
      <c r="D240" s="25"/>
      <c r="E240" s="25"/>
      <c r="F240" s="25" t="n">
        <v>5</v>
      </c>
      <c r="G240" s="25"/>
      <c r="H240" s="25"/>
      <c r="I240" s="25"/>
      <c r="J240" s="25"/>
      <c r="K240" s="25"/>
      <c r="L240" s="26" t="n">
        <v>83.3</v>
      </c>
      <c r="M240" s="25"/>
      <c r="N240" s="27"/>
      <c r="O240" s="25"/>
      <c r="P240" s="25"/>
      <c r="Q240" s="25"/>
      <c r="R240" s="25"/>
      <c r="S240" s="25"/>
      <c r="T240" s="25"/>
      <c r="U240" s="26"/>
      <c r="V240" s="25"/>
      <c r="W240" s="27"/>
      <c r="X240" s="25"/>
      <c r="Y240" s="25"/>
      <c r="Z240" s="25"/>
      <c r="AA240" s="26" t="n">
        <v>0.6</v>
      </c>
      <c r="AB240" s="32"/>
      <c r="AC240" s="27" t="n">
        <v>5.9</v>
      </c>
      <c r="AD240" s="25"/>
      <c r="AE240" s="32" t="n">
        <v>0.2</v>
      </c>
      <c r="AF240" s="25" t="n">
        <v>5</v>
      </c>
      <c r="AG240" s="25"/>
      <c r="AH240" s="32" t="n">
        <f aca="false">SUM(D240:AG240)</f>
        <v>100</v>
      </c>
      <c r="AK240" s="25" t="n">
        <f aca="false">AVERAGE(80.09,79.89)</f>
        <v>79.99</v>
      </c>
      <c r="AL240" s="25" t="n">
        <f aca="false">AVERAGE(12.43,12.41)</f>
        <v>12.42</v>
      </c>
      <c r="AM240" s="25" t="n">
        <v>152.831</v>
      </c>
      <c r="AN240" s="25"/>
      <c r="AO240" s="25"/>
      <c r="AP240" s="25"/>
      <c r="AQ240" s="25"/>
      <c r="AR240" s="26"/>
      <c r="AS240" s="25"/>
    </row>
    <row r="241" customFormat="false" ht="15" hidden="false" customHeight="false" outlineLevel="0" collapsed="false">
      <c r="A241" s="23" t="n">
        <v>237</v>
      </c>
      <c r="B241" s="24" t="s">
        <v>310</v>
      </c>
      <c r="C241" s="25" t="s">
        <v>314</v>
      </c>
      <c r="D241" s="25"/>
      <c r="E241" s="25"/>
      <c r="F241" s="25" t="n">
        <v>5</v>
      </c>
      <c r="G241" s="25"/>
      <c r="H241" s="25"/>
      <c r="I241" s="25"/>
      <c r="J241" s="25"/>
      <c r="K241" s="25"/>
      <c r="L241" s="26" t="n">
        <v>83.8</v>
      </c>
      <c r="M241" s="25"/>
      <c r="N241" s="27"/>
      <c r="O241" s="25"/>
      <c r="P241" s="25"/>
      <c r="Q241" s="25"/>
      <c r="R241" s="25"/>
      <c r="S241" s="25"/>
      <c r="T241" s="25"/>
      <c r="U241" s="26"/>
      <c r="V241" s="25"/>
      <c r="W241" s="27"/>
      <c r="X241" s="25"/>
      <c r="Y241" s="25"/>
      <c r="Z241" s="25"/>
      <c r="AA241" s="26" t="n">
        <v>0.6</v>
      </c>
      <c r="AB241" s="32"/>
      <c r="AC241" s="27" t="n">
        <v>5.9</v>
      </c>
      <c r="AD241" s="25"/>
      <c r="AE241" s="32" t="n">
        <v>0.2</v>
      </c>
      <c r="AF241" s="25" t="n">
        <v>4.5</v>
      </c>
      <c r="AG241" s="25"/>
      <c r="AH241" s="32" t="n">
        <f aca="false">SUM(D241:AG241)</f>
        <v>100</v>
      </c>
      <c r="AK241" s="25" t="n">
        <f aca="false">AVERAGE(78.45,78.15)</f>
        <v>78.3</v>
      </c>
      <c r="AL241" s="25" t="n">
        <f aca="false">AVERAGE(11.83,11.82)</f>
        <v>11.825</v>
      </c>
      <c r="AM241" s="25" t="n">
        <v>145.177</v>
      </c>
      <c r="AN241" s="25"/>
      <c r="AO241" s="25"/>
      <c r="AP241" s="25"/>
      <c r="AQ241" s="25"/>
      <c r="AR241" s="26"/>
      <c r="AS241" s="25"/>
    </row>
    <row r="242" customFormat="false" ht="15" hidden="false" customHeight="false" outlineLevel="0" collapsed="false">
      <c r="A242" s="23" t="n">
        <v>238</v>
      </c>
      <c r="B242" s="24" t="s">
        <v>310</v>
      </c>
      <c r="C242" s="25" t="s">
        <v>315</v>
      </c>
      <c r="D242" s="25"/>
      <c r="E242" s="25"/>
      <c r="F242" s="25" t="n">
        <v>5</v>
      </c>
      <c r="G242" s="25"/>
      <c r="H242" s="25"/>
      <c r="I242" s="25"/>
      <c r="J242" s="25"/>
      <c r="K242" s="25" t="n">
        <v>23.8</v>
      </c>
      <c r="L242" s="26" t="n">
        <v>60</v>
      </c>
      <c r="M242" s="25"/>
      <c r="N242" s="27"/>
      <c r="O242" s="25"/>
      <c r="P242" s="25"/>
      <c r="Q242" s="25"/>
      <c r="R242" s="25"/>
      <c r="S242" s="25"/>
      <c r="T242" s="25"/>
      <c r="U242" s="26"/>
      <c r="V242" s="25"/>
      <c r="W242" s="27"/>
      <c r="X242" s="25"/>
      <c r="Y242" s="25"/>
      <c r="Z242" s="25"/>
      <c r="AA242" s="26" t="n">
        <v>0.6</v>
      </c>
      <c r="AB242" s="32"/>
      <c r="AC242" s="27" t="n">
        <v>5.9</v>
      </c>
      <c r="AD242" s="25"/>
      <c r="AE242" s="32" t="n">
        <v>0.2</v>
      </c>
      <c r="AF242" s="25" t="n">
        <v>4.5</v>
      </c>
      <c r="AG242" s="25"/>
      <c r="AH242" s="32" t="n">
        <f aca="false">SUM(D242:AG242)</f>
        <v>100</v>
      </c>
      <c r="AK242" s="25" t="n">
        <f aca="false">AVERAGE(73.24,73.13)</f>
        <v>73.185</v>
      </c>
      <c r="AL242" s="25" t="n">
        <f aca="false">AVERAGE(11.62,11.66)</f>
        <v>11.64</v>
      </c>
      <c r="AM242" s="25" t="n">
        <v>153.421</v>
      </c>
      <c r="AN242" s="25"/>
      <c r="AO242" s="25"/>
      <c r="AP242" s="25"/>
      <c r="AQ242" s="25"/>
      <c r="AR242" s="26"/>
      <c r="AS242" s="25"/>
    </row>
    <row r="243" customFormat="false" ht="15" hidden="false" customHeight="false" outlineLevel="0" collapsed="false">
      <c r="A243" s="23" t="n">
        <v>239</v>
      </c>
      <c r="B243" s="24" t="s">
        <v>310</v>
      </c>
      <c r="C243" s="25" t="s">
        <v>316</v>
      </c>
      <c r="D243" s="25"/>
      <c r="E243" s="25"/>
      <c r="F243" s="25" t="n">
        <v>100</v>
      </c>
      <c r="G243" s="25"/>
      <c r="H243" s="25"/>
      <c r="I243" s="25"/>
      <c r="J243" s="25"/>
      <c r="K243" s="25"/>
      <c r="L243" s="26" t="n">
        <v>1606</v>
      </c>
      <c r="M243" s="25"/>
      <c r="N243" s="27"/>
      <c r="O243" s="25"/>
      <c r="P243" s="25"/>
      <c r="Q243" s="25"/>
      <c r="R243" s="25"/>
      <c r="S243" s="25"/>
      <c r="T243" s="25"/>
      <c r="U243" s="26"/>
      <c r="V243" s="25"/>
      <c r="W243" s="27"/>
      <c r="X243" s="25"/>
      <c r="Y243" s="25"/>
      <c r="Z243" s="25"/>
      <c r="AA243" s="26" t="n">
        <v>12</v>
      </c>
      <c r="AB243" s="32"/>
      <c r="AC243" s="27" t="n">
        <v>118</v>
      </c>
      <c r="AD243" s="25"/>
      <c r="AE243" s="32" t="n">
        <v>4</v>
      </c>
      <c r="AF243" s="25" t="n">
        <v>160</v>
      </c>
      <c r="AG243" s="25"/>
      <c r="AH243" s="32" t="n">
        <f aca="false">SUM(D243:AG243)</f>
        <v>2000</v>
      </c>
      <c r="AK243" s="25" t="n">
        <f aca="false">AVERAGE(100.08,99.72)</f>
        <v>99.9</v>
      </c>
      <c r="AL243" s="25" t="n">
        <f aca="false">AVERAGE(14.99,14.98)</f>
        <v>14.985</v>
      </c>
      <c r="AM243" s="25" t="n">
        <v>157.178</v>
      </c>
      <c r="AN243" s="25"/>
      <c r="AO243" s="25"/>
      <c r="AP243" s="25"/>
      <c r="AQ243" s="25"/>
      <c r="AR243" s="26"/>
      <c r="AS243" s="25"/>
    </row>
    <row r="244" customFormat="false" ht="15" hidden="false" customHeight="false" outlineLevel="0" collapsed="false">
      <c r="A244" s="23" t="n">
        <v>240</v>
      </c>
      <c r="B244" s="24" t="s">
        <v>310</v>
      </c>
      <c r="C244" s="25" t="s">
        <v>317</v>
      </c>
      <c r="D244" s="25"/>
      <c r="E244" s="25"/>
      <c r="F244" s="25" t="n">
        <v>100</v>
      </c>
      <c r="G244" s="25"/>
      <c r="H244" s="25"/>
      <c r="I244" s="25"/>
      <c r="J244" s="25"/>
      <c r="K244" s="25"/>
      <c r="L244" s="26" t="n">
        <v>1618</v>
      </c>
      <c r="M244" s="25"/>
      <c r="N244" s="27"/>
      <c r="O244" s="25"/>
      <c r="P244" s="25"/>
      <c r="Q244" s="25"/>
      <c r="R244" s="25"/>
      <c r="S244" s="25"/>
      <c r="T244" s="25"/>
      <c r="U244" s="26"/>
      <c r="V244" s="25"/>
      <c r="W244" s="27"/>
      <c r="X244" s="25"/>
      <c r="Y244" s="25"/>
      <c r="Z244" s="25"/>
      <c r="AA244" s="26"/>
      <c r="AB244" s="32"/>
      <c r="AC244" s="27" t="n">
        <v>118</v>
      </c>
      <c r="AD244" s="25"/>
      <c r="AE244" s="32" t="n">
        <v>4</v>
      </c>
      <c r="AF244" s="25" t="n">
        <v>160</v>
      </c>
      <c r="AG244" s="25"/>
      <c r="AH244" s="32" t="n">
        <f aca="false">SUM(D244:AG244)</f>
        <v>2000</v>
      </c>
      <c r="AK244" s="25" t="n">
        <f aca="false">AVERAGE(97.52,97.54)</f>
        <v>97.53</v>
      </c>
      <c r="AL244" s="25" t="n">
        <f aca="false">AVERAGE(14.66,14.67)</f>
        <v>14.665</v>
      </c>
      <c r="AM244" s="25" t="n">
        <v>156.422</v>
      </c>
      <c r="AN244" s="25"/>
      <c r="AO244" s="25"/>
      <c r="AP244" s="25"/>
      <c r="AQ244" s="25"/>
      <c r="AR244" s="26"/>
      <c r="AS244" s="25"/>
    </row>
    <row r="245" customFormat="false" ht="15" hidden="false" customHeight="false" outlineLevel="0" collapsed="false">
      <c r="A245" s="23" t="n">
        <v>241</v>
      </c>
      <c r="B245" s="24" t="s">
        <v>310</v>
      </c>
      <c r="C245" s="25" t="s">
        <v>318</v>
      </c>
      <c r="D245" s="25"/>
      <c r="E245" s="25"/>
      <c r="F245" s="25" t="n">
        <v>8.9</v>
      </c>
      <c r="G245" s="25"/>
      <c r="H245" s="25"/>
      <c r="I245" s="25" t="n">
        <v>14.3</v>
      </c>
      <c r="J245" s="25"/>
      <c r="K245" s="25" t="n">
        <v>53.25</v>
      </c>
      <c r="L245" s="26" t="n">
        <v>15</v>
      </c>
      <c r="M245" s="25"/>
      <c r="N245" s="27"/>
      <c r="O245" s="25" t="n">
        <v>0.55</v>
      </c>
      <c r="P245" s="25"/>
      <c r="Q245" s="25"/>
      <c r="R245" s="25"/>
      <c r="S245" s="25" t="n">
        <v>8</v>
      </c>
      <c r="T245" s="25"/>
      <c r="U245" s="26"/>
      <c r="V245" s="25"/>
      <c r="W245" s="27"/>
      <c r="X245" s="25"/>
      <c r="Y245" s="25"/>
      <c r="Z245" s="25"/>
      <c r="AA245" s="26"/>
      <c r="AB245" s="32"/>
      <c r="AC245" s="27"/>
      <c r="AD245" s="25"/>
      <c r="AE245" s="32"/>
      <c r="AF245" s="25"/>
      <c r="AG245" s="25"/>
      <c r="AH245" s="32" t="n">
        <f aca="false">SUM(D245:AG245)</f>
        <v>100</v>
      </c>
      <c r="AK245" s="25" t="n">
        <f aca="false">AVERAGE(93.93,93.89)</f>
        <v>93.91</v>
      </c>
      <c r="AL245" s="25" t="n">
        <f aca="false">AVERAGE(14.43,14.49)</f>
        <v>14.46</v>
      </c>
      <c r="AM245" s="25" t="n">
        <v>159.692</v>
      </c>
      <c r="AN245" s="25"/>
      <c r="AO245" s="25"/>
      <c r="AP245" s="25"/>
      <c r="AQ245" s="25"/>
      <c r="AR245" s="26"/>
      <c r="AS245" s="25"/>
    </row>
    <row r="246" customFormat="false" ht="15" hidden="false" customHeight="false" outlineLevel="0" collapsed="false">
      <c r="A246" s="23" t="n">
        <v>242</v>
      </c>
      <c r="B246" s="24" t="s">
        <v>310</v>
      </c>
      <c r="C246" s="25" t="s">
        <v>319</v>
      </c>
      <c r="D246" s="25"/>
      <c r="E246" s="25"/>
      <c r="F246" s="25" t="n">
        <v>8.9</v>
      </c>
      <c r="G246" s="25"/>
      <c r="H246" s="25"/>
      <c r="I246" s="25" t="n">
        <v>14.3</v>
      </c>
      <c r="J246" s="25" t="n">
        <v>35</v>
      </c>
      <c r="K246" s="25" t="n">
        <v>25.55</v>
      </c>
      <c r="L246" s="26" t="n">
        <v>9.7</v>
      </c>
      <c r="M246" s="25"/>
      <c r="N246" s="27"/>
      <c r="O246" s="25" t="n">
        <v>0.55</v>
      </c>
      <c r="P246" s="25"/>
      <c r="Q246" s="25"/>
      <c r="R246" s="25"/>
      <c r="S246" s="25" t="n">
        <v>6</v>
      </c>
      <c r="T246" s="25"/>
      <c r="U246" s="26"/>
      <c r="V246" s="25"/>
      <c r="W246" s="27"/>
      <c r="X246" s="25"/>
      <c r="Y246" s="25"/>
      <c r="Z246" s="25"/>
      <c r="AA246" s="26"/>
      <c r="AB246" s="32"/>
      <c r="AC246" s="27"/>
      <c r="AD246" s="25"/>
      <c r="AE246" s="32"/>
      <c r="AF246" s="25"/>
      <c r="AG246" s="25"/>
      <c r="AH246" s="32" t="n">
        <f aca="false">SUM(D246:AG246)</f>
        <v>100</v>
      </c>
      <c r="AK246" s="25" t="n">
        <f aca="false">AVERAGE(65.5,65.5)</f>
        <v>65.5</v>
      </c>
      <c r="AL246" s="25" t="n">
        <f aca="false">AVERAGE(11.17,11.18)</f>
        <v>11.175</v>
      </c>
      <c r="AM246" s="25" t="n">
        <v>164.341</v>
      </c>
      <c r="AN246" s="25"/>
      <c r="AO246" s="25"/>
      <c r="AP246" s="25"/>
      <c r="AQ246" s="25"/>
      <c r="AR246" s="26"/>
      <c r="AS246" s="25"/>
    </row>
    <row r="247" customFormat="false" ht="15" hidden="false" customHeight="false" outlineLevel="0" collapsed="false">
      <c r="A247" s="23" t="n">
        <v>243</v>
      </c>
      <c r="B247" s="24" t="s">
        <v>310</v>
      </c>
      <c r="C247" s="25" t="s">
        <v>320</v>
      </c>
      <c r="D247" s="25"/>
      <c r="E247" s="25"/>
      <c r="F247" s="25" t="n">
        <v>890</v>
      </c>
      <c r="G247" s="25"/>
      <c r="H247" s="25"/>
      <c r="I247" s="25"/>
      <c r="J247" s="25"/>
      <c r="K247" s="25" t="n">
        <v>55</v>
      </c>
      <c r="L247" s="26"/>
      <c r="M247" s="25"/>
      <c r="N247" s="27"/>
      <c r="O247" s="25" t="n">
        <v>55</v>
      </c>
      <c r="P247" s="25"/>
      <c r="Q247" s="25"/>
      <c r="R247" s="25"/>
      <c r="S247" s="25"/>
      <c r="T247" s="25"/>
      <c r="U247" s="26"/>
      <c r="V247" s="25"/>
      <c r="W247" s="27"/>
      <c r="X247" s="25"/>
      <c r="Y247" s="25"/>
      <c r="Z247" s="25"/>
      <c r="AA247" s="26"/>
      <c r="AB247" s="32"/>
      <c r="AC247" s="27"/>
      <c r="AD247" s="25"/>
      <c r="AE247" s="32"/>
      <c r="AF247" s="25"/>
      <c r="AG247" s="25"/>
      <c r="AH247" s="32" t="n">
        <f aca="false">SUM(D247:AG247)</f>
        <v>1000</v>
      </c>
      <c r="AK247" s="25" t="n">
        <f aca="false">AVERAGE(352.76,351.97)</f>
        <v>352.365</v>
      </c>
      <c r="AL247" s="25" t="n">
        <f aca="false">AVERAGE(35.67,35.76)</f>
        <v>35.715</v>
      </c>
      <c r="AM247" s="25" t="n">
        <v>146.222</v>
      </c>
      <c r="AN247" s="25"/>
      <c r="AO247" s="25"/>
      <c r="AP247" s="25"/>
      <c r="AQ247" s="25"/>
      <c r="AR247" s="26"/>
      <c r="AS247" s="25"/>
    </row>
    <row r="248" customFormat="false" ht="15" hidden="false" customHeight="false" outlineLevel="0" collapsed="false">
      <c r="A248" s="23" t="n">
        <v>244</v>
      </c>
      <c r="B248" s="24" t="s">
        <v>321</v>
      </c>
      <c r="C248" s="25" t="s">
        <v>322</v>
      </c>
      <c r="D248" s="25"/>
      <c r="E248" s="25"/>
      <c r="F248" s="25" t="n">
        <v>10</v>
      </c>
      <c r="G248" s="25"/>
      <c r="H248" s="25"/>
      <c r="I248" s="25"/>
      <c r="J248" s="25"/>
      <c r="K248" s="25" t="n">
        <v>37.55</v>
      </c>
      <c r="L248" s="26" t="n">
        <v>38</v>
      </c>
      <c r="M248" s="25"/>
      <c r="N248" s="27"/>
      <c r="O248" s="25"/>
      <c r="P248" s="25"/>
      <c r="Q248" s="25"/>
      <c r="R248" s="25"/>
      <c r="S248" s="25"/>
      <c r="T248" s="25" t="n">
        <v>6</v>
      </c>
      <c r="U248" s="26"/>
      <c r="V248" s="25"/>
      <c r="W248" s="27"/>
      <c r="X248" s="25"/>
      <c r="Y248" s="25" t="n">
        <v>7.65</v>
      </c>
      <c r="Z248" s="25"/>
      <c r="AA248" s="26" t="n">
        <v>0.6</v>
      </c>
      <c r="AB248" s="32"/>
      <c r="AC248" s="27"/>
      <c r="AD248" s="25"/>
      <c r="AE248" s="32" t="n">
        <v>0.2</v>
      </c>
      <c r="AF248" s="25"/>
      <c r="AG248" s="25"/>
      <c r="AH248" s="32" t="n">
        <f aca="false">SUM(D248:AG248)</f>
        <v>100</v>
      </c>
      <c r="AK248" s="25" t="n">
        <f aca="false">AVERAGE(65.31,65.3)</f>
        <v>65.305</v>
      </c>
      <c r="AL248" s="25" t="n">
        <f aca="false">AVERAGE(10.26,10.26)</f>
        <v>10.26</v>
      </c>
      <c r="AM248" s="25" t="n">
        <v>143.818</v>
      </c>
      <c r="AN248" s="25"/>
      <c r="AO248" s="25"/>
      <c r="AP248" s="25"/>
      <c r="AQ248" s="25"/>
      <c r="AR248" s="26"/>
      <c r="AS248" s="25"/>
    </row>
    <row r="249" customFormat="false" ht="15" hidden="false" customHeight="false" outlineLevel="0" collapsed="false">
      <c r="A249" s="23" t="n">
        <v>245</v>
      </c>
      <c r="B249" s="24" t="s">
        <v>321</v>
      </c>
      <c r="C249" s="25" t="s">
        <v>323</v>
      </c>
      <c r="D249" s="25"/>
      <c r="E249" s="25"/>
      <c r="F249" s="25" t="n">
        <v>200</v>
      </c>
      <c r="G249" s="25"/>
      <c r="H249" s="25"/>
      <c r="I249" s="25"/>
      <c r="J249" s="25" t="n">
        <v>720</v>
      </c>
      <c r="K249" s="25"/>
      <c r="L249" s="26" t="n">
        <v>830</v>
      </c>
      <c r="M249" s="25"/>
      <c r="N249" s="27"/>
      <c r="O249" s="25"/>
      <c r="P249" s="25"/>
      <c r="Q249" s="25"/>
      <c r="R249" s="25"/>
      <c r="S249" s="25"/>
      <c r="T249" s="25"/>
      <c r="U249" s="26"/>
      <c r="V249" s="25"/>
      <c r="W249" s="27"/>
      <c r="X249" s="25"/>
      <c r="Y249" s="25"/>
      <c r="Z249" s="25"/>
      <c r="AA249" s="26"/>
      <c r="AB249" s="32"/>
      <c r="AC249" s="27" t="n">
        <v>118</v>
      </c>
      <c r="AD249" s="25" t="n">
        <v>18</v>
      </c>
      <c r="AE249" s="32" t="n">
        <v>4</v>
      </c>
      <c r="AF249" s="25" t="n">
        <v>110</v>
      </c>
      <c r="AG249" s="25"/>
      <c r="AH249" s="32" t="n">
        <f aca="false">SUM(D249:AG249)</f>
        <v>2000</v>
      </c>
      <c r="AK249" s="25" t="n">
        <f aca="false">AVERAGE(65.63,65.65)</f>
        <v>65.64</v>
      </c>
      <c r="AL249" s="25" t="n">
        <f aca="false">AVERAGE(10.96,10.97)</f>
        <v>10.965</v>
      </c>
      <c r="AM249" s="25" t="n">
        <v>159.185</v>
      </c>
      <c r="AN249" s="25"/>
      <c r="AO249" s="25"/>
      <c r="AP249" s="25"/>
      <c r="AQ249" s="25"/>
      <c r="AR249" s="26"/>
      <c r="AS249" s="25"/>
    </row>
    <row r="250" customFormat="false" ht="15" hidden="false" customHeight="false" outlineLevel="0" collapsed="false">
      <c r="A250" s="23" t="n">
        <v>246</v>
      </c>
      <c r="B250" s="24" t="s">
        <v>321</v>
      </c>
      <c r="C250" s="25" t="s">
        <v>324</v>
      </c>
      <c r="D250" s="25"/>
      <c r="E250" s="25" t="n">
        <v>175</v>
      </c>
      <c r="F250" s="25"/>
      <c r="G250" s="25" t="n">
        <v>175</v>
      </c>
      <c r="H250" s="25"/>
      <c r="I250" s="25"/>
      <c r="J250" s="25"/>
      <c r="K250" s="25" t="n">
        <v>1040.2</v>
      </c>
      <c r="L250" s="26" t="n">
        <v>1575</v>
      </c>
      <c r="M250" s="25"/>
      <c r="N250" s="27"/>
      <c r="O250" s="25"/>
      <c r="P250" s="25"/>
      <c r="Q250" s="25"/>
      <c r="R250" s="25"/>
      <c r="S250" s="25"/>
      <c r="T250" s="25" t="n">
        <v>245</v>
      </c>
      <c r="U250" s="26"/>
      <c r="V250" s="25"/>
      <c r="W250" s="27"/>
      <c r="X250" s="25"/>
      <c r="Y250" s="25"/>
      <c r="Z250" s="25"/>
      <c r="AA250" s="26"/>
      <c r="AB250" s="32"/>
      <c r="AC250" s="27"/>
      <c r="AD250" s="25"/>
      <c r="AE250" s="32"/>
      <c r="AF250" s="25"/>
      <c r="AG250" s="25" t="n">
        <v>289.8</v>
      </c>
      <c r="AH250" s="32" t="n">
        <f aca="false">SUM(D250:AG250)</f>
        <v>3500</v>
      </c>
      <c r="AK250" s="25" t="n">
        <f aca="false">AVERAGE(62.52,62.57)</f>
        <v>62.545</v>
      </c>
      <c r="AL250" s="25" t="n">
        <f aca="false">AVERAGE(10.01,10.01)</f>
        <v>10.01</v>
      </c>
      <c r="AM250" s="25" t="n">
        <v>145.698</v>
      </c>
      <c r="AN250" s="25"/>
      <c r="AO250" s="25"/>
      <c r="AP250" s="25"/>
      <c r="AQ250" s="25"/>
      <c r="AR250" s="26"/>
      <c r="AS250" s="25"/>
    </row>
    <row r="251" customFormat="false" ht="15" hidden="false" customHeight="false" outlineLevel="0" collapsed="false">
      <c r="A251" s="43" t="n">
        <v>247</v>
      </c>
      <c r="B251" s="36" t="s">
        <v>321</v>
      </c>
      <c r="C251" s="35" t="s">
        <v>325</v>
      </c>
      <c r="D251" s="35"/>
      <c r="E251" s="35"/>
      <c r="F251" s="35" t="n">
        <v>100</v>
      </c>
      <c r="G251" s="35"/>
      <c r="H251" s="35"/>
      <c r="I251" s="35"/>
      <c r="J251" s="35"/>
      <c r="K251" s="35" t="n">
        <v>476</v>
      </c>
      <c r="L251" s="44" t="n">
        <v>1200</v>
      </c>
      <c r="M251" s="25"/>
      <c r="N251" s="46"/>
      <c r="O251" s="35"/>
      <c r="P251" s="35"/>
      <c r="Q251" s="35"/>
      <c r="R251" s="35"/>
      <c r="S251" s="35"/>
      <c r="T251" s="35"/>
      <c r="U251" s="44"/>
      <c r="V251" s="25"/>
      <c r="W251" s="46"/>
      <c r="X251" s="35"/>
      <c r="Y251" s="35"/>
      <c r="Z251" s="35"/>
      <c r="AA251" s="44" t="n">
        <v>12</v>
      </c>
      <c r="AB251" s="32"/>
      <c r="AC251" s="46" t="n">
        <v>118</v>
      </c>
      <c r="AD251" s="35"/>
      <c r="AE251" s="52" t="n">
        <v>4</v>
      </c>
      <c r="AF251" s="35" t="n">
        <v>90</v>
      </c>
      <c r="AG251" s="35"/>
      <c r="AH251" s="52" t="n">
        <f aca="false">SUM(D251:AG251)</f>
        <v>2000</v>
      </c>
      <c r="AK251" s="35" t="n">
        <f aca="false">AVERAGE(71.7,71.69)</f>
        <v>71.695</v>
      </c>
      <c r="AL251" s="35" t="n">
        <f aca="false">AVERAGE(11.57,11.55)</f>
        <v>11.56</v>
      </c>
      <c r="AM251" s="35" t="n">
        <v>155.509</v>
      </c>
      <c r="AN251" s="35"/>
      <c r="AO251" s="35"/>
      <c r="AP251" s="35"/>
      <c r="AQ251" s="35"/>
      <c r="AR251" s="44"/>
      <c r="AS251" s="25"/>
    </row>
    <row r="252" customFormat="false" ht="15" hidden="false" customHeight="false" outlineLevel="0" collapsed="false">
      <c r="A252" s="23" t="n">
        <v>248</v>
      </c>
      <c r="B252" s="24" t="s">
        <v>326</v>
      </c>
      <c r="C252" s="25" t="s">
        <v>327</v>
      </c>
      <c r="D252" s="25"/>
      <c r="E252" s="25"/>
      <c r="F252" s="25" t="n">
        <v>10</v>
      </c>
      <c r="G252" s="25"/>
      <c r="H252" s="25"/>
      <c r="I252" s="25"/>
      <c r="J252" s="25"/>
      <c r="K252" s="25"/>
      <c r="L252" s="26" t="n">
        <v>75.55</v>
      </c>
      <c r="M252" s="25"/>
      <c r="N252" s="27"/>
      <c r="O252" s="25"/>
      <c r="P252" s="25"/>
      <c r="Q252" s="25"/>
      <c r="R252" s="25"/>
      <c r="S252" s="25"/>
      <c r="T252" s="25" t="n">
        <v>6</v>
      </c>
      <c r="U252" s="26"/>
      <c r="V252" s="25"/>
      <c r="W252" s="27"/>
      <c r="X252" s="25"/>
      <c r="Y252" s="25" t="n">
        <v>7.65</v>
      </c>
      <c r="Z252" s="25"/>
      <c r="AA252" s="26" t="n">
        <v>0.6</v>
      </c>
      <c r="AB252" s="32"/>
      <c r="AC252" s="27"/>
      <c r="AD252" s="25"/>
      <c r="AE252" s="32" t="n">
        <v>0.2</v>
      </c>
      <c r="AF252" s="25"/>
      <c r="AG252" s="25"/>
      <c r="AH252" s="32" t="n">
        <f aca="false">SUM(D252:AG252)</f>
        <v>100</v>
      </c>
      <c r="AK252" s="25" t="n">
        <f aca="false">AVERAGE(71.81,71.63)</f>
        <v>71.72</v>
      </c>
      <c r="AL252" s="25" t="n">
        <f aca="false">AVERAGE(11.11,11.12)</f>
        <v>11.115</v>
      </c>
      <c r="AM252" s="25" t="n">
        <v>146.143</v>
      </c>
      <c r="AN252" s="25"/>
      <c r="AO252" s="25"/>
      <c r="AP252" s="25"/>
      <c r="AQ252" s="25"/>
      <c r="AR252" s="26"/>
      <c r="AS252" s="25"/>
    </row>
    <row r="253" customFormat="false" ht="15" hidden="false" customHeight="false" outlineLevel="0" collapsed="false">
      <c r="A253" s="23" t="n">
        <v>249</v>
      </c>
      <c r="B253" s="24" t="s">
        <v>326</v>
      </c>
      <c r="C253" s="25" t="s">
        <v>328</v>
      </c>
      <c r="D253" s="25"/>
      <c r="E253" s="25"/>
      <c r="F253" s="25"/>
      <c r="G253" s="25"/>
      <c r="H253" s="25"/>
      <c r="I253" s="25"/>
      <c r="J253" s="25" t="n">
        <v>34.72</v>
      </c>
      <c r="K253" s="25" t="n">
        <v>40</v>
      </c>
      <c r="L253" s="26"/>
      <c r="M253" s="25"/>
      <c r="N253" s="27"/>
      <c r="O253" s="25" t="n">
        <v>10</v>
      </c>
      <c r="P253" s="25"/>
      <c r="Q253" s="25"/>
      <c r="R253" s="25"/>
      <c r="S253" s="25"/>
      <c r="T253" s="25" t="n">
        <v>7</v>
      </c>
      <c r="U253" s="26"/>
      <c r="V253" s="25"/>
      <c r="W253" s="27"/>
      <c r="X253" s="25"/>
      <c r="Y253" s="25"/>
      <c r="Z253" s="25"/>
      <c r="AA253" s="26"/>
      <c r="AB253" s="32"/>
      <c r="AC253" s="27"/>
      <c r="AD253" s="25"/>
      <c r="AE253" s="32"/>
      <c r="AF253" s="25"/>
      <c r="AG253" s="25" t="n">
        <v>8.28</v>
      </c>
      <c r="AH253" s="32" t="n">
        <f aca="false">SUM(D253:AG253)</f>
        <v>100</v>
      </c>
      <c r="AK253" s="25" t="n">
        <f aca="false">AVERAGE(40.69,40.69)</f>
        <v>40.69</v>
      </c>
      <c r="AL253" s="25" t="n">
        <f aca="false">AVERAGE(7.6,7.6)</f>
        <v>7.6</v>
      </c>
      <c r="AM253" s="25" t="n">
        <v>157.42</v>
      </c>
      <c r="AN253" s="25"/>
      <c r="AO253" s="25"/>
      <c r="AP253" s="25"/>
      <c r="AQ253" s="25"/>
      <c r="AR253" s="26"/>
      <c r="AS253" s="25"/>
    </row>
    <row r="254" customFormat="false" ht="15" hidden="false" customHeight="false" outlineLevel="0" collapsed="false">
      <c r="A254" s="23" t="n">
        <v>250</v>
      </c>
      <c r="B254" s="24" t="s">
        <v>326</v>
      </c>
      <c r="C254" s="25" t="s">
        <v>329</v>
      </c>
      <c r="D254" s="25"/>
      <c r="E254" s="25"/>
      <c r="F254" s="25"/>
      <c r="G254" s="25"/>
      <c r="H254" s="25"/>
      <c r="I254" s="25"/>
      <c r="J254" s="25" t="n">
        <v>34.22</v>
      </c>
      <c r="K254" s="25" t="n">
        <v>40</v>
      </c>
      <c r="L254" s="26"/>
      <c r="M254" s="25"/>
      <c r="N254" s="27"/>
      <c r="O254" s="25" t="n">
        <v>10</v>
      </c>
      <c r="P254" s="25"/>
      <c r="Q254" s="25"/>
      <c r="R254" s="25"/>
      <c r="S254" s="25"/>
      <c r="T254" s="25" t="n">
        <v>7.5</v>
      </c>
      <c r="U254" s="26"/>
      <c r="V254" s="25"/>
      <c r="W254" s="27"/>
      <c r="X254" s="25"/>
      <c r="Y254" s="25"/>
      <c r="Z254" s="25"/>
      <c r="AA254" s="26"/>
      <c r="AB254" s="32"/>
      <c r="AC254" s="27"/>
      <c r="AD254" s="25"/>
      <c r="AE254" s="32"/>
      <c r="AF254" s="25"/>
      <c r="AG254" s="25" t="n">
        <v>8.28</v>
      </c>
      <c r="AH254" s="32" t="n">
        <f aca="false">SUM(D254:AG254)</f>
        <v>100</v>
      </c>
      <c r="AK254" s="25" t="n">
        <f aca="false">AVERAGE(40.03,40.06)</f>
        <v>40.045</v>
      </c>
      <c r="AL254" s="25" t="n">
        <f aca="false">AVERAGE(7.63,7.62)</f>
        <v>7.625</v>
      </c>
      <c r="AM254" s="25" t="n">
        <v>162.061</v>
      </c>
      <c r="AN254" s="25"/>
      <c r="AO254" s="25"/>
      <c r="AP254" s="25"/>
      <c r="AQ254" s="25"/>
      <c r="AR254" s="26"/>
      <c r="AS254" s="25"/>
    </row>
    <row r="255" customFormat="false" ht="15" hidden="false" customHeight="false" outlineLevel="0" collapsed="false">
      <c r="A255" s="23" t="n">
        <v>251</v>
      </c>
      <c r="B255" s="24" t="s">
        <v>326</v>
      </c>
      <c r="C255" s="25" t="s">
        <v>330</v>
      </c>
      <c r="D255" s="25"/>
      <c r="E255" s="25"/>
      <c r="F255" s="25"/>
      <c r="G255" s="25"/>
      <c r="H255" s="25"/>
      <c r="I255" s="25"/>
      <c r="J255" s="25" t="n">
        <v>24.22</v>
      </c>
      <c r="K255" s="25" t="n">
        <v>50</v>
      </c>
      <c r="L255" s="26"/>
      <c r="M255" s="25"/>
      <c r="N255" s="27"/>
      <c r="O255" s="25" t="n">
        <v>10</v>
      </c>
      <c r="P255" s="25"/>
      <c r="Q255" s="25"/>
      <c r="R255" s="25"/>
      <c r="S255" s="25"/>
      <c r="T255" s="25" t="n">
        <v>7.5</v>
      </c>
      <c r="U255" s="26"/>
      <c r="V255" s="25"/>
      <c r="W255" s="27"/>
      <c r="X255" s="25"/>
      <c r="Y255" s="25"/>
      <c r="Z255" s="25"/>
      <c r="AA255" s="26"/>
      <c r="AB255" s="32"/>
      <c r="AC255" s="27"/>
      <c r="AD255" s="25"/>
      <c r="AE255" s="32"/>
      <c r="AF255" s="25"/>
      <c r="AG255" s="25" t="n">
        <v>8.28</v>
      </c>
      <c r="AH255" s="32" t="n">
        <f aca="false">SUM(D255:AG255)</f>
        <v>100</v>
      </c>
      <c r="AK255" s="25" t="n">
        <f aca="false">AVERAGE(51.64,51.54)</f>
        <v>51.59</v>
      </c>
      <c r="AL255" s="25" t="n">
        <f aca="false">AVERAGE(8.94,8.95)</f>
        <v>8.945</v>
      </c>
      <c r="AM255" s="25" t="n">
        <v>154.216</v>
      </c>
      <c r="AN255" s="25"/>
      <c r="AO255" s="25"/>
      <c r="AP255" s="25"/>
      <c r="AQ255" s="25"/>
      <c r="AR255" s="26"/>
      <c r="AS255" s="25"/>
    </row>
    <row r="256" customFormat="false" ht="15" hidden="false" customHeight="false" outlineLevel="0" collapsed="false">
      <c r="A256" s="23" t="n">
        <v>252</v>
      </c>
      <c r="B256" s="24" t="s">
        <v>326</v>
      </c>
      <c r="C256" s="25" t="s">
        <v>331</v>
      </c>
      <c r="D256" s="25"/>
      <c r="E256" s="25"/>
      <c r="F256" s="25"/>
      <c r="G256" s="25"/>
      <c r="H256" s="25"/>
      <c r="I256" s="25"/>
      <c r="J256" s="25" t="n">
        <v>44.22</v>
      </c>
      <c r="K256" s="25" t="n">
        <v>30</v>
      </c>
      <c r="L256" s="26"/>
      <c r="M256" s="25"/>
      <c r="N256" s="27"/>
      <c r="O256" s="25" t="n">
        <v>10</v>
      </c>
      <c r="P256" s="25"/>
      <c r="Q256" s="25"/>
      <c r="R256" s="25"/>
      <c r="S256" s="25"/>
      <c r="T256" s="25" t="n">
        <v>7.5</v>
      </c>
      <c r="U256" s="26"/>
      <c r="V256" s="25"/>
      <c r="W256" s="27"/>
      <c r="X256" s="25"/>
      <c r="Y256" s="25"/>
      <c r="Z256" s="25"/>
      <c r="AA256" s="26"/>
      <c r="AB256" s="32"/>
      <c r="AC256" s="27"/>
      <c r="AD256" s="25"/>
      <c r="AE256" s="32"/>
      <c r="AF256" s="25"/>
      <c r="AG256" s="25" t="n">
        <v>8.28</v>
      </c>
      <c r="AH256" s="32" t="n">
        <f aca="false">SUM(D256:AG256)</f>
        <v>100</v>
      </c>
      <c r="AK256" s="25" t="n">
        <f aca="false">AVERAGE(54.46,54.51)</f>
        <v>54.485</v>
      </c>
      <c r="AL256" s="25" t="n">
        <f aca="false">AVERAGE(9.23,9.22)</f>
        <v>9.225</v>
      </c>
      <c r="AM256" s="25" t="n">
        <v>151.43</v>
      </c>
      <c r="AN256" s="25"/>
      <c r="AO256" s="25"/>
      <c r="AP256" s="25"/>
      <c r="AQ256" s="25"/>
      <c r="AR256" s="26"/>
      <c r="AS256" s="25"/>
    </row>
    <row r="257" customFormat="false" ht="15" hidden="false" customHeight="false" outlineLevel="0" collapsed="false">
      <c r="A257" s="23" t="n">
        <v>253</v>
      </c>
      <c r="B257" s="24" t="s">
        <v>326</v>
      </c>
      <c r="C257" s="25" t="s">
        <v>332</v>
      </c>
      <c r="D257" s="25"/>
      <c r="E257" s="25"/>
      <c r="F257" s="25"/>
      <c r="G257" s="25"/>
      <c r="H257" s="25"/>
      <c r="I257" s="25"/>
      <c r="J257" s="25" t="n">
        <v>39.72</v>
      </c>
      <c r="K257" s="25" t="n">
        <v>35</v>
      </c>
      <c r="L257" s="26"/>
      <c r="M257" s="25"/>
      <c r="N257" s="27"/>
      <c r="O257" s="25" t="n">
        <v>10</v>
      </c>
      <c r="P257" s="25"/>
      <c r="Q257" s="25"/>
      <c r="R257" s="25"/>
      <c r="S257" s="25"/>
      <c r="T257" s="25" t="n">
        <v>7</v>
      </c>
      <c r="U257" s="26"/>
      <c r="V257" s="25"/>
      <c r="W257" s="27"/>
      <c r="X257" s="25"/>
      <c r="Y257" s="25"/>
      <c r="Z257" s="25"/>
      <c r="AA257" s="26"/>
      <c r="AB257" s="32"/>
      <c r="AC257" s="27"/>
      <c r="AD257" s="25"/>
      <c r="AE257" s="32"/>
      <c r="AF257" s="25"/>
      <c r="AG257" s="25" t="n">
        <v>8.28</v>
      </c>
      <c r="AH257" s="32" t="n">
        <f aca="false">SUM(D257:AG257)</f>
        <v>100</v>
      </c>
      <c r="AK257" s="25" t="n">
        <f aca="false">AVERAGE(39.17,39.69)</f>
        <v>39.43</v>
      </c>
      <c r="AL257" s="25" t="n">
        <f aca="false">AVERAGE(7.51,7.5)</f>
        <v>7.505</v>
      </c>
      <c r="AM257" s="25" t="n">
        <v>160.603</v>
      </c>
      <c r="AN257" s="25"/>
      <c r="AO257" s="25"/>
      <c r="AP257" s="25"/>
      <c r="AQ257" s="25"/>
      <c r="AR257" s="26"/>
      <c r="AS257" s="25"/>
    </row>
    <row r="258" customFormat="false" ht="15" hidden="false" customHeight="false" outlineLevel="0" collapsed="false">
      <c r="A258" s="23" t="n">
        <v>254</v>
      </c>
      <c r="B258" s="24" t="s">
        <v>326</v>
      </c>
      <c r="C258" s="25" t="s">
        <v>333</v>
      </c>
      <c r="D258" s="25"/>
      <c r="E258" s="25"/>
      <c r="F258" s="25"/>
      <c r="G258" s="25"/>
      <c r="H258" s="25"/>
      <c r="I258" s="25"/>
      <c r="J258" s="25" t="n">
        <v>39.22</v>
      </c>
      <c r="K258" s="25" t="n">
        <v>35</v>
      </c>
      <c r="L258" s="26"/>
      <c r="M258" s="25"/>
      <c r="N258" s="27"/>
      <c r="O258" s="25" t="n">
        <v>10</v>
      </c>
      <c r="P258" s="25"/>
      <c r="Q258" s="25"/>
      <c r="R258" s="25"/>
      <c r="S258" s="25"/>
      <c r="T258" s="25" t="n">
        <v>7.5</v>
      </c>
      <c r="U258" s="26"/>
      <c r="V258" s="25"/>
      <c r="W258" s="27"/>
      <c r="X258" s="25"/>
      <c r="Y258" s="25"/>
      <c r="Z258" s="25"/>
      <c r="AA258" s="26"/>
      <c r="AB258" s="32"/>
      <c r="AC258" s="27"/>
      <c r="AD258" s="25"/>
      <c r="AE258" s="32"/>
      <c r="AF258" s="25"/>
      <c r="AG258" s="25" t="n">
        <v>8.28</v>
      </c>
      <c r="AH258" s="32" t="n">
        <f aca="false">SUM(D258:AG258)</f>
        <v>100</v>
      </c>
      <c r="AK258" s="25" t="n">
        <f aca="false">AVERAGE(39.46,39.46)</f>
        <v>39.46</v>
      </c>
      <c r="AL258" s="25" t="n">
        <f aca="false">AVERAGE(7.44,7.44)</f>
        <v>7.44</v>
      </c>
      <c r="AM258" s="25" t="n">
        <v>157.696</v>
      </c>
      <c r="AN258" s="25"/>
      <c r="AO258" s="25"/>
      <c r="AP258" s="25"/>
      <c r="AQ258" s="25"/>
      <c r="AR258" s="26"/>
      <c r="AS258" s="25"/>
    </row>
    <row r="259" customFormat="false" ht="15" hidden="false" customHeight="false" outlineLevel="0" collapsed="false">
      <c r="A259" s="23" t="n">
        <v>255</v>
      </c>
      <c r="B259" s="24" t="s">
        <v>326</v>
      </c>
      <c r="C259" s="25" t="s">
        <v>334</v>
      </c>
      <c r="D259" s="25"/>
      <c r="E259" s="25"/>
      <c r="F259" s="25"/>
      <c r="G259" s="25"/>
      <c r="H259" s="25" t="n">
        <v>10</v>
      </c>
      <c r="I259" s="25" t="n">
        <v>14.3</v>
      </c>
      <c r="J259" s="25"/>
      <c r="K259" s="25" t="n">
        <v>20</v>
      </c>
      <c r="L259" s="26" t="n">
        <v>47.7</v>
      </c>
      <c r="M259" s="25"/>
      <c r="N259" s="27"/>
      <c r="O259" s="25"/>
      <c r="P259" s="25"/>
      <c r="Q259" s="25"/>
      <c r="R259" s="25"/>
      <c r="S259" s="25" t="n">
        <v>8</v>
      </c>
      <c r="T259" s="25"/>
      <c r="U259" s="26"/>
      <c r="V259" s="25"/>
      <c r="W259" s="27"/>
      <c r="X259" s="25"/>
      <c r="Y259" s="25"/>
      <c r="Z259" s="25"/>
      <c r="AA259" s="26"/>
      <c r="AB259" s="32"/>
      <c r="AC259" s="27"/>
      <c r="AD259" s="25"/>
      <c r="AE259" s="32"/>
      <c r="AF259" s="25"/>
      <c r="AG259" s="25"/>
      <c r="AH259" s="32" t="n">
        <f aca="false">SUM(D259:AG259)</f>
        <v>100</v>
      </c>
      <c r="AK259" s="25" t="n">
        <f aca="false">AVERAGE(100.04,99.84)</f>
        <v>99.94</v>
      </c>
      <c r="AL259" s="25" t="n">
        <f aca="false">AVERAGE(15.39,15.41)</f>
        <v>15.4</v>
      </c>
      <c r="AM259" s="25" t="n">
        <v>163.19</v>
      </c>
      <c r="AN259" s="25"/>
      <c r="AO259" s="25"/>
      <c r="AP259" s="25"/>
      <c r="AQ259" s="25"/>
      <c r="AR259" s="26"/>
      <c r="AS259" s="25"/>
    </row>
    <row r="260" customFormat="false" ht="15" hidden="false" customHeight="false" outlineLevel="0" collapsed="false">
      <c r="A260" s="23" t="n">
        <v>256</v>
      </c>
      <c r="B260" s="24" t="s">
        <v>326</v>
      </c>
      <c r="C260" s="25" t="s">
        <v>335</v>
      </c>
      <c r="D260" s="25"/>
      <c r="E260" s="25"/>
      <c r="F260" s="25"/>
      <c r="G260" s="25"/>
      <c r="H260" s="25" t="n">
        <v>10</v>
      </c>
      <c r="I260" s="25" t="n">
        <v>14.3</v>
      </c>
      <c r="J260" s="25" t="n">
        <v>10</v>
      </c>
      <c r="K260" s="25" t="n">
        <v>20</v>
      </c>
      <c r="L260" s="26" t="n">
        <v>37.7</v>
      </c>
      <c r="M260" s="25"/>
      <c r="N260" s="27"/>
      <c r="O260" s="25"/>
      <c r="P260" s="25"/>
      <c r="Q260" s="25"/>
      <c r="R260" s="25"/>
      <c r="S260" s="25" t="n">
        <v>8</v>
      </c>
      <c r="T260" s="25"/>
      <c r="U260" s="26"/>
      <c r="V260" s="25"/>
      <c r="W260" s="27"/>
      <c r="X260" s="25"/>
      <c r="Y260" s="25"/>
      <c r="Z260" s="25"/>
      <c r="AA260" s="26"/>
      <c r="AB260" s="32"/>
      <c r="AC260" s="27"/>
      <c r="AD260" s="25"/>
      <c r="AE260" s="32"/>
      <c r="AF260" s="25"/>
      <c r="AG260" s="25"/>
      <c r="AH260" s="32" t="n">
        <f aca="false">SUM(D260:AG260)</f>
        <v>100</v>
      </c>
      <c r="AK260" s="25" t="n">
        <f aca="false">AVERAGE(89.92,89.81)</f>
        <v>89.865</v>
      </c>
      <c r="AL260" s="25" t="n">
        <f aca="false">AVERAGE(14.33,14.33)</f>
        <v>14.33</v>
      </c>
      <c r="AM260" s="25" t="n">
        <v>165.382</v>
      </c>
      <c r="AN260" s="25"/>
      <c r="AO260" s="25"/>
      <c r="AP260" s="25"/>
      <c r="AQ260" s="25"/>
      <c r="AR260" s="26"/>
      <c r="AS260" s="25"/>
    </row>
    <row r="261" customFormat="false" ht="15" hidden="false" customHeight="false" outlineLevel="0" collapsed="false">
      <c r="A261" s="23" t="n">
        <v>257</v>
      </c>
      <c r="B261" s="24" t="s">
        <v>326</v>
      </c>
      <c r="C261" s="25" t="s">
        <v>336</v>
      </c>
      <c r="D261" s="25"/>
      <c r="E261" s="25"/>
      <c r="F261" s="25"/>
      <c r="G261" s="25"/>
      <c r="H261" s="25" t="n">
        <v>10</v>
      </c>
      <c r="I261" s="25" t="n">
        <v>14.3</v>
      </c>
      <c r="J261" s="25" t="n">
        <v>15</v>
      </c>
      <c r="K261" s="25" t="n">
        <v>25</v>
      </c>
      <c r="L261" s="26" t="n">
        <v>27.7</v>
      </c>
      <c r="M261" s="25"/>
      <c r="N261" s="27"/>
      <c r="O261" s="25"/>
      <c r="P261" s="25"/>
      <c r="Q261" s="25"/>
      <c r="R261" s="25"/>
      <c r="S261" s="25" t="n">
        <v>8</v>
      </c>
      <c r="T261" s="25"/>
      <c r="U261" s="26"/>
      <c r="V261" s="25"/>
      <c r="W261" s="27"/>
      <c r="X261" s="25"/>
      <c r="Y261" s="25"/>
      <c r="Z261" s="25"/>
      <c r="AA261" s="26"/>
      <c r="AB261" s="32"/>
      <c r="AC261" s="27"/>
      <c r="AD261" s="25"/>
      <c r="AE261" s="32"/>
      <c r="AF261" s="25"/>
      <c r="AG261" s="25"/>
      <c r="AH261" s="32" t="n">
        <f aca="false">SUM(D261:AG261)</f>
        <v>100</v>
      </c>
      <c r="AK261" s="25" t="n">
        <f aca="false">AVERAGE(93.2,93.35)</f>
        <v>93.275</v>
      </c>
      <c r="AL261" s="25" t="n">
        <f aca="false">AVERAGE(14.96,14.95)</f>
        <v>14.955</v>
      </c>
      <c r="AM261" s="25" t="n">
        <v>168.547</v>
      </c>
      <c r="AN261" s="25"/>
      <c r="AO261" s="25"/>
      <c r="AP261" s="25"/>
      <c r="AQ261" s="25"/>
      <c r="AR261" s="26"/>
      <c r="AS261" s="25"/>
    </row>
    <row r="262" customFormat="false" ht="15" hidden="false" customHeight="false" outlineLevel="0" collapsed="false">
      <c r="A262" s="43" t="n">
        <v>258</v>
      </c>
      <c r="B262" s="36" t="s">
        <v>326</v>
      </c>
      <c r="C262" s="35" t="s">
        <v>337</v>
      </c>
      <c r="D262" s="35"/>
      <c r="E262" s="35"/>
      <c r="F262" s="35"/>
      <c r="G262" s="35"/>
      <c r="H262" s="35" t="n">
        <v>10</v>
      </c>
      <c r="I262" s="35" t="n">
        <v>14.3</v>
      </c>
      <c r="J262" s="35" t="n">
        <v>20</v>
      </c>
      <c r="K262" s="35" t="n">
        <v>20</v>
      </c>
      <c r="L262" s="44" t="n">
        <v>27.7</v>
      </c>
      <c r="M262" s="35"/>
      <c r="N262" s="46"/>
      <c r="O262" s="35"/>
      <c r="P262" s="35"/>
      <c r="Q262" s="35"/>
      <c r="R262" s="35"/>
      <c r="S262" s="35" t="n">
        <v>8</v>
      </c>
      <c r="T262" s="35"/>
      <c r="U262" s="44"/>
      <c r="V262" s="25"/>
      <c r="W262" s="46"/>
      <c r="X262" s="35"/>
      <c r="Y262" s="35"/>
      <c r="Z262" s="35"/>
      <c r="AA262" s="44"/>
      <c r="AB262" s="32"/>
      <c r="AC262" s="46"/>
      <c r="AD262" s="35"/>
      <c r="AE262" s="52"/>
      <c r="AF262" s="35"/>
      <c r="AG262" s="35"/>
      <c r="AH262" s="52" t="n">
        <f aca="false">SUM(D262:AG262)</f>
        <v>100</v>
      </c>
      <c r="AK262" s="35" t="n">
        <f aca="false">AVERAGE(83.91,83.69)</f>
        <v>83.8</v>
      </c>
      <c r="AL262" s="35" t="n">
        <f aca="false">AVERAGE(13.54,13.53)</f>
        <v>13.535</v>
      </c>
      <c r="AM262" s="35" t="n">
        <v>164.759</v>
      </c>
      <c r="AN262" s="35"/>
      <c r="AO262" s="35"/>
      <c r="AP262" s="35"/>
      <c r="AQ262" s="35"/>
      <c r="AR262" s="44"/>
      <c r="AS262" s="25"/>
    </row>
    <row r="263" customFormat="false" ht="15" hidden="false" customHeight="false" outlineLevel="0" collapsed="false">
      <c r="A263" s="23" t="n">
        <v>259</v>
      </c>
      <c r="B263" s="24" t="s">
        <v>338</v>
      </c>
      <c r="C263" s="25" t="s">
        <v>339</v>
      </c>
      <c r="D263" s="25"/>
      <c r="E263" s="25"/>
      <c r="F263" s="25"/>
      <c r="G263" s="25"/>
      <c r="H263" s="25" t="n">
        <v>5</v>
      </c>
      <c r="I263" s="25"/>
      <c r="J263" s="25"/>
      <c r="K263" s="25" t="n">
        <v>30.72</v>
      </c>
      <c r="L263" s="25" t="n">
        <v>45.5</v>
      </c>
      <c r="M263" s="25"/>
      <c r="N263" s="25"/>
      <c r="O263" s="25" t="n">
        <v>5</v>
      </c>
      <c r="P263" s="25"/>
      <c r="Q263" s="25"/>
      <c r="R263" s="25"/>
      <c r="S263" s="25" t="n">
        <v>5.5</v>
      </c>
      <c r="T263" s="25"/>
      <c r="U263" s="26"/>
      <c r="V263" s="25"/>
      <c r="W263" s="27"/>
      <c r="X263" s="25"/>
      <c r="Y263" s="25"/>
      <c r="Z263" s="25"/>
      <c r="AA263" s="26"/>
      <c r="AB263" s="32"/>
      <c r="AC263" s="27"/>
      <c r="AD263" s="25"/>
      <c r="AE263" s="32"/>
      <c r="AF263" s="25"/>
      <c r="AG263" s="25" t="n">
        <v>8.28</v>
      </c>
      <c r="AH263" s="32" t="n">
        <f aca="false">SUM(D263:AG263)</f>
        <v>100</v>
      </c>
      <c r="AK263" s="25" t="n">
        <f aca="false">AVERAGE(67.44,67.43)</f>
        <v>67.435</v>
      </c>
      <c r="AL263" s="25" t="n">
        <f aca="false">AVERAGE(11.43,11.45)</f>
        <v>11.44</v>
      </c>
      <c r="AM263" s="25" t="n">
        <v>164.458</v>
      </c>
      <c r="AN263" s="25"/>
      <c r="AO263" s="25"/>
      <c r="AP263" s="25"/>
      <c r="AQ263" s="25"/>
      <c r="AR263" s="26"/>
      <c r="AS263" s="25"/>
    </row>
    <row r="264" customFormat="false" ht="15" hidden="false" customHeight="false" outlineLevel="0" collapsed="false">
      <c r="A264" s="23" t="n">
        <v>260</v>
      </c>
      <c r="B264" s="24" t="s">
        <v>338</v>
      </c>
      <c r="C264" s="25" t="s">
        <v>340</v>
      </c>
      <c r="D264" s="25"/>
      <c r="E264" s="25"/>
      <c r="F264" s="25"/>
      <c r="G264" s="25"/>
      <c r="H264" s="25" t="n">
        <v>5</v>
      </c>
      <c r="I264" s="25" t="n">
        <v>14.3</v>
      </c>
      <c r="J264" s="25"/>
      <c r="K264" s="25" t="n">
        <v>69.5</v>
      </c>
      <c r="L264" s="25"/>
      <c r="M264" s="25"/>
      <c r="N264" s="25"/>
      <c r="O264" s="25" t="n">
        <v>5</v>
      </c>
      <c r="P264" s="25"/>
      <c r="Q264" s="25"/>
      <c r="R264" s="25"/>
      <c r="S264" s="25" t="n">
        <v>6</v>
      </c>
      <c r="T264" s="25"/>
      <c r="U264" s="26"/>
      <c r="V264" s="25"/>
      <c r="W264" s="27"/>
      <c r="X264" s="25"/>
      <c r="Y264" s="25"/>
      <c r="Z264" s="25"/>
      <c r="AA264" s="26"/>
      <c r="AB264" s="32"/>
      <c r="AC264" s="27"/>
      <c r="AD264" s="25" t="n">
        <v>0.2</v>
      </c>
      <c r="AE264" s="32"/>
      <c r="AF264" s="25"/>
      <c r="AG264" s="25"/>
      <c r="AH264" s="32" t="n">
        <f aca="false">SUM(D264:AG264)</f>
        <v>100</v>
      </c>
      <c r="AK264" s="25" t="n">
        <f aca="false">AVERAGE(70.8,70.67)</f>
        <v>70.735</v>
      </c>
      <c r="AL264" s="25" t="n">
        <f aca="false">AVERAGE(11.66,11.67)</f>
        <v>11.665</v>
      </c>
      <c r="AM264" s="25" t="n">
        <v>160.221</v>
      </c>
      <c r="AN264" s="25"/>
      <c r="AO264" s="25"/>
      <c r="AP264" s="25"/>
      <c r="AQ264" s="25"/>
      <c r="AR264" s="26"/>
      <c r="AS264" s="25"/>
    </row>
    <row r="265" customFormat="false" ht="15" hidden="false" customHeight="false" outlineLevel="0" collapsed="false">
      <c r="A265" s="23" t="n">
        <v>261</v>
      </c>
      <c r="B265" s="24" t="s">
        <v>338</v>
      </c>
      <c r="C265" s="25" t="s">
        <v>341</v>
      </c>
      <c r="D265" s="25"/>
      <c r="E265" s="25"/>
      <c r="F265" s="25"/>
      <c r="G265" s="25"/>
      <c r="H265" s="25" t="n">
        <v>5</v>
      </c>
      <c r="I265" s="25" t="n">
        <v>14.3</v>
      </c>
      <c r="J265" s="25"/>
      <c r="K265" s="25" t="n">
        <v>69.7</v>
      </c>
      <c r="L265" s="25"/>
      <c r="M265" s="25"/>
      <c r="N265" s="25"/>
      <c r="O265" s="25" t="n">
        <v>5</v>
      </c>
      <c r="P265" s="25"/>
      <c r="Q265" s="25"/>
      <c r="R265" s="25"/>
      <c r="S265" s="25" t="n">
        <v>5.8</v>
      </c>
      <c r="T265" s="25"/>
      <c r="U265" s="26"/>
      <c r="V265" s="25"/>
      <c r="W265" s="27"/>
      <c r="X265" s="25"/>
      <c r="Y265" s="25"/>
      <c r="Z265" s="25"/>
      <c r="AA265" s="26"/>
      <c r="AB265" s="32"/>
      <c r="AC265" s="27"/>
      <c r="AD265" s="25" t="n">
        <v>0.2</v>
      </c>
      <c r="AE265" s="32"/>
      <c r="AF265" s="25"/>
      <c r="AG265" s="25"/>
      <c r="AH265" s="32" t="n">
        <f aca="false">SUM(D265:AG265)</f>
        <v>100</v>
      </c>
      <c r="AK265" s="25" t="n">
        <f aca="false">AVERAGE(69.4,69.38)</f>
        <v>69.39</v>
      </c>
      <c r="AL265" s="25" t="n">
        <f aca="false">AVERAGE(11.62,11.61)</f>
        <v>11.615</v>
      </c>
      <c r="AM265" s="25" t="n">
        <v>162.788</v>
      </c>
      <c r="AN265" s="25"/>
      <c r="AO265" s="25"/>
      <c r="AP265" s="25"/>
      <c r="AQ265" s="25"/>
      <c r="AR265" s="26"/>
      <c r="AS265" s="25"/>
    </row>
    <row r="266" customFormat="false" ht="15" hidden="false" customHeight="false" outlineLevel="0" collapsed="false">
      <c r="A266" s="23" t="n">
        <v>262</v>
      </c>
      <c r="B266" s="24" t="s">
        <v>338</v>
      </c>
      <c r="C266" s="25" t="s">
        <v>342</v>
      </c>
      <c r="D266" s="25"/>
      <c r="E266" s="25"/>
      <c r="F266" s="25"/>
      <c r="G266" s="25"/>
      <c r="H266" s="25" t="n">
        <v>10</v>
      </c>
      <c r="I266" s="25"/>
      <c r="J266" s="25"/>
      <c r="K266" s="25"/>
      <c r="L266" s="25"/>
      <c r="M266" s="25" t="n">
        <v>50</v>
      </c>
      <c r="N266" s="25" t="n">
        <v>23.75</v>
      </c>
      <c r="O266" s="25"/>
      <c r="P266" s="25"/>
      <c r="Q266" s="25"/>
      <c r="R266" s="25"/>
      <c r="S266" s="25" t="n">
        <v>7.55</v>
      </c>
      <c r="T266" s="25"/>
      <c r="U266" s="26"/>
      <c r="V266" s="25"/>
      <c r="W266" s="27"/>
      <c r="X266" s="25"/>
      <c r="Y266" s="25"/>
      <c r="Z266" s="25" t="n">
        <v>8.7</v>
      </c>
      <c r="AA266" s="26"/>
      <c r="AB266" s="32"/>
      <c r="AC266" s="27"/>
      <c r="AD266" s="32"/>
      <c r="AE266" s="25"/>
      <c r="AF266" s="25"/>
      <c r="AG266" s="25"/>
      <c r="AH266" s="32" t="n">
        <f aca="false">SUM(D266:AG266)</f>
        <v>100</v>
      </c>
      <c r="AK266" s="25" t="n">
        <f aca="false">AVERAGE(96.95,96.94)</f>
        <v>96.945</v>
      </c>
      <c r="AL266" s="25" t="n">
        <f aca="false">AVERAGE(14.69,14.69)</f>
        <v>14.69</v>
      </c>
      <c r="AM266" s="25" t="n">
        <v>157.802</v>
      </c>
      <c r="AN266" s="25"/>
      <c r="AO266" s="25"/>
      <c r="AP266" s="25"/>
      <c r="AQ266" s="25"/>
      <c r="AR266" s="26"/>
      <c r="AS266" s="25"/>
    </row>
    <row r="267" customFormat="false" ht="15" hidden="false" customHeight="false" outlineLevel="0" collapsed="false">
      <c r="A267" s="23" t="n">
        <v>263</v>
      </c>
      <c r="B267" s="24" t="s">
        <v>338</v>
      </c>
      <c r="C267" s="25" t="s">
        <v>343</v>
      </c>
      <c r="D267" s="25"/>
      <c r="E267" s="25"/>
      <c r="F267" s="25"/>
      <c r="G267" s="25"/>
      <c r="H267" s="25" t="n">
        <v>10</v>
      </c>
      <c r="I267" s="25" t="n">
        <v>14.3</v>
      </c>
      <c r="J267" s="25" t="n">
        <v>20</v>
      </c>
      <c r="K267" s="25" t="n">
        <v>25</v>
      </c>
      <c r="L267" s="25" t="n">
        <v>22.7</v>
      </c>
      <c r="M267" s="25"/>
      <c r="N267" s="25"/>
      <c r="O267" s="25"/>
      <c r="P267" s="25"/>
      <c r="Q267" s="25"/>
      <c r="R267" s="25"/>
      <c r="S267" s="25" t="n">
        <v>8</v>
      </c>
      <c r="T267" s="25"/>
      <c r="U267" s="26"/>
      <c r="V267" s="25"/>
      <c r="W267" s="27"/>
      <c r="X267" s="25"/>
      <c r="Y267" s="25"/>
      <c r="Z267" s="25"/>
      <c r="AA267" s="26"/>
      <c r="AB267" s="32"/>
      <c r="AC267" s="27"/>
      <c r="AD267" s="32"/>
      <c r="AE267" s="25"/>
      <c r="AF267" s="25"/>
      <c r="AG267" s="25"/>
      <c r="AH267" s="32" t="n">
        <f aca="false">SUM(D267:AG267)</f>
        <v>100</v>
      </c>
      <c r="AK267" s="25" t="n">
        <f aca="false">AVERAGE(87.45,87.23)</f>
        <v>87.34</v>
      </c>
      <c r="AL267" s="25" t="n">
        <f aca="false">AVERAGE(13.89,13.89)</f>
        <v>13.89</v>
      </c>
      <c r="AM267" s="25" t="n">
        <v>163.363</v>
      </c>
      <c r="AN267" s="25"/>
      <c r="AO267" s="25"/>
      <c r="AP267" s="25"/>
      <c r="AQ267" s="25"/>
      <c r="AR267" s="26"/>
      <c r="AS267" s="25"/>
    </row>
    <row r="268" customFormat="false" ht="15" hidden="false" customHeight="false" outlineLevel="0" collapsed="false">
      <c r="A268" s="23" t="n">
        <v>264</v>
      </c>
      <c r="B268" s="24" t="s">
        <v>338</v>
      </c>
      <c r="C268" s="25" t="s">
        <v>344</v>
      </c>
      <c r="D268" s="25"/>
      <c r="E268" s="25"/>
      <c r="F268" s="25"/>
      <c r="G268" s="25"/>
      <c r="H268" s="25" t="n">
        <v>10</v>
      </c>
      <c r="I268" s="25" t="n">
        <v>14.3</v>
      </c>
      <c r="J268" s="25" t="n">
        <v>25</v>
      </c>
      <c r="K268" s="25" t="n">
        <v>15</v>
      </c>
      <c r="L268" s="25" t="n">
        <v>27.2</v>
      </c>
      <c r="M268" s="25"/>
      <c r="N268" s="25"/>
      <c r="O268" s="25"/>
      <c r="P268" s="25"/>
      <c r="Q268" s="25"/>
      <c r="R268" s="25"/>
      <c r="S268" s="25" t="n">
        <v>8.5</v>
      </c>
      <c r="T268" s="25"/>
      <c r="U268" s="26"/>
      <c r="V268" s="25"/>
      <c r="W268" s="27"/>
      <c r="X268" s="25"/>
      <c r="Y268" s="25"/>
      <c r="Z268" s="25"/>
      <c r="AA268" s="26"/>
      <c r="AB268" s="32"/>
      <c r="AC268" s="27"/>
      <c r="AD268" s="32"/>
      <c r="AE268" s="25"/>
      <c r="AF268" s="25"/>
      <c r="AG268" s="25"/>
      <c r="AH268" s="32" t="n">
        <f aca="false">SUM(D268:AG268)</f>
        <v>100</v>
      </c>
      <c r="AK268" s="25" t="n">
        <f aca="false">AVERAGE(87.45,87.39)</f>
        <v>87.42</v>
      </c>
      <c r="AL268" s="25" t="n">
        <f aca="false">AVERAGE(13,12.98)</f>
        <v>12.99</v>
      </c>
      <c r="AM268" s="25" t="n">
        <v>147.909</v>
      </c>
      <c r="AN268" s="25"/>
      <c r="AO268" s="25"/>
      <c r="AP268" s="25"/>
      <c r="AQ268" s="25"/>
      <c r="AR268" s="26"/>
      <c r="AS268" s="25"/>
    </row>
    <row r="269" customFormat="false" ht="15" hidden="false" customHeight="false" outlineLevel="0" collapsed="false">
      <c r="A269" s="23" t="n">
        <v>265</v>
      </c>
      <c r="B269" s="24" t="s">
        <v>338</v>
      </c>
      <c r="C269" s="25" t="s">
        <v>345</v>
      </c>
      <c r="D269" s="25"/>
      <c r="E269" s="25"/>
      <c r="F269" s="25"/>
      <c r="G269" s="25"/>
      <c r="H269" s="25" t="n">
        <v>10</v>
      </c>
      <c r="I269" s="25" t="n">
        <v>14.3</v>
      </c>
      <c r="J269" s="25" t="n">
        <v>30</v>
      </c>
      <c r="K269" s="25" t="n">
        <v>37.7</v>
      </c>
      <c r="L269" s="25"/>
      <c r="M269" s="25"/>
      <c r="N269" s="25"/>
      <c r="O269" s="25"/>
      <c r="P269" s="25"/>
      <c r="Q269" s="25"/>
      <c r="R269" s="25"/>
      <c r="S269" s="25" t="n">
        <v>8</v>
      </c>
      <c r="T269" s="25"/>
      <c r="U269" s="26"/>
      <c r="V269" s="25"/>
      <c r="W269" s="27"/>
      <c r="X269" s="25"/>
      <c r="Y269" s="25"/>
      <c r="Z269" s="25"/>
      <c r="AA269" s="26"/>
      <c r="AB269" s="32"/>
      <c r="AC269" s="27"/>
      <c r="AD269" s="32"/>
      <c r="AE269" s="25"/>
      <c r="AF269" s="25"/>
      <c r="AG269" s="25"/>
      <c r="AH269" s="32" t="n">
        <f aca="false">SUM(D269:AG269)</f>
        <v>100</v>
      </c>
      <c r="AK269" s="25" t="n">
        <f aca="false">AVERAGE(76.64,76.38)</f>
        <v>76.51</v>
      </c>
      <c r="AL269" s="25" t="n">
        <f aca="false">AVERAGE(12.95,12.93)</f>
        <v>12.94</v>
      </c>
      <c r="AM269" s="25" t="n">
        <v>170.82</v>
      </c>
      <c r="AN269" s="25"/>
      <c r="AO269" s="25"/>
      <c r="AP269" s="25"/>
      <c r="AQ269" s="25"/>
      <c r="AR269" s="26"/>
      <c r="AS269" s="25"/>
    </row>
    <row r="270" customFormat="false" ht="15" hidden="false" customHeight="false" outlineLevel="0" collapsed="false">
      <c r="A270" s="23" t="n">
        <v>266</v>
      </c>
      <c r="B270" s="24" t="s">
        <v>338</v>
      </c>
      <c r="C270" s="25" t="s">
        <v>346</v>
      </c>
      <c r="D270" s="25"/>
      <c r="E270" s="25"/>
      <c r="F270" s="25"/>
      <c r="G270" s="25"/>
      <c r="H270" s="25" t="n">
        <v>10</v>
      </c>
      <c r="I270" s="25" t="n">
        <v>14.3</v>
      </c>
      <c r="J270" s="25" t="n">
        <v>40</v>
      </c>
      <c r="K270" s="25" t="n">
        <v>27.2</v>
      </c>
      <c r="L270" s="25"/>
      <c r="M270" s="25"/>
      <c r="N270" s="25"/>
      <c r="O270" s="25"/>
      <c r="P270" s="25"/>
      <c r="Q270" s="25"/>
      <c r="R270" s="25"/>
      <c r="S270" s="25" t="n">
        <v>8.5</v>
      </c>
      <c r="T270" s="25"/>
      <c r="U270" s="26"/>
      <c r="V270" s="25"/>
      <c r="W270" s="27"/>
      <c r="X270" s="25"/>
      <c r="Y270" s="25"/>
      <c r="Z270" s="25"/>
      <c r="AA270" s="26"/>
      <c r="AB270" s="32"/>
      <c r="AC270" s="27"/>
      <c r="AD270" s="32"/>
      <c r="AE270" s="25"/>
      <c r="AF270" s="25"/>
      <c r="AG270" s="25"/>
      <c r="AH270" s="32" t="n">
        <f aca="false">SUM(D270:AG270)</f>
        <v>100</v>
      </c>
      <c r="AK270" s="25" t="n">
        <f aca="false">AVERAGE(74.05,74.25)</f>
        <v>74.15</v>
      </c>
      <c r="AL270" s="25" t="n">
        <f aca="false">AVERAGE(12.7,12.69)</f>
        <v>12.695</v>
      </c>
      <c r="AM270" s="25" t="n">
        <v>172.111</v>
      </c>
      <c r="AN270" s="25"/>
      <c r="AO270" s="25"/>
      <c r="AP270" s="25"/>
      <c r="AQ270" s="25"/>
      <c r="AR270" s="26"/>
      <c r="AS270" s="25"/>
    </row>
    <row r="271" customFormat="false" ht="15" hidden="false" customHeight="false" outlineLevel="0" collapsed="false">
      <c r="A271" s="23" t="n">
        <v>267</v>
      </c>
      <c r="B271" s="24" t="s">
        <v>338</v>
      </c>
      <c r="C271" s="25" t="s">
        <v>347</v>
      </c>
      <c r="D271" s="25"/>
      <c r="E271" s="25"/>
      <c r="F271" s="25"/>
      <c r="G271" s="25"/>
      <c r="H271" s="25"/>
      <c r="I271" s="25"/>
      <c r="J271" s="25" t="n">
        <v>40</v>
      </c>
      <c r="K271" s="25" t="n">
        <v>35.72</v>
      </c>
      <c r="L271" s="25"/>
      <c r="M271" s="25"/>
      <c r="N271" s="25"/>
      <c r="O271" s="25" t="n">
        <v>10</v>
      </c>
      <c r="P271" s="25"/>
      <c r="Q271" s="25"/>
      <c r="R271" s="25"/>
      <c r="S271" s="25" t="n">
        <v>6</v>
      </c>
      <c r="T271" s="25"/>
      <c r="U271" s="26"/>
      <c r="V271" s="25"/>
      <c r="W271" s="27"/>
      <c r="X271" s="25"/>
      <c r="Y271" s="25"/>
      <c r="Z271" s="25"/>
      <c r="AA271" s="26"/>
      <c r="AB271" s="32"/>
      <c r="AC271" s="27"/>
      <c r="AD271" s="32"/>
      <c r="AE271" s="25"/>
      <c r="AF271" s="25"/>
      <c r="AG271" s="25" t="n">
        <v>8.28</v>
      </c>
      <c r="AH271" s="32" t="n">
        <f aca="false">SUM(D271:AG271)</f>
        <v>100</v>
      </c>
      <c r="AK271" s="25" t="n">
        <f aca="false">AVERAGE(47.17,47.22)</f>
        <v>47.195</v>
      </c>
      <c r="AL271" s="25" t="n">
        <f aca="false">AVERAGE(9.15,9.16)</f>
        <v>9.155</v>
      </c>
      <c r="AM271" s="25" t="n">
        <v>179.961</v>
      </c>
      <c r="AN271" s="25"/>
      <c r="AO271" s="25"/>
      <c r="AP271" s="25"/>
      <c r="AQ271" s="25"/>
      <c r="AR271" s="26"/>
      <c r="AS271" s="25"/>
    </row>
    <row r="272" customFormat="false" ht="15" hidden="false" customHeight="false" outlineLevel="0" collapsed="false">
      <c r="A272" s="43" t="n">
        <v>268</v>
      </c>
      <c r="B272" s="36" t="s">
        <v>338</v>
      </c>
      <c r="C272" s="35" t="s">
        <v>348</v>
      </c>
      <c r="D272" s="35"/>
      <c r="E272" s="35"/>
      <c r="F272" s="35"/>
      <c r="G272" s="35"/>
      <c r="H272" s="35"/>
      <c r="I272" s="35"/>
      <c r="J272" s="35" t="n">
        <v>36.22</v>
      </c>
      <c r="K272" s="35" t="n">
        <v>40</v>
      </c>
      <c r="L272" s="35"/>
      <c r="M272" s="35"/>
      <c r="N272" s="35"/>
      <c r="O272" s="35" t="n">
        <v>10</v>
      </c>
      <c r="P272" s="35"/>
      <c r="Q272" s="35"/>
      <c r="R272" s="35"/>
      <c r="S272" s="35" t="n">
        <v>5.5</v>
      </c>
      <c r="T272" s="35"/>
      <c r="U272" s="44"/>
      <c r="V272" s="25"/>
      <c r="W272" s="46"/>
      <c r="X272" s="35"/>
      <c r="Y272" s="35"/>
      <c r="Z272" s="35"/>
      <c r="AA272" s="44"/>
      <c r="AB272" s="32"/>
      <c r="AC272" s="46"/>
      <c r="AD272" s="52"/>
      <c r="AE272" s="35"/>
      <c r="AF272" s="35"/>
      <c r="AG272" s="35" t="n">
        <v>8.28</v>
      </c>
      <c r="AH272" s="52" t="n">
        <f aca="false">SUM(D272:AG272)</f>
        <v>100</v>
      </c>
      <c r="AK272" s="35" t="n">
        <f aca="false">AVERAGE(45.86,45.8)</f>
        <v>45.83</v>
      </c>
      <c r="AL272" s="35" t="n">
        <f aca="false">AVERAGE(8.99,8.99)</f>
        <v>8.99</v>
      </c>
      <c r="AM272" s="35" t="n">
        <v>181.407</v>
      </c>
      <c r="AN272" s="35"/>
      <c r="AO272" s="35"/>
      <c r="AP272" s="35"/>
      <c r="AQ272" s="35"/>
      <c r="AR272" s="44"/>
      <c r="AS272" s="25"/>
    </row>
    <row r="273" customFormat="false" ht="15" hidden="false" customHeight="false" outlineLevel="0" collapsed="false">
      <c r="A273" s="43" t="n">
        <v>269</v>
      </c>
      <c r="B273" s="36" t="s">
        <v>349</v>
      </c>
      <c r="C273" s="35" t="s">
        <v>350</v>
      </c>
      <c r="D273" s="35"/>
      <c r="E273" s="35"/>
      <c r="F273" s="35"/>
      <c r="G273" s="35"/>
      <c r="H273" s="35" t="n">
        <v>5</v>
      </c>
      <c r="I273" s="35"/>
      <c r="J273" s="35"/>
      <c r="K273" s="35" t="n">
        <v>30.72</v>
      </c>
      <c r="L273" s="35" t="n">
        <v>46</v>
      </c>
      <c r="M273" s="35"/>
      <c r="N273" s="35"/>
      <c r="O273" s="35" t="n">
        <v>5</v>
      </c>
      <c r="P273" s="35"/>
      <c r="Q273" s="35"/>
      <c r="R273" s="35"/>
      <c r="S273" s="35" t="n">
        <v>5</v>
      </c>
      <c r="T273" s="35"/>
      <c r="U273" s="44"/>
      <c r="V273" s="25"/>
      <c r="W273" s="46"/>
      <c r="X273" s="35"/>
      <c r="Y273" s="35"/>
      <c r="Z273" s="35"/>
      <c r="AA273" s="44"/>
      <c r="AB273" s="32"/>
      <c r="AC273" s="46"/>
      <c r="AD273" s="52"/>
      <c r="AE273" s="35"/>
      <c r="AF273" s="35"/>
      <c r="AG273" s="35" t="n">
        <v>8.28</v>
      </c>
      <c r="AH273" s="52" t="n">
        <f aca="false">SUM(D273:AG273)</f>
        <v>100</v>
      </c>
      <c r="AK273" s="25" t="n">
        <f aca="false">AVERAGE(66.13,66.12)</f>
        <v>66.125</v>
      </c>
      <c r="AL273" s="25" t="n">
        <f aca="false">AVERAGE(11.27,11.26)</f>
        <v>11.265</v>
      </c>
      <c r="AM273" s="25" t="n">
        <v>164.489</v>
      </c>
      <c r="AN273" s="25"/>
      <c r="AO273" s="25"/>
      <c r="AP273" s="25"/>
      <c r="AQ273" s="25"/>
      <c r="AR273" s="26"/>
      <c r="AS273" s="25"/>
    </row>
    <row r="274" customFormat="false" ht="15" hidden="false" customHeight="false" outlineLevel="0" collapsed="false">
      <c r="A274" s="23" t="n">
        <v>270</v>
      </c>
      <c r="B274" s="24" t="s">
        <v>349</v>
      </c>
      <c r="C274" s="25" t="s">
        <v>351</v>
      </c>
      <c r="D274" s="25"/>
      <c r="E274" s="25"/>
      <c r="F274" s="25"/>
      <c r="G274" s="25"/>
      <c r="H274" s="25" t="n">
        <v>10</v>
      </c>
      <c r="I274" s="25"/>
      <c r="J274" s="25"/>
      <c r="K274" s="25"/>
      <c r="L274" s="25" t="n">
        <v>74.12</v>
      </c>
      <c r="M274" s="25"/>
      <c r="N274" s="25"/>
      <c r="O274" s="25"/>
      <c r="P274" s="25"/>
      <c r="Q274" s="25"/>
      <c r="R274" s="25"/>
      <c r="S274" s="25" t="n">
        <v>7.6</v>
      </c>
      <c r="T274" s="25"/>
      <c r="U274" s="26"/>
      <c r="V274" s="25"/>
      <c r="W274" s="27"/>
      <c r="X274" s="25"/>
      <c r="Y274" s="25"/>
      <c r="Z274" s="25"/>
      <c r="AA274" s="26"/>
      <c r="AB274" s="32"/>
      <c r="AC274" s="27"/>
      <c r="AD274" s="32"/>
      <c r="AE274" s="25"/>
      <c r="AF274" s="25"/>
      <c r="AG274" s="25" t="n">
        <v>8.28</v>
      </c>
      <c r="AH274" s="32" t="n">
        <f aca="false">SUM(D274:AG274)</f>
        <v>100</v>
      </c>
      <c r="AK274" s="25" t="n">
        <f aca="false">AVERAGE(92.05,92.13)</f>
        <v>92.09</v>
      </c>
      <c r="AL274" s="25" t="n">
        <f aca="false">AVERAGE(14.91,14.79)</f>
        <v>14.85</v>
      </c>
      <c r="AM274" s="25" t="n">
        <v>169.209</v>
      </c>
      <c r="AN274" s="25"/>
      <c r="AO274" s="25"/>
      <c r="AP274" s="25"/>
      <c r="AQ274" s="25"/>
      <c r="AR274" s="26"/>
      <c r="AS274" s="25"/>
    </row>
    <row r="275" customFormat="false" ht="15" hidden="false" customHeight="false" outlineLevel="0" collapsed="false">
      <c r="A275" s="23" t="n">
        <v>271</v>
      </c>
      <c r="B275" s="24" t="s">
        <v>349</v>
      </c>
      <c r="C275" s="25" t="s">
        <v>352</v>
      </c>
      <c r="D275" s="25"/>
      <c r="E275" s="25"/>
      <c r="F275" s="25"/>
      <c r="G275" s="25" t="n">
        <v>1.5</v>
      </c>
      <c r="H275" s="25" t="n">
        <v>5</v>
      </c>
      <c r="I275" s="25"/>
      <c r="J275" s="25"/>
      <c r="K275" s="25" t="n">
        <v>34.3</v>
      </c>
      <c r="L275" s="25" t="n">
        <v>40</v>
      </c>
      <c r="M275" s="25"/>
      <c r="N275" s="25"/>
      <c r="O275" s="25" t="n">
        <v>5</v>
      </c>
      <c r="P275" s="25"/>
      <c r="Q275" s="25"/>
      <c r="R275" s="25"/>
      <c r="S275" s="25" t="n">
        <v>5.5</v>
      </c>
      <c r="T275" s="25"/>
      <c r="U275" s="26"/>
      <c r="V275" s="25"/>
      <c r="W275" s="27"/>
      <c r="X275" s="25"/>
      <c r="Y275" s="25"/>
      <c r="Z275" s="25" t="n">
        <v>8.7</v>
      </c>
      <c r="AA275" s="26"/>
      <c r="AB275" s="32"/>
      <c r="AC275" s="27"/>
      <c r="AD275" s="32"/>
      <c r="AE275" s="25"/>
      <c r="AF275" s="25"/>
      <c r="AG275" s="25"/>
      <c r="AH275" s="32" t="n">
        <f aca="false">SUM(D275:AG275)</f>
        <v>100</v>
      </c>
      <c r="AK275" s="25" t="n">
        <f aca="false">AVERAGE(65.65,65.88)</f>
        <v>65.765</v>
      </c>
      <c r="AL275" s="25" t="n">
        <f aca="false">AVERAGE(11.61,11.61)</f>
        <v>11.61</v>
      </c>
      <c r="AM275" s="25" t="n">
        <v>173.148</v>
      </c>
      <c r="AN275" s="25"/>
      <c r="AO275" s="25"/>
      <c r="AP275" s="25"/>
      <c r="AQ275" s="25"/>
      <c r="AR275" s="26"/>
      <c r="AS275" s="25"/>
    </row>
    <row r="276" customFormat="false" ht="15" hidden="false" customHeight="false" outlineLevel="0" collapsed="false">
      <c r="A276" s="23" t="n">
        <v>272</v>
      </c>
      <c r="B276" s="24" t="s">
        <v>349</v>
      </c>
      <c r="C276" s="25" t="s">
        <v>353</v>
      </c>
      <c r="D276" s="25"/>
      <c r="E276" s="25"/>
      <c r="F276" s="25"/>
      <c r="G276" s="25" t="n">
        <v>2.5</v>
      </c>
      <c r="H276" s="25" t="n">
        <v>7.5</v>
      </c>
      <c r="I276" s="25"/>
      <c r="J276" s="25"/>
      <c r="K276" s="25"/>
      <c r="L276" s="25"/>
      <c r="M276" s="25" t="n">
        <v>48.3</v>
      </c>
      <c r="N276" s="25" t="n">
        <v>26</v>
      </c>
      <c r="O276" s="25"/>
      <c r="P276" s="25"/>
      <c r="Q276" s="25"/>
      <c r="R276" s="25"/>
      <c r="S276" s="25" t="n">
        <v>7</v>
      </c>
      <c r="T276" s="25"/>
      <c r="U276" s="26"/>
      <c r="V276" s="25"/>
      <c r="W276" s="27"/>
      <c r="X276" s="25"/>
      <c r="Y276" s="25"/>
      <c r="Z276" s="25" t="n">
        <v>8.7</v>
      </c>
      <c r="AA276" s="26"/>
      <c r="AB276" s="32"/>
      <c r="AC276" s="27"/>
      <c r="AD276" s="32"/>
      <c r="AE276" s="25"/>
      <c r="AF276" s="25"/>
      <c r="AG276" s="25"/>
      <c r="AH276" s="32" t="n">
        <f aca="false">SUM(D276:AG276)</f>
        <v>100</v>
      </c>
      <c r="AK276" s="25" t="n">
        <f aca="false">AVERAGE(89.56,89.65)</f>
        <v>89.605</v>
      </c>
      <c r="AL276" s="25" t="n">
        <f aca="false">AVERAGE(13.23,13.19)</f>
        <v>13.21</v>
      </c>
      <c r="AM276" s="25" t="n">
        <v>147.478</v>
      </c>
      <c r="AN276" s="25"/>
      <c r="AO276" s="25"/>
      <c r="AP276" s="25"/>
      <c r="AQ276" s="25"/>
      <c r="AR276" s="26"/>
      <c r="AS276" s="25"/>
    </row>
    <row r="277" customFormat="false" ht="15" hidden="false" customHeight="false" outlineLevel="0" collapsed="false">
      <c r="A277" s="43" t="n">
        <v>273</v>
      </c>
      <c r="B277" s="36" t="s">
        <v>349</v>
      </c>
      <c r="C277" s="35" t="s">
        <v>354</v>
      </c>
      <c r="D277" s="35"/>
      <c r="E277" s="35"/>
      <c r="F277" s="35"/>
      <c r="G277" s="35" t="n">
        <v>2.5</v>
      </c>
      <c r="H277" s="35" t="n">
        <v>7.5</v>
      </c>
      <c r="I277" s="35"/>
      <c r="J277" s="35"/>
      <c r="K277" s="35"/>
      <c r="L277" s="35"/>
      <c r="M277" s="35" t="n">
        <v>14.3</v>
      </c>
      <c r="N277" s="35" t="n">
        <v>60</v>
      </c>
      <c r="O277" s="35"/>
      <c r="P277" s="35"/>
      <c r="Q277" s="35"/>
      <c r="R277" s="35"/>
      <c r="S277" s="35" t="n">
        <v>7</v>
      </c>
      <c r="T277" s="35"/>
      <c r="U277" s="44"/>
      <c r="V277" s="35"/>
      <c r="W277" s="46"/>
      <c r="X277" s="35"/>
      <c r="Y277" s="35"/>
      <c r="Z277" s="35" t="n">
        <v>8.7</v>
      </c>
      <c r="AA277" s="44"/>
      <c r="AB277" s="32"/>
      <c r="AC277" s="46"/>
      <c r="AD277" s="52"/>
      <c r="AE277" s="35"/>
      <c r="AF277" s="35"/>
      <c r="AG277" s="35"/>
      <c r="AH277" s="52" t="n">
        <f aca="false">SUM(D277:AG277)</f>
        <v>100</v>
      </c>
      <c r="AK277" s="35" t="n">
        <f aca="false">AVERAGE(138.24,136.81)</f>
        <v>137.525</v>
      </c>
      <c r="AL277" s="35" t="n">
        <f aca="false">AVERAGE(17.56,17.58)</f>
        <v>17.57</v>
      </c>
      <c r="AM277" s="35" t="n">
        <v>143.008</v>
      </c>
      <c r="AN277" s="35"/>
      <c r="AO277" s="35"/>
      <c r="AP277" s="35"/>
      <c r="AQ277" s="35"/>
      <c r="AR277" s="44"/>
      <c r="AS277" s="25"/>
    </row>
    <row r="278" customFormat="false" ht="15" hidden="false" customHeight="false" outlineLevel="0" collapsed="false">
      <c r="A278" s="23" t="n">
        <v>274</v>
      </c>
      <c r="B278" s="24" t="s">
        <v>355</v>
      </c>
      <c r="C278" s="25" t="s">
        <v>356</v>
      </c>
      <c r="D278" s="25" t="n">
        <v>7.5</v>
      </c>
      <c r="E278" s="25"/>
      <c r="F278" s="25"/>
      <c r="G278" s="25" t="n">
        <v>2.5</v>
      </c>
      <c r="H278" s="25"/>
      <c r="I278" s="25"/>
      <c r="J278" s="25"/>
      <c r="K278" s="25"/>
      <c r="L278" s="25"/>
      <c r="M278" s="25" t="n">
        <v>28.3</v>
      </c>
      <c r="N278" s="25" t="n">
        <v>45</v>
      </c>
      <c r="O278" s="25"/>
      <c r="P278" s="25"/>
      <c r="Q278" s="25"/>
      <c r="R278" s="25"/>
      <c r="S278" s="25" t="n">
        <v>8</v>
      </c>
      <c r="T278" s="25"/>
      <c r="U278" s="25"/>
      <c r="V278" s="25"/>
      <c r="W278" s="25"/>
      <c r="X278" s="25"/>
      <c r="Y278" s="25"/>
      <c r="Z278" s="25" t="n">
        <v>8.7</v>
      </c>
      <c r="AA278" s="26"/>
      <c r="AB278" s="32"/>
      <c r="AC278" s="27"/>
      <c r="AD278" s="32"/>
      <c r="AE278" s="25"/>
      <c r="AF278" s="25"/>
      <c r="AG278" s="25"/>
      <c r="AH278" s="32" t="n">
        <f aca="false">SUM(D278:AG278)</f>
        <v>100</v>
      </c>
      <c r="AK278" s="25" t="n">
        <f aca="false">AVERAGE(124.64,124.67)</f>
        <v>124.655</v>
      </c>
      <c r="AL278" s="25" t="n">
        <f aca="false">AVERAGE(16.86,16.85)</f>
        <v>16.855</v>
      </c>
      <c r="AM278" s="25" t="n">
        <v>147.4</v>
      </c>
      <c r="AN278" s="25"/>
      <c r="AO278" s="25"/>
      <c r="AP278" s="25"/>
      <c r="AQ278" s="25"/>
      <c r="AR278" s="26"/>
      <c r="AS278" s="25"/>
    </row>
    <row r="279" customFormat="false" ht="15" hidden="false" customHeight="false" outlineLevel="0" collapsed="false">
      <c r="A279" s="23" t="n">
        <v>275</v>
      </c>
      <c r="B279" s="24" t="s">
        <v>355</v>
      </c>
      <c r="C279" s="25" t="s">
        <v>357</v>
      </c>
      <c r="D279" s="25" t="n">
        <v>7.5</v>
      </c>
      <c r="E279" s="25"/>
      <c r="F279" s="25"/>
      <c r="G279" s="25" t="n">
        <v>2.5</v>
      </c>
      <c r="H279" s="25"/>
      <c r="I279" s="25"/>
      <c r="J279" s="25"/>
      <c r="K279" s="25"/>
      <c r="L279" s="25"/>
      <c r="M279" s="25" t="n">
        <v>43.3</v>
      </c>
      <c r="N279" s="25" t="n">
        <v>30</v>
      </c>
      <c r="O279" s="25"/>
      <c r="P279" s="25"/>
      <c r="Q279" s="25"/>
      <c r="R279" s="25"/>
      <c r="S279" s="25" t="n">
        <v>8</v>
      </c>
      <c r="T279" s="25"/>
      <c r="U279" s="25"/>
      <c r="V279" s="25"/>
      <c r="W279" s="25"/>
      <c r="X279" s="25"/>
      <c r="Y279" s="25"/>
      <c r="Z279" s="25" t="n">
        <v>8.7</v>
      </c>
      <c r="AA279" s="26"/>
      <c r="AB279" s="32"/>
      <c r="AC279" s="27"/>
      <c r="AD279" s="32"/>
      <c r="AE279" s="25"/>
      <c r="AF279" s="25"/>
      <c r="AG279" s="25"/>
      <c r="AH279" s="32" t="n">
        <f aca="false">SUM(D279:AG279)</f>
        <v>100</v>
      </c>
      <c r="AK279" s="25" t="n">
        <f aca="false">AVERAGE(102.26,102.27)</f>
        <v>102.265</v>
      </c>
      <c r="AL279" s="25" t="n">
        <f aca="false">AVERAGE(14.98,14.94)</f>
        <v>14.96</v>
      </c>
      <c r="AM279" s="25" t="n">
        <v>152.921</v>
      </c>
      <c r="AN279" s="25"/>
      <c r="AO279" s="25"/>
      <c r="AP279" s="25"/>
      <c r="AQ279" s="25"/>
      <c r="AR279" s="26"/>
      <c r="AS279" s="25"/>
    </row>
    <row r="280" customFormat="false" ht="15" hidden="false" customHeight="false" outlineLevel="0" collapsed="false">
      <c r="A280" s="23" t="n">
        <v>276</v>
      </c>
      <c r="B280" s="24" t="s">
        <v>355</v>
      </c>
      <c r="C280" s="25" t="s">
        <v>358</v>
      </c>
      <c r="D280" s="25" t="n">
        <v>7.5</v>
      </c>
      <c r="E280" s="25"/>
      <c r="F280" s="25"/>
      <c r="G280" s="25" t="n">
        <v>2.5</v>
      </c>
      <c r="H280" s="25"/>
      <c r="I280" s="25"/>
      <c r="J280" s="25"/>
      <c r="K280" s="25"/>
      <c r="L280" s="25"/>
      <c r="M280" s="25" t="n">
        <v>53.8</v>
      </c>
      <c r="N280" s="25" t="n">
        <v>20</v>
      </c>
      <c r="O280" s="25"/>
      <c r="P280" s="25"/>
      <c r="Q280" s="25"/>
      <c r="R280" s="25"/>
      <c r="S280" s="25" t="n">
        <v>7.5</v>
      </c>
      <c r="T280" s="25"/>
      <c r="U280" s="25"/>
      <c r="V280" s="25"/>
      <c r="W280" s="25"/>
      <c r="X280" s="25"/>
      <c r="Y280" s="25"/>
      <c r="Z280" s="25" t="n">
        <v>8.7</v>
      </c>
      <c r="AA280" s="26"/>
      <c r="AB280" s="32"/>
      <c r="AC280" s="27"/>
      <c r="AD280" s="32"/>
      <c r="AE280" s="25"/>
      <c r="AF280" s="25"/>
      <c r="AG280" s="25"/>
      <c r="AH280" s="32" t="n">
        <f aca="false">SUM(D280:AG280)</f>
        <v>100</v>
      </c>
      <c r="AK280" s="25" t="n">
        <f aca="false">AVERAGE(91.9,91.89)</f>
        <v>91.895</v>
      </c>
      <c r="AL280" s="25" t="n">
        <f aca="false">AVERAGE(13.85,13.8)</f>
        <v>13.825</v>
      </c>
      <c r="AM280" s="25" t="n">
        <v>153.475</v>
      </c>
      <c r="AN280" s="25"/>
      <c r="AO280" s="25"/>
      <c r="AP280" s="25"/>
      <c r="AQ280" s="25"/>
      <c r="AR280" s="26"/>
      <c r="AS280" s="25"/>
    </row>
    <row r="281" customFormat="false" ht="15" hidden="false" customHeight="false" outlineLevel="0" collapsed="false">
      <c r="A281" s="23" t="n">
        <v>277</v>
      </c>
      <c r="B281" s="24" t="s">
        <v>355</v>
      </c>
      <c r="C281" s="25" t="s">
        <v>359</v>
      </c>
      <c r="D281" s="25" t="n">
        <v>7.5</v>
      </c>
      <c r="E281" s="25"/>
      <c r="F281" s="25"/>
      <c r="G281" s="25" t="n">
        <v>2.5</v>
      </c>
      <c r="H281" s="25"/>
      <c r="I281" s="25"/>
      <c r="J281" s="25"/>
      <c r="K281" s="25"/>
      <c r="L281" s="25"/>
      <c r="M281" s="25" t="n">
        <v>48.8</v>
      </c>
      <c r="N281" s="25" t="n">
        <v>25</v>
      </c>
      <c r="O281" s="25"/>
      <c r="P281" s="25"/>
      <c r="Q281" s="25"/>
      <c r="R281" s="25"/>
      <c r="S281" s="25" t="n">
        <v>7.5</v>
      </c>
      <c r="T281" s="25"/>
      <c r="U281" s="25"/>
      <c r="V281" s="25"/>
      <c r="W281" s="25"/>
      <c r="X281" s="25"/>
      <c r="Y281" s="25"/>
      <c r="Z281" s="25" t="n">
        <v>8.7</v>
      </c>
      <c r="AA281" s="26"/>
      <c r="AB281" s="32"/>
      <c r="AC281" s="27"/>
      <c r="AD281" s="32"/>
      <c r="AE281" s="25"/>
      <c r="AF281" s="25"/>
      <c r="AG281" s="25"/>
      <c r="AH281" s="32" t="n">
        <f aca="false">SUM(D281:AG281)</f>
        <v>100</v>
      </c>
      <c r="AK281" s="25" t="n">
        <f aca="false">AVERAGE(94.17,94.02)</f>
        <v>94.095</v>
      </c>
      <c r="AL281" s="25" t="n">
        <f aca="false">AVERAGE(14.21,14.19)</f>
        <v>14.2</v>
      </c>
      <c r="AM281" s="25" t="n">
        <v>155.381</v>
      </c>
      <c r="AN281" s="25"/>
      <c r="AO281" s="25"/>
      <c r="AP281" s="25"/>
      <c r="AQ281" s="25"/>
      <c r="AR281" s="26"/>
      <c r="AS281" s="25"/>
    </row>
    <row r="282" customFormat="false" ht="15" hidden="false" customHeight="false" outlineLevel="0" collapsed="false">
      <c r="A282" s="23" t="n">
        <v>278</v>
      </c>
      <c r="B282" s="24" t="s">
        <v>355</v>
      </c>
      <c r="C282" s="25" t="s">
        <v>360</v>
      </c>
      <c r="D282" s="25" t="n">
        <v>7.5</v>
      </c>
      <c r="E282" s="25"/>
      <c r="F282" s="25"/>
      <c r="G282" s="25" t="n">
        <v>2.5</v>
      </c>
      <c r="H282" s="25"/>
      <c r="I282" s="25"/>
      <c r="J282" s="25"/>
      <c r="K282" s="25"/>
      <c r="L282" s="25"/>
      <c r="M282" s="25" t="n">
        <v>23.3</v>
      </c>
      <c r="N282" s="25" t="n">
        <v>50</v>
      </c>
      <c r="O282" s="25"/>
      <c r="P282" s="25"/>
      <c r="Q282" s="25"/>
      <c r="R282" s="25"/>
      <c r="S282" s="25" t="n">
        <v>8</v>
      </c>
      <c r="T282" s="25"/>
      <c r="U282" s="25"/>
      <c r="V282" s="25"/>
      <c r="W282" s="25"/>
      <c r="X282" s="25"/>
      <c r="Y282" s="25"/>
      <c r="Z282" s="25" t="n">
        <v>8.7</v>
      </c>
      <c r="AA282" s="26"/>
      <c r="AB282" s="32"/>
      <c r="AC282" s="27"/>
      <c r="AD282" s="32"/>
      <c r="AE282" s="25"/>
      <c r="AF282" s="25"/>
      <c r="AG282" s="25"/>
      <c r="AH282" s="32" t="n">
        <f aca="false">SUM(D282:AG282)</f>
        <v>100</v>
      </c>
      <c r="AK282" s="25" t="n">
        <f aca="false">AVERAGE(127.91,127.96)</f>
        <v>127.935</v>
      </c>
      <c r="AL282" s="25" t="n">
        <f aca="false">AVERAGE(17.19,17.15)</f>
        <v>17.17</v>
      </c>
      <c r="AM282" s="25" t="n">
        <v>146.886</v>
      </c>
      <c r="AN282" s="25"/>
      <c r="AO282" s="25"/>
      <c r="AP282" s="25"/>
      <c r="AQ282" s="25"/>
      <c r="AR282" s="26"/>
      <c r="AS282" s="25"/>
    </row>
    <row r="283" customFormat="false" ht="15" hidden="false" customHeight="false" outlineLevel="0" collapsed="false">
      <c r="A283" s="23" t="n">
        <v>279</v>
      </c>
      <c r="B283" s="24" t="s">
        <v>355</v>
      </c>
      <c r="C283" s="25" t="s">
        <v>361</v>
      </c>
      <c r="D283" s="25" t="n">
        <v>5</v>
      </c>
      <c r="E283" s="25"/>
      <c r="F283" s="25"/>
      <c r="G283" s="25"/>
      <c r="H283" s="25"/>
      <c r="I283" s="25"/>
      <c r="J283" s="25"/>
      <c r="K283" s="25" t="n">
        <v>35</v>
      </c>
      <c r="L283" s="25" t="n">
        <v>40.72</v>
      </c>
      <c r="M283" s="25"/>
      <c r="N283" s="25"/>
      <c r="O283" s="25" t="n">
        <v>5</v>
      </c>
      <c r="P283" s="25"/>
      <c r="Q283" s="25"/>
      <c r="R283" s="25"/>
      <c r="S283" s="25" t="n">
        <v>6</v>
      </c>
      <c r="T283" s="25"/>
      <c r="U283" s="25"/>
      <c r="V283" s="25"/>
      <c r="W283" s="25"/>
      <c r="X283" s="25"/>
      <c r="Y283" s="25"/>
      <c r="Z283" s="25"/>
      <c r="AA283" s="26"/>
      <c r="AB283" s="32"/>
      <c r="AC283" s="27"/>
      <c r="AD283" s="32"/>
      <c r="AE283" s="25"/>
      <c r="AF283" s="25"/>
      <c r="AG283" s="25" t="n">
        <v>8.28</v>
      </c>
      <c r="AH283" s="32" t="n">
        <f aca="false">SUM(D283:AG283)</f>
        <v>100</v>
      </c>
      <c r="AK283" s="25" t="n">
        <f aca="false">AVERAGE(69.41,69.35)</f>
        <v>69.38</v>
      </c>
      <c r="AL283" s="25" t="n">
        <f aca="false">AVERAGE(11.99,11.97)</f>
        <v>11.98</v>
      </c>
      <c r="AM283" s="25" t="n">
        <v>170.484</v>
      </c>
      <c r="AN283" s="25"/>
      <c r="AO283" s="25"/>
      <c r="AP283" s="25"/>
      <c r="AQ283" s="25"/>
      <c r="AR283" s="26"/>
      <c r="AS283" s="25"/>
    </row>
    <row r="284" customFormat="false" ht="15" hidden="false" customHeight="false" outlineLevel="0" collapsed="false">
      <c r="A284" s="23" t="n">
        <v>280</v>
      </c>
      <c r="B284" s="24" t="s">
        <v>355</v>
      </c>
      <c r="C284" s="25" t="s">
        <v>362</v>
      </c>
      <c r="D284" s="25" t="n">
        <v>5</v>
      </c>
      <c r="E284" s="25"/>
      <c r="F284" s="25"/>
      <c r="G284" s="25"/>
      <c r="H284" s="25"/>
      <c r="I284" s="25"/>
      <c r="J284" s="25" t="n">
        <v>10</v>
      </c>
      <c r="K284" s="25" t="n">
        <v>25</v>
      </c>
      <c r="L284" s="25" t="n">
        <v>40.22</v>
      </c>
      <c r="M284" s="25"/>
      <c r="N284" s="25"/>
      <c r="O284" s="25" t="n">
        <v>5</v>
      </c>
      <c r="P284" s="25"/>
      <c r="Q284" s="25"/>
      <c r="R284" s="25"/>
      <c r="S284" s="25" t="n">
        <v>6.5</v>
      </c>
      <c r="T284" s="25"/>
      <c r="U284" s="25"/>
      <c r="V284" s="25"/>
      <c r="W284" s="25"/>
      <c r="X284" s="25"/>
      <c r="Y284" s="25"/>
      <c r="Z284" s="25"/>
      <c r="AA284" s="26"/>
      <c r="AB284" s="32"/>
      <c r="AC284" s="27"/>
      <c r="AD284" s="32"/>
      <c r="AE284" s="25"/>
      <c r="AF284" s="25"/>
      <c r="AG284" s="25" t="n">
        <v>8.28</v>
      </c>
      <c r="AH284" s="32" t="n">
        <f aca="false">SUM(D284:AG284)</f>
        <v>100</v>
      </c>
      <c r="AK284" s="25" t="n">
        <f aca="false">AVERAGE(65.9,65.8)</f>
        <v>65.85</v>
      </c>
      <c r="AL284" s="25" t="n">
        <f aca="false">AVERAGE(11.5,11.49)</f>
        <v>11.495</v>
      </c>
      <c r="AM284" s="25" t="n">
        <v>170.334</v>
      </c>
      <c r="AN284" s="25"/>
      <c r="AO284" s="25"/>
      <c r="AP284" s="25"/>
      <c r="AQ284" s="25"/>
      <c r="AR284" s="26"/>
      <c r="AS284" s="25"/>
    </row>
    <row r="285" customFormat="false" ht="15" hidden="false" customHeight="false" outlineLevel="0" collapsed="false">
      <c r="A285" s="23" t="n">
        <v>281</v>
      </c>
      <c r="B285" s="24" t="s">
        <v>363</v>
      </c>
      <c r="C285" s="25" t="s">
        <v>364</v>
      </c>
      <c r="D285" s="25" t="n">
        <v>125</v>
      </c>
      <c r="E285" s="25"/>
      <c r="F285" s="25"/>
      <c r="G285" s="25"/>
      <c r="H285" s="25"/>
      <c r="I285" s="25"/>
      <c r="J285" s="25"/>
      <c r="K285" s="25" t="n">
        <v>768</v>
      </c>
      <c r="L285" s="25" t="n">
        <v>1150</v>
      </c>
      <c r="M285" s="25"/>
      <c r="N285" s="25"/>
      <c r="O285" s="25" t="n">
        <v>125</v>
      </c>
      <c r="P285" s="25"/>
      <c r="Q285" s="25"/>
      <c r="R285" s="25"/>
      <c r="S285" s="25" t="n">
        <v>125</v>
      </c>
      <c r="T285" s="25"/>
      <c r="U285" s="25"/>
      <c r="V285" s="25"/>
      <c r="W285" s="25"/>
      <c r="X285" s="25"/>
      <c r="Y285" s="25"/>
      <c r="Z285" s="25"/>
      <c r="AA285" s="26"/>
      <c r="AB285" s="32"/>
      <c r="AC285" s="27"/>
      <c r="AD285" s="32"/>
      <c r="AE285" s="25"/>
      <c r="AF285" s="25"/>
      <c r="AG285" s="25" t="n">
        <v>207</v>
      </c>
      <c r="AH285" s="32" t="n">
        <f aca="false">SUM(D285:AG285)</f>
        <v>2500</v>
      </c>
      <c r="AK285" s="25" t="n">
        <f aca="false">AVERAGE(66.25,66.08)</f>
        <v>66.165</v>
      </c>
      <c r="AL285" s="25" t="n">
        <f aca="false">AVERAGE(11.44,11.44)</f>
        <v>11.44</v>
      </c>
      <c r="AM285" s="25" t="n">
        <v>168.161</v>
      </c>
      <c r="AN285" s="25" t="n">
        <v>3.48519</v>
      </c>
      <c r="AO285" s="51" t="n">
        <v>7464.05</v>
      </c>
      <c r="AP285" s="25" t="n">
        <v>-29</v>
      </c>
      <c r="AQ285" s="25" t="n">
        <v>5.1</v>
      </c>
      <c r="AR285" s="26"/>
      <c r="AS285" s="25" t="n">
        <v>207</v>
      </c>
    </row>
    <row r="286" customFormat="false" ht="15" hidden="false" customHeight="false" outlineLevel="0" collapsed="false">
      <c r="A286" s="23" t="n">
        <v>282</v>
      </c>
      <c r="B286" s="24" t="s">
        <v>363</v>
      </c>
      <c r="C286" s="25" t="s">
        <v>365</v>
      </c>
      <c r="D286" s="25" t="n">
        <v>250</v>
      </c>
      <c r="E286" s="25"/>
      <c r="F286" s="25"/>
      <c r="G286" s="25"/>
      <c r="H286" s="25"/>
      <c r="I286" s="25"/>
      <c r="J286" s="25"/>
      <c r="K286" s="25"/>
      <c r="L286" s="25" t="n">
        <v>1853</v>
      </c>
      <c r="M286" s="25"/>
      <c r="N286" s="25"/>
      <c r="O286" s="25"/>
      <c r="P286" s="25"/>
      <c r="Q286" s="25"/>
      <c r="R286" s="25"/>
      <c r="S286" s="25" t="n">
        <v>190</v>
      </c>
      <c r="T286" s="25"/>
      <c r="U286" s="25"/>
      <c r="V286" s="25"/>
      <c r="W286" s="25"/>
      <c r="X286" s="25"/>
      <c r="Y286" s="25"/>
      <c r="Z286" s="25"/>
      <c r="AA286" s="26"/>
      <c r="AB286" s="32"/>
      <c r="AC286" s="27"/>
      <c r="AD286" s="32"/>
      <c r="AE286" s="25"/>
      <c r="AF286" s="25"/>
      <c r="AG286" s="25" t="n">
        <v>207</v>
      </c>
      <c r="AH286" s="32" t="n">
        <f aca="false">SUM(D286:AG286)</f>
        <v>2500</v>
      </c>
      <c r="AK286" s="25" t="n">
        <f aca="false">AVERAGE(93.66,93.43)</f>
        <v>93.545</v>
      </c>
      <c r="AL286" s="25" t="n">
        <f aca="false">AVERAGE(15,15)</f>
        <v>15</v>
      </c>
      <c r="AM286" s="25" t="n">
        <v>168.743</v>
      </c>
      <c r="AN286" s="25" t="n">
        <v>4.150855</v>
      </c>
      <c r="AO286" s="25" t="n">
        <v>5906.08</v>
      </c>
      <c r="AP286" s="25" t="n">
        <v>-23</v>
      </c>
      <c r="AQ286" s="25" t="n">
        <v>4.7</v>
      </c>
      <c r="AR286" s="26"/>
      <c r="AS286" s="25" t="n">
        <v>212</v>
      </c>
    </row>
    <row r="287" customFormat="false" ht="15" hidden="false" customHeight="false" outlineLevel="0" collapsed="false">
      <c r="A287" s="23" t="n">
        <v>283</v>
      </c>
      <c r="B287" s="24" t="s">
        <v>363</v>
      </c>
      <c r="C287" s="25" t="s">
        <v>366</v>
      </c>
      <c r="D287" s="25" t="n">
        <v>187.5</v>
      </c>
      <c r="E287" s="25"/>
      <c r="F287" s="25"/>
      <c r="G287" s="25" t="n">
        <v>62.5</v>
      </c>
      <c r="H287" s="25"/>
      <c r="I287" s="25"/>
      <c r="J287" s="25"/>
      <c r="K287" s="25"/>
      <c r="L287" s="25"/>
      <c r="M287" s="25" t="n">
        <v>1207.5</v>
      </c>
      <c r="N287" s="25" t="n">
        <v>650</v>
      </c>
      <c r="O287" s="25"/>
      <c r="P287" s="25"/>
      <c r="Q287" s="25"/>
      <c r="R287" s="25"/>
      <c r="S287" s="25" t="n">
        <v>175</v>
      </c>
      <c r="T287" s="25"/>
      <c r="U287" s="25"/>
      <c r="V287" s="25"/>
      <c r="W287" s="25"/>
      <c r="X287" s="25"/>
      <c r="Y287" s="25"/>
      <c r="Z287" s="25" t="n">
        <v>217.5</v>
      </c>
      <c r="AA287" s="26"/>
      <c r="AB287" s="32"/>
      <c r="AC287" s="27"/>
      <c r="AD287" s="32"/>
      <c r="AE287" s="25"/>
      <c r="AF287" s="25"/>
      <c r="AG287" s="25"/>
      <c r="AH287" s="32" t="n">
        <f aca="false">SUM(D287:AG287)</f>
        <v>2500</v>
      </c>
      <c r="AK287" s="35" t="n">
        <f aca="false">AVERAGE(93.83,93.82)</f>
        <v>93.825</v>
      </c>
      <c r="AL287" s="35" t="n">
        <f aca="false">AVERAGE(13.74,13.72)</f>
        <v>13.73</v>
      </c>
      <c r="AM287" s="35" t="n">
        <v>148.465</v>
      </c>
      <c r="AN287" s="35" t="n">
        <v>3.959065</v>
      </c>
      <c r="AO287" s="54" t="n">
        <v>8276.61</v>
      </c>
      <c r="AP287" s="35" t="n">
        <v>-30</v>
      </c>
      <c r="AQ287" s="35" t="n">
        <v>9.5</v>
      </c>
      <c r="AR287" s="44"/>
      <c r="AS287" s="35" t="n">
        <v>187</v>
      </c>
    </row>
    <row r="288" customFormat="false" ht="15" hidden="false" customHeight="false" outlineLevel="0" collapsed="false">
      <c r="A288" s="43" t="n">
        <v>284</v>
      </c>
      <c r="B288" s="36" t="s">
        <v>363</v>
      </c>
      <c r="C288" s="35" t="s">
        <v>367</v>
      </c>
      <c r="D288" s="35"/>
      <c r="E288" s="35" t="n">
        <v>2.5</v>
      </c>
      <c r="F288" s="35"/>
      <c r="G288" s="35"/>
      <c r="H288" s="35"/>
      <c r="I288" s="35"/>
      <c r="J288" s="35"/>
      <c r="K288" s="35"/>
      <c r="L288" s="35"/>
      <c r="M288" s="35" t="n">
        <v>44</v>
      </c>
      <c r="N288" s="35" t="n">
        <v>35</v>
      </c>
      <c r="O288" s="35"/>
      <c r="P288" s="35"/>
      <c r="Q288" s="35"/>
      <c r="R288" s="35"/>
      <c r="S288" s="35" t="n">
        <v>8</v>
      </c>
      <c r="T288" s="35"/>
      <c r="U288" s="35"/>
      <c r="V288" s="35" t="n">
        <v>10.5</v>
      </c>
      <c r="W288" s="35"/>
      <c r="X288" s="35"/>
      <c r="Y288" s="35"/>
      <c r="Z288" s="35"/>
      <c r="AA288" s="44"/>
      <c r="AB288" s="52"/>
      <c r="AC288" s="46"/>
      <c r="AD288" s="52"/>
      <c r="AE288" s="35"/>
      <c r="AF288" s="35"/>
      <c r="AG288" s="35"/>
      <c r="AH288" s="52" t="n">
        <f aca="false">SUM(D288:AG288)</f>
        <v>100</v>
      </c>
      <c r="AK288" s="25" t="n">
        <f aca="false">AVERAGE(111.13,111.16)</f>
        <v>111.145</v>
      </c>
      <c r="AL288" s="25" t="n">
        <f aca="false">AVERAGE(15.88,15.86)</f>
        <v>15.87</v>
      </c>
      <c r="AM288" s="25" t="n">
        <v>152.197</v>
      </c>
      <c r="AN288" s="25"/>
      <c r="AO288" s="25"/>
      <c r="AP288" s="25"/>
      <c r="AQ288" s="25"/>
      <c r="AR288" s="25" t="s">
        <v>368</v>
      </c>
      <c r="AS288" s="25"/>
    </row>
    <row r="289" customFormat="false" ht="15" hidden="false" customHeight="false" outlineLevel="0" collapsed="false">
      <c r="A289" s="23" t="n">
        <v>285</v>
      </c>
      <c r="B289" s="24" t="s">
        <v>369</v>
      </c>
      <c r="C289" s="25" t="s">
        <v>370</v>
      </c>
      <c r="D289" s="25"/>
      <c r="E289" s="25"/>
      <c r="F289" s="25"/>
      <c r="G289" s="25" t="n">
        <v>2.5</v>
      </c>
      <c r="H289" s="25" t="n">
        <v>7.5</v>
      </c>
      <c r="I289" s="25"/>
      <c r="J289" s="25"/>
      <c r="K289" s="25"/>
      <c r="L289" s="25"/>
      <c r="M289" s="25" t="n">
        <v>44</v>
      </c>
      <c r="N289" s="25" t="n">
        <v>26.3</v>
      </c>
      <c r="O289" s="25"/>
      <c r="P289" s="25"/>
      <c r="Q289" s="25"/>
      <c r="R289" s="25"/>
      <c r="S289" s="25" t="n">
        <v>8</v>
      </c>
      <c r="T289" s="25"/>
      <c r="U289" s="25"/>
      <c r="V289" s="25"/>
      <c r="W289" s="25"/>
      <c r="X289" s="25"/>
      <c r="Y289" s="25"/>
      <c r="Z289" s="25"/>
      <c r="AA289" s="25"/>
      <c r="AB289" s="32" t="n">
        <v>11.7</v>
      </c>
      <c r="AC289" s="25"/>
      <c r="AD289" s="25"/>
      <c r="AE289" s="25"/>
      <c r="AF289" s="25"/>
      <c r="AG289" s="25"/>
      <c r="AH289" s="32" t="n">
        <f aca="false">SUM(D289:AG289)</f>
        <v>100</v>
      </c>
      <c r="AK289" s="25" t="n">
        <f aca="false">AVERAGE(103.01,102.92)</f>
        <v>102.965</v>
      </c>
      <c r="AL289" s="25" t="n">
        <f aca="false">AVERAGE(14.64,14.64)</f>
        <v>14.64</v>
      </c>
      <c r="AM289" s="25" t="n">
        <v>147.15</v>
      </c>
      <c r="AN289" s="25" t="n">
        <v>4.03492</v>
      </c>
      <c r="AO289" s="25"/>
      <c r="AP289" s="25"/>
      <c r="AQ289" s="25"/>
      <c r="AR289" s="25"/>
      <c r="AS289" s="25"/>
    </row>
    <row r="290" customFormat="false" ht="15" hidden="false" customHeight="false" outlineLevel="0" collapsed="false">
      <c r="A290" s="23" t="n">
        <v>286</v>
      </c>
      <c r="B290" s="24" t="s">
        <v>369</v>
      </c>
      <c r="C290" s="25" t="s">
        <v>371</v>
      </c>
      <c r="D290" s="25"/>
      <c r="E290" s="25"/>
      <c r="F290" s="25"/>
      <c r="G290" s="25" t="n">
        <v>2.5</v>
      </c>
      <c r="H290" s="25" t="n">
        <v>7.5</v>
      </c>
      <c r="I290" s="25"/>
      <c r="J290" s="25"/>
      <c r="K290" s="25"/>
      <c r="L290" s="25"/>
      <c r="M290" s="25" t="n">
        <v>36.3</v>
      </c>
      <c r="N290" s="25" t="n">
        <v>35</v>
      </c>
      <c r="O290" s="25"/>
      <c r="P290" s="25"/>
      <c r="Q290" s="25"/>
      <c r="R290" s="25"/>
      <c r="S290" s="25" t="n">
        <v>7</v>
      </c>
      <c r="T290" s="25"/>
      <c r="U290" s="25"/>
      <c r="V290" s="25"/>
      <c r="W290" s="25"/>
      <c r="X290" s="25"/>
      <c r="Y290" s="25"/>
      <c r="Z290" s="25"/>
      <c r="AA290" s="25"/>
      <c r="AB290" s="32" t="n">
        <v>11.7</v>
      </c>
      <c r="AC290" s="25"/>
      <c r="AD290" s="25"/>
      <c r="AE290" s="25"/>
      <c r="AF290" s="25"/>
      <c r="AG290" s="25"/>
      <c r="AH290" s="32" t="n">
        <f aca="false">SUM(D290:AG290)</f>
        <v>100</v>
      </c>
      <c r="AK290" s="25" t="n">
        <f aca="false">AVERAGE(107.42,107.27)</f>
        <v>107.345</v>
      </c>
      <c r="AL290" s="25" t="n">
        <f aca="false">AVERAGE(14.74,14.76)</f>
        <v>14.75</v>
      </c>
      <c r="AM290" s="25" t="n">
        <v>142.153</v>
      </c>
      <c r="AN290" s="25" t="n">
        <v>4.09775</v>
      </c>
      <c r="AO290" s="25"/>
      <c r="AP290" s="25"/>
      <c r="AQ290" s="25"/>
      <c r="AR290" s="25"/>
      <c r="AS290" s="25"/>
    </row>
    <row r="291" customFormat="false" ht="15" hidden="false" customHeight="false" outlineLevel="0" collapsed="false">
      <c r="A291" s="43" t="n">
        <v>287</v>
      </c>
      <c r="B291" s="36" t="s">
        <v>369</v>
      </c>
      <c r="C291" s="35" t="s">
        <v>372</v>
      </c>
      <c r="D291" s="35"/>
      <c r="E291" s="35"/>
      <c r="F291" s="35"/>
      <c r="G291" s="35" t="n">
        <v>1.5</v>
      </c>
      <c r="H291" s="35" t="n">
        <v>10</v>
      </c>
      <c r="I291" s="35"/>
      <c r="J291" s="35"/>
      <c r="K291" s="35"/>
      <c r="L291" s="35" t="n">
        <v>69.8</v>
      </c>
      <c r="M291" s="35"/>
      <c r="N291" s="35"/>
      <c r="O291" s="35"/>
      <c r="P291" s="35"/>
      <c r="Q291" s="35"/>
      <c r="R291" s="35"/>
      <c r="S291" s="35" t="n">
        <v>7</v>
      </c>
      <c r="T291" s="35"/>
      <c r="U291" s="35"/>
      <c r="V291" s="35"/>
      <c r="W291" s="35"/>
      <c r="X291" s="35"/>
      <c r="Y291" s="35"/>
      <c r="Z291" s="35"/>
      <c r="AA291" s="35"/>
      <c r="AB291" s="52" t="n">
        <v>11.7</v>
      </c>
      <c r="AC291" s="35"/>
      <c r="AD291" s="35"/>
      <c r="AE291" s="35"/>
      <c r="AF291" s="35"/>
      <c r="AG291" s="35"/>
      <c r="AH291" s="52" t="n">
        <f aca="false">SUM(D291:AG291)</f>
        <v>100</v>
      </c>
      <c r="AK291" s="35" t="n">
        <f aca="false">AVERAGE(92.5,92.5)</f>
        <v>92.5</v>
      </c>
      <c r="AL291" s="35" t="n">
        <f aca="false">AVERAGE(14.18,14.21)</f>
        <v>14.195</v>
      </c>
      <c r="AM291" s="35" t="n">
        <v>158.222</v>
      </c>
      <c r="AN291" s="35" t="n">
        <v>4.11204</v>
      </c>
      <c r="AO291" s="35"/>
      <c r="AP291" s="35"/>
      <c r="AQ291" s="35"/>
      <c r="AR291" s="35"/>
      <c r="AS291" s="35"/>
    </row>
    <row r="292" customFormat="false" ht="15" hidden="false" customHeight="false" outlineLevel="0" collapsed="false">
      <c r="A292" s="23" t="n">
        <v>288</v>
      </c>
      <c r="B292" s="24" t="s">
        <v>373</v>
      </c>
      <c r="C292" s="25" t="s">
        <v>374</v>
      </c>
      <c r="D292" s="25" t="n">
        <v>5</v>
      </c>
      <c r="E292" s="25"/>
      <c r="F292" s="25"/>
      <c r="G292" s="25"/>
      <c r="H292" s="25"/>
      <c r="I292" s="25"/>
      <c r="J292" s="25"/>
      <c r="K292" s="25" t="n">
        <v>20</v>
      </c>
      <c r="L292" s="25" t="n">
        <v>56.05</v>
      </c>
      <c r="M292" s="25"/>
      <c r="N292" s="25"/>
      <c r="O292" s="25" t="n">
        <v>5</v>
      </c>
      <c r="P292" s="25"/>
      <c r="Q292" s="25"/>
      <c r="R292" s="25"/>
      <c r="S292" s="25" t="n">
        <v>5.5</v>
      </c>
      <c r="T292" s="25"/>
      <c r="U292" s="25"/>
      <c r="V292" s="25"/>
      <c r="W292" s="25"/>
      <c r="X292" s="25"/>
      <c r="Y292" s="25" t="n">
        <v>7.65</v>
      </c>
      <c r="Z292" s="25"/>
      <c r="AA292" s="25" t="n">
        <v>0.6</v>
      </c>
      <c r="AB292" s="32"/>
      <c r="AC292" s="25"/>
      <c r="AD292" s="25"/>
      <c r="AE292" s="25" t="n">
        <v>0.2</v>
      </c>
      <c r="AF292" s="25"/>
      <c r="AG292" s="25"/>
      <c r="AH292" s="32" t="n">
        <f aca="false">SUM(D292:AG292)</f>
        <v>100</v>
      </c>
      <c r="AK292" s="25" t="n">
        <f aca="false">AVERAGE(70.98,70.83)</f>
        <v>70.905</v>
      </c>
      <c r="AL292" s="25" t="n">
        <f aca="false">AVERAGE(11.91,11.9)</f>
        <v>11.905</v>
      </c>
      <c r="AM292" s="25" t="n">
        <v>164.753</v>
      </c>
      <c r="AN292" s="25" t="n">
        <v>3.597485</v>
      </c>
      <c r="AO292" s="25"/>
      <c r="AP292" s="25"/>
      <c r="AQ292" s="25"/>
      <c r="AR292" s="25"/>
      <c r="AS292" s="25"/>
    </row>
    <row r="293" customFormat="false" ht="15" hidden="false" customHeight="false" outlineLevel="0" collapsed="false">
      <c r="A293" s="23" t="n">
        <v>289</v>
      </c>
      <c r="B293" s="24" t="s">
        <v>373</v>
      </c>
      <c r="C293" s="25" t="s">
        <v>375</v>
      </c>
      <c r="D293" s="25"/>
      <c r="E293" s="25"/>
      <c r="F293" s="25"/>
      <c r="G293" s="25" t="n">
        <v>1.5</v>
      </c>
      <c r="H293" s="25" t="n">
        <v>10</v>
      </c>
      <c r="I293" s="25"/>
      <c r="J293" s="25"/>
      <c r="K293" s="25"/>
      <c r="L293" s="25" t="n">
        <v>69.7</v>
      </c>
      <c r="M293" s="25"/>
      <c r="N293" s="25"/>
      <c r="O293" s="25"/>
      <c r="P293" s="25"/>
      <c r="Q293" s="25"/>
      <c r="R293" s="25"/>
      <c r="S293" s="25" t="n">
        <v>7</v>
      </c>
      <c r="T293" s="25"/>
      <c r="U293" s="25"/>
      <c r="V293" s="25"/>
      <c r="W293" s="25"/>
      <c r="X293" s="25"/>
      <c r="Y293" s="25"/>
      <c r="Z293" s="25"/>
      <c r="AA293" s="25"/>
      <c r="AB293" s="32" t="n">
        <v>11.8</v>
      </c>
      <c r="AC293" s="25"/>
      <c r="AD293" s="25"/>
      <c r="AE293" s="25"/>
      <c r="AF293" s="25"/>
      <c r="AG293" s="25"/>
      <c r="AH293" s="32" t="n">
        <f aca="false">SUM(D293:AG293)</f>
        <v>100</v>
      </c>
      <c r="AK293" s="25" t="n">
        <f aca="false">AVERAGE(97.9,97.83)</f>
        <v>97.865</v>
      </c>
      <c r="AL293" s="25" t="n">
        <f aca="false">AVERAGE(15.14,15.15)</f>
        <v>15.145</v>
      </c>
      <c r="AM293" s="25" t="n">
        <v>163.045</v>
      </c>
      <c r="AN293" s="25" t="n">
        <v>4.133575</v>
      </c>
      <c r="AO293" s="25"/>
      <c r="AP293" s="25"/>
      <c r="AQ293" s="25"/>
      <c r="AR293" s="25"/>
      <c r="AS293" s="25"/>
    </row>
    <row r="294" customFormat="false" ht="15" hidden="false" customHeight="false" outlineLevel="0" collapsed="false">
      <c r="A294" s="23" t="n">
        <v>290</v>
      </c>
      <c r="B294" s="24" t="s">
        <v>373</v>
      </c>
      <c r="C294" s="25" t="s">
        <v>376</v>
      </c>
      <c r="D294" s="25" t="n">
        <v>7.5</v>
      </c>
      <c r="E294" s="25"/>
      <c r="F294" s="25"/>
      <c r="G294" s="25" t="n">
        <v>2.5</v>
      </c>
      <c r="H294" s="25"/>
      <c r="I294" s="25"/>
      <c r="J294" s="25"/>
      <c r="K294" s="25"/>
      <c r="L294" s="25"/>
      <c r="M294" s="25" t="n">
        <v>36.2</v>
      </c>
      <c r="N294" s="25" t="n">
        <v>35</v>
      </c>
      <c r="O294" s="25"/>
      <c r="P294" s="25"/>
      <c r="Q294" s="25"/>
      <c r="R294" s="25"/>
      <c r="S294" s="25" t="n">
        <v>7</v>
      </c>
      <c r="T294" s="25"/>
      <c r="U294" s="25"/>
      <c r="V294" s="25"/>
      <c r="W294" s="25"/>
      <c r="X294" s="25"/>
      <c r="Y294" s="25"/>
      <c r="Z294" s="25"/>
      <c r="AA294" s="25"/>
      <c r="AB294" s="32" t="n">
        <v>11.8</v>
      </c>
      <c r="AC294" s="25"/>
      <c r="AD294" s="25"/>
      <c r="AE294" s="25"/>
      <c r="AF294" s="25"/>
      <c r="AG294" s="25"/>
      <c r="AH294" s="32" t="n">
        <f aca="false">SUM(D294:AG294)</f>
        <v>100</v>
      </c>
      <c r="AK294" s="25" t="n">
        <f aca="false">AVERAGE(108.93,108.99)</f>
        <v>108.96</v>
      </c>
      <c r="AL294" s="25" t="n">
        <f aca="false">AVERAGE(16.77,16.74)</f>
        <v>16.755</v>
      </c>
      <c r="AM294" s="25" t="n">
        <v>167.332</v>
      </c>
      <c r="AN294" s="25" t="n">
        <v>4.208105</v>
      </c>
      <c r="AO294" s="25"/>
      <c r="AP294" s="25"/>
      <c r="AQ294" s="25"/>
      <c r="AR294" s="25"/>
      <c r="AS294" s="25"/>
    </row>
    <row r="295" customFormat="false" ht="15" hidden="false" customHeight="false" outlineLevel="0" collapsed="false">
      <c r="A295" s="23" t="n">
        <v>291</v>
      </c>
      <c r="B295" s="24" t="s">
        <v>373</v>
      </c>
      <c r="C295" s="25" t="s">
        <v>377</v>
      </c>
      <c r="D295" s="25" t="n">
        <v>7.5</v>
      </c>
      <c r="E295" s="25"/>
      <c r="F295" s="25"/>
      <c r="G295" s="25" t="n">
        <v>2.5</v>
      </c>
      <c r="H295" s="25"/>
      <c r="I295" s="25"/>
      <c r="J295" s="25"/>
      <c r="K295" s="25"/>
      <c r="L295" s="25"/>
      <c r="M295" s="25" t="n">
        <v>40</v>
      </c>
      <c r="N295" s="25" t="n">
        <v>33.8</v>
      </c>
      <c r="O295" s="25"/>
      <c r="P295" s="25"/>
      <c r="Q295" s="25"/>
      <c r="R295" s="25"/>
      <c r="S295" s="25" t="n">
        <v>7.5</v>
      </c>
      <c r="T295" s="25"/>
      <c r="U295" s="25"/>
      <c r="V295" s="25"/>
      <c r="W295" s="25"/>
      <c r="X295" s="25"/>
      <c r="Y295" s="25"/>
      <c r="Z295" s="25" t="n">
        <v>8.7</v>
      </c>
      <c r="AA295" s="25"/>
      <c r="AB295" s="32"/>
      <c r="AC295" s="25"/>
      <c r="AD295" s="25"/>
      <c r="AE295" s="25"/>
      <c r="AF295" s="25"/>
      <c r="AG295" s="25"/>
      <c r="AH295" s="32" t="n">
        <f aca="false">SUM(D295:AG295)</f>
        <v>100</v>
      </c>
      <c r="AK295" s="25" t="n">
        <f aca="false">AVERAGE(104.17,104.13)</f>
        <v>104.15</v>
      </c>
      <c r="AL295" s="25" t="n">
        <f aca="false">AVERAGE(14.88,14.87)</f>
        <v>14.875</v>
      </c>
      <c r="AM295" s="25" t="n">
        <v>148.711</v>
      </c>
      <c r="AN295" s="25" t="n">
        <v>4.132095</v>
      </c>
      <c r="AO295" s="25"/>
      <c r="AP295" s="25"/>
      <c r="AQ295" s="25"/>
      <c r="AR295" s="25"/>
      <c r="AS295" s="25"/>
    </row>
    <row r="296" customFormat="false" ht="15" hidden="false" customHeight="false" outlineLevel="0" collapsed="false">
      <c r="A296" s="23" t="n">
        <v>292</v>
      </c>
      <c r="B296" s="24" t="s">
        <v>373</v>
      </c>
      <c r="C296" s="25" t="s">
        <v>378</v>
      </c>
      <c r="D296" s="25" t="n">
        <v>7.5</v>
      </c>
      <c r="E296" s="25"/>
      <c r="F296" s="25"/>
      <c r="G296" s="25" t="n">
        <v>2.5</v>
      </c>
      <c r="H296" s="25"/>
      <c r="I296" s="25"/>
      <c r="J296" s="25"/>
      <c r="K296" s="25"/>
      <c r="L296" s="25"/>
      <c r="M296" s="25" t="n">
        <v>13.3</v>
      </c>
      <c r="N296" s="25" t="n">
        <v>60</v>
      </c>
      <c r="O296" s="25"/>
      <c r="P296" s="25"/>
      <c r="Q296" s="25"/>
      <c r="R296" s="25"/>
      <c r="S296" s="25" t="n">
        <v>8</v>
      </c>
      <c r="T296" s="25"/>
      <c r="U296" s="25"/>
      <c r="V296" s="25"/>
      <c r="W296" s="25"/>
      <c r="X296" s="25"/>
      <c r="Y296" s="25"/>
      <c r="Z296" s="25" t="n">
        <v>8.7</v>
      </c>
      <c r="AA296" s="25"/>
      <c r="AB296" s="32"/>
      <c r="AC296" s="25"/>
      <c r="AD296" s="25"/>
      <c r="AE296" s="25"/>
      <c r="AF296" s="25"/>
      <c r="AG296" s="25"/>
      <c r="AH296" s="32" t="n">
        <f aca="false">SUM(D296:AG296)</f>
        <v>100</v>
      </c>
      <c r="AK296" s="25" t="n">
        <f aca="false">AVERAGE(146.91,146.91)</f>
        <v>146.91</v>
      </c>
      <c r="AL296" s="25" t="n">
        <f aca="false">AVERAGE(20.13,20.06)</f>
        <v>20.095</v>
      </c>
      <c r="AM296" s="25" t="n">
        <v>158.188</v>
      </c>
      <c r="AN296" s="25" t="n">
        <v>4.716025</v>
      </c>
      <c r="AO296" s="25"/>
      <c r="AP296" s="25"/>
      <c r="AQ296" s="25"/>
      <c r="AR296" s="25"/>
      <c r="AS296" s="25"/>
    </row>
    <row r="297" customFormat="false" ht="15" hidden="false" customHeight="false" outlineLevel="0" collapsed="false">
      <c r="A297" s="23" t="n">
        <v>293</v>
      </c>
      <c r="B297" s="24" t="s">
        <v>373</v>
      </c>
      <c r="C297" s="25" t="s">
        <v>379</v>
      </c>
      <c r="D297" s="25" t="n">
        <v>10</v>
      </c>
      <c r="E297" s="25"/>
      <c r="F297" s="25"/>
      <c r="G297" s="25" t="n">
        <v>1.5</v>
      </c>
      <c r="H297" s="25"/>
      <c r="I297" s="25"/>
      <c r="J297" s="25"/>
      <c r="K297" s="25" t="n">
        <v>15</v>
      </c>
      <c r="L297" s="25" t="n">
        <v>53.8</v>
      </c>
      <c r="M297" s="25"/>
      <c r="N297" s="25"/>
      <c r="O297" s="25"/>
      <c r="P297" s="25"/>
      <c r="Q297" s="25"/>
      <c r="R297" s="25"/>
      <c r="S297" s="25" t="n">
        <v>8</v>
      </c>
      <c r="T297" s="25"/>
      <c r="U297" s="25"/>
      <c r="V297" s="25"/>
      <c r="W297" s="25"/>
      <c r="X297" s="25"/>
      <c r="Y297" s="25"/>
      <c r="Z297" s="25"/>
      <c r="AA297" s="25"/>
      <c r="AB297" s="32" t="n">
        <v>11.7</v>
      </c>
      <c r="AC297" s="25"/>
      <c r="AD297" s="25"/>
      <c r="AE297" s="25"/>
      <c r="AF297" s="25"/>
      <c r="AG297" s="25"/>
      <c r="AH297" s="32" t="n">
        <f aca="false">SUM(D297:AG297)</f>
        <v>100</v>
      </c>
      <c r="AK297" s="25" t="n">
        <f aca="false">AVERAGE(93.85,93.9)</f>
        <v>93.875</v>
      </c>
      <c r="AL297" s="25" t="n">
        <f aca="false">AVERAGE(15.1,15.12)</f>
        <v>15.11</v>
      </c>
      <c r="AM297" s="25" t="n">
        <v>169.826</v>
      </c>
      <c r="AN297" s="25"/>
      <c r="AO297" s="25"/>
      <c r="AP297" s="25"/>
      <c r="AQ297" s="25"/>
      <c r="AR297" s="25"/>
      <c r="AS297" s="25"/>
    </row>
    <row r="298" customFormat="false" ht="15" hidden="false" customHeight="false" outlineLevel="0" collapsed="false">
      <c r="A298" s="23" t="n">
        <v>294</v>
      </c>
      <c r="B298" s="24" t="s">
        <v>373</v>
      </c>
      <c r="C298" s="25" t="s">
        <v>380</v>
      </c>
      <c r="D298" s="25" t="n">
        <v>10</v>
      </c>
      <c r="E298" s="25"/>
      <c r="F298" s="25"/>
      <c r="G298" s="25" t="n">
        <v>1.5</v>
      </c>
      <c r="H298" s="25"/>
      <c r="I298" s="25"/>
      <c r="J298" s="25"/>
      <c r="K298" s="25" t="n">
        <v>20</v>
      </c>
      <c r="L298" s="25" t="n">
        <v>48.3</v>
      </c>
      <c r="M298" s="25"/>
      <c r="N298" s="25"/>
      <c r="O298" s="25"/>
      <c r="P298" s="25"/>
      <c r="Q298" s="25"/>
      <c r="R298" s="25"/>
      <c r="S298" s="25" t="n">
        <v>8.5</v>
      </c>
      <c r="T298" s="25"/>
      <c r="U298" s="25"/>
      <c r="V298" s="25"/>
      <c r="W298" s="25"/>
      <c r="X298" s="25"/>
      <c r="Y298" s="25"/>
      <c r="Z298" s="25"/>
      <c r="AA298" s="25"/>
      <c r="AB298" s="32" t="n">
        <v>11.7</v>
      </c>
      <c r="AC298" s="25"/>
      <c r="AD298" s="25"/>
      <c r="AE298" s="25"/>
      <c r="AF298" s="25"/>
      <c r="AG298" s="25"/>
      <c r="AH298" s="32" t="n">
        <f aca="false">SUM(D298:AG298)</f>
        <v>100</v>
      </c>
      <c r="AK298" s="25" t="n">
        <f aca="false">AVERAGE(98.69,98.57)</f>
        <v>98.63</v>
      </c>
      <c r="AL298" s="25" t="n">
        <f aca="false">AVERAGE(15.83,15.81)</f>
        <v>15.82</v>
      </c>
      <c r="AM298" s="25" t="n">
        <v>171.575</v>
      </c>
      <c r="AN298" s="25"/>
      <c r="AO298" s="25"/>
      <c r="AP298" s="25"/>
      <c r="AQ298" s="25"/>
      <c r="AR298" s="25"/>
      <c r="AS298" s="25"/>
    </row>
    <row r="299" customFormat="false" ht="15" hidden="false" customHeight="false" outlineLevel="0" collapsed="false">
      <c r="A299" s="23" t="n">
        <v>295</v>
      </c>
      <c r="B299" s="24" t="s">
        <v>373</v>
      </c>
      <c r="C299" s="25" t="s">
        <v>381</v>
      </c>
      <c r="D299" s="25"/>
      <c r="E299" s="25"/>
      <c r="F299" s="25"/>
      <c r="G299" s="25" t="n">
        <v>2.5</v>
      </c>
      <c r="H299" s="25" t="n">
        <v>7.5</v>
      </c>
      <c r="I299" s="25"/>
      <c r="J299" s="25"/>
      <c r="K299" s="25"/>
      <c r="L299" s="25"/>
      <c r="M299" s="25" t="n">
        <v>50</v>
      </c>
      <c r="N299" s="25" t="n">
        <v>20</v>
      </c>
      <c r="O299" s="25"/>
      <c r="P299" s="25"/>
      <c r="Q299" s="25"/>
      <c r="R299" s="25"/>
      <c r="S299" s="25" t="n">
        <v>8.3</v>
      </c>
      <c r="T299" s="25"/>
      <c r="U299" s="25"/>
      <c r="V299" s="25"/>
      <c r="W299" s="25"/>
      <c r="X299" s="25"/>
      <c r="Y299" s="25"/>
      <c r="Z299" s="25"/>
      <c r="AA299" s="25"/>
      <c r="AB299" s="32" t="n">
        <v>11.7</v>
      </c>
      <c r="AC299" s="25"/>
      <c r="AD299" s="25"/>
      <c r="AE299" s="25"/>
      <c r="AF299" s="25"/>
      <c r="AG299" s="25"/>
      <c r="AH299" s="32" t="n">
        <f aca="false">SUM(D299:AG299)</f>
        <v>100</v>
      </c>
      <c r="AK299" s="25" t="n">
        <f aca="false">AVERAGE(98.66,98.66)</f>
        <v>98.66</v>
      </c>
      <c r="AL299" s="25" t="n">
        <f aca="false">AVERAGE(14.64,14.64)</f>
        <v>14.64</v>
      </c>
      <c r="AM299" s="25" t="n">
        <v>154.13</v>
      </c>
      <c r="AN299" s="25"/>
      <c r="AO299" s="25"/>
      <c r="AP299" s="25"/>
      <c r="AQ299" s="25"/>
      <c r="AR299" s="25"/>
      <c r="AS299" s="25"/>
    </row>
    <row r="300" customFormat="false" ht="15" hidden="false" customHeight="false" outlineLevel="0" collapsed="false">
      <c r="A300" s="43" t="n">
        <v>296</v>
      </c>
      <c r="B300" s="36" t="s">
        <v>373</v>
      </c>
      <c r="C300" s="35" t="s">
        <v>382</v>
      </c>
      <c r="D300" s="35" t="n">
        <v>10</v>
      </c>
      <c r="E300" s="35"/>
      <c r="F300" s="35"/>
      <c r="G300" s="35"/>
      <c r="H300" s="35"/>
      <c r="I300" s="35" t="n">
        <v>14.3</v>
      </c>
      <c r="J300" s="35" t="n">
        <v>42.7</v>
      </c>
      <c r="K300" s="35" t="n">
        <v>25</v>
      </c>
      <c r="L300" s="35"/>
      <c r="M300" s="35"/>
      <c r="N300" s="35"/>
      <c r="O300" s="35"/>
      <c r="P300" s="35"/>
      <c r="Q300" s="35"/>
      <c r="R300" s="35"/>
      <c r="S300" s="35" t="n">
        <v>8</v>
      </c>
      <c r="T300" s="35"/>
      <c r="U300" s="35"/>
      <c r="V300" s="35"/>
      <c r="W300" s="35"/>
      <c r="X300" s="35"/>
      <c r="Y300" s="35"/>
      <c r="Z300" s="35"/>
      <c r="AA300" s="35"/>
      <c r="AB300" s="52"/>
      <c r="AC300" s="35"/>
      <c r="AD300" s="35"/>
      <c r="AE300" s="35"/>
      <c r="AF300" s="35"/>
      <c r="AG300" s="35"/>
      <c r="AH300" s="52" t="n">
        <f aca="false">SUM(D300:AG300)</f>
        <v>100</v>
      </c>
      <c r="AK300" s="25" t="n">
        <f aca="false">AVERAGE(75.02,75.7)</f>
        <v>75.36</v>
      </c>
      <c r="AL300" s="25" t="n">
        <f aca="false">AVERAGE(12.7,12.67)</f>
        <v>12.685</v>
      </c>
      <c r="AM300" s="25" t="n">
        <v>168.825</v>
      </c>
      <c r="AN300" s="25"/>
      <c r="AO300" s="25"/>
      <c r="AP300" s="25"/>
      <c r="AQ300" s="25"/>
      <c r="AR300" s="25"/>
      <c r="AS300" s="25"/>
    </row>
    <row r="301" customFormat="false" ht="15" hidden="false" customHeight="false" outlineLevel="0" collapsed="false">
      <c r="A301" s="23" t="n">
        <v>297</v>
      </c>
      <c r="B301" s="24" t="s">
        <v>383</v>
      </c>
      <c r="C301" s="25" t="s">
        <v>384</v>
      </c>
      <c r="D301" s="25" t="n">
        <v>10</v>
      </c>
      <c r="E301" s="25"/>
      <c r="F301" s="25"/>
      <c r="G301" s="25"/>
      <c r="H301" s="25"/>
      <c r="I301" s="25" t="n">
        <v>14.3</v>
      </c>
      <c r="J301" s="25" t="n">
        <v>43.7</v>
      </c>
      <c r="K301" s="25" t="n">
        <v>25</v>
      </c>
      <c r="L301" s="25"/>
      <c r="M301" s="25"/>
      <c r="N301" s="25"/>
      <c r="O301" s="25"/>
      <c r="P301" s="25"/>
      <c r="Q301" s="25"/>
      <c r="R301" s="25"/>
      <c r="S301" s="25" t="n">
        <v>7</v>
      </c>
      <c r="T301" s="25"/>
      <c r="U301" s="25"/>
      <c r="V301" s="25"/>
      <c r="W301" s="25"/>
      <c r="X301" s="25"/>
      <c r="Y301" s="25"/>
      <c r="Z301" s="25"/>
      <c r="AA301" s="25"/>
      <c r="AB301" s="32"/>
      <c r="AC301" s="25"/>
      <c r="AD301" s="25"/>
      <c r="AE301" s="25"/>
      <c r="AF301" s="25"/>
      <c r="AG301" s="25"/>
      <c r="AH301" s="32" t="n">
        <f aca="false">SUM(D301:AG301)</f>
        <v>100</v>
      </c>
      <c r="AK301" s="25" t="n">
        <f aca="false">AVERAGE(69.96,69.84)</f>
        <v>69.9</v>
      </c>
      <c r="AL301" s="25" t="n">
        <f aca="false">AVERAGE(12.07,12.08)</f>
        <v>12.075</v>
      </c>
      <c r="AM301" s="25" t="n">
        <v>171.111</v>
      </c>
      <c r="AN301" s="25"/>
      <c r="AO301" s="25"/>
      <c r="AP301" s="25"/>
      <c r="AQ301" s="25"/>
      <c r="AR301" s="25"/>
      <c r="AS301" s="25"/>
    </row>
    <row r="302" customFormat="false" ht="15" hidden="false" customHeight="false" outlineLevel="0" collapsed="false">
      <c r="A302" s="23" t="n">
        <v>298</v>
      </c>
      <c r="B302" s="24" t="s">
        <v>383</v>
      </c>
      <c r="C302" s="25" t="s">
        <v>381</v>
      </c>
      <c r="D302" s="25"/>
      <c r="E302" s="25"/>
      <c r="F302" s="25"/>
      <c r="G302" s="25" t="n">
        <v>2.5</v>
      </c>
      <c r="H302" s="25" t="n">
        <v>7.5</v>
      </c>
      <c r="I302" s="25"/>
      <c r="J302" s="25"/>
      <c r="K302" s="25"/>
      <c r="L302" s="25"/>
      <c r="M302" s="25" t="n">
        <v>50</v>
      </c>
      <c r="N302" s="25" t="n">
        <v>20</v>
      </c>
      <c r="O302" s="25"/>
      <c r="P302" s="25"/>
      <c r="Q302" s="25"/>
      <c r="R302" s="25"/>
      <c r="S302" s="25" t="n">
        <v>8.3</v>
      </c>
      <c r="T302" s="25"/>
      <c r="U302" s="25"/>
      <c r="V302" s="25"/>
      <c r="W302" s="25"/>
      <c r="X302" s="25"/>
      <c r="Y302" s="25"/>
      <c r="Z302" s="25"/>
      <c r="AA302" s="25"/>
      <c r="AB302" s="32" t="n">
        <v>11.7</v>
      </c>
      <c r="AC302" s="25"/>
      <c r="AD302" s="25"/>
      <c r="AE302" s="25"/>
      <c r="AF302" s="25"/>
      <c r="AG302" s="25"/>
      <c r="AH302" s="32" t="n">
        <f aca="false">SUM(D302:AG302)</f>
        <v>100</v>
      </c>
      <c r="AK302" s="25" t="n">
        <f aca="false">AVERAGE(98.66,98.66)</f>
        <v>98.66</v>
      </c>
      <c r="AL302" s="25" t="n">
        <f aca="false">AVERAGE(14.64,14.64)</f>
        <v>14.64</v>
      </c>
      <c r="AM302" s="25" t="n">
        <v>154.13</v>
      </c>
      <c r="AN302" s="25"/>
      <c r="AO302" s="25"/>
      <c r="AP302" s="25"/>
      <c r="AQ302" s="25"/>
      <c r="AR302" s="25"/>
      <c r="AS302" s="25"/>
    </row>
    <row r="303" customFormat="false" ht="15" hidden="false" customHeight="false" outlineLevel="0" collapsed="false">
      <c r="A303" s="23" t="n">
        <v>299</v>
      </c>
      <c r="B303" s="24" t="s">
        <v>383</v>
      </c>
      <c r="C303" s="25" t="s">
        <v>385</v>
      </c>
      <c r="D303" s="25" t="n">
        <v>7.5</v>
      </c>
      <c r="E303" s="25"/>
      <c r="F303" s="25"/>
      <c r="G303" s="25" t="n">
        <v>2.5</v>
      </c>
      <c r="H303" s="25"/>
      <c r="I303" s="25"/>
      <c r="J303" s="25"/>
      <c r="K303" s="25"/>
      <c r="L303" s="25"/>
      <c r="M303" s="25" t="n">
        <v>33</v>
      </c>
      <c r="N303" s="25" t="n">
        <v>40</v>
      </c>
      <c r="O303" s="25"/>
      <c r="P303" s="25"/>
      <c r="Q303" s="25"/>
      <c r="R303" s="25"/>
      <c r="S303" s="25" t="n">
        <v>8.3</v>
      </c>
      <c r="T303" s="25"/>
      <c r="U303" s="25"/>
      <c r="V303" s="25"/>
      <c r="W303" s="25"/>
      <c r="X303" s="25"/>
      <c r="Y303" s="25"/>
      <c r="Z303" s="25" t="n">
        <v>8.7</v>
      </c>
      <c r="AA303" s="25"/>
      <c r="AB303" s="32"/>
      <c r="AC303" s="25"/>
      <c r="AD303" s="25"/>
      <c r="AE303" s="25"/>
      <c r="AF303" s="25"/>
      <c r="AG303" s="25"/>
      <c r="AH303" s="32" t="n">
        <f aca="false">SUM(D303:AG303)</f>
        <v>100</v>
      </c>
      <c r="AK303" s="25" t="n">
        <f aca="false">AVERAGE(112.9,112.81)</f>
        <v>112.855</v>
      </c>
      <c r="AL303" s="25" t="n">
        <f aca="false">AVERAGE(17.32,17.3)</f>
        <v>17.31</v>
      </c>
      <c r="AM303" s="25" t="n">
        <v>168.662</v>
      </c>
      <c r="AN303" s="25"/>
      <c r="AO303" s="25"/>
      <c r="AP303" s="25"/>
      <c r="AQ303" s="25"/>
      <c r="AR303" s="25"/>
      <c r="AS303" s="25"/>
    </row>
    <row r="304" customFormat="false" ht="15" hidden="false" customHeight="false" outlineLevel="0" collapsed="false">
      <c r="A304" s="23" t="n">
        <v>300</v>
      </c>
      <c r="B304" s="24" t="s">
        <v>383</v>
      </c>
      <c r="C304" s="25" t="s">
        <v>386</v>
      </c>
      <c r="D304" s="25" t="n">
        <v>7.5</v>
      </c>
      <c r="E304" s="25"/>
      <c r="F304" s="25"/>
      <c r="G304" s="25" t="n">
        <v>2.5</v>
      </c>
      <c r="H304" s="25"/>
      <c r="I304" s="25"/>
      <c r="J304" s="25"/>
      <c r="K304" s="25"/>
      <c r="L304" s="25"/>
      <c r="M304" s="25" t="n">
        <v>12.8</v>
      </c>
      <c r="N304" s="25" t="n">
        <v>60</v>
      </c>
      <c r="O304" s="25"/>
      <c r="P304" s="25"/>
      <c r="Q304" s="25"/>
      <c r="R304" s="25"/>
      <c r="S304" s="25" t="n">
        <v>8.5</v>
      </c>
      <c r="T304" s="25"/>
      <c r="U304" s="25"/>
      <c r="V304" s="25"/>
      <c r="W304" s="25"/>
      <c r="X304" s="25"/>
      <c r="Y304" s="25"/>
      <c r="Z304" s="25" t="n">
        <v>8.7</v>
      </c>
      <c r="AA304" s="25"/>
      <c r="AB304" s="32"/>
      <c r="AC304" s="25"/>
      <c r="AD304" s="25"/>
      <c r="AE304" s="25"/>
      <c r="AF304" s="25"/>
      <c r="AG304" s="25"/>
      <c r="AH304" s="32" t="n">
        <f aca="false">SUM(D304:AG304)</f>
        <v>100</v>
      </c>
      <c r="AK304" s="25" t="n">
        <f aca="false">AVERAGE(147.32,147.65)</f>
        <v>147.485</v>
      </c>
      <c r="AL304" s="25" t="n">
        <f aca="false">AVERAGE(20.61,20.56)</f>
        <v>20.585</v>
      </c>
      <c r="AM304" s="25" t="n">
        <v>162.645</v>
      </c>
      <c r="AN304" s="25"/>
      <c r="AO304" s="25"/>
      <c r="AP304" s="25"/>
      <c r="AQ304" s="25"/>
      <c r="AR304" s="25"/>
      <c r="AS304" s="25"/>
    </row>
    <row r="305" customFormat="false" ht="15" hidden="false" customHeight="false" outlineLevel="0" collapsed="false">
      <c r="A305" s="23" t="n">
        <v>301</v>
      </c>
      <c r="B305" s="24" t="s">
        <v>383</v>
      </c>
      <c r="C305" s="25" t="s">
        <v>387</v>
      </c>
      <c r="D305" s="25" t="n">
        <v>5</v>
      </c>
      <c r="E305" s="25"/>
      <c r="F305" s="25"/>
      <c r="G305" s="25"/>
      <c r="H305" s="25"/>
      <c r="I305" s="25"/>
      <c r="J305" s="25"/>
      <c r="K305" s="25" t="n">
        <v>25</v>
      </c>
      <c r="L305" s="25" t="n">
        <v>51.55</v>
      </c>
      <c r="M305" s="25"/>
      <c r="N305" s="25"/>
      <c r="O305" s="25" t="n">
        <v>5</v>
      </c>
      <c r="P305" s="25"/>
      <c r="Q305" s="25"/>
      <c r="R305" s="25"/>
      <c r="S305" s="25" t="n">
        <v>5</v>
      </c>
      <c r="T305" s="25"/>
      <c r="U305" s="25"/>
      <c r="V305" s="25"/>
      <c r="W305" s="25"/>
      <c r="X305" s="25"/>
      <c r="Y305" s="25" t="n">
        <v>7.65</v>
      </c>
      <c r="Z305" s="25"/>
      <c r="AA305" s="25" t="n">
        <v>0.6</v>
      </c>
      <c r="AB305" s="32"/>
      <c r="AC305" s="25"/>
      <c r="AD305" s="25"/>
      <c r="AE305" s="25" t="n">
        <v>0.2</v>
      </c>
      <c r="AF305" s="25"/>
      <c r="AG305" s="25"/>
      <c r="AH305" s="32" t="n">
        <f aca="false">SUM(D305:AG305)</f>
        <v>100</v>
      </c>
      <c r="AK305" s="25" t="n">
        <f aca="false">AVERAGE(66.35,66.28)</f>
        <v>66.315</v>
      </c>
      <c r="AL305" s="25" t="n">
        <f aca="false">AVERAGE(11.3,11.3)</f>
        <v>11.3</v>
      </c>
      <c r="AM305" s="25" t="n">
        <v>164.7</v>
      </c>
      <c r="AN305" s="25" t="n">
        <v>3.450105</v>
      </c>
      <c r="AO305" s="25"/>
      <c r="AP305" s="25"/>
      <c r="AQ305" s="25"/>
      <c r="AR305" s="25"/>
      <c r="AS305" s="25"/>
    </row>
    <row r="306" customFormat="false" ht="15" hidden="false" customHeight="false" outlineLevel="0" collapsed="false">
      <c r="A306" s="23" t="n">
        <v>302</v>
      </c>
      <c r="B306" s="24" t="s">
        <v>383</v>
      </c>
      <c r="C306" s="25" t="s">
        <v>388</v>
      </c>
      <c r="D306" s="25" t="n">
        <v>7.5</v>
      </c>
      <c r="E306" s="25"/>
      <c r="F306" s="25"/>
      <c r="G306" s="25" t="n">
        <v>2.5</v>
      </c>
      <c r="H306" s="25"/>
      <c r="I306" s="25"/>
      <c r="J306" s="25"/>
      <c r="K306" s="25"/>
      <c r="L306" s="25"/>
      <c r="M306" s="25" t="n">
        <v>36.7</v>
      </c>
      <c r="N306" s="25" t="n">
        <v>35</v>
      </c>
      <c r="O306" s="25"/>
      <c r="P306" s="25"/>
      <c r="Q306" s="25"/>
      <c r="R306" s="25"/>
      <c r="S306" s="25" t="n">
        <v>6.5</v>
      </c>
      <c r="T306" s="25"/>
      <c r="U306" s="25"/>
      <c r="V306" s="25"/>
      <c r="W306" s="25"/>
      <c r="X306" s="25"/>
      <c r="Y306" s="25"/>
      <c r="Z306" s="25"/>
      <c r="AA306" s="25"/>
      <c r="AB306" s="32" t="n">
        <v>11.8</v>
      </c>
      <c r="AC306" s="25"/>
      <c r="AD306" s="25"/>
      <c r="AE306" s="25"/>
      <c r="AF306" s="25"/>
      <c r="AG306" s="25"/>
      <c r="AH306" s="32" t="n">
        <f aca="false">SUM(D306:AG306)</f>
        <v>100</v>
      </c>
      <c r="AK306" s="25" t="n">
        <f aca="false">AVERAGE(102.51,102.02)</f>
        <v>102.265</v>
      </c>
      <c r="AL306" s="25" t="n">
        <f aca="false">AVERAGE(14.64,14.65)</f>
        <v>14.645</v>
      </c>
      <c r="AM306" s="25" t="n">
        <v>148.319</v>
      </c>
      <c r="AN306" s="25" t="n">
        <v>4.084835</v>
      </c>
      <c r="AO306" s="25"/>
      <c r="AP306" s="25"/>
      <c r="AQ306" s="25"/>
      <c r="AR306" s="25"/>
      <c r="AS306" s="25"/>
    </row>
    <row r="307" customFormat="false" ht="15" hidden="false" customHeight="false" outlineLevel="0" collapsed="false">
      <c r="A307" s="23" t="n">
        <v>303</v>
      </c>
      <c r="B307" s="24" t="s">
        <v>383</v>
      </c>
      <c r="C307" s="25" t="s">
        <v>389</v>
      </c>
      <c r="D307" s="25" t="n">
        <v>10</v>
      </c>
      <c r="E307" s="25"/>
      <c r="F307" s="25"/>
      <c r="G307" s="25" t="n">
        <v>1.5</v>
      </c>
      <c r="H307" s="25"/>
      <c r="I307" s="25"/>
      <c r="J307" s="25"/>
      <c r="K307" s="25" t="n">
        <v>15</v>
      </c>
      <c r="L307" s="25" t="n">
        <v>56.8</v>
      </c>
      <c r="M307" s="25"/>
      <c r="N307" s="25"/>
      <c r="O307" s="25"/>
      <c r="P307" s="25"/>
      <c r="Q307" s="25"/>
      <c r="R307" s="25"/>
      <c r="S307" s="25" t="n">
        <v>8</v>
      </c>
      <c r="T307" s="25"/>
      <c r="U307" s="25"/>
      <c r="V307" s="25"/>
      <c r="W307" s="25"/>
      <c r="X307" s="25"/>
      <c r="Y307" s="25"/>
      <c r="Z307" s="25" t="n">
        <v>8.7</v>
      </c>
      <c r="AA307" s="25"/>
      <c r="AB307" s="32"/>
      <c r="AC307" s="25"/>
      <c r="AD307" s="25"/>
      <c r="AE307" s="25"/>
      <c r="AF307" s="25"/>
      <c r="AG307" s="25"/>
      <c r="AH307" s="32" t="n">
        <f aca="false">SUM(D307:AG307)</f>
        <v>100</v>
      </c>
      <c r="AK307" s="25" t="n">
        <f aca="false">AVERAGE(92.96,92.92)</f>
        <v>92.94</v>
      </c>
      <c r="AL307" s="25" t="n">
        <f aca="false">AVERAGE(15.12,15.28)</f>
        <v>15.2</v>
      </c>
      <c r="AM307" s="25" t="n">
        <v>172.91</v>
      </c>
      <c r="AN307" s="25"/>
      <c r="AO307" s="25"/>
      <c r="AP307" s="25"/>
      <c r="AQ307" s="25"/>
      <c r="AR307" s="25"/>
      <c r="AS307" s="25"/>
    </row>
    <row r="308" customFormat="false" ht="15" hidden="false" customHeight="false" outlineLevel="0" collapsed="false">
      <c r="A308" s="23" t="n">
        <v>304</v>
      </c>
      <c r="B308" s="24" t="s">
        <v>383</v>
      </c>
      <c r="C308" s="25" t="s">
        <v>390</v>
      </c>
      <c r="D308" s="25" t="n">
        <v>10</v>
      </c>
      <c r="E308" s="25"/>
      <c r="F308" s="25"/>
      <c r="G308" s="25" t="n">
        <v>1.5</v>
      </c>
      <c r="H308" s="25"/>
      <c r="I308" s="25"/>
      <c r="J308" s="25"/>
      <c r="K308" s="25" t="n">
        <v>20</v>
      </c>
      <c r="L308" s="25" t="n">
        <v>51.3</v>
      </c>
      <c r="M308" s="25"/>
      <c r="N308" s="25"/>
      <c r="O308" s="25"/>
      <c r="P308" s="25"/>
      <c r="Q308" s="25"/>
      <c r="R308" s="25"/>
      <c r="S308" s="25" t="n">
        <v>8.5</v>
      </c>
      <c r="T308" s="25"/>
      <c r="U308" s="25"/>
      <c r="V308" s="25"/>
      <c r="W308" s="25"/>
      <c r="X308" s="25"/>
      <c r="Y308" s="25"/>
      <c r="Z308" s="25" t="n">
        <v>8.7</v>
      </c>
      <c r="AA308" s="25"/>
      <c r="AB308" s="32"/>
      <c r="AC308" s="25"/>
      <c r="AD308" s="25"/>
      <c r="AE308" s="25"/>
      <c r="AF308" s="25"/>
      <c r="AG308" s="25"/>
      <c r="AH308" s="32" t="n">
        <f aca="false">SUM(D308:AG308)</f>
        <v>100</v>
      </c>
      <c r="AK308" s="25" t="n">
        <f aca="false">AVERAGE(94.53,94.5)</f>
        <v>94.515</v>
      </c>
      <c r="AL308" s="25" t="n">
        <f aca="false">AVERAGE(14.91,14.91)</f>
        <v>14.91</v>
      </c>
      <c r="AM308" s="25" t="n">
        <v>165.51</v>
      </c>
      <c r="AN308" s="25"/>
      <c r="AO308" s="25"/>
      <c r="AP308" s="25"/>
      <c r="AQ308" s="25"/>
      <c r="AR308" s="25"/>
      <c r="AS308" s="25"/>
    </row>
    <row r="309" customFormat="false" ht="15" hidden="false" customHeight="false" outlineLevel="0" collapsed="false">
      <c r="A309" s="23" t="n">
        <v>305</v>
      </c>
      <c r="B309" s="24" t="s">
        <v>383</v>
      </c>
      <c r="C309" s="25" t="s">
        <v>391</v>
      </c>
      <c r="D309" s="25" t="n">
        <v>10</v>
      </c>
      <c r="E309" s="25"/>
      <c r="F309" s="25"/>
      <c r="G309" s="25" t="n">
        <v>1.5</v>
      </c>
      <c r="H309" s="25"/>
      <c r="I309" s="25"/>
      <c r="J309" s="25"/>
      <c r="K309" s="25" t="n">
        <v>12</v>
      </c>
      <c r="L309" s="25" t="n">
        <v>59.8</v>
      </c>
      <c r="M309" s="25"/>
      <c r="N309" s="25"/>
      <c r="O309" s="25"/>
      <c r="P309" s="25"/>
      <c r="Q309" s="25"/>
      <c r="R309" s="25"/>
      <c r="S309" s="25" t="n">
        <v>8</v>
      </c>
      <c r="T309" s="25"/>
      <c r="U309" s="25"/>
      <c r="V309" s="25"/>
      <c r="W309" s="25"/>
      <c r="X309" s="25"/>
      <c r="Y309" s="25"/>
      <c r="Z309" s="25" t="n">
        <v>8.7</v>
      </c>
      <c r="AA309" s="25"/>
      <c r="AB309" s="32"/>
      <c r="AC309" s="25"/>
      <c r="AD309" s="25"/>
      <c r="AE309" s="25"/>
      <c r="AF309" s="25"/>
      <c r="AG309" s="25"/>
      <c r="AH309" s="32" t="n">
        <f aca="false">SUM(D309:AG309)</f>
        <v>100</v>
      </c>
      <c r="AK309" s="25" t="n">
        <f aca="false">AVERAGE(92.87,92.72)</f>
        <v>92.795</v>
      </c>
      <c r="AL309" s="25" t="n">
        <f aca="false">AVERAGE(14.91,14.87)</f>
        <v>14.89</v>
      </c>
      <c r="AM309" s="25" t="n">
        <v>168.443</v>
      </c>
      <c r="AN309" s="25"/>
      <c r="AO309" s="25"/>
      <c r="AP309" s="25"/>
      <c r="AQ309" s="25"/>
      <c r="AR309" s="25"/>
      <c r="AS309" s="25"/>
    </row>
    <row r="310" customFormat="false" ht="15" hidden="false" customHeight="false" outlineLevel="0" collapsed="false">
      <c r="A310" s="23" t="n">
        <v>306</v>
      </c>
      <c r="B310" s="2" t="s">
        <v>392</v>
      </c>
      <c r="C310" s="0" t="s">
        <v>393</v>
      </c>
      <c r="D310" s="0" t="n">
        <v>10</v>
      </c>
      <c r="G310" s="0" t="n">
        <v>1.5</v>
      </c>
      <c r="K310" s="0" t="n">
        <v>15</v>
      </c>
      <c r="L310" s="0" t="n">
        <v>56.8</v>
      </c>
      <c r="S310" s="0" t="n">
        <v>8</v>
      </c>
      <c r="Z310" s="0" t="n">
        <v>8.7</v>
      </c>
      <c r="AH310" s="32" t="n">
        <f aca="false">SUM(D310:AG310)</f>
        <v>100</v>
      </c>
      <c r="AK310" s="0" t="n">
        <f aca="false">AVERAGE(86.84,87)</f>
        <v>86.92</v>
      </c>
      <c r="AL310" s="0" t="n">
        <f aca="false">AVERAGE(14.38,14.36)</f>
        <v>14.37</v>
      </c>
      <c r="AM310" s="0" t="n">
        <v>172.021</v>
      </c>
    </row>
    <row r="311" customFormat="false" ht="15" hidden="false" customHeight="false" outlineLevel="0" collapsed="false">
      <c r="A311" s="23" t="n">
        <v>307</v>
      </c>
      <c r="B311" s="2" t="s">
        <v>392</v>
      </c>
      <c r="C311" s="0" t="s">
        <v>394</v>
      </c>
      <c r="AH311" s="32" t="n">
        <f aca="false">SUM(D311:AG311)</f>
        <v>0</v>
      </c>
      <c r="AK311" s="0" t="n">
        <f aca="false">AVERAGE(64.56,64.66)</f>
        <v>64.61</v>
      </c>
      <c r="AL311" s="0" t="n">
        <f aca="false">AVERAGE(10.81,10.79)</f>
        <v>10.8</v>
      </c>
      <c r="AM311" s="0" t="n">
        <v>158.373</v>
      </c>
    </row>
    <row r="312" customFormat="false" ht="15" hidden="false" customHeight="false" outlineLevel="0" collapsed="false">
      <c r="A312" s="23" t="n">
        <v>308</v>
      </c>
      <c r="B312" s="2" t="s">
        <v>392</v>
      </c>
      <c r="C312" s="0" t="s">
        <v>395</v>
      </c>
      <c r="AH312" s="32" t="n">
        <f aca="false">SUM(D312:AG312)</f>
        <v>0</v>
      </c>
      <c r="AK312" s="0" t="n">
        <f aca="false">AVERAGE(71.22,71.36)</f>
        <v>71.29</v>
      </c>
      <c r="AL312" s="0" t="n">
        <f aca="false">AVERAGE(11.84,11.81)</f>
        <v>11.825</v>
      </c>
      <c r="AM312" s="0" t="n">
        <v>162.083</v>
      </c>
      <c r="AN312" s="0" t="n">
        <v>3.58537</v>
      </c>
    </row>
  </sheetData>
  <mergeCells count="4">
    <mergeCell ref="L2:R2"/>
    <mergeCell ref="S2:U2"/>
    <mergeCell ref="V2:W2"/>
    <mergeCell ref="X2:Y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0.86"/>
    <col collapsed="false" customWidth="true" hidden="false" outlineLevel="0" max="4" min="3" style="0" width="17.28"/>
    <col collapsed="false" customWidth="true" hidden="false" outlineLevel="0" max="6" min="6" style="0" width="21.71"/>
    <col collapsed="false" customWidth="true" hidden="false" outlineLevel="0" max="7" min="7" style="0" width="13"/>
    <col collapsed="false" customWidth="true" hidden="false" outlineLevel="0" max="8" min="8" style="0" width="15.85"/>
    <col collapsed="false" customWidth="true" hidden="false" outlineLevel="0" max="9" min="9" style="0" width="22.43"/>
    <col collapsed="false" customWidth="true" hidden="false" outlineLevel="0" max="12" min="12" style="0" width="22.43"/>
  </cols>
  <sheetData>
    <row r="2" customFormat="false" ht="15" hidden="false" customHeight="false" outlineLevel="0" collapsed="false">
      <c r="A2" s="69" t="s">
        <v>87</v>
      </c>
      <c r="F2" s="7" t="s">
        <v>622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5" t="s">
        <v>681</v>
      </c>
      <c r="G4" s="5"/>
      <c r="I4" s="5" t="s">
        <v>681</v>
      </c>
      <c r="J4" s="5"/>
      <c r="L4" s="5" t="s">
        <v>681</v>
      </c>
      <c r="M4" s="5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56" t="s">
        <v>682</v>
      </c>
      <c r="G5" s="47" t="n">
        <v>0.7655</v>
      </c>
      <c r="I5" s="56" t="s">
        <v>682</v>
      </c>
      <c r="J5" s="47" t="n">
        <v>0.7355</v>
      </c>
      <c r="L5" s="56" t="s">
        <v>682</v>
      </c>
      <c r="M5" s="47" t="n">
        <v>0.7355</v>
      </c>
    </row>
    <row r="6" customFormat="false" ht="15" hidden="false" customHeight="false" outlineLevel="0" collapsed="false">
      <c r="A6" s="23" t="n">
        <v>1</v>
      </c>
      <c r="B6" s="61" t="s">
        <v>683</v>
      </c>
      <c r="C6" s="23" t="s">
        <v>684</v>
      </c>
      <c r="D6" s="23" t="s">
        <v>685</v>
      </c>
      <c r="F6" s="56" t="s">
        <v>9</v>
      </c>
      <c r="G6" s="81" t="n">
        <v>0.1</v>
      </c>
      <c r="I6" s="56" t="s">
        <v>9</v>
      </c>
      <c r="J6" s="81" t="n">
        <v>0.1</v>
      </c>
      <c r="L6" s="56" t="s">
        <v>9</v>
      </c>
      <c r="M6" s="81" t="n">
        <v>0.1</v>
      </c>
    </row>
    <row r="7" customFormat="false" ht="15" hidden="false" customHeight="false" outlineLevel="0" collapsed="false">
      <c r="A7" s="23"/>
      <c r="B7" s="61"/>
      <c r="C7" s="23" t="s">
        <v>686</v>
      </c>
      <c r="D7" s="23" t="s">
        <v>687</v>
      </c>
      <c r="F7" s="56" t="s">
        <v>30</v>
      </c>
      <c r="G7" s="47" t="n">
        <v>0.0765</v>
      </c>
      <c r="I7" s="56" t="s">
        <v>30</v>
      </c>
      <c r="J7" s="47" t="n">
        <v>0.0765</v>
      </c>
      <c r="L7" s="56" t="s">
        <v>30</v>
      </c>
      <c r="M7" s="47" t="n">
        <v>0.0765</v>
      </c>
    </row>
    <row r="8" customFormat="false" ht="15" hidden="false" customHeight="false" outlineLevel="0" collapsed="false">
      <c r="A8" s="23" t="n">
        <v>2</v>
      </c>
      <c r="B8" s="61" t="s">
        <v>688</v>
      </c>
      <c r="C8" s="23" t="s">
        <v>689</v>
      </c>
      <c r="D8" s="23" t="s">
        <v>690</v>
      </c>
      <c r="F8" s="56" t="s">
        <v>32</v>
      </c>
      <c r="G8" s="47" t="n">
        <v>0.006</v>
      </c>
      <c r="I8" s="56" t="s">
        <v>32</v>
      </c>
      <c r="J8" s="47" t="n">
        <v>0.006</v>
      </c>
      <c r="L8" s="56" t="s">
        <v>32</v>
      </c>
      <c r="M8" s="47" t="n">
        <v>0.006</v>
      </c>
    </row>
    <row r="9" customFormat="false" ht="15" hidden="false" customHeight="false" outlineLevel="0" collapsed="false">
      <c r="A9" s="23"/>
      <c r="B9" s="61"/>
      <c r="C9" s="23" t="s">
        <v>691</v>
      </c>
      <c r="D9" s="23" t="s">
        <v>692</v>
      </c>
      <c r="F9" s="56" t="s">
        <v>36</v>
      </c>
      <c r="G9" s="47" t="n">
        <v>0.002</v>
      </c>
      <c r="I9" s="56" t="s">
        <v>36</v>
      </c>
      <c r="J9" s="47" t="n">
        <v>0.002</v>
      </c>
      <c r="L9" s="56" t="s">
        <v>36</v>
      </c>
      <c r="M9" s="47" t="n">
        <v>0.002</v>
      </c>
    </row>
    <row r="10" customFormat="false" ht="15" hidden="false" customHeight="false" outlineLevel="0" collapsed="false">
      <c r="A10" s="23" t="n">
        <v>3</v>
      </c>
      <c r="B10" s="61" t="s">
        <v>693</v>
      </c>
      <c r="C10" s="23" t="s">
        <v>694</v>
      </c>
      <c r="D10" s="23" t="s">
        <v>695</v>
      </c>
      <c r="F10" s="56" t="s">
        <v>696</v>
      </c>
      <c r="G10" s="81" t="n">
        <v>0.05</v>
      </c>
      <c r="I10" s="56" t="s">
        <v>651</v>
      </c>
      <c r="J10" s="81" t="n">
        <v>0.08</v>
      </c>
      <c r="L10" s="56" t="s">
        <v>696</v>
      </c>
      <c r="M10" s="81" t="n">
        <v>0.08</v>
      </c>
    </row>
    <row r="11" customFormat="false" ht="15" hidden="false" customHeight="false" outlineLevel="0" collapsed="false">
      <c r="A11" s="23"/>
      <c r="B11" s="61"/>
      <c r="C11" s="23" t="s">
        <v>697</v>
      </c>
      <c r="D11" s="23" t="s">
        <v>698</v>
      </c>
      <c r="F11" s="59" t="s">
        <v>39</v>
      </c>
      <c r="G11" s="81" t="n">
        <f aca="false">SUM(G5:G10)</f>
        <v>1</v>
      </c>
      <c r="I11" s="59" t="s">
        <v>39</v>
      </c>
      <c r="J11" s="81" t="n">
        <f aca="false">SUM(J5:J10)</f>
        <v>1</v>
      </c>
      <c r="L11" s="59" t="s">
        <v>39</v>
      </c>
      <c r="M11" s="81" t="n">
        <f aca="false">SUM(M5:M10)</f>
        <v>1</v>
      </c>
    </row>
    <row r="16" customFormat="false" ht="15" hidden="false" customHeight="true" outlineLevel="0" collapsed="false">
      <c r="A16" s="8" t="s">
        <v>6</v>
      </c>
      <c r="B16" s="8" t="s">
        <v>425</v>
      </c>
      <c r="C16" s="8" t="s">
        <v>679</v>
      </c>
      <c r="D16" s="8" t="s">
        <v>680</v>
      </c>
      <c r="E16" s="18" t="s">
        <v>699</v>
      </c>
      <c r="F16" s="8" t="s">
        <v>700</v>
      </c>
      <c r="G16" s="18" t="s">
        <v>701</v>
      </c>
      <c r="H16" s="18" t="s">
        <v>702</v>
      </c>
      <c r="I16" s="18" t="s">
        <v>703</v>
      </c>
    </row>
    <row r="17" customFormat="false" ht="15" hidden="false" customHeight="false" outlineLevel="0" collapsed="false">
      <c r="A17" s="8"/>
      <c r="B17" s="8"/>
      <c r="C17" s="8"/>
      <c r="D17" s="8"/>
      <c r="E17" s="18"/>
      <c r="F17" s="8"/>
      <c r="G17" s="18"/>
      <c r="H17" s="18"/>
      <c r="I17" s="18"/>
    </row>
    <row r="18" customFormat="false" ht="15" hidden="false" customHeight="true" outlineLevel="0" collapsed="false">
      <c r="A18" s="23" t="n">
        <v>1</v>
      </c>
      <c r="B18" s="61" t="s">
        <v>683</v>
      </c>
      <c r="C18" s="23" t="s">
        <v>684</v>
      </c>
      <c r="D18" s="23" t="s">
        <v>685</v>
      </c>
      <c r="E18" s="23" t="s">
        <v>704</v>
      </c>
      <c r="F18" s="23" t="s">
        <v>705</v>
      </c>
      <c r="G18" s="23" t="s">
        <v>706</v>
      </c>
      <c r="H18" s="82" t="s">
        <v>707</v>
      </c>
      <c r="I18" s="60" t="n">
        <v>0.0468313</v>
      </c>
    </row>
    <row r="19" customFormat="false" ht="15" hidden="false" customHeight="false" outlineLevel="0" collapsed="false">
      <c r="A19" s="23"/>
      <c r="B19" s="61"/>
      <c r="C19" s="23" t="s">
        <v>686</v>
      </c>
      <c r="D19" s="23" t="s">
        <v>687</v>
      </c>
      <c r="E19" s="23"/>
      <c r="F19" s="23"/>
      <c r="G19" s="23"/>
      <c r="H19" s="82"/>
      <c r="I19" s="60"/>
    </row>
    <row r="20" customFormat="false" ht="15" hidden="false" customHeight="true" outlineLevel="0" collapsed="false">
      <c r="A20" s="23" t="n">
        <v>2</v>
      </c>
      <c r="B20" s="61" t="s">
        <v>688</v>
      </c>
      <c r="C20" s="23" t="s">
        <v>689</v>
      </c>
      <c r="D20" s="23" t="s">
        <v>690</v>
      </c>
      <c r="E20" s="23" t="s">
        <v>708</v>
      </c>
      <c r="F20" s="23" t="s">
        <v>709</v>
      </c>
      <c r="G20" s="23" t="s">
        <v>706</v>
      </c>
      <c r="H20" s="82" t="s">
        <v>710</v>
      </c>
      <c r="I20" s="60" t="n">
        <v>0.048904</v>
      </c>
    </row>
    <row r="21" customFormat="false" ht="15" hidden="false" customHeight="false" outlineLevel="0" collapsed="false">
      <c r="A21" s="23"/>
      <c r="B21" s="61"/>
      <c r="C21" s="23" t="s">
        <v>691</v>
      </c>
      <c r="D21" s="23" t="s">
        <v>692</v>
      </c>
      <c r="E21" s="23"/>
      <c r="F21" s="23"/>
      <c r="G21" s="23"/>
      <c r="H21" s="82"/>
      <c r="I21" s="60"/>
    </row>
    <row r="22" customFormat="false" ht="15" hidden="false" customHeight="false" outlineLevel="0" collapsed="false">
      <c r="A22" s="23" t="n">
        <v>3</v>
      </c>
      <c r="B22" s="61" t="s">
        <v>693</v>
      </c>
      <c r="C22" s="23" t="s">
        <v>694</v>
      </c>
      <c r="D22" s="23" t="s">
        <v>695</v>
      </c>
      <c r="E22" s="23" t="s">
        <v>79</v>
      </c>
      <c r="F22" s="23" t="s">
        <v>711</v>
      </c>
      <c r="G22" s="23" t="s">
        <v>79</v>
      </c>
      <c r="H22" s="23" t="s">
        <v>79</v>
      </c>
      <c r="I22" s="23" t="s">
        <v>79</v>
      </c>
    </row>
    <row r="23" customFormat="false" ht="15" hidden="false" customHeight="false" outlineLevel="0" collapsed="false">
      <c r="A23" s="23"/>
      <c r="B23" s="61"/>
      <c r="C23" s="23" t="s">
        <v>697</v>
      </c>
      <c r="D23" s="23" t="s">
        <v>698</v>
      </c>
      <c r="E23" s="23"/>
      <c r="F23" s="23"/>
      <c r="G23" s="23"/>
      <c r="H23" s="23"/>
      <c r="I23" s="23"/>
    </row>
  </sheetData>
  <mergeCells count="41">
    <mergeCell ref="A4:A5"/>
    <mergeCell ref="B4:B5"/>
    <mergeCell ref="F4:G4"/>
    <mergeCell ref="I4:J4"/>
    <mergeCell ref="L4:M4"/>
    <mergeCell ref="A6:A7"/>
    <mergeCell ref="B6:B7"/>
    <mergeCell ref="A8:A9"/>
    <mergeCell ref="B8:B9"/>
    <mergeCell ref="A10:A11"/>
    <mergeCell ref="B10:B11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8:A19"/>
    <mergeCell ref="B18:B19"/>
    <mergeCell ref="E18:E19"/>
    <mergeCell ref="F18:F19"/>
    <mergeCell ref="G18:G19"/>
    <mergeCell ref="H18:H19"/>
    <mergeCell ref="I18:I19"/>
    <mergeCell ref="A20:A21"/>
    <mergeCell ref="B20:B21"/>
    <mergeCell ref="E20:E21"/>
    <mergeCell ref="F20:F21"/>
    <mergeCell ref="G20:G21"/>
    <mergeCell ref="H20:H21"/>
    <mergeCell ref="I20:I21"/>
    <mergeCell ref="A22:A23"/>
    <mergeCell ref="B22:B23"/>
    <mergeCell ref="E22:E23"/>
    <mergeCell ref="F22:F23"/>
    <mergeCell ref="G22:G23"/>
    <mergeCell ref="H22:H23"/>
    <mergeCell ref="I22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0.42"/>
    <col collapsed="false" customWidth="true" hidden="false" outlineLevel="0" max="3" min="3" style="0" width="34.43"/>
    <col collapsed="false" customWidth="true" hidden="false" outlineLevel="0" max="4" min="4" style="0" width="31.43"/>
    <col collapsed="false" customWidth="true" hidden="false" outlineLevel="0" max="6" min="6" style="0" width="3.57"/>
    <col collapsed="false" customWidth="true" hidden="false" outlineLevel="0" max="7" min="7" style="0" width="14.57"/>
    <col collapsed="false" customWidth="true" hidden="false" outlineLevel="0" max="9" min="8" style="0" width="20.28"/>
  </cols>
  <sheetData>
    <row r="2" customFormat="false" ht="15" hidden="false" customHeight="false" outlineLevel="0" collapsed="false">
      <c r="A2" s="69" t="s">
        <v>93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397</v>
      </c>
      <c r="H4" s="78" t="s">
        <v>712</v>
      </c>
      <c r="I4" s="78" t="s">
        <v>713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25" t="s">
        <v>682</v>
      </c>
      <c r="H5" s="70" t="s">
        <v>714</v>
      </c>
      <c r="I5" s="70" t="s">
        <v>715</v>
      </c>
    </row>
    <row r="6" customFormat="false" ht="15" hidden="false" customHeight="false" outlineLevel="0" collapsed="false">
      <c r="A6" s="23" t="n">
        <v>1</v>
      </c>
      <c r="B6" s="61" t="s">
        <v>716</v>
      </c>
      <c r="C6" s="23" t="s">
        <v>717</v>
      </c>
      <c r="D6" s="23" t="s">
        <v>718</v>
      </c>
      <c r="F6" s="23" t="n">
        <v>2</v>
      </c>
      <c r="G6" s="25" t="s">
        <v>9</v>
      </c>
      <c r="H6" s="70" t="s">
        <v>719</v>
      </c>
      <c r="I6" s="70" t="s">
        <v>719</v>
      </c>
    </row>
    <row r="7" customFormat="false" ht="15" hidden="false" customHeight="false" outlineLevel="0" collapsed="false">
      <c r="A7" s="23"/>
      <c r="B7" s="61"/>
      <c r="C7" s="23" t="s">
        <v>720</v>
      </c>
      <c r="D7" s="23" t="s">
        <v>721</v>
      </c>
      <c r="F7" s="73" t="n">
        <v>3</v>
      </c>
      <c r="G7" s="83" t="s">
        <v>30</v>
      </c>
      <c r="H7" s="70" t="s">
        <v>722</v>
      </c>
      <c r="I7" s="70" t="s">
        <v>722</v>
      </c>
    </row>
    <row r="8" customFormat="false" ht="15" hidden="false" customHeight="false" outlineLevel="0" collapsed="false">
      <c r="A8" s="23" t="n">
        <v>2</v>
      </c>
      <c r="B8" s="61" t="s">
        <v>723</v>
      </c>
      <c r="C8" s="23" t="s">
        <v>724</v>
      </c>
      <c r="D8" s="23" t="s">
        <v>725</v>
      </c>
      <c r="F8" s="56" t="n">
        <v>4</v>
      </c>
      <c r="G8" s="56" t="s">
        <v>32</v>
      </c>
      <c r="H8" s="70" t="s">
        <v>726</v>
      </c>
      <c r="I8" s="70" t="s">
        <v>726</v>
      </c>
    </row>
    <row r="9" customFormat="false" ht="15" hidden="false" customHeight="false" outlineLevel="0" collapsed="false">
      <c r="A9" s="23"/>
      <c r="B9" s="61"/>
      <c r="C9" s="23" t="s">
        <v>727</v>
      </c>
      <c r="D9" s="23" t="s">
        <v>728</v>
      </c>
      <c r="F9" s="56" t="n">
        <v>5</v>
      </c>
      <c r="G9" s="56" t="s">
        <v>36</v>
      </c>
      <c r="H9" s="70" t="s">
        <v>729</v>
      </c>
      <c r="I9" s="70" t="s">
        <v>729</v>
      </c>
    </row>
    <row r="10" customFormat="false" ht="15" hidden="false" customHeight="false" outlineLevel="0" collapsed="false">
      <c r="A10" s="84"/>
      <c r="B10" s="84"/>
      <c r="C10" s="67"/>
      <c r="D10" s="67"/>
      <c r="F10" s="56" t="n">
        <v>6</v>
      </c>
      <c r="G10" s="56" t="s">
        <v>651</v>
      </c>
      <c r="H10" s="70" t="s">
        <v>730</v>
      </c>
      <c r="I10" s="70" t="s">
        <v>731</v>
      </c>
    </row>
    <row r="11" customFormat="false" ht="15" hidden="false" customHeight="false" outlineLevel="0" collapsed="false">
      <c r="A11" s="84"/>
      <c r="B11" s="84"/>
      <c r="C11" s="67"/>
      <c r="D11" s="67"/>
      <c r="F11" s="62" t="s">
        <v>39</v>
      </c>
      <c r="G11" s="62"/>
      <c r="H11" s="70" t="s">
        <v>732</v>
      </c>
      <c r="I11" s="70" t="s">
        <v>732</v>
      </c>
    </row>
  </sheetData>
  <mergeCells count="7">
    <mergeCell ref="A4:A5"/>
    <mergeCell ref="B4:B5"/>
    <mergeCell ref="A6:A7"/>
    <mergeCell ref="B6:B7"/>
    <mergeCell ref="A8:A9"/>
    <mergeCell ref="B8:B9"/>
    <mergeCell ref="F11:G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6.7"/>
    <col collapsed="false" customWidth="true" hidden="false" outlineLevel="0" max="3" min="3" style="0" width="34.71"/>
    <col collapsed="false" customWidth="true" hidden="false" outlineLevel="0" max="4" min="4" style="0" width="31.43"/>
    <col collapsed="false" customWidth="true" hidden="false" outlineLevel="0" max="6" min="6" style="0" width="5.14"/>
    <col collapsed="false" customWidth="true" hidden="false" outlineLevel="0" max="7" min="7" style="0" width="14.28"/>
    <col collapsed="false" customWidth="true" hidden="false" outlineLevel="0" max="8" min="8" style="0" width="24.43"/>
  </cols>
  <sheetData>
    <row r="2" customFormat="false" ht="15" hidden="false" customHeight="false" outlineLevel="0" collapsed="false">
      <c r="A2" s="58" t="s">
        <v>96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733</v>
      </c>
      <c r="J4" s="0" t="s">
        <v>734</v>
      </c>
      <c r="M4" s="0" t="s">
        <v>735</v>
      </c>
    </row>
    <row r="5" customFormat="false" ht="15" hidden="false" customHeight="false" outlineLevel="0" collapsed="false">
      <c r="A5" s="8"/>
      <c r="B5" s="8"/>
      <c r="C5" s="8" t="s">
        <v>79</v>
      </c>
      <c r="D5" s="8" t="s">
        <v>433</v>
      </c>
      <c r="F5" s="8" t="s">
        <v>6</v>
      </c>
      <c r="G5" s="8" t="s">
        <v>397</v>
      </c>
      <c r="H5" s="78" t="s">
        <v>736</v>
      </c>
      <c r="J5" s="0" t="s">
        <v>737</v>
      </c>
      <c r="M5" s="0" t="s">
        <v>738</v>
      </c>
    </row>
    <row r="6" customFormat="false" ht="15" hidden="false" customHeight="false" outlineLevel="0" collapsed="false">
      <c r="A6" s="23" t="n">
        <v>1</v>
      </c>
      <c r="B6" s="61" t="s">
        <v>739</v>
      </c>
      <c r="C6" s="23" t="s">
        <v>79</v>
      </c>
      <c r="D6" s="23" t="s">
        <v>740</v>
      </c>
      <c r="F6" s="23" t="n">
        <v>1</v>
      </c>
      <c r="G6" s="25" t="s">
        <v>682</v>
      </c>
      <c r="H6" s="70" t="s">
        <v>741</v>
      </c>
      <c r="J6" s="0" t="s">
        <v>742</v>
      </c>
      <c r="M6" s="0" t="s">
        <v>743</v>
      </c>
    </row>
    <row r="7" customFormat="false" ht="15" hidden="false" customHeight="false" outlineLevel="0" collapsed="false">
      <c r="A7" s="23"/>
      <c r="B7" s="61"/>
      <c r="C7" s="23" t="s">
        <v>79</v>
      </c>
      <c r="D7" s="23" t="s">
        <v>744</v>
      </c>
      <c r="F7" s="23" t="n">
        <v>2</v>
      </c>
      <c r="G7" s="25" t="s">
        <v>9</v>
      </c>
      <c r="H7" s="70" t="s">
        <v>745</v>
      </c>
      <c r="J7" s="0" t="s">
        <v>746</v>
      </c>
      <c r="M7" s="0" t="s">
        <v>746</v>
      </c>
    </row>
    <row r="8" customFormat="false" ht="15" hidden="false" customHeight="false" outlineLevel="0" collapsed="false">
      <c r="A8" s="43" t="n">
        <v>2</v>
      </c>
      <c r="B8" s="85" t="s">
        <v>747</v>
      </c>
      <c r="C8" s="23" t="s">
        <v>79</v>
      </c>
      <c r="D8" s="23" t="s">
        <v>748</v>
      </c>
      <c r="F8" s="70" t="n">
        <v>3</v>
      </c>
      <c r="G8" s="83" t="s">
        <v>30</v>
      </c>
      <c r="H8" s="70" t="s">
        <v>749</v>
      </c>
    </row>
    <row r="9" customFormat="false" ht="15" hidden="false" customHeight="false" outlineLevel="0" collapsed="false">
      <c r="A9" s="43"/>
      <c r="B9" s="85"/>
      <c r="C9" s="86" t="s">
        <v>79</v>
      </c>
      <c r="D9" s="86" t="s">
        <v>750</v>
      </c>
      <c r="F9" s="23" t="n">
        <v>4</v>
      </c>
      <c r="G9" s="56" t="s">
        <v>32</v>
      </c>
      <c r="H9" s="70" t="s">
        <v>751</v>
      </c>
    </row>
    <row r="10" customFormat="false" ht="15" hidden="false" customHeight="true" outlineLevel="0" collapsed="false">
      <c r="A10" s="23" t="n">
        <v>3</v>
      </c>
      <c r="B10" s="87" t="s">
        <v>752</v>
      </c>
      <c r="C10" s="73" t="s">
        <v>79</v>
      </c>
      <c r="D10" s="73" t="s">
        <v>753</v>
      </c>
      <c r="F10" s="23" t="n">
        <v>5</v>
      </c>
      <c r="G10" s="56" t="s">
        <v>36</v>
      </c>
      <c r="H10" s="70" t="s">
        <v>754</v>
      </c>
    </row>
    <row r="11" customFormat="false" ht="15" hidden="false" customHeight="false" outlineLevel="0" collapsed="false">
      <c r="A11" s="23"/>
      <c r="B11" s="87"/>
      <c r="C11" s="73" t="s">
        <v>79</v>
      </c>
      <c r="D11" s="73" t="s">
        <v>541</v>
      </c>
      <c r="F11" s="23" t="n">
        <v>6</v>
      </c>
      <c r="G11" s="56" t="s">
        <v>651</v>
      </c>
      <c r="H11" s="70" t="s">
        <v>755</v>
      </c>
    </row>
    <row r="12" customFormat="false" ht="15" hidden="false" customHeight="true" outlineLevel="0" collapsed="false">
      <c r="A12" s="23" t="n">
        <v>4</v>
      </c>
      <c r="B12" s="87" t="s">
        <v>756</v>
      </c>
      <c r="C12" s="73" t="s">
        <v>79</v>
      </c>
      <c r="D12" s="73" t="s">
        <v>757</v>
      </c>
      <c r="F12" s="62" t="s">
        <v>39</v>
      </c>
      <c r="G12" s="62"/>
      <c r="H12" s="70" t="s">
        <v>758</v>
      </c>
    </row>
    <row r="13" customFormat="false" ht="15" hidden="false" customHeight="false" outlineLevel="0" collapsed="false">
      <c r="A13" s="23"/>
      <c r="B13" s="87"/>
      <c r="C13" s="73" t="s">
        <v>79</v>
      </c>
      <c r="D13" s="73" t="s">
        <v>759</v>
      </c>
    </row>
    <row r="14" customFormat="false" ht="15" hidden="false" customHeight="false" outlineLevel="0" collapsed="false">
      <c r="F14" s="7" t="s">
        <v>760</v>
      </c>
    </row>
    <row r="15" customFormat="false" ht="15" hidden="false" customHeight="false" outlineLevel="0" collapsed="false">
      <c r="F15" s="8" t="s">
        <v>6</v>
      </c>
      <c r="G15" s="8" t="s">
        <v>397</v>
      </c>
      <c r="H15" s="78" t="s">
        <v>761</v>
      </c>
    </row>
    <row r="16" customFormat="false" ht="15" hidden="false" customHeight="false" outlineLevel="0" collapsed="false">
      <c r="F16" s="23" t="n">
        <v>1</v>
      </c>
      <c r="G16" s="25" t="s">
        <v>682</v>
      </c>
      <c r="H16" s="70" t="s">
        <v>762</v>
      </c>
    </row>
    <row r="17" customFormat="false" ht="15" hidden="false" customHeight="false" outlineLevel="0" collapsed="false">
      <c r="F17" s="23" t="n">
        <v>2</v>
      </c>
      <c r="G17" s="25" t="s">
        <v>9</v>
      </c>
      <c r="H17" s="70" t="s">
        <v>745</v>
      </c>
    </row>
    <row r="18" customFormat="false" ht="15" hidden="false" customHeight="false" outlineLevel="0" collapsed="false">
      <c r="F18" s="70" t="n">
        <v>3</v>
      </c>
      <c r="G18" s="83" t="s">
        <v>30</v>
      </c>
      <c r="H18" s="70" t="s">
        <v>749</v>
      </c>
    </row>
    <row r="19" customFormat="false" ht="15" hidden="false" customHeight="false" outlineLevel="0" collapsed="false">
      <c r="F19" s="23" t="n">
        <v>4</v>
      </c>
      <c r="G19" s="56" t="s">
        <v>32</v>
      </c>
      <c r="H19" s="70" t="s">
        <v>751</v>
      </c>
    </row>
    <row r="20" customFormat="false" ht="15" hidden="false" customHeight="false" outlineLevel="0" collapsed="false">
      <c r="F20" s="23" t="n">
        <v>5</v>
      </c>
      <c r="G20" s="56" t="s">
        <v>36</v>
      </c>
      <c r="H20" s="70" t="s">
        <v>754</v>
      </c>
    </row>
    <row r="21" customFormat="false" ht="15" hidden="false" customHeight="false" outlineLevel="0" collapsed="false">
      <c r="F21" s="23" t="n">
        <v>6</v>
      </c>
      <c r="G21" s="56" t="s">
        <v>763</v>
      </c>
      <c r="H21" s="70" t="s">
        <v>719</v>
      </c>
    </row>
    <row r="22" customFormat="false" ht="15" hidden="false" customHeight="false" outlineLevel="0" collapsed="false">
      <c r="F22" s="62" t="s">
        <v>39</v>
      </c>
      <c r="G22" s="62"/>
      <c r="H22" s="70" t="s">
        <v>758</v>
      </c>
    </row>
  </sheetData>
  <mergeCells count="12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F22:G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2"/>
    <col collapsed="false" customWidth="true" hidden="false" outlineLevel="0" max="3" min="3" style="0" width="26.57"/>
    <col collapsed="false" customWidth="true" hidden="false" outlineLevel="0" max="4" min="4" style="0" width="27"/>
    <col collapsed="false" customWidth="true" hidden="false" outlineLevel="0" max="6" min="6" style="0" width="4.57"/>
    <col collapsed="false" customWidth="true" hidden="false" outlineLevel="0" max="7" min="7" style="0" width="14.14"/>
  </cols>
  <sheetData>
    <row r="2" customFormat="false" ht="15" hidden="false" customHeight="false" outlineLevel="0" collapsed="false">
      <c r="A2" s="69" t="s">
        <v>100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0" t="s">
        <v>764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768</v>
      </c>
      <c r="I5" s="8" t="s">
        <v>769</v>
      </c>
      <c r="J5" s="8" t="s">
        <v>770</v>
      </c>
      <c r="K5" s="8" t="s">
        <v>771</v>
      </c>
    </row>
    <row r="6" customFormat="false" ht="15" hidden="false" customHeight="true" outlineLevel="0" collapsed="false">
      <c r="A6" s="23" t="n">
        <v>1</v>
      </c>
      <c r="B6" s="87" t="s">
        <v>772</v>
      </c>
      <c r="C6" s="73" t="s">
        <v>773</v>
      </c>
      <c r="D6" s="23" t="s">
        <v>774</v>
      </c>
      <c r="F6" s="23" t="n">
        <v>1</v>
      </c>
      <c r="G6" s="61" t="s">
        <v>682</v>
      </c>
      <c r="H6" s="23" t="s">
        <v>775</v>
      </c>
      <c r="I6" s="23" t="s">
        <v>79</v>
      </c>
      <c r="J6" s="23" t="s">
        <v>775</v>
      </c>
      <c r="K6" s="23" t="s">
        <v>79</v>
      </c>
    </row>
    <row r="7" customFormat="false" ht="15" hidden="false" customHeight="false" outlineLevel="0" collapsed="false">
      <c r="A7" s="23"/>
      <c r="B7" s="87"/>
      <c r="C7" s="73" t="s">
        <v>776</v>
      </c>
      <c r="D7" s="23" t="s">
        <v>777</v>
      </c>
      <c r="F7" s="23" t="n">
        <v>2</v>
      </c>
      <c r="G7" s="61" t="s">
        <v>778</v>
      </c>
      <c r="H7" s="23" t="s">
        <v>779</v>
      </c>
      <c r="I7" s="23" t="s">
        <v>780</v>
      </c>
      <c r="J7" s="23" t="s">
        <v>781</v>
      </c>
      <c r="K7" s="23" t="s">
        <v>782</v>
      </c>
    </row>
    <row r="8" customFormat="false" ht="15" hidden="false" customHeight="true" outlineLevel="0" collapsed="false">
      <c r="A8" s="23" t="n">
        <v>2</v>
      </c>
      <c r="B8" s="87" t="s">
        <v>783</v>
      </c>
      <c r="C8" s="73" t="s">
        <v>784</v>
      </c>
      <c r="D8" s="23" t="s">
        <v>785</v>
      </c>
      <c r="F8" s="23" t="n">
        <v>3</v>
      </c>
      <c r="G8" s="61" t="s">
        <v>786</v>
      </c>
      <c r="H8" s="23" t="s">
        <v>745</v>
      </c>
      <c r="I8" s="23" t="s">
        <v>745</v>
      </c>
      <c r="J8" s="23" t="s">
        <v>745</v>
      </c>
      <c r="K8" s="23" t="s">
        <v>745</v>
      </c>
    </row>
    <row r="9" customFormat="false" ht="15" hidden="false" customHeight="false" outlineLevel="0" collapsed="false">
      <c r="A9" s="23"/>
      <c r="B9" s="87"/>
      <c r="C9" s="73" t="s">
        <v>787</v>
      </c>
      <c r="D9" s="23" t="s">
        <v>578</v>
      </c>
      <c r="F9" s="23" t="n">
        <v>4</v>
      </c>
      <c r="G9" s="61" t="s">
        <v>38</v>
      </c>
      <c r="H9" s="23" t="s">
        <v>788</v>
      </c>
      <c r="I9" s="23" t="s">
        <v>788</v>
      </c>
      <c r="J9" s="23" t="s">
        <v>788</v>
      </c>
      <c r="K9" s="23" t="s">
        <v>788</v>
      </c>
    </row>
    <row r="10" customFormat="false" ht="15" hidden="false" customHeight="true" outlineLevel="0" collapsed="false">
      <c r="A10" s="23" t="n">
        <v>3</v>
      </c>
      <c r="B10" s="87" t="s">
        <v>789</v>
      </c>
      <c r="C10" s="73" t="s">
        <v>790</v>
      </c>
      <c r="D10" s="73" t="s">
        <v>791</v>
      </c>
      <c r="F10" s="23" t="n">
        <v>5</v>
      </c>
      <c r="G10" s="61" t="s">
        <v>763</v>
      </c>
      <c r="H10" s="23" t="s">
        <v>792</v>
      </c>
      <c r="I10" s="23" t="s">
        <v>792</v>
      </c>
      <c r="J10" s="23" t="s">
        <v>793</v>
      </c>
      <c r="K10" s="23" t="s">
        <v>793</v>
      </c>
    </row>
    <row r="11" customFormat="false" ht="15" hidden="false" customHeight="false" outlineLevel="0" collapsed="false">
      <c r="A11" s="23"/>
      <c r="B11" s="87"/>
      <c r="C11" s="73" t="s">
        <v>794</v>
      </c>
      <c r="D11" s="73" t="s">
        <v>795</v>
      </c>
      <c r="F11" s="8" t="s">
        <v>39</v>
      </c>
      <c r="G11" s="8"/>
      <c r="H11" s="23" t="s">
        <v>758</v>
      </c>
      <c r="I11" s="23" t="s">
        <v>758</v>
      </c>
      <c r="J11" s="23" t="s">
        <v>758</v>
      </c>
      <c r="K11" s="23" t="s">
        <v>758</v>
      </c>
    </row>
    <row r="12" customFormat="false" ht="15" hidden="false" customHeight="true" outlineLevel="0" collapsed="false">
      <c r="A12" s="23" t="n">
        <v>4</v>
      </c>
      <c r="B12" s="87" t="s">
        <v>796</v>
      </c>
      <c r="C12" s="73" t="s">
        <v>797</v>
      </c>
      <c r="D12" s="73" t="s">
        <v>798</v>
      </c>
    </row>
    <row r="13" customFormat="false" ht="15" hidden="false" customHeight="false" outlineLevel="0" collapsed="false">
      <c r="A13" s="23"/>
      <c r="B13" s="87"/>
      <c r="C13" s="73" t="s">
        <v>799</v>
      </c>
      <c r="D13" s="73" t="s">
        <v>800</v>
      </c>
      <c r="F13" s="0" t="s">
        <v>801</v>
      </c>
    </row>
    <row r="14" customFormat="false" ht="15" hidden="false" customHeight="true" outlineLevel="0" collapsed="false">
      <c r="A14" s="23" t="n">
        <v>5</v>
      </c>
      <c r="B14" s="88" t="s">
        <v>802</v>
      </c>
      <c r="C14" s="73" t="s">
        <v>803</v>
      </c>
      <c r="D14" s="73" t="s">
        <v>804</v>
      </c>
      <c r="F14" s="8" t="s">
        <v>6</v>
      </c>
      <c r="G14" s="8" t="s">
        <v>767</v>
      </c>
      <c r="H14" s="8" t="s">
        <v>805</v>
      </c>
      <c r="I14" s="8" t="s">
        <v>806</v>
      </c>
    </row>
    <row r="15" customFormat="false" ht="15" hidden="false" customHeight="false" outlineLevel="0" collapsed="false">
      <c r="A15" s="23"/>
      <c r="B15" s="88"/>
      <c r="C15" s="73" t="s">
        <v>807</v>
      </c>
      <c r="D15" s="73" t="s">
        <v>808</v>
      </c>
      <c r="F15" s="23" t="n">
        <v>1</v>
      </c>
      <c r="G15" s="61" t="s">
        <v>682</v>
      </c>
      <c r="H15" s="23" t="s">
        <v>809</v>
      </c>
      <c r="I15" s="23" t="s">
        <v>780</v>
      </c>
    </row>
    <row r="16" customFormat="false" ht="15" hidden="false" customHeight="true" outlineLevel="0" collapsed="false">
      <c r="A16" s="23" t="n">
        <v>6</v>
      </c>
      <c r="B16" s="87" t="s">
        <v>810</v>
      </c>
      <c r="C16" s="73" t="s">
        <v>811</v>
      </c>
      <c r="D16" s="73" t="s">
        <v>812</v>
      </c>
      <c r="F16" s="23" t="n">
        <v>2</v>
      </c>
      <c r="G16" s="61" t="s">
        <v>786</v>
      </c>
      <c r="H16" s="23" t="s">
        <v>745</v>
      </c>
      <c r="I16" s="23" t="s">
        <v>745</v>
      </c>
    </row>
    <row r="17" customFormat="false" ht="15" hidden="false" customHeight="false" outlineLevel="0" collapsed="false">
      <c r="A17" s="23"/>
      <c r="B17" s="87"/>
      <c r="C17" s="73" t="s">
        <v>515</v>
      </c>
      <c r="D17" s="73" t="s">
        <v>813</v>
      </c>
      <c r="F17" s="23" t="n">
        <v>3</v>
      </c>
      <c r="G17" s="61" t="s">
        <v>38</v>
      </c>
      <c r="H17" s="23" t="s">
        <v>788</v>
      </c>
      <c r="I17" s="23" t="s">
        <v>788</v>
      </c>
    </row>
    <row r="18" customFormat="false" ht="15" hidden="false" customHeight="true" outlineLevel="0" collapsed="false">
      <c r="A18" s="23" t="n">
        <v>7</v>
      </c>
      <c r="B18" s="87" t="s">
        <v>814</v>
      </c>
      <c r="C18" s="23" t="s">
        <v>815</v>
      </c>
      <c r="D18" s="73" t="s">
        <v>816</v>
      </c>
      <c r="F18" s="23" t="n">
        <v>4</v>
      </c>
      <c r="G18" s="61" t="s">
        <v>817</v>
      </c>
      <c r="H18" s="23" t="s">
        <v>818</v>
      </c>
      <c r="I18" s="23" t="s">
        <v>792</v>
      </c>
    </row>
    <row r="19" customFormat="false" ht="15" hidden="false" customHeight="false" outlineLevel="0" collapsed="false">
      <c r="A19" s="23"/>
      <c r="B19" s="87"/>
      <c r="C19" s="23" t="s">
        <v>819</v>
      </c>
      <c r="D19" s="73" t="s">
        <v>820</v>
      </c>
      <c r="F19" s="8" t="s">
        <v>39</v>
      </c>
      <c r="G19" s="8"/>
      <c r="H19" s="23" t="s">
        <v>758</v>
      </c>
      <c r="I19" s="23" t="s">
        <v>758</v>
      </c>
    </row>
    <row r="20" customFormat="false" ht="15" hidden="false" customHeight="true" outlineLevel="0" collapsed="false">
      <c r="A20" s="23" t="n">
        <v>8</v>
      </c>
      <c r="B20" s="87" t="s">
        <v>821</v>
      </c>
      <c r="C20" s="23" t="s">
        <v>822</v>
      </c>
      <c r="D20" s="73" t="s">
        <v>823</v>
      </c>
    </row>
    <row r="21" customFormat="false" ht="15" hidden="false" customHeight="false" outlineLevel="0" collapsed="false">
      <c r="A21" s="23"/>
      <c r="B21" s="87"/>
      <c r="C21" s="23" t="s">
        <v>824</v>
      </c>
      <c r="D21" s="73" t="s">
        <v>825</v>
      </c>
      <c r="F21" s="0" t="s">
        <v>826</v>
      </c>
    </row>
    <row r="22" customFormat="false" ht="15" hidden="false" customHeight="false" outlineLevel="0" collapsed="false">
      <c r="F22" s="8" t="s">
        <v>6</v>
      </c>
      <c r="G22" s="8" t="s">
        <v>767</v>
      </c>
      <c r="H22" s="8" t="s">
        <v>827</v>
      </c>
      <c r="I22" s="8" t="s">
        <v>828</v>
      </c>
    </row>
    <row r="23" customFormat="false" ht="15" hidden="false" customHeight="false" outlineLevel="0" collapsed="false">
      <c r="F23" s="23" t="n">
        <v>1</v>
      </c>
      <c r="G23" s="61" t="s">
        <v>682</v>
      </c>
      <c r="H23" s="23" t="s">
        <v>829</v>
      </c>
      <c r="I23" s="23" t="s">
        <v>830</v>
      </c>
    </row>
    <row r="24" customFormat="false" ht="15" hidden="false" customHeight="false" outlineLevel="0" collapsed="false">
      <c r="F24" s="23" t="n">
        <v>2</v>
      </c>
      <c r="G24" s="61" t="s">
        <v>786</v>
      </c>
      <c r="H24" s="23" t="s">
        <v>745</v>
      </c>
      <c r="I24" s="23" t="s">
        <v>745</v>
      </c>
    </row>
    <row r="25" customFormat="false" ht="15" hidden="false" customHeight="false" outlineLevel="0" collapsed="false">
      <c r="F25" s="23" t="n">
        <v>3</v>
      </c>
      <c r="G25" s="61" t="s">
        <v>31</v>
      </c>
      <c r="H25" s="23" t="s">
        <v>831</v>
      </c>
      <c r="I25" s="23" t="s">
        <v>831</v>
      </c>
    </row>
    <row r="26" customFormat="false" ht="15" hidden="false" customHeight="false" outlineLevel="0" collapsed="false">
      <c r="F26" s="23" t="n">
        <v>4</v>
      </c>
      <c r="G26" s="61" t="s">
        <v>832</v>
      </c>
      <c r="H26" s="23" t="s">
        <v>833</v>
      </c>
      <c r="I26" s="23" t="s">
        <v>745</v>
      </c>
    </row>
    <row r="27" customFormat="false" ht="15" hidden="false" customHeight="false" outlineLevel="0" collapsed="false">
      <c r="F27" s="8" t="s">
        <v>39</v>
      </c>
      <c r="G27" s="8"/>
      <c r="H27" s="23" t="s">
        <v>758</v>
      </c>
      <c r="I27" s="23" t="s">
        <v>758</v>
      </c>
    </row>
  </sheetData>
  <mergeCells count="21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F19:G19"/>
    <mergeCell ref="A20:A21"/>
    <mergeCell ref="B20:B21"/>
    <mergeCell ref="F27:G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7.15"/>
    <col collapsed="false" customWidth="true" hidden="false" outlineLevel="0" max="4" min="3" style="0" width="22.43"/>
    <col collapsed="false" customWidth="true" hidden="false" outlineLevel="0" max="6" min="6" style="0" width="4.43"/>
    <col collapsed="false" customWidth="true" hidden="false" outlineLevel="0" max="7" min="7" style="0" width="14.14"/>
    <col collapsed="false" customWidth="true" hidden="false" outlineLevel="0" max="9" min="8" style="0" width="10.57"/>
    <col collapsed="false" customWidth="true" hidden="false" outlineLevel="0" max="11" min="11" style="0" width="4.7"/>
    <col collapsed="false" customWidth="true" hidden="false" outlineLevel="0" max="12" min="12" style="0" width="16.43"/>
    <col collapsed="false" customWidth="true" hidden="false" outlineLevel="0" max="13" min="13" style="0" width="11.85"/>
    <col collapsed="false" customWidth="true" hidden="false" outlineLevel="0" max="14" min="14" style="0" width="12.71"/>
  </cols>
  <sheetData>
    <row r="1" customFormat="false" ht="15" hidden="false" customHeight="false" outlineLevel="0" collapsed="false">
      <c r="L1" s="0" t="s">
        <v>834</v>
      </c>
    </row>
    <row r="2" customFormat="false" ht="15" hidden="false" customHeight="false" outlineLevel="0" collapsed="false">
      <c r="A2" s="69" t="s">
        <v>109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0" t="s">
        <v>835</v>
      </c>
      <c r="K4" s="0" t="s">
        <v>836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837</v>
      </c>
      <c r="I5" s="8" t="s">
        <v>838</v>
      </c>
      <c r="K5" s="8" t="s">
        <v>6</v>
      </c>
      <c r="L5" s="8" t="s">
        <v>767</v>
      </c>
      <c r="M5" s="8" t="n">
        <v>1</v>
      </c>
      <c r="N5" s="8" t="n">
        <v>2</v>
      </c>
    </row>
    <row r="6" customFormat="false" ht="15" hidden="false" customHeight="true" outlineLevel="0" collapsed="false">
      <c r="A6" s="23" t="n">
        <v>1</v>
      </c>
      <c r="B6" s="87" t="s">
        <v>839</v>
      </c>
      <c r="C6" s="73" t="s">
        <v>840</v>
      </c>
      <c r="D6" s="23" t="s">
        <v>841</v>
      </c>
      <c r="F6" s="23" t="n">
        <v>1</v>
      </c>
      <c r="G6" s="61" t="s">
        <v>842</v>
      </c>
      <c r="H6" s="23" t="s">
        <v>843</v>
      </c>
      <c r="I6" s="23" t="s">
        <v>79</v>
      </c>
      <c r="K6" s="23" t="n">
        <v>1</v>
      </c>
      <c r="L6" s="61" t="s">
        <v>844</v>
      </c>
      <c r="M6" s="23" t="s">
        <v>762</v>
      </c>
      <c r="N6" s="23" t="s">
        <v>762</v>
      </c>
    </row>
    <row r="7" customFormat="false" ht="15" hidden="false" customHeight="false" outlineLevel="0" collapsed="false">
      <c r="A7" s="23"/>
      <c r="B7" s="87"/>
      <c r="C7" s="73" t="s">
        <v>845</v>
      </c>
      <c r="D7" s="23" t="s">
        <v>846</v>
      </c>
      <c r="F7" s="23" t="n">
        <v>2</v>
      </c>
      <c r="G7" s="61" t="s">
        <v>847</v>
      </c>
      <c r="H7" s="23" t="s">
        <v>781</v>
      </c>
      <c r="I7" s="23" t="s">
        <v>782</v>
      </c>
      <c r="K7" s="23" t="n">
        <v>2</v>
      </c>
      <c r="L7" s="61" t="s">
        <v>9</v>
      </c>
      <c r="M7" s="23" t="s">
        <v>745</v>
      </c>
      <c r="N7" s="23" t="s">
        <v>745</v>
      </c>
    </row>
    <row r="8" customFormat="false" ht="15" hidden="false" customHeight="true" outlineLevel="0" collapsed="false">
      <c r="A8" s="23" t="n">
        <v>2</v>
      </c>
      <c r="B8" s="87" t="s">
        <v>848</v>
      </c>
      <c r="C8" s="73" t="s">
        <v>849</v>
      </c>
      <c r="D8" s="23" t="s">
        <v>850</v>
      </c>
      <c r="F8" s="23" t="n">
        <v>3</v>
      </c>
      <c r="G8" s="61" t="s">
        <v>12</v>
      </c>
      <c r="H8" s="23" t="s">
        <v>745</v>
      </c>
      <c r="I8" s="23" t="s">
        <v>745</v>
      </c>
      <c r="K8" s="23" t="n">
        <v>3</v>
      </c>
      <c r="L8" s="61" t="s">
        <v>29</v>
      </c>
      <c r="M8" s="23" t="s">
        <v>749</v>
      </c>
      <c r="N8" s="23" t="s">
        <v>749</v>
      </c>
    </row>
    <row r="9" customFormat="false" ht="15" hidden="false" customHeight="false" outlineLevel="0" collapsed="false">
      <c r="A9" s="23"/>
      <c r="B9" s="87"/>
      <c r="C9" s="73" t="s">
        <v>851</v>
      </c>
      <c r="D9" s="23" t="s">
        <v>852</v>
      </c>
      <c r="F9" s="23" t="n">
        <v>4</v>
      </c>
      <c r="G9" s="61" t="s">
        <v>38</v>
      </c>
      <c r="H9" s="23" t="s">
        <v>788</v>
      </c>
      <c r="I9" s="23" t="s">
        <v>788</v>
      </c>
      <c r="K9" s="23" t="n">
        <v>4</v>
      </c>
      <c r="L9" s="61" t="s">
        <v>32</v>
      </c>
      <c r="M9" s="23" t="s">
        <v>751</v>
      </c>
      <c r="N9" s="23" t="s">
        <v>751</v>
      </c>
    </row>
    <row r="10" customFormat="false" ht="15" hidden="false" customHeight="true" outlineLevel="0" collapsed="false">
      <c r="A10" s="23" t="n">
        <v>3</v>
      </c>
      <c r="B10" s="87" t="s">
        <v>853</v>
      </c>
      <c r="C10" s="73" t="s">
        <v>854</v>
      </c>
      <c r="D10" s="73" t="s">
        <v>855</v>
      </c>
      <c r="F10" s="23" t="n">
        <v>5</v>
      </c>
      <c r="G10" s="61" t="s">
        <v>763</v>
      </c>
      <c r="H10" s="23" t="s">
        <v>856</v>
      </c>
      <c r="I10" s="23" t="s">
        <v>793</v>
      </c>
      <c r="K10" s="86" t="n">
        <v>5</v>
      </c>
      <c r="L10" s="85" t="s">
        <v>36</v>
      </c>
      <c r="M10" s="86" t="s">
        <v>754</v>
      </c>
      <c r="N10" s="86" t="s">
        <v>754</v>
      </c>
    </row>
    <row r="11" customFormat="false" ht="15" hidden="false" customHeight="false" outlineLevel="0" collapsed="false">
      <c r="A11" s="23"/>
      <c r="B11" s="87"/>
      <c r="C11" s="73" t="s">
        <v>687</v>
      </c>
      <c r="D11" s="73" t="s">
        <v>857</v>
      </c>
      <c r="F11" s="8" t="s">
        <v>39</v>
      </c>
      <c r="G11" s="8"/>
      <c r="H11" s="23" t="s">
        <v>758</v>
      </c>
      <c r="I11" s="23" t="s">
        <v>758</v>
      </c>
      <c r="K11" s="73" t="n">
        <v>6</v>
      </c>
      <c r="L11" s="56" t="s">
        <v>26</v>
      </c>
      <c r="M11" s="23" t="s">
        <v>719</v>
      </c>
      <c r="N11" s="23" t="s">
        <v>858</v>
      </c>
    </row>
    <row r="12" customFormat="false" ht="15" hidden="false" customHeight="true" outlineLevel="0" collapsed="false">
      <c r="A12" s="23" t="n">
        <v>4</v>
      </c>
      <c r="B12" s="87" t="s">
        <v>859</v>
      </c>
      <c r="C12" s="73" t="s">
        <v>860</v>
      </c>
      <c r="D12" s="73" t="s">
        <v>861</v>
      </c>
      <c r="K12" s="73" t="n">
        <v>7</v>
      </c>
      <c r="L12" s="56" t="s">
        <v>862</v>
      </c>
      <c r="M12" s="23" t="s">
        <v>858</v>
      </c>
      <c r="N12" s="23" t="s">
        <v>719</v>
      </c>
    </row>
    <row r="13" customFormat="false" ht="15" hidden="false" customHeight="false" outlineLevel="0" collapsed="false">
      <c r="A13" s="23"/>
      <c r="B13" s="87"/>
      <c r="C13" s="73" t="s">
        <v>863</v>
      </c>
      <c r="D13" s="73" t="s">
        <v>864</v>
      </c>
      <c r="F13" s="0" t="s">
        <v>865</v>
      </c>
      <c r="K13" s="62" t="s">
        <v>39</v>
      </c>
      <c r="L13" s="62"/>
      <c r="M13" s="23" t="s">
        <v>758</v>
      </c>
      <c r="N13" s="23" t="s">
        <v>758</v>
      </c>
    </row>
    <row r="14" customFormat="false" ht="15" hidden="false" customHeight="true" outlineLevel="0" collapsed="false">
      <c r="A14" s="23" t="n">
        <v>5</v>
      </c>
      <c r="B14" s="88" t="s">
        <v>866</v>
      </c>
      <c r="C14" s="73" t="s">
        <v>867</v>
      </c>
      <c r="D14" s="73" t="s">
        <v>868</v>
      </c>
      <c r="F14" s="8" t="s">
        <v>6</v>
      </c>
      <c r="G14" s="8" t="s">
        <v>767</v>
      </c>
      <c r="H14" s="8" t="s">
        <v>837</v>
      </c>
      <c r="I14" s="8" t="s">
        <v>838</v>
      </c>
    </row>
    <row r="15" customFormat="false" ht="15" hidden="false" customHeight="false" outlineLevel="0" collapsed="false">
      <c r="A15" s="23"/>
      <c r="B15" s="88"/>
      <c r="C15" s="73" t="s">
        <v>869</v>
      </c>
      <c r="D15" s="73" t="s">
        <v>870</v>
      </c>
      <c r="F15" s="23" t="n">
        <v>1</v>
      </c>
      <c r="G15" s="61" t="s">
        <v>842</v>
      </c>
      <c r="H15" s="23" t="s">
        <v>775</v>
      </c>
      <c r="I15" s="23" t="s">
        <v>775</v>
      </c>
      <c r="K15" s="0" t="s">
        <v>871</v>
      </c>
    </row>
    <row r="16" customFormat="false" ht="15" hidden="false" customHeight="true" outlineLevel="0" collapsed="false">
      <c r="A16" s="23" t="n">
        <v>6</v>
      </c>
      <c r="B16" s="87" t="s">
        <v>872</v>
      </c>
      <c r="C16" s="73" t="s">
        <v>873</v>
      </c>
      <c r="D16" s="73" t="s">
        <v>874</v>
      </c>
      <c r="F16" s="23" t="n">
        <v>2</v>
      </c>
      <c r="G16" s="61" t="s">
        <v>847</v>
      </c>
      <c r="H16" s="23" t="s">
        <v>875</v>
      </c>
      <c r="I16" s="23" t="s">
        <v>779</v>
      </c>
      <c r="K16" s="8" t="s">
        <v>6</v>
      </c>
      <c r="L16" s="8" t="s">
        <v>767</v>
      </c>
      <c r="M16" s="8" t="s">
        <v>876</v>
      </c>
      <c r="N16" s="8" t="s">
        <v>877</v>
      </c>
    </row>
    <row r="17" customFormat="false" ht="15" hidden="false" customHeight="false" outlineLevel="0" collapsed="false">
      <c r="A17" s="23"/>
      <c r="B17" s="87"/>
      <c r="C17" s="73" t="s">
        <v>878</v>
      </c>
      <c r="D17" s="73" t="s">
        <v>808</v>
      </c>
      <c r="F17" s="23" t="n">
        <v>3</v>
      </c>
      <c r="G17" s="61" t="s">
        <v>786</v>
      </c>
      <c r="H17" s="23" t="s">
        <v>745</v>
      </c>
      <c r="I17" s="23" t="s">
        <v>745</v>
      </c>
      <c r="K17" s="23" t="n">
        <v>1</v>
      </c>
      <c r="L17" s="61" t="s">
        <v>682</v>
      </c>
      <c r="M17" s="23" t="s">
        <v>762</v>
      </c>
      <c r="N17" s="23" t="s">
        <v>762</v>
      </c>
    </row>
    <row r="18" customFormat="false" ht="15" hidden="false" customHeight="true" outlineLevel="0" collapsed="false">
      <c r="A18" s="23" t="n">
        <v>7</v>
      </c>
      <c r="B18" s="87" t="s">
        <v>879</v>
      </c>
      <c r="C18" s="23" t="s">
        <v>79</v>
      </c>
      <c r="D18" s="73" t="s">
        <v>880</v>
      </c>
      <c r="F18" s="23" t="n">
        <v>4</v>
      </c>
      <c r="G18" s="61" t="s">
        <v>38</v>
      </c>
      <c r="H18" s="23" t="s">
        <v>788</v>
      </c>
      <c r="I18" s="23" t="s">
        <v>788</v>
      </c>
      <c r="K18" s="23" t="n">
        <v>2</v>
      </c>
      <c r="L18" s="61" t="s">
        <v>9</v>
      </c>
      <c r="M18" s="23" t="s">
        <v>745</v>
      </c>
      <c r="N18" s="23" t="s">
        <v>745</v>
      </c>
    </row>
    <row r="19" customFormat="false" ht="15" hidden="false" customHeight="false" outlineLevel="0" collapsed="false">
      <c r="A19" s="23"/>
      <c r="B19" s="87"/>
      <c r="C19" s="23" t="s">
        <v>79</v>
      </c>
      <c r="D19" s="73" t="s">
        <v>881</v>
      </c>
      <c r="F19" s="23" t="n">
        <v>5</v>
      </c>
      <c r="G19" s="61" t="s">
        <v>763</v>
      </c>
      <c r="H19" s="23" t="s">
        <v>882</v>
      </c>
      <c r="I19" s="23" t="s">
        <v>792</v>
      </c>
      <c r="K19" s="23" t="n">
        <v>3</v>
      </c>
      <c r="L19" s="61" t="s">
        <v>30</v>
      </c>
      <c r="M19" s="23" t="s">
        <v>749</v>
      </c>
      <c r="N19" s="23" t="s">
        <v>749</v>
      </c>
    </row>
    <row r="20" customFormat="false" ht="15" hidden="false" customHeight="true" outlineLevel="0" collapsed="false">
      <c r="A20" s="43" t="n">
        <v>8</v>
      </c>
      <c r="B20" s="89" t="s">
        <v>883</v>
      </c>
      <c r="C20" s="23" t="s">
        <v>79</v>
      </c>
      <c r="D20" s="73" t="s">
        <v>884</v>
      </c>
      <c r="F20" s="8" t="s">
        <v>39</v>
      </c>
      <c r="G20" s="8"/>
      <c r="H20" s="23" t="s">
        <v>758</v>
      </c>
      <c r="I20" s="23" t="s">
        <v>758</v>
      </c>
      <c r="K20" s="23" t="n">
        <v>4</v>
      </c>
      <c r="L20" s="61" t="s">
        <v>32</v>
      </c>
      <c r="M20" s="23" t="s">
        <v>751</v>
      </c>
      <c r="N20" s="23" t="s">
        <v>751</v>
      </c>
    </row>
    <row r="21" customFormat="false" ht="15" hidden="false" customHeight="false" outlineLevel="0" collapsed="false">
      <c r="A21" s="43"/>
      <c r="B21" s="89"/>
      <c r="C21" s="86" t="s">
        <v>79</v>
      </c>
      <c r="D21" s="90" t="s">
        <v>885</v>
      </c>
      <c r="K21" s="86" t="n">
        <v>5</v>
      </c>
      <c r="L21" s="85" t="s">
        <v>36</v>
      </c>
      <c r="M21" s="86" t="s">
        <v>754</v>
      </c>
      <c r="N21" s="86" t="s">
        <v>754</v>
      </c>
    </row>
    <row r="22" customFormat="false" ht="15" hidden="false" customHeight="true" outlineLevel="0" collapsed="false">
      <c r="A22" s="32" t="n">
        <v>9</v>
      </c>
      <c r="B22" s="88" t="s">
        <v>886</v>
      </c>
      <c r="C22" s="73" t="s">
        <v>79</v>
      </c>
      <c r="D22" s="23" t="s">
        <v>887</v>
      </c>
      <c r="K22" s="73" t="n">
        <v>6</v>
      </c>
      <c r="L22" s="56" t="s">
        <v>26</v>
      </c>
      <c r="M22" s="23" t="s">
        <v>719</v>
      </c>
      <c r="N22" s="23" t="s">
        <v>858</v>
      </c>
    </row>
    <row r="23" customFormat="false" ht="15" hidden="false" customHeight="false" outlineLevel="0" collapsed="false">
      <c r="A23" s="32"/>
      <c r="B23" s="88"/>
      <c r="C23" s="73" t="s">
        <v>79</v>
      </c>
      <c r="D23" s="23" t="s">
        <v>638</v>
      </c>
      <c r="K23" s="73" t="n">
        <v>7</v>
      </c>
      <c r="L23" s="56" t="s">
        <v>862</v>
      </c>
      <c r="M23" s="23" t="s">
        <v>858</v>
      </c>
      <c r="N23" s="23" t="s">
        <v>719</v>
      </c>
    </row>
    <row r="24" customFormat="false" ht="15" hidden="false" customHeight="true" outlineLevel="0" collapsed="false">
      <c r="A24" s="32" t="n">
        <v>10</v>
      </c>
      <c r="B24" s="88" t="s">
        <v>888</v>
      </c>
      <c r="C24" s="73" t="s">
        <v>79</v>
      </c>
      <c r="D24" s="23" t="s">
        <v>889</v>
      </c>
      <c r="K24" s="62" t="s">
        <v>39</v>
      </c>
      <c r="L24" s="62"/>
      <c r="M24" s="23" t="s">
        <v>758</v>
      </c>
      <c r="N24" s="23" t="s">
        <v>758</v>
      </c>
    </row>
    <row r="25" customFormat="false" ht="15" hidden="false" customHeight="false" outlineLevel="0" collapsed="false">
      <c r="A25" s="32"/>
      <c r="B25" s="88"/>
      <c r="C25" s="73" t="s">
        <v>79</v>
      </c>
      <c r="D25" s="23" t="s">
        <v>564</v>
      </c>
    </row>
    <row r="26" customFormat="false" ht="15" hidden="false" customHeight="false" outlineLevel="0" collapsed="false">
      <c r="K26" s="0" t="s">
        <v>890</v>
      </c>
    </row>
    <row r="27" customFormat="false" ht="15" hidden="false" customHeight="false" outlineLevel="0" collapsed="false">
      <c r="K27" s="8" t="s">
        <v>6</v>
      </c>
      <c r="L27" s="8" t="s">
        <v>767</v>
      </c>
      <c r="M27" s="8" t="s">
        <v>876</v>
      </c>
      <c r="N27" s="8" t="s">
        <v>877</v>
      </c>
    </row>
    <row r="28" customFormat="false" ht="15" hidden="false" customHeight="false" outlineLevel="0" collapsed="false">
      <c r="K28" s="23" t="n">
        <v>1</v>
      </c>
      <c r="L28" s="61" t="s">
        <v>682</v>
      </c>
      <c r="M28" s="23" t="s">
        <v>891</v>
      </c>
      <c r="N28" s="23" t="s">
        <v>892</v>
      </c>
    </row>
    <row r="29" customFormat="false" ht="15" hidden="false" customHeight="false" outlineLevel="0" collapsed="false">
      <c r="K29" s="23" t="n">
        <v>2</v>
      </c>
      <c r="L29" s="61" t="s">
        <v>9</v>
      </c>
      <c r="M29" s="23" t="s">
        <v>893</v>
      </c>
      <c r="N29" s="23" t="s">
        <v>893</v>
      </c>
    </row>
    <row r="30" customFormat="false" ht="15" hidden="false" customHeight="false" outlineLevel="0" collapsed="false">
      <c r="K30" s="23" t="n">
        <v>3</v>
      </c>
      <c r="L30" s="61" t="s">
        <v>30</v>
      </c>
      <c r="M30" s="23" t="s">
        <v>894</v>
      </c>
      <c r="N30" s="23" t="s">
        <v>894</v>
      </c>
    </row>
    <row r="31" customFormat="false" ht="15" hidden="false" customHeight="false" outlineLevel="0" collapsed="false">
      <c r="K31" s="23" t="n">
        <v>4</v>
      </c>
      <c r="L31" s="61" t="s">
        <v>32</v>
      </c>
      <c r="M31" s="23" t="s">
        <v>895</v>
      </c>
      <c r="N31" s="23" t="s">
        <v>895</v>
      </c>
    </row>
    <row r="32" customFormat="false" ht="15" hidden="false" customHeight="false" outlineLevel="0" collapsed="false">
      <c r="K32" s="86" t="n">
        <v>5</v>
      </c>
      <c r="L32" s="85" t="s">
        <v>36</v>
      </c>
      <c r="M32" s="86" t="s">
        <v>896</v>
      </c>
      <c r="N32" s="86" t="s">
        <v>896</v>
      </c>
    </row>
    <row r="33" customFormat="false" ht="15" hidden="false" customHeight="false" outlineLevel="0" collapsed="false">
      <c r="K33" s="73" t="n">
        <v>6</v>
      </c>
      <c r="L33" s="56" t="s">
        <v>862</v>
      </c>
      <c r="M33" s="23" t="s">
        <v>897</v>
      </c>
      <c r="N33" s="23" t="s">
        <v>898</v>
      </c>
    </row>
    <row r="34" customFormat="false" ht="15" hidden="false" customHeight="false" outlineLevel="0" collapsed="false">
      <c r="K34" s="62" t="s">
        <v>39</v>
      </c>
      <c r="L34" s="62"/>
      <c r="M34" s="23" t="s">
        <v>758</v>
      </c>
      <c r="N34" s="23" t="s">
        <v>758</v>
      </c>
    </row>
    <row r="35" customFormat="false" ht="15" hidden="false" customHeight="false" outlineLevel="0" collapsed="false">
      <c r="K35" s="72"/>
      <c r="L35" s="72"/>
      <c r="M35" s="67"/>
      <c r="N35" s="67"/>
    </row>
  </sheetData>
  <mergeCells count="27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K13:L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A22:A23"/>
    <mergeCell ref="B22:B23"/>
    <mergeCell ref="A24:A25"/>
    <mergeCell ref="B24:B25"/>
    <mergeCell ref="K24:L24"/>
    <mergeCell ref="K34:L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9.42"/>
    <col collapsed="false" customWidth="true" hidden="false" outlineLevel="0" max="3" min="3" style="0" width="30.57"/>
    <col collapsed="false" customWidth="true" hidden="false" outlineLevel="0" max="4" min="4" style="0" width="26.72"/>
    <col collapsed="false" customWidth="true" hidden="false" outlineLevel="0" max="6" min="6" style="0" width="4.14"/>
    <col collapsed="false" customWidth="true" hidden="false" outlineLevel="0" max="7" min="7" style="0" width="14.14"/>
    <col collapsed="false" customWidth="true" hidden="false" outlineLevel="0" max="9" min="8" style="0" width="10.57"/>
  </cols>
  <sheetData>
    <row r="2" customFormat="false" ht="15" hidden="false" customHeight="false" outlineLevel="0" collapsed="false">
      <c r="A2" s="69" t="s">
        <v>120</v>
      </c>
    </row>
    <row r="3" customFormat="false" ht="15" hidden="false" customHeight="false" outlineLevel="0" collapsed="false">
      <c r="F3" s="0" t="s">
        <v>899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767</v>
      </c>
      <c r="H4" s="8" t="s">
        <v>900</v>
      </c>
      <c r="I4" s="8" t="s">
        <v>901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61" t="s">
        <v>842</v>
      </c>
      <c r="H5" s="23" t="s">
        <v>902</v>
      </c>
      <c r="I5" s="23" t="s">
        <v>903</v>
      </c>
    </row>
    <row r="6" customFormat="false" ht="15" hidden="false" customHeight="true" outlineLevel="0" collapsed="false">
      <c r="A6" s="23" t="n">
        <v>1</v>
      </c>
      <c r="B6" s="87" t="s">
        <v>904</v>
      </c>
      <c r="C6" s="73" t="s">
        <v>905</v>
      </c>
      <c r="D6" s="23" t="s">
        <v>906</v>
      </c>
      <c r="F6" s="23" t="n">
        <v>2</v>
      </c>
      <c r="G6" s="61" t="s">
        <v>847</v>
      </c>
      <c r="H6" s="23" t="s">
        <v>907</v>
      </c>
      <c r="I6" s="23" t="s">
        <v>908</v>
      </c>
    </row>
    <row r="7" customFormat="false" ht="15" hidden="false" customHeight="false" outlineLevel="0" collapsed="false">
      <c r="A7" s="23"/>
      <c r="B7" s="87"/>
      <c r="C7" s="73" t="s">
        <v>909</v>
      </c>
      <c r="D7" s="23" t="s">
        <v>564</v>
      </c>
      <c r="F7" s="23" t="n">
        <v>3</v>
      </c>
      <c r="G7" s="61" t="s">
        <v>12</v>
      </c>
      <c r="H7" s="23" t="s">
        <v>745</v>
      </c>
      <c r="I7" s="23" t="s">
        <v>745</v>
      </c>
    </row>
    <row r="8" customFormat="false" ht="15" hidden="false" customHeight="true" outlineLevel="0" collapsed="false">
      <c r="A8" s="23" t="n">
        <v>2</v>
      </c>
      <c r="B8" s="87" t="s">
        <v>910</v>
      </c>
      <c r="C8" s="73" t="s">
        <v>911</v>
      </c>
      <c r="D8" s="23" t="s">
        <v>912</v>
      </c>
      <c r="F8" s="23" t="n">
        <v>4</v>
      </c>
      <c r="G8" s="61" t="s">
        <v>38</v>
      </c>
      <c r="H8" s="23" t="s">
        <v>788</v>
      </c>
      <c r="I8" s="23" t="s">
        <v>788</v>
      </c>
    </row>
    <row r="9" customFormat="false" ht="15" hidden="false" customHeight="false" outlineLevel="0" collapsed="false">
      <c r="A9" s="23"/>
      <c r="B9" s="87"/>
      <c r="C9" s="73" t="s">
        <v>913</v>
      </c>
      <c r="D9" s="23" t="s">
        <v>800</v>
      </c>
      <c r="F9" s="23" t="n">
        <v>5</v>
      </c>
      <c r="G9" s="61" t="s">
        <v>763</v>
      </c>
      <c r="H9" s="23" t="s">
        <v>856</v>
      </c>
      <c r="I9" s="23" t="s">
        <v>856</v>
      </c>
    </row>
    <row r="10" customFormat="false" ht="15" hidden="false" customHeight="true" outlineLevel="0" collapsed="false">
      <c r="A10" s="23" t="n">
        <v>3</v>
      </c>
      <c r="B10" s="87" t="s">
        <v>914</v>
      </c>
      <c r="C10" s="73" t="s">
        <v>915</v>
      </c>
      <c r="D10" s="73" t="s">
        <v>916</v>
      </c>
      <c r="F10" s="8" t="s">
        <v>39</v>
      </c>
      <c r="G10" s="8"/>
      <c r="H10" s="23" t="s">
        <v>758</v>
      </c>
      <c r="I10" s="23" t="s">
        <v>758</v>
      </c>
    </row>
    <row r="11" customFormat="false" ht="15" hidden="false" customHeight="false" outlineLevel="0" collapsed="false">
      <c r="A11" s="23"/>
      <c r="B11" s="87"/>
      <c r="C11" s="73" t="s">
        <v>917</v>
      </c>
      <c r="D11" s="73" t="s">
        <v>506</v>
      </c>
    </row>
    <row r="12" customFormat="false" ht="15" hidden="false" customHeight="true" outlineLevel="0" collapsed="false">
      <c r="A12" s="23" t="n">
        <v>4</v>
      </c>
      <c r="B12" s="87" t="s">
        <v>918</v>
      </c>
      <c r="C12" s="73" t="s">
        <v>919</v>
      </c>
      <c r="D12" s="73" t="s">
        <v>920</v>
      </c>
      <c r="F12" s="0" t="s">
        <v>921</v>
      </c>
    </row>
    <row r="13" customFormat="false" ht="15" hidden="false" customHeight="false" outlineLevel="0" collapsed="false">
      <c r="A13" s="23"/>
      <c r="B13" s="87"/>
      <c r="C13" s="73" t="s">
        <v>922</v>
      </c>
      <c r="D13" s="73" t="s">
        <v>923</v>
      </c>
      <c r="F13" s="8" t="s">
        <v>6</v>
      </c>
      <c r="G13" s="8" t="s">
        <v>767</v>
      </c>
      <c r="H13" s="8" t="n">
        <v>2</v>
      </c>
      <c r="I13" s="12" t="n">
        <v>3</v>
      </c>
      <c r="J13" s="62" t="n">
        <v>4</v>
      </c>
    </row>
    <row r="14" customFormat="false" ht="15" hidden="false" customHeight="true" outlineLevel="0" collapsed="false">
      <c r="A14" s="23" t="n">
        <v>5</v>
      </c>
      <c r="B14" s="87" t="s">
        <v>924</v>
      </c>
      <c r="C14" s="73" t="s">
        <v>925</v>
      </c>
      <c r="D14" s="73" t="s">
        <v>926</v>
      </c>
      <c r="F14" s="23" t="n">
        <v>1</v>
      </c>
      <c r="G14" s="61" t="s">
        <v>844</v>
      </c>
      <c r="H14" s="23" t="s">
        <v>762</v>
      </c>
      <c r="I14" s="91" t="s">
        <v>927</v>
      </c>
      <c r="J14" s="73" t="s">
        <v>928</v>
      </c>
    </row>
    <row r="15" customFormat="false" ht="15" hidden="false" customHeight="false" outlineLevel="0" collapsed="false">
      <c r="A15" s="23"/>
      <c r="B15" s="87"/>
      <c r="C15" s="73" t="s">
        <v>929</v>
      </c>
      <c r="D15" s="73" t="s">
        <v>459</v>
      </c>
      <c r="F15" s="23" t="n">
        <v>2</v>
      </c>
      <c r="G15" s="61" t="s">
        <v>9</v>
      </c>
      <c r="H15" s="23" t="s">
        <v>745</v>
      </c>
      <c r="I15" s="91" t="s">
        <v>745</v>
      </c>
      <c r="J15" s="73" t="s">
        <v>745</v>
      </c>
    </row>
    <row r="16" customFormat="false" ht="15" hidden="false" customHeight="true" outlineLevel="0" collapsed="false">
      <c r="A16" s="23" t="n">
        <v>6</v>
      </c>
      <c r="B16" s="87" t="s">
        <v>930</v>
      </c>
      <c r="C16" s="73" t="s">
        <v>931</v>
      </c>
      <c r="D16" s="73" t="s">
        <v>932</v>
      </c>
      <c r="F16" s="23" t="n">
        <v>3</v>
      </c>
      <c r="G16" s="61" t="s">
        <v>29</v>
      </c>
      <c r="H16" s="23" t="s">
        <v>749</v>
      </c>
      <c r="I16" s="91" t="s">
        <v>749</v>
      </c>
      <c r="J16" s="73" t="s">
        <v>749</v>
      </c>
    </row>
    <row r="17" customFormat="false" ht="15" hidden="false" customHeight="false" outlineLevel="0" collapsed="false">
      <c r="A17" s="23"/>
      <c r="B17" s="87"/>
      <c r="C17" s="73" t="s">
        <v>933</v>
      </c>
      <c r="D17" s="73" t="s">
        <v>934</v>
      </c>
      <c r="F17" s="23" t="n">
        <v>4</v>
      </c>
      <c r="G17" s="61" t="s">
        <v>32</v>
      </c>
      <c r="H17" s="23" t="s">
        <v>751</v>
      </c>
      <c r="I17" s="91" t="s">
        <v>751</v>
      </c>
      <c r="J17" s="73" t="s">
        <v>751</v>
      </c>
    </row>
    <row r="18" customFormat="false" ht="15" hidden="false" customHeight="true" outlineLevel="0" collapsed="false">
      <c r="A18" s="43" t="n">
        <v>7</v>
      </c>
      <c r="B18" s="89" t="s">
        <v>935</v>
      </c>
      <c r="C18" s="23" t="s">
        <v>936</v>
      </c>
      <c r="D18" s="73" t="s">
        <v>937</v>
      </c>
      <c r="F18" s="86" t="n">
        <v>5</v>
      </c>
      <c r="G18" s="85" t="s">
        <v>36</v>
      </c>
      <c r="H18" s="86" t="s">
        <v>754</v>
      </c>
      <c r="I18" s="92" t="s">
        <v>754</v>
      </c>
      <c r="J18" s="73" t="s">
        <v>754</v>
      </c>
    </row>
    <row r="19" customFormat="false" ht="15" hidden="false" customHeight="false" outlineLevel="0" collapsed="false">
      <c r="A19" s="43"/>
      <c r="B19" s="89"/>
      <c r="C19" s="86" t="s">
        <v>938</v>
      </c>
      <c r="D19" s="90" t="s">
        <v>939</v>
      </c>
      <c r="F19" s="73" t="n">
        <v>6</v>
      </c>
      <c r="G19" s="56" t="s">
        <v>862</v>
      </c>
      <c r="H19" s="23" t="s">
        <v>719</v>
      </c>
      <c r="I19" s="91" t="s">
        <v>856</v>
      </c>
      <c r="J19" s="73" t="s">
        <v>940</v>
      </c>
    </row>
    <row r="20" customFormat="false" ht="15" hidden="false" customHeight="true" outlineLevel="0" collapsed="false">
      <c r="A20" s="23" t="n">
        <v>8</v>
      </c>
      <c r="B20" s="87" t="s">
        <v>941</v>
      </c>
      <c r="C20" s="23" t="s">
        <v>942</v>
      </c>
      <c r="D20" s="73" t="s">
        <v>943</v>
      </c>
      <c r="F20" s="62" t="s">
        <v>39</v>
      </c>
      <c r="G20" s="62"/>
      <c r="H20" s="23" t="s">
        <v>758</v>
      </c>
      <c r="I20" s="91" t="s">
        <v>758</v>
      </c>
      <c r="J20" s="73" t="s">
        <v>758</v>
      </c>
    </row>
    <row r="21" customFormat="false" ht="15" hidden="false" customHeight="false" outlineLevel="0" collapsed="false">
      <c r="A21" s="23"/>
      <c r="B21" s="87"/>
      <c r="C21" s="23" t="s">
        <v>944</v>
      </c>
      <c r="D21" s="73" t="s">
        <v>945</v>
      </c>
    </row>
    <row r="22" customFormat="false" ht="15" hidden="false" customHeight="true" outlineLevel="0" collapsed="false">
      <c r="A22" s="32" t="n">
        <v>9</v>
      </c>
      <c r="B22" s="93" t="s">
        <v>946</v>
      </c>
      <c r="C22" s="73" t="s">
        <v>947</v>
      </c>
      <c r="D22" s="73" t="s">
        <v>916</v>
      </c>
      <c r="F22" s="0" t="s">
        <v>948</v>
      </c>
    </row>
    <row r="23" customFormat="false" ht="15" hidden="false" customHeight="false" outlineLevel="0" collapsed="false">
      <c r="A23" s="32"/>
      <c r="B23" s="93"/>
      <c r="C23" s="73" t="s">
        <v>949</v>
      </c>
      <c r="D23" s="73" t="s">
        <v>950</v>
      </c>
      <c r="F23" s="8" t="s">
        <v>6</v>
      </c>
      <c r="G23" s="8" t="s">
        <v>767</v>
      </c>
      <c r="H23" s="8" t="s">
        <v>951</v>
      </c>
    </row>
    <row r="24" customFormat="false" ht="15" hidden="false" customHeight="false" outlineLevel="0" collapsed="false">
      <c r="F24" s="23" t="n">
        <v>1</v>
      </c>
      <c r="G24" s="61" t="s">
        <v>842</v>
      </c>
      <c r="H24" s="23" t="s">
        <v>952</v>
      </c>
    </row>
    <row r="25" customFormat="false" ht="15" hidden="false" customHeight="false" outlineLevel="0" collapsed="false">
      <c r="F25" s="23" t="n">
        <v>2</v>
      </c>
      <c r="G25" s="61" t="s">
        <v>847</v>
      </c>
      <c r="H25" s="23" t="s">
        <v>953</v>
      </c>
    </row>
    <row r="26" customFormat="false" ht="15" hidden="false" customHeight="false" outlineLevel="0" collapsed="false">
      <c r="F26" s="23" t="n">
        <v>3</v>
      </c>
      <c r="G26" s="61" t="s">
        <v>786</v>
      </c>
      <c r="H26" s="23" t="s">
        <v>745</v>
      </c>
    </row>
    <row r="27" customFormat="false" ht="15" hidden="false" customHeight="false" outlineLevel="0" collapsed="false">
      <c r="F27" s="23" t="n">
        <v>4</v>
      </c>
      <c r="G27" s="61" t="s">
        <v>38</v>
      </c>
      <c r="H27" s="23" t="s">
        <v>788</v>
      </c>
    </row>
    <row r="28" customFormat="false" ht="15" hidden="false" customHeight="false" outlineLevel="0" collapsed="false">
      <c r="F28" s="23" t="n">
        <v>5</v>
      </c>
      <c r="G28" s="61" t="s">
        <v>763</v>
      </c>
      <c r="H28" s="23" t="s">
        <v>793</v>
      </c>
    </row>
    <row r="29" customFormat="false" ht="15" hidden="false" customHeight="false" outlineLevel="0" collapsed="false">
      <c r="F29" s="8" t="s">
        <v>39</v>
      </c>
      <c r="G29" s="8"/>
      <c r="H29" s="23" t="s">
        <v>758</v>
      </c>
    </row>
    <row r="31" customFormat="false" ht="15" hidden="false" customHeight="false" outlineLevel="0" collapsed="false">
      <c r="F31" s="0" t="s">
        <v>954</v>
      </c>
    </row>
    <row r="32" customFormat="false" ht="15" hidden="false" customHeight="false" outlineLevel="0" collapsed="false">
      <c r="F32" s="8" t="s">
        <v>6</v>
      </c>
      <c r="G32" s="8" t="s">
        <v>767</v>
      </c>
      <c r="H32" s="8" t="s">
        <v>955</v>
      </c>
    </row>
    <row r="33" customFormat="false" ht="15" hidden="false" customHeight="false" outlineLevel="0" collapsed="false">
      <c r="F33" s="23" t="n">
        <v>1</v>
      </c>
      <c r="G33" s="61" t="s">
        <v>842</v>
      </c>
      <c r="H33" s="23" t="s">
        <v>956</v>
      </c>
    </row>
    <row r="34" customFormat="false" ht="15" hidden="false" customHeight="false" outlineLevel="0" collapsed="false">
      <c r="F34" s="23" t="n">
        <v>2</v>
      </c>
      <c r="G34" s="61" t="s">
        <v>847</v>
      </c>
      <c r="H34" s="23" t="s">
        <v>957</v>
      </c>
    </row>
    <row r="35" customFormat="false" ht="15" hidden="false" customHeight="false" outlineLevel="0" collapsed="false">
      <c r="F35" s="23" t="n">
        <v>3</v>
      </c>
      <c r="G35" s="61" t="s">
        <v>9</v>
      </c>
      <c r="H35" s="23" t="s">
        <v>719</v>
      </c>
    </row>
    <row r="36" customFormat="false" ht="15" hidden="false" customHeight="false" outlineLevel="0" collapsed="false">
      <c r="F36" s="23" t="n">
        <v>4</v>
      </c>
      <c r="G36" s="61" t="s">
        <v>38</v>
      </c>
      <c r="H36" s="23" t="s">
        <v>958</v>
      </c>
    </row>
    <row r="37" customFormat="false" ht="15" hidden="false" customHeight="false" outlineLevel="0" collapsed="false">
      <c r="F37" s="23" t="n">
        <v>5</v>
      </c>
      <c r="G37" s="61" t="s">
        <v>763</v>
      </c>
      <c r="H37" s="23" t="s">
        <v>959</v>
      </c>
    </row>
    <row r="38" customFormat="false" ht="15" hidden="false" customHeight="false" outlineLevel="0" collapsed="false">
      <c r="F38" s="8" t="s">
        <v>39</v>
      </c>
      <c r="G38" s="8"/>
      <c r="H38" s="23" t="s">
        <v>758</v>
      </c>
    </row>
    <row r="40" customFormat="false" ht="15" hidden="false" customHeight="false" outlineLevel="0" collapsed="false">
      <c r="F40" s="0" t="s">
        <v>960</v>
      </c>
    </row>
    <row r="41" customFormat="false" ht="15" hidden="false" customHeight="false" outlineLevel="0" collapsed="false">
      <c r="F41" s="8" t="s">
        <v>6</v>
      </c>
      <c r="G41" s="8" t="s">
        <v>767</v>
      </c>
      <c r="H41" s="8" t="s">
        <v>961</v>
      </c>
    </row>
    <row r="42" customFormat="false" ht="15" hidden="false" customHeight="false" outlineLevel="0" collapsed="false">
      <c r="F42" s="23" t="n">
        <v>1</v>
      </c>
      <c r="G42" s="61" t="s">
        <v>842</v>
      </c>
      <c r="H42" s="23" t="s">
        <v>962</v>
      </c>
    </row>
    <row r="43" customFormat="false" ht="15" hidden="false" customHeight="false" outlineLevel="0" collapsed="false">
      <c r="F43" s="23" t="n">
        <v>2</v>
      </c>
      <c r="G43" s="61" t="s">
        <v>9</v>
      </c>
      <c r="H43" s="23" t="s">
        <v>963</v>
      </c>
    </row>
    <row r="44" customFormat="false" ht="15" hidden="false" customHeight="false" outlineLevel="0" collapsed="false">
      <c r="F44" s="23" t="n">
        <v>3</v>
      </c>
      <c r="G44" s="61" t="s">
        <v>786</v>
      </c>
      <c r="H44" s="23" t="s">
        <v>963</v>
      </c>
    </row>
    <row r="45" customFormat="false" ht="15" hidden="false" customHeight="false" outlineLevel="0" collapsed="false">
      <c r="F45" s="23" t="n">
        <v>4</v>
      </c>
      <c r="G45" s="61" t="s">
        <v>38</v>
      </c>
      <c r="H45" s="23" t="s">
        <v>958</v>
      </c>
    </row>
    <row r="46" customFormat="false" ht="15" hidden="false" customHeight="false" outlineLevel="0" collapsed="false">
      <c r="F46" s="23" t="n">
        <v>5</v>
      </c>
      <c r="G46" s="61" t="s">
        <v>763</v>
      </c>
      <c r="H46" s="23" t="s">
        <v>964</v>
      </c>
    </row>
    <row r="47" customFormat="false" ht="15" hidden="false" customHeight="false" outlineLevel="0" collapsed="false">
      <c r="F47" s="8" t="s">
        <v>39</v>
      </c>
      <c r="G47" s="8"/>
      <c r="H47" s="23" t="s">
        <v>732</v>
      </c>
    </row>
  </sheetData>
  <mergeCells count="25">
    <mergeCell ref="A4:A5"/>
    <mergeCell ref="B4:B5"/>
    <mergeCell ref="A6:A7"/>
    <mergeCell ref="B6:B7"/>
    <mergeCell ref="A8:A9"/>
    <mergeCell ref="B8:B9"/>
    <mergeCell ref="A10:A11"/>
    <mergeCell ref="B10:B11"/>
    <mergeCell ref="F10:G10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A22:A23"/>
    <mergeCell ref="B22:B23"/>
    <mergeCell ref="F29:G29"/>
    <mergeCell ref="F38:G38"/>
    <mergeCell ref="F47:G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31.14"/>
    <col collapsed="false" customWidth="true" hidden="false" outlineLevel="0" max="3" min="3" style="0" width="31"/>
    <col collapsed="false" customWidth="true" hidden="false" outlineLevel="0" max="4" min="4" style="0" width="28.14"/>
    <col collapsed="false" customWidth="true" hidden="false" outlineLevel="0" max="6" min="6" style="0" width="3.86"/>
    <col collapsed="false" customWidth="true" hidden="false" outlineLevel="0" max="7" min="7" style="0" width="17.43"/>
  </cols>
  <sheetData>
    <row r="2" customFormat="false" ht="15" hidden="false" customHeight="false" outlineLevel="0" collapsed="false">
      <c r="A2" s="69" t="s">
        <v>965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0" t="s">
        <v>966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967</v>
      </c>
      <c r="F5" s="8" t="s">
        <v>6</v>
      </c>
      <c r="G5" s="8" t="s">
        <v>767</v>
      </c>
      <c r="H5" s="8" t="n">
        <v>1</v>
      </c>
      <c r="I5" s="12" t="n">
        <v>2</v>
      </c>
      <c r="J5" s="94" t="n">
        <v>3</v>
      </c>
      <c r="K5" s="62" t="n">
        <v>4</v>
      </c>
      <c r="L5" s="6"/>
      <c r="M5" s="6"/>
      <c r="N5" s="6"/>
      <c r="O5" s="6"/>
      <c r="P5" s="6"/>
    </row>
    <row r="6" customFormat="false" ht="15" hidden="false" customHeight="true" outlineLevel="0" collapsed="false">
      <c r="A6" s="23" t="n">
        <v>1</v>
      </c>
      <c r="B6" s="87" t="s">
        <v>968</v>
      </c>
      <c r="C6" s="73" t="s">
        <v>969</v>
      </c>
      <c r="D6" s="23" t="s">
        <v>970</v>
      </c>
      <c r="F6" s="23" t="n">
        <v>1</v>
      </c>
      <c r="G6" s="61" t="s">
        <v>682</v>
      </c>
      <c r="H6" s="23" t="s">
        <v>971</v>
      </c>
      <c r="I6" s="91" t="s">
        <v>972</v>
      </c>
      <c r="J6" s="95" t="s">
        <v>972</v>
      </c>
      <c r="K6" s="73" t="s">
        <v>971</v>
      </c>
      <c r="L6" s="96"/>
      <c r="M6" s="96"/>
      <c r="N6" s="96"/>
      <c r="O6" s="96"/>
      <c r="P6" s="96"/>
      <c r="Q6" s="3"/>
      <c r="R6" s="3"/>
      <c r="S6" s="3"/>
    </row>
    <row r="7" customFormat="false" ht="15" hidden="false" customHeight="false" outlineLevel="0" collapsed="false">
      <c r="A7" s="23"/>
      <c r="B7" s="87"/>
      <c r="C7" s="73" t="s">
        <v>973</v>
      </c>
      <c r="D7" s="23" t="s">
        <v>974</v>
      </c>
      <c r="F7" s="23" t="n">
        <v>2</v>
      </c>
      <c r="G7" s="61" t="s">
        <v>786</v>
      </c>
      <c r="H7" s="23" t="s">
        <v>745</v>
      </c>
      <c r="I7" s="91" t="s">
        <v>745</v>
      </c>
      <c r="J7" s="95" t="s">
        <v>745</v>
      </c>
      <c r="K7" s="73" t="s">
        <v>745</v>
      </c>
      <c r="L7" s="96"/>
      <c r="M7" s="96"/>
      <c r="N7" s="96"/>
      <c r="O7" s="96"/>
      <c r="P7" s="96"/>
      <c r="Q7" s="3"/>
      <c r="R7" s="3"/>
      <c r="S7" s="3"/>
    </row>
    <row r="8" customFormat="false" ht="15" hidden="false" customHeight="true" outlineLevel="0" collapsed="false">
      <c r="A8" s="23" t="n">
        <v>2</v>
      </c>
      <c r="B8" s="87" t="s">
        <v>975</v>
      </c>
      <c r="C8" s="73" t="s">
        <v>976</v>
      </c>
      <c r="D8" s="23" t="s">
        <v>977</v>
      </c>
      <c r="F8" s="23" t="n">
        <v>3</v>
      </c>
      <c r="G8" s="61" t="s">
        <v>14</v>
      </c>
      <c r="H8" s="23" t="s">
        <v>978</v>
      </c>
      <c r="I8" s="91" t="s">
        <v>978</v>
      </c>
      <c r="J8" s="95" t="s">
        <v>978</v>
      </c>
      <c r="K8" s="73" t="s">
        <v>978</v>
      </c>
      <c r="L8" s="96"/>
      <c r="M8" s="96"/>
      <c r="N8" s="96"/>
      <c r="O8" s="96"/>
      <c r="P8" s="96"/>
      <c r="Q8" s="3"/>
      <c r="R8" s="3"/>
      <c r="S8" s="3"/>
    </row>
    <row r="9" customFormat="false" ht="15" hidden="false" customHeight="false" outlineLevel="0" collapsed="false">
      <c r="A9" s="23"/>
      <c r="B9" s="87"/>
      <c r="C9" s="73" t="s">
        <v>979</v>
      </c>
      <c r="D9" s="23" t="s">
        <v>980</v>
      </c>
      <c r="F9" s="23" t="n">
        <v>4</v>
      </c>
      <c r="G9" s="61" t="s">
        <v>981</v>
      </c>
      <c r="H9" s="23" t="s">
        <v>745</v>
      </c>
      <c r="I9" s="91" t="s">
        <v>858</v>
      </c>
      <c r="J9" s="95" t="s">
        <v>940</v>
      </c>
      <c r="K9" s="73" t="s">
        <v>858</v>
      </c>
      <c r="L9" s="96"/>
      <c r="M9" s="96"/>
      <c r="N9" s="96"/>
      <c r="O9" s="96"/>
      <c r="P9" s="96"/>
      <c r="Q9" s="3"/>
      <c r="R9" s="3"/>
      <c r="S9" s="3"/>
    </row>
    <row r="10" customFormat="false" ht="15" hidden="false" customHeight="true" outlineLevel="0" collapsed="false">
      <c r="A10" s="23" t="n">
        <v>3</v>
      </c>
      <c r="B10" s="87" t="s">
        <v>982</v>
      </c>
      <c r="C10" s="73" t="s">
        <v>983</v>
      </c>
      <c r="D10" s="73" t="s">
        <v>984</v>
      </c>
      <c r="F10" s="86" t="n">
        <v>5</v>
      </c>
      <c r="G10" s="85" t="s">
        <v>985</v>
      </c>
      <c r="H10" s="86" t="s">
        <v>858</v>
      </c>
      <c r="I10" s="92" t="s">
        <v>940</v>
      </c>
      <c r="J10" s="95" t="s">
        <v>858</v>
      </c>
      <c r="K10" s="73" t="s">
        <v>745</v>
      </c>
      <c r="L10" s="96"/>
      <c r="M10" s="96"/>
      <c r="N10" s="96"/>
      <c r="O10" s="96"/>
      <c r="P10" s="96"/>
      <c r="Q10" s="3"/>
      <c r="R10" s="3"/>
      <c r="S10" s="3"/>
    </row>
    <row r="11" customFormat="false" ht="15" hidden="false" customHeight="false" outlineLevel="0" collapsed="false">
      <c r="A11" s="23"/>
      <c r="B11" s="87"/>
      <c r="C11" s="73" t="s">
        <v>986</v>
      </c>
      <c r="D11" s="73" t="s">
        <v>987</v>
      </c>
      <c r="F11" s="62" t="s">
        <v>39</v>
      </c>
      <c r="G11" s="62"/>
      <c r="H11" s="23" t="s">
        <v>758</v>
      </c>
      <c r="I11" s="91" t="s">
        <v>758</v>
      </c>
      <c r="J11" s="95" t="s">
        <v>758</v>
      </c>
      <c r="K11" s="73" t="s">
        <v>758</v>
      </c>
      <c r="L11" s="96"/>
      <c r="M11" s="96"/>
      <c r="N11" s="96"/>
      <c r="O11" s="96"/>
      <c r="P11" s="96"/>
      <c r="Q11" s="3"/>
      <c r="R11" s="3"/>
      <c r="S11" s="3"/>
    </row>
    <row r="12" customFormat="false" ht="15" hidden="false" customHeight="true" outlineLevel="0" collapsed="false">
      <c r="A12" s="23" t="n">
        <v>4</v>
      </c>
      <c r="B12" s="87" t="s">
        <v>988</v>
      </c>
      <c r="C12" s="73" t="s">
        <v>989</v>
      </c>
      <c r="D12" s="73" t="s">
        <v>990</v>
      </c>
    </row>
    <row r="13" customFormat="false" ht="15" hidden="false" customHeight="false" outlineLevel="0" collapsed="false">
      <c r="A13" s="23"/>
      <c r="B13" s="87"/>
      <c r="C13" s="73" t="s">
        <v>991</v>
      </c>
      <c r="D13" s="73" t="s">
        <v>992</v>
      </c>
      <c r="F13" s="0" t="s">
        <v>966</v>
      </c>
    </row>
    <row r="14" customFormat="false" ht="15" hidden="false" customHeight="true" outlineLevel="0" collapsed="false">
      <c r="A14" s="23" t="n">
        <v>5</v>
      </c>
      <c r="B14" s="88" t="s">
        <v>993</v>
      </c>
      <c r="C14" s="73" t="s">
        <v>994</v>
      </c>
      <c r="D14" s="73" t="s">
        <v>995</v>
      </c>
      <c r="F14" s="8" t="s">
        <v>6</v>
      </c>
      <c r="G14" s="8" t="s">
        <v>767</v>
      </c>
      <c r="H14" s="8" t="n">
        <v>5</v>
      </c>
      <c r="I14" s="12" t="n">
        <v>6</v>
      </c>
      <c r="J14" s="94" t="n">
        <v>7</v>
      </c>
      <c r="K14" s="12" t="n">
        <v>8</v>
      </c>
      <c r="L14" s="8" t="n">
        <v>9</v>
      </c>
      <c r="M14" s="66"/>
      <c r="N14" s="66"/>
      <c r="O14" s="66"/>
    </row>
    <row r="15" customFormat="false" ht="15" hidden="false" customHeight="false" outlineLevel="0" collapsed="false">
      <c r="A15" s="23"/>
      <c r="B15" s="88"/>
      <c r="C15" s="73" t="s">
        <v>996</v>
      </c>
      <c r="D15" s="73" t="s">
        <v>997</v>
      </c>
      <c r="F15" s="23" t="n">
        <v>1</v>
      </c>
      <c r="G15" s="61" t="s">
        <v>682</v>
      </c>
      <c r="H15" s="23" t="s">
        <v>998</v>
      </c>
      <c r="I15" s="91" t="s">
        <v>999</v>
      </c>
      <c r="J15" s="95" t="s">
        <v>999</v>
      </c>
      <c r="K15" s="91" t="s">
        <v>971</v>
      </c>
      <c r="L15" s="23" t="s">
        <v>972</v>
      </c>
      <c r="M15" s="67"/>
      <c r="N15" s="67"/>
      <c r="O15" s="67"/>
    </row>
    <row r="16" customFormat="false" ht="15" hidden="false" customHeight="true" outlineLevel="0" collapsed="false">
      <c r="A16" s="23" t="n">
        <v>6</v>
      </c>
      <c r="B16" s="87" t="s">
        <v>1000</v>
      </c>
      <c r="C16" s="73" t="s">
        <v>79</v>
      </c>
      <c r="D16" s="73" t="s">
        <v>1001</v>
      </c>
      <c r="F16" s="23" t="n">
        <v>2</v>
      </c>
      <c r="G16" s="61" t="s">
        <v>778</v>
      </c>
      <c r="H16" s="23" t="s">
        <v>963</v>
      </c>
      <c r="I16" s="91" t="s">
        <v>858</v>
      </c>
      <c r="J16" s="95" t="s">
        <v>858</v>
      </c>
      <c r="K16" s="91" t="s">
        <v>858</v>
      </c>
      <c r="L16" s="23" t="s">
        <v>858</v>
      </c>
      <c r="M16" s="96"/>
      <c r="N16" s="67"/>
      <c r="O16" s="67"/>
    </row>
    <row r="17" customFormat="false" ht="15" hidden="false" customHeight="false" outlineLevel="0" collapsed="false">
      <c r="A17" s="23"/>
      <c r="B17" s="87"/>
      <c r="C17" s="73" t="s">
        <v>79</v>
      </c>
      <c r="D17" s="73" t="s">
        <v>1002</v>
      </c>
      <c r="F17" s="23" t="n">
        <v>3</v>
      </c>
      <c r="G17" s="61" t="s">
        <v>12</v>
      </c>
      <c r="H17" s="23" t="s">
        <v>858</v>
      </c>
      <c r="I17" s="91" t="s">
        <v>963</v>
      </c>
      <c r="J17" s="95" t="s">
        <v>858</v>
      </c>
      <c r="K17" s="91" t="s">
        <v>963</v>
      </c>
      <c r="L17" s="23" t="s">
        <v>963</v>
      </c>
      <c r="M17" s="67"/>
      <c r="N17" s="67"/>
      <c r="O17" s="67"/>
    </row>
    <row r="18" customFormat="false" ht="15" hidden="false" customHeight="true" outlineLevel="0" collapsed="false">
      <c r="A18" s="23" t="n">
        <v>7</v>
      </c>
      <c r="B18" s="87" t="s">
        <v>1003</v>
      </c>
      <c r="C18" s="23" t="s">
        <v>79</v>
      </c>
      <c r="D18" s="73" t="s">
        <v>1004</v>
      </c>
      <c r="F18" s="23" t="n">
        <v>4</v>
      </c>
      <c r="G18" s="61" t="s">
        <v>786</v>
      </c>
      <c r="H18" s="23" t="s">
        <v>731</v>
      </c>
      <c r="I18" s="91" t="s">
        <v>719</v>
      </c>
      <c r="J18" s="95" t="s">
        <v>719</v>
      </c>
      <c r="K18" s="91" t="s">
        <v>956</v>
      </c>
      <c r="L18" s="23" t="s">
        <v>956</v>
      </c>
      <c r="M18" s="67"/>
      <c r="N18" s="67"/>
      <c r="O18" s="67"/>
    </row>
    <row r="19" customFormat="false" ht="15" hidden="false" customHeight="false" outlineLevel="0" collapsed="false">
      <c r="A19" s="23"/>
      <c r="B19" s="87"/>
      <c r="C19" s="23" t="s">
        <v>79</v>
      </c>
      <c r="D19" s="73" t="s">
        <v>1005</v>
      </c>
      <c r="F19" s="86" t="n">
        <v>5</v>
      </c>
      <c r="G19" s="85" t="s">
        <v>1006</v>
      </c>
      <c r="H19" s="86" t="s">
        <v>858</v>
      </c>
      <c r="I19" s="92" t="s">
        <v>858</v>
      </c>
      <c r="J19" s="95" t="s">
        <v>963</v>
      </c>
      <c r="K19" s="91" t="s">
        <v>858</v>
      </c>
      <c r="L19" s="23" t="s">
        <v>858</v>
      </c>
      <c r="M19" s="67"/>
      <c r="N19" s="67"/>
      <c r="O19" s="67"/>
    </row>
    <row r="20" customFormat="false" ht="15" hidden="false" customHeight="true" outlineLevel="0" collapsed="false">
      <c r="A20" s="43" t="n">
        <v>8</v>
      </c>
      <c r="B20" s="89" t="s">
        <v>1007</v>
      </c>
      <c r="C20" s="23" t="s">
        <v>79</v>
      </c>
      <c r="D20" s="73" t="s">
        <v>1008</v>
      </c>
      <c r="F20" s="73" t="n">
        <v>6</v>
      </c>
      <c r="G20" s="97" t="s">
        <v>14</v>
      </c>
      <c r="H20" s="98" t="s">
        <v>1009</v>
      </c>
      <c r="I20" s="92" t="s">
        <v>1009</v>
      </c>
      <c r="J20" s="99" t="s">
        <v>1009</v>
      </c>
      <c r="K20" s="91" t="s">
        <v>978</v>
      </c>
      <c r="L20" s="23" t="s">
        <v>978</v>
      </c>
      <c r="M20" s="67"/>
      <c r="N20" s="67"/>
      <c r="O20" s="67"/>
    </row>
    <row r="21" customFormat="false" ht="15" hidden="false" customHeight="false" outlineLevel="0" collapsed="false">
      <c r="A21" s="43"/>
      <c r="B21" s="89"/>
      <c r="C21" s="86" t="s">
        <v>79</v>
      </c>
      <c r="D21" s="90" t="s">
        <v>1010</v>
      </c>
      <c r="F21" s="100" t="n">
        <v>7</v>
      </c>
      <c r="G21" s="101" t="s">
        <v>981</v>
      </c>
      <c r="H21" s="73" t="s">
        <v>719</v>
      </c>
      <c r="I21" s="73" t="s">
        <v>719</v>
      </c>
      <c r="J21" s="95" t="s">
        <v>719</v>
      </c>
      <c r="K21" s="91" t="s">
        <v>745</v>
      </c>
      <c r="L21" s="23" t="s">
        <v>940</v>
      </c>
      <c r="M21" s="67"/>
      <c r="N21" s="67"/>
      <c r="O21" s="67"/>
    </row>
    <row r="22" customFormat="false" ht="15" hidden="false" customHeight="true" outlineLevel="0" collapsed="false">
      <c r="A22" s="23" t="n">
        <v>9</v>
      </c>
      <c r="B22" s="87" t="s">
        <v>1011</v>
      </c>
      <c r="C22" s="73" t="s">
        <v>1012</v>
      </c>
      <c r="D22" s="23" t="s">
        <v>1013</v>
      </c>
      <c r="F22" s="62" t="s">
        <v>39</v>
      </c>
      <c r="G22" s="62"/>
      <c r="H22" s="73" t="s">
        <v>732</v>
      </c>
      <c r="I22" s="73" t="s">
        <v>732</v>
      </c>
      <c r="J22" s="95" t="s">
        <v>732</v>
      </c>
      <c r="K22" s="91" t="s">
        <v>758</v>
      </c>
      <c r="L22" s="23" t="s">
        <v>758</v>
      </c>
      <c r="M22" s="67"/>
      <c r="N22" s="67"/>
      <c r="O22" s="67"/>
    </row>
    <row r="23" customFormat="false" ht="15" hidden="false" customHeight="false" outlineLevel="0" collapsed="false">
      <c r="A23" s="23"/>
      <c r="B23" s="87"/>
      <c r="C23" s="73" t="s">
        <v>1014</v>
      </c>
      <c r="D23" s="23" t="s">
        <v>1015</v>
      </c>
    </row>
    <row r="24" customFormat="false" ht="15" hidden="false" customHeight="true" outlineLevel="0" collapsed="false">
      <c r="A24" s="43" t="n">
        <v>10</v>
      </c>
      <c r="B24" s="89" t="s">
        <v>1016</v>
      </c>
      <c r="C24" s="73" t="s">
        <v>79</v>
      </c>
      <c r="D24" s="23" t="s">
        <v>1017</v>
      </c>
      <c r="F24" s="0" t="s">
        <v>966</v>
      </c>
    </row>
    <row r="25" customFormat="false" ht="15" hidden="false" customHeight="false" outlineLevel="0" collapsed="false">
      <c r="A25" s="43"/>
      <c r="B25" s="89"/>
      <c r="C25" s="90" t="s">
        <v>79</v>
      </c>
      <c r="D25" s="86" t="s">
        <v>1018</v>
      </c>
      <c r="F25" s="8" t="s">
        <v>6</v>
      </c>
      <c r="G25" s="8" t="s">
        <v>767</v>
      </c>
      <c r="H25" s="8" t="n">
        <v>10</v>
      </c>
      <c r="I25" s="12" t="n">
        <v>11</v>
      </c>
      <c r="J25" s="62" t="n">
        <v>12</v>
      </c>
    </row>
    <row r="26" customFormat="false" ht="15" hidden="false" customHeight="true" outlineLevel="0" collapsed="false">
      <c r="A26" s="23" t="n">
        <v>11</v>
      </c>
      <c r="B26" s="87" t="s">
        <v>1019</v>
      </c>
      <c r="C26" s="73" t="s">
        <v>1020</v>
      </c>
      <c r="D26" s="23" t="s">
        <v>1021</v>
      </c>
      <c r="F26" s="23" t="n">
        <v>1</v>
      </c>
      <c r="G26" s="61" t="s">
        <v>682</v>
      </c>
      <c r="H26" s="23" t="s">
        <v>1022</v>
      </c>
      <c r="I26" s="91" t="s">
        <v>972</v>
      </c>
      <c r="J26" s="73" t="s">
        <v>1023</v>
      </c>
    </row>
    <row r="27" customFormat="false" ht="15" hidden="false" customHeight="false" outlineLevel="0" collapsed="false">
      <c r="A27" s="23"/>
      <c r="B27" s="87"/>
      <c r="C27" s="73" t="s">
        <v>1024</v>
      </c>
      <c r="D27" s="23" t="s">
        <v>1025</v>
      </c>
      <c r="F27" s="23" t="n">
        <v>2</v>
      </c>
      <c r="G27" s="61" t="s">
        <v>778</v>
      </c>
      <c r="H27" s="23" t="s">
        <v>719</v>
      </c>
      <c r="I27" s="91" t="s">
        <v>858</v>
      </c>
      <c r="J27" s="73" t="s">
        <v>719</v>
      </c>
    </row>
    <row r="28" customFormat="false" ht="15" hidden="false" customHeight="true" outlineLevel="0" collapsed="false">
      <c r="A28" s="23" t="n">
        <v>12</v>
      </c>
      <c r="B28" s="87" t="s">
        <v>1026</v>
      </c>
      <c r="C28" s="73" t="s">
        <v>1027</v>
      </c>
      <c r="D28" s="23" t="s">
        <v>1028</v>
      </c>
      <c r="F28" s="23" t="n">
        <v>3</v>
      </c>
      <c r="G28" s="61" t="s">
        <v>786</v>
      </c>
      <c r="H28" s="23" t="s">
        <v>745</v>
      </c>
      <c r="I28" s="91" t="s">
        <v>719</v>
      </c>
      <c r="J28" s="73" t="s">
        <v>956</v>
      </c>
    </row>
    <row r="29" customFormat="false" ht="15" hidden="false" customHeight="false" outlineLevel="0" collapsed="false">
      <c r="A29" s="23"/>
      <c r="B29" s="87"/>
      <c r="C29" s="73" t="s">
        <v>1029</v>
      </c>
      <c r="D29" s="23" t="s">
        <v>863</v>
      </c>
      <c r="F29" s="23" t="n">
        <v>4</v>
      </c>
      <c r="G29" s="61" t="s">
        <v>14</v>
      </c>
      <c r="H29" s="23" t="s">
        <v>978</v>
      </c>
      <c r="I29" s="91" t="s">
        <v>978</v>
      </c>
      <c r="J29" s="73" t="s">
        <v>978</v>
      </c>
    </row>
    <row r="30" customFormat="false" ht="15" hidden="false" customHeight="false" outlineLevel="0" collapsed="false">
      <c r="A30" s="23" t="n">
        <v>13</v>
      </c>
      <c r="B30" s="61" t="s">
        <v>1030</v>
      </c>
      <c r="C30" s="73" t="s">
        <v>1031</v>
      </c>
      <c r="D30" s="23" t="s">
        <v>1032</v>
      </c>
      <c r="F30" s="86" t="n">
        <v>5</v>
      </c>
      <c r="G30" s="85" t="s">
        <v>1033</v>
      </c>
      <c r="H30" s="86" t="s">
        <v>1034</v>
      </c>
      <c r="I30" s="92" t="s">
        <v>940</v>
      </c>
      <c r="J30" s="73" t="s">
        <v>1035</v>
      </c>
    </row>
    <row r="31" customFormat="false" ht="15" hidden="false" customHeight="false" outlineLevel="0" collapsed="false">
      <c r="A31" s="23"/>
      <c r="B31" s="61"/>
      <c r="C31" s="73" t="s">
        <v>1036</v>
      </c>
      <c r="D31" s="23" t="s">
        <v>1037</v>
      </c>
      <c r="F31" s="73" t="n">
        <v>6</v>
      </c>
      <c r="G31" s="97" t="s">
        <v>12</v>
      </c>
      <c r="H31" s="98" t="s">
        <v>858</v>
      </c>
      <c r="I31" s="92" t="s">
        <v>719</v>
      </c>
      <c r="J31" s="73" t="s">
        <v>963</v>
      </c>
    </row>
    <row r="32" customFormat="false" ht="15" hidden="false" customHeight="false" outlineLevel="0" collapsed="false">
      <c r="F32" s="62" t="s">
        <v>39</v>
      </c>
      <c r="G32" s="62"/>
      <c r="H32" s="73" t="s">
        <v>758</v>
      </c>
      <c r="I32" s="95" t="s">
        <v>758</v>
      </c>
      <c r="J32" s="73" t="s">
        <v>758</v>
      </c>
    </row>
  </sheetData>
  <mergeCells count="31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2:G22"/>
    <mergeCell ref="A24:A25"/>
    <mergeCell ref="B24:B25"/>
    <mergeCell ref="A26:A27"/>
    <mergeCell ref="B26:B27"/>
    <mergeCell ref="A28:A29"/>
    <mergeCell ref="B28:B29"/>
    <mergeCell ref="A30:A31"/>
    <mergeCell ref="B30:B31"/>
    <mergeCell ref="F32:G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14"/>
    <col collapsed="false" customWidth="true" hidden="false" outlineLevel="0" max="3" min="3" style="0" width="22.43"/>
    <col collapsed="false" customWidth="true" hidden="false" outlineLevel="0" max="4" min="4" style="0" width="22.71"/>
    <col collapsed="false" customWidth="true" hidden="false" outlineLevel="0" max="6" min="6" style="0" width="3.86"/>
    <col collapsed="false" customWidth="true" hidden="false" outlineLevel="0" max="7" min="7" style="0" width="15.43"/>
    <col collapsed="false" customWidth="true" hidden="false" outlineLevel="0" max="8" min="8" style="0" width="10.71"/>
    <col collapsed="false" customWidth="true" hidden="false" outlineLevel="0" max="9" min="9" style="0" width="11.71"/>
    <col collapsed="false" customWidth="true" hidden="false" outlineLevel="0" max="10" min="10" style="0" width="11.85"/>
    <col collapsed="false" customWidth="true" hidden="false" outlineLevel="0" max="11" min="11" style="0" width="12.71"/>
    <col collapsed="false" customWidth="true" hidden="false" outlineLevel="0" max="13" min="13" style="0" width="5.28"/>
    <col collapsed="false" customWidth="true" hidden="false" outlineLevel="0" max="14" min="14" style="0" width="13.71"/>
  </cols>
  <sheetData>
    <row r="2" customFormat="false" ht="15" hidden="false" customHeight="false" outlineLevel="0" collapsed="false">
      <c r="A2" s="69" t="s">
        <v>144</v>
      </c>
    </row>
    <row r="3" customFormat="false" ht="15" hidden="false" customHeight="false" outlineLevel="0" collapsed="false">
      <c r="F3" s="7" t="s">
        <v>1038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767</v>
      </c>
      <c r="H4" s="12" t="n">
        <v>13</v>
      </c>
      <c r="I4" s="8" t="n">
        <v>14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61" t="s">
        <v>682</v>
      </c>
      <c r="H5" s="91" t="s">
        <v>972</v>
      </c>
      <c r="I5" s="23" t="s">
        <v>1039</v>
      </c>
    </row>
    <row r="6" customFormat="false" ht="15" hidden="false" customHeight="true" outlineLevel="0" collapsed="false">
      <c r="A6" s="23" t="n">
        <v>1</v>
      </c>
      <c r="B6" s="87" t="s">
        <v>1040</v>
      </c>
      <c r="C6" s="73" t="s">
        <v>1041</v>
      </c>
      <c r="D6" s="23" t="s">
        <v>1042</v>
      </c>
      <c r="F6" s="23" t="n">
        <v>2</v>
      </c>
      <c r="G6" s="61" t="s">
        <v>778</v>
      </c>
      <c r="H6" s="91" t="s">
        <v>858</v>
      </c>
      <c r="I6" s="23" t="s">
        <v>858</v>
      </c>
    </row>
    <row r="7" customFormat="false" ht="15" hidden="false" customHeight="false" outlineLevel="0" collapsed="false">
      <c r="A7" s="23"/>
      <c r="B7" s="87"/>
      <c r="C7" s="73" t="s">
        <v>1043</v>
      </c>
      <c r="D7" s="23" t="s">
        <v>1044</v>
      </c>
      <c r="F7" s="23" t="n">
        <v>3</v>
      </c>
      <c r="G7" s="61" t="s">
        <v>12</v>
      </c>
      <c r="H7" s="91" t="s">
        <v>858</v>
      </c>
      <c r="I7" s="23" t="s">
        <v>858</v>
      </c>
    </row>
    <row r="8" customFormat="false" ht="15" hidden="false" customHeight="true" outlineLevel="0" collapsed="false">
      <c r="A8" s="23" t="n">
        <v>2</v>
      </c>
      <c r="B8" s="87" t="s">
        <v>1045</v>
      </c>
      <c r="C8" s="73" t="s">
        <v>1046</v>
      </c>
      <c r="D8" s="23" t="s">
        <v>1047</v>
      </c>
      <c r="F8" s="23" t="n">
        <v>4</v>
      </c>
      <c r="G8" s="61" t="s">
        <v>786</v>
      </c>
      <c r="H8" s="91" t="s">
        <v>956</v>
      </c>
      <c r="I8" s="23" t="s">
        <v>719</v>
      </c>
    </row>
    <row r="9" customFormat="false" ht="15" hidden="false" customHeight="false" outlineLevel="0" collapsed="false">
      <c r="A9" s="23"/>
      <c r="B9" s="87"/>
      <c r="C9" s="73" t="s">
        <v>1048</v>
      </c>
      <c r="D9" s="23" t="s">
        <v>1049</v>
      </c>
      <c r="F9" s="86" t="n">
        <v>5</v>
      </c>
      <c r="G9" s="85" t="s">
        <v>1006</v>
      </c>
      <c r="H9" s="92" t="s">
        <v>963</v>
      </c>
      <c r="I9" s="23" t="s">
        <v>719</v>
      </c>
    </row>
    <row r="10" customFormat="false" ht="15" hidden="false" customHeight="true" outlineLevel="0" collapsed="false">
      <c r="A10" s="23" t="n">
        <v>3</v>
      </c>
      <c r="B10" s="87" t="s">
        <v>1050</v>
      </c>
      <c r="C10" s="73" t="s">
        <v>79</v>
      </c>
      <c r="D10" s="73" t="s">
        <v>1051</v>
      </c>
      <c r="F10" s="73" t="n">
        <v>6</v>
      </c>
      <c r="G10" s="97" t="s">
        <v>14</v>
      </c>
      <c r="H10" s="102" t="s">
        <v>978</v>
      </c>
      <c r="I10" s="23" t="s">
        <v>978</v>
      </c>
    </row>
    <row r="11" customFormat="false" ht="15" hidden="false" customHeight="false" outlineLevel="0" collapsed="false">
      <c r="A11" s="23"/>
      <c r="B11" s="87"/>
      <c r="C11" s="73" t="s">
        <v>79</v>
      </c>
      <c r="D11" s="73" t="s">
        <v>1052</v>
      </c>
      <c r="F11" s="100" t="n">
        <v>7</v>
      </c>
      <c r="G11" s="101" t="s">
        <v>981</v>
      </c>
      <c r="H11" s="95" t="s">
        <v>940</v>
      </c>
      <c r="I11" s="73" t="s">
        <v>1034</v>
      </c>
    </row>
    <row r="12" customFormat="false" ht="15" hidden="false" customHeight="true" outlineLevel="0" collapsed="false">
      <c r="A12" s="23" t="n">
        <v>4</v>
      </c>
      <c r="B12" s="87" t="s">
        <v>1053</v>
      </c>
      <c r="C12" s="73" t="s">
        <v>79</v>
      </c>
      <c r="D12" s="73" t="s">
        <v>1054</v>
      </c>
      <c r="F12" s="62" t="s">
        <v>39</v>
      </c>
      <c r="G12" s="62"/>
      <c r="H12" s="95" t="s">
        <v>758</v>
      </c>
      <c r="I12" s="73" t="s">
        <v>758</v>
      </c>
    </row>
    <row r="13" customFormat="false" ht="15" hidden="false" customHeight="false" outlineLevel="0" collapsed="false">
      <c r="A13" s="23"/>
      <c r="B13" s="87"/>
      <c r="C13" s="73" t="s">
        <v>79</v>
      </c>
      <c r="D13" s="73" t="s">
        <v>1055</v>
      </c>
    </row>
    <row r="14" customFormat="false" ht="15" hidden="false" customHeight="true" outlineLevel="0" collapsed="false">
      <c r="A14" s="23" t="n">
        <v>5</v>
      </c>
      <c r="B14" s="88" t="s">
        <v>1056</v>
      </c>
      <c r="C14" s="73" t="s">
        <v>79</v>
      </c>
      <c r="D14" s="73" t="s">
        <v>1057</v>
      </c>
      <c r="F14" s="7" t="s">
        <v>1058</v>
      </c>
    </row>
    <row r="15" customFormat="false" ht="15" hidden="false" customHeight="false" outlineLevel="0" collapsed="false">
      <c r="A15" s="23"/>
      <c r="B15" s="88"/>
      <c r="C15" s="73" t="s">
        <v>79</v>
      </c>
      <c r="D15" s="73" t="s">
        <v>1059</v>
      </c>
      <c r="F15" s="0" t="s">
        <v>1060</v>
      </c>
    </row>
    <row r="16" customFormat="false" ht="15" hidden="false" customHeight="true" outlineLevel="0" collapsed="false">
      <c r="A16" s="23" t="n">
        <v>6</v>
      </c>
      <c r="B16" s="87" t="s">
        <v>1061</v>
      </c>
      <c r="C16" s="73" t="s">
        <v>79</v>
      </c>
      <c r="D16" s="73" t="s">
        <v>1062</v>
      </c>
      <c r="F16" s="8" t="s">
        <v>6</v>
      </c>
      <c r="G16" s="12" t="s">
        <v>767</v>
      </c>
      <c r="H16" s="8" t="s">
        <v>1063</v>
      </c>
    </row>
    <row r="17" customFormat="false" ht="15" hidden="false" customHeight="false" outlineLevel="0" collapsed="false">
      <c r="A17" s="23"/>
      <c r="B17" s="87"/>
      <c r="C17" s="73" t="s">
        <v>79</v>
      </c>
      <c r="D17" s="73" t="s">
        <v>1064</v>
      </c>
      <c r="F17" s="23" t="n">
        <v>1</v>
      </c>
      <c r="G17" s="103" t="s">
        <v>1065</v>
      </c>
      <c r="H17" s="23" t="s">
        <v>1066</v>
      </c>
    </row>
    <row r="18" customFormat="false" ht="15" hidden="false" customHeight="true" outlineLevel="0" collapsed="false">
      <c r="A18" s="43" t="n">
        <v>7</v>
      </c>
      <c r="B18" s="89" t="s">
        <v>1067</v>
      </c>
      <c r="C18" s="23" t="s">
        <v>79</v>
      </c>
      <c r="D18" s="73" t="s">
        <v>1068</v>
      </c>
      <c r="F18" s="23" t="n">
        <v>2</v>
      </c>
      <c r="G18" s="103" t="s">
        <v>778</v>
      </c>
      <c r="H18" s="23" t="s">
        <v>903</v>
      </c>
    </row>
    <row r="19" customFormat="false" ht="15" hidden="false" customHeight="false" outlineLevel="0" collapsed="false">
      <c r="A19" s="43"/>
      <c r="B19" s="89"/>
      <c r="C19" s="86" t="s">
        <v>79</v>
      </c>
      <c r="D19" s="90" t="s">
        <v>1069</v>
      </c>
      <c r="F19" s="23" t="n">
        <v>3</v>
      </c>
      <c r="G19" s="103" t="s">
        <v>682</v>
      </c>
      <c r="H19" s="23" t="s">
        <v>858</v>
      </c>
    </row>
    <row r="20" customFormat="false" ht="15" hidden="false" customHeight="true" outlineLevel="0" collapsed="false">
      <c r="A20" s="23" t="n">
        <v>8</v>
      </c>
      <c r="B20" s="87" t="s">
        <v>1070</v>
      </c>
      <c r="C20" s="23" t="s">
        <v>1071</v>
      </c>
      <c r="D20" s="73" t="s">
        <v>1072</v>
      </c>
      <c r="F20" s="8" t="s">
        <v>39</v>
      </c>
      <c r="G20" s="8"/>
      <c r="H20" s="23" t="s">
        <v>758</v>
      </c>
    </row>
    <row r="21" customFormat="false" ht="15" hidden="false" customHeight="false" outlineLevel="0" collapsed="false">
      <c r="A21" s="23"/>
      <c r="B21" s="87"/>
      <c r="C21" s="23" t="s">
        <v>1073</v>
      </c>
      <c r="D21" s="73" t="s">
        <v>1074</v>
      </c>
    </row>
    <row r="22" customFormat="false" ht="15" hidden="false" customHeight="false" outlineLevel="0" collapsed="false">
      <c r="F22" s="8" t="s">
        <v>6</v>
      </c>
      <c r="G22" s="8" t="s">
        <v>767</v>
      </c>
      <c r="H22" s="12" t="s">
        <v>147</v>
      </c>
      <c r="I22" s="12" t="s">
        <v>148</v>
      </c>
      <c r="J22" s="8" t="s">
        <v>149</v>
      </c>
      <c r="K22" s="8" t="s">
        <v>150</v>
      </c>
    </row>
    <row r="23" customFormat="false" ht="15" hidden="false" customHeight="false" outlineLevel="0" collapsed="false">
      <c r="F23" s="23" t="n">
        <v>1</v>
      </c>
      <c r="G23" s="61" t="s">
        <v>1063</v>
      </c>
      <c r="H23" s="91" t="s">
        <v>1075</v>
      </c>
      <c r="I23" s="91" t="s">
        <v>1075</v>
      </c>
      <c r="J23" s="23" t="s">
        <v>1075</v>
      </c>
      <c r="K23" s="23" t="s">
        <v>1075</v>
      </c>
    </row>
    <row r="24" customFormat="false" ht="15" hidden="false" customHeight="false" outlineLevel="0" collapsed="false">
      <c r="F24" s="23" t="n">
        <v>2</v>
      </c>
      <c r="G24" s="61" t="s">
        <v>786</v>
      </c>
      <c r="H24" s="91" t="s">
        <v>745</v>
      </c>
      <c r="I24" s="91" t="s">
        <v>858</v>
      </c>
      <c r="J24" s="23" t="s">
        <v>719</v>
      </c>
      <c r="K24" s="23" t="s">
        <v>858</v>
      </c>
    </row>
    <row r="25" customFormat="false" ht="15" hidden="false" customHeight="false" outlineLevel="0" collapsed="false">
      <c r="F25" s="23" t="n">
        <v>3</v>
      </c>
      <c r="G25" s="61" t="s">
        <v>12</v>
      </c>
      <c r="H25" s="91" t="s">
        <v>858</v>
      </c>
      <c r="I25" s="91" t="s">
        <v>745</v>
      </c>
      <c r="J25" s="23" t="s">
        <v>719</v>
      </c>
      <c r="K25" s="23" t="s">
        <v>858</v>
      </c>
    </row>
    <row r="26" customFormat="false" ht="15" hidden="false" customHeight="false" outlineLevel="0" collapsed="false">
      <c r="F26" s="23" t="n">
        <v>4</v>
      </c>
      <c r="G26" s="61" t="s">
        <v>1006</v>
      </c>
      <c r="H26" s="91" t="s">
        <v>858</v>
      </c>
      <c r="I26" s="91" t="s">
        <v>858</v>
      </c>
      <c r="J26" s="23" t="s">
        <v>858</v>
      </c>
      <c r="K26" s="23" t="s">
        <v>745</v>
      </c>
    </row>
    <row r="27" customFormat="false" ht="15" hidden="false" customHeight="false" outlineLevel="0" collapsed="false">
      <c r="F27" s="86" t="n">
        <v>5</v>
      </c>
      <c r="G27" s="85" t="s">
        <v>38</v>
      </c>
      <c r="H27" s="92" t="s">
        <v>788</v>
      </c>
      <c r="I27" s="91" t="s">
        <v>788</v>
      </c>
      <c r="J27" s="23" t="s">
        <v>788</v>
      </c>
      <c r="K27" s="23" t="s">
        <v>788</v>
      </c>
    </row>
    <row r="28" customFormat="false" ht="15" hidden="false" customHeight="false" outlineLevel="0" collapsed="false">
      <c r="F28" s="73" t="n">
        <v>6</v>
      </c>
      <c r="G28" s="97" t="s">
        <v>832</v>
      </c>
      <c r="H28" s="102" t="s">
        <v>856</v>
      </c>
      <c r="I28" s="91" t="s">
        <v>856</v>
      </c>
      <c r="J28" s="23" t="s">
        <v>856</v>
      </c>
      <c r="K28" s="23" t="s">
        <v>856</v>
      </c>
    </row>
    <row r="29" customFormat="false" ht="15" hidden="false" customHeight="false" outlineLevel="0" collapsed="false">
      <c r="F29" s="62" t="s">
        <v>39</v>
      </c>
      <c r="G29" s="62"/>
      <c r="H29" s="95" t="s">
        <v>758</v>
      </c>
      <c r="I29" s="95" t="s">
        <v>758</v>
      </c>
      <c r="J29" s="23" t="s">
        <v>758</v>
      </c>
      <c r="K29" s="23" t="s">
        <v>758</v>
      </c>
    </row>
    <row r="31" customFormat="false" ht="15" hidden="false" customHeight="false" outlineLevel="0" collapsed="false">
      <c r="F31" s="7" t="s">
        <v>1076</v>
      </c>
    </row>
    <row r="32" customFormat="false" ht="15" hidden="false" customHeight="false" outlineLevel="0" collapsed="false">
      <c r="F32" s="8" t="s">
        <v>6</v>
      </c>
      <c r="G32" s="8" t="s">
        <v>767</v>
      </c>
      <c r="H32" s="12" t="s">
        <v>151</v>
      </c>
      <c r="I32" s="8" t="s">
        <v>152</v>
      </c>
    </row>
    <row r="33" customFormat="false" ht="15" hidden="false" customHeight="false" outlineLevel="0" collapsed="false">
      <c r="F33" s="23" t="n">
        <v>1</v>
      </c>
      <c r="G33" s="61" t="s">
        <v>1063</v>
      </c>
      <c r="H33" s="91" t="s">
        <v>1077</v>
      </c>
      <c r="I33" s="23" t="s">
        <v>1078</v>
      </c>
    </row>
    <row r="34" customFormat="false" ht="15" hidden="false" customHeight="false" outlineLevel="0" collapsed="false">
      <c r="F34" s="23" t="n">
        <v>2</v>
      </c>
      <c r="G34" s="61" t="s">
        <v>786</v>
      </c>
      <c r="H34" s="91" t="s">
        <v>745</v>
      </c>
      <c r="I34" s="23" t="s">
        <v>745</v>
      </c>
    </row>
    <row r="35" customFormat="false" ht="15" hidden="false" customHeight="false" outlineLevel="0" collapsed="false">
      <c r="F35" s="23" t="n">
        <v>3</v>
      </c>
      <c r="G35" s="61" t="s">
        <v>38</v>
      </c>
      <c r="H35" s="91" t="s">
        <v>788</v>
      </c>
      <c r="I35" s="23" t="s">
        <v>1079</v>
      </c>
    </row>
    <row r="36" customFormat="false" ht="15" hidden="false" customHeight="false" outlineLevel="0" collapsed="false">
      <c r="F36" s="86" t="n">
        <v>4</v>
      </c>
      <c r="G36" s="85" t="s">
        <v>832</v>
      </c>
      <c r="H36" s="92" t="s">
        <v>1080</v>
      </c>
      <c r="I36" s="86" t="s">
        <v>940</v>
      </c>
    </row>
    <row r="37" customFormat="false" ht="15" hidden="false" customHeight="false" outlineLevel="0" collapsed="false">
      <c r="F37" s="8" t="s">
        <v>39</v>
      </c>
      <c r="G37" s="8"/>
      <c r="H37" s="23" t="s">
        <v>758</v>
      </c>
      <c r="I37" s="23" t="s">
        <v>758</v>
      </c>
    </row>
    <row r="38" customFormat="false" ht="15" hidden="false" customHeight="false" outlineLevel="0" collapsed="false">
      <c r="F38" s="72"/>
      <c r="G38" s="72"/>
      <c r="H38" s="67"/>
      <c r="I38" s="67"/>
    </row>
    <row r="39" customFormat="false" ht="15" hidden="false" customHeight="true" outlineLevel="0" collapsed="false">
      <c r="A39" s="8" t="s">
        <v>6</v>
      </c>
      <c r="B39" s="8" t="s">
        <v>425</v>
      </c>
      <c r="C39" s="8" t="s">
        <v>679</v>
      </c>
      <c r="D39" s="8" t="s">
        <v>680</v>
      </c>
      <c r="E39" s="18" t="s">
        <v>703</v>
      </c>
      <c r="F39" s="12"/>
      <c r="G39" s="21" t="s">
        <v>700</v>
      </c>
      <c r="H39" s="104"/>
      <c r="I39" s="104"/>
    </row>
    <row r="40" customFormat="false" ht="15" hidden="false" customHeight="false" outlineLevel="0" collapsed="false">
      <c r="A40" s="8"/>
      <c r="B40" s="8"/>
      <c r="C40" s="8"/>
      <c r="D40" s="8"/>
      <c r="E40" s="18"/>
      <c r="F40" s="12"/>
      <c r="G40" s="21"/>
      <c r="H40" s="104"/>
      <c r="I40" s="104"/>
    </row>
    <row r="41" customFormat="false" ht="15" hidden="false" customHeight="true" outlineLevel="0" collapsed="false">
      <c r="A41" s="23" t="n">
        <v>1</v>
      </c>
      <c r="B41" s="87" t="s">
        <v>147</v>
      </c>
      <c r="C41" s="73"/>
      <c r="D41" s="73" t="s">
        <v>1051</v>
      </c>
      <c r="E41" s="60" t="n">
        <v>0.118736</v>
      </c>
      <c r="F41" s="40"/>
      <c r="G41" s="23" t="s">
        <v>1081</v>
      </c>
      <c r="H41" s="67"/>
      <c r="I41" s="105"/>
    </row>
    <row r="42" customFormat="false" ht="15" hidden="false" customHeight="false" outlineLevel="0" collapsed="false">
      <c r="A42" s="23"/>
      <c r="B42" s="87"/>
      <c r="C42" s="73"/>
      <c r="D42" s="73" t="s">
        <v>1052</v>
      </c>
      <c r="E42" s="60"/>
      <c r="F42" s="40"/>
      <c r="G42" s="23"/>
      <c r="H42" s="67"/>
      <c r="I42" s="67"/>
    </row>
    <row r="43" customFormat="false" ht="15" hidden="false" customHeight="true" outlineLevel="0" collapsed="false">
      <c r="A43" s="23" t="n">
        <v>2</v>
      </c>
      <c r="B43" s="87" t="s">
        <v>148</v>
      </c>
      <c r="C43" s="73"/>
      <c r="D43" s="73" t="s">
        <v>1054</v>
      </c>
      <c r="E43" s="60" t="n">
        <v>0.129672</v>
      </c>
      <c r="F43" s="40"/>
      <c r="G43" s="106" t="s">
        <v>1082</v>
      </c>
      <c r="H43" s="107"/>
      <c r="I43" s="105"/>
    </row>
    <row r="44" customFormat="false" ht="15" hidden="false" customHeight="false" outlineLevel="0" collapsed="false">
      <c r="A44" s="23"/>
      <c r="B44" s="87"/>
      <c r="C44" s="73"/>
      <c r="D44" s="73" t="s">
        <v>1055</v>
      </c>
      <c r="E44" s="60"/>
      <c r="F44" s="40"/>
      <c r="G44" s="106"/>
      <c r="H44" s="107"/>
      <c r="I44" s="105"/>
    </row>
    <row r="45" customFormat="false" ht="15" hidden="false" customHeight="true" outlineLevel="0" collapsed="false">
      <c r="A45" s="43" t="n">
        <v>3</v>
      </c>
      <c r="B45" s="87" t="s">
        <v>149</v>
      </c>
      <c r="C45" s="73"/>
      <c r="D45" s="73" t="s">
        <v>1057</v>
      </c>
      <c r="E45" s="108" t="n">
        <v>0.130817</v>
      </c>
      <c r="F45" s="50"/>
      <c r="G45" s="43" t="s">
        <v>1083</v>
      </c>
      <c r="H45" s="67"/>
      <c r="I45" s="67"/>
    </row>
    <row r="46" customFormat="false" ht="15" hidden="false" customHeight="false" outlineLevel="0" collapsed="false">
      <c r="A46" s="43"/>
      <c r="B46" s="87"/>
      <c r="C46" s="73"/>
      <c r="D46" s="73" t="s">
        <v>1059</v>
      </c>
      <c r="E46" s="108"/>
      <c r="F46" s="50"/>
      <c r="G46" s="43"/>
      <c r="H46" s="67"/>
      <c r="I46" s="67"/>
    </row>
    <row r="47" customFormat="false" ht="15" hidden="false" customHeight="true" outlineLevel="0" collapsed="false">
      <c r="A47" s="23" t="n">
        <v>4</v>
      </c>
      <c r="B47" s="109" t="s">
        <v>150</v>
      </c>
      <c r="C47" s="73"/>
      <c r="D47" s="95" t="s">
        <v>1062</v>
      </c>
      <c r="E47" s="110" t="n">
        <v>0.112517</v>
      </c>
      <c r="F47" s="32"/>
      <c r="G47" s="23" t="s">
        <v>1084</v>
      </c>
    </row>
    <row r="48" customFormat="false" ht="15" hidden="false" customHeight="false" outlineLevel="0" collapsed="false">
      <c r="A48" s="23"/>
      <c r="B48" s="109"/>
      <c r="C48" s="73"/>
      <c r="D48" s="95" t="s">
        <v>1064</v>
      </c>
      <c r="E48" s="110"/>
      <c r="F48" s="32"/>
      <c r="G48" s="23"/>
    </row>
    <row r="49" customFormat="false" ht="15" hidden="false" customHeight="true" outlineLevel="0" collapsed="false">
      <c r="A49" s="23" t="n">
        <v>5</v>
      </c>
      <c r="B49" s="111" t="s">
        <v>151</v>
      </c>
      <c r="C49" s="23"/>
      <c r="D49" s="95" t="s">
        <v>1068</v>
      </c>
      <c r="E49" s="110" t="n">
        <v>0.118714</v>
      </c>
      <c r="F49" s="32"/>
      <c r="G49" s="23" t="s">
        <v>1085</v>
      </c>
    </row>
    <row r="50" customFormat="false" ht="15" hidden="false" customHeight="false" outlineLevel="0" collapsed="false">
      <c r="A50" s="23"/>
      <c r="B50" s="111"/>
      <c r="C50" s="86"/>
      <c r="D50" s="99" t="s">
        <v>1069</v>
      </c>
      <c r="E50" s="110"/>
      <c r="F50" s="32"/>
      <c r="G50" s="23"/>
    </row>
    <row r="51" customFormat="false" ht="15" hidden="false" customHeight="true" outlineLevel="0" collapsed="false">
      <c r="A51" s="23" t="n">
        <v>6</v>
      </c>
      <c r="B51" s="109" t="s">
        <v>152</v>
      </c>
      <c r="C51" s="23" t="s">
        <v>1071</v>
      </c>
      <c r="D51" s="95" t="s">
        <v>1072</v>
      </c>
      <c r="E51" s="110" t="n">
        <v>0.120238</v>
      </c>
      <c r="F51" s="32"/>
      <c r="G51" s="23" t="s">
        <v>1086</v>
      </c>
    </row>
    <row r="52" customFormat="false" ht="15" hidden="false" customHeight="false" outlineLevel="0" collapsed="false">
      <c r="A52" s="23"/>
      <c r="B52" s="109"/>
      <c r="C52" s="23" t="s">
        <v>1073</v>
      </c>
      <c r="D52" s="95" t="s">
        <v>1074</v>
      </c>
      <c r="E52" s="110"/>
      <c r="F52" s="32"/>
      <c r="G52" s="23"/>
    </row>
  </sheetData>
  <mergeCells count="67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F29:G29"/>
    <mergeCell ref="F37:G37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A41:A42"/>
    <mergeCell ref="B41:B42"/>
    <mergeCell ref="E41:E42"/>
    <mergeCell ref="F41:F42"/>
    <mergeCell ref="G41:G42"/>
    <mergeCell ref="H41:H42"/>
    <mergeCell ref="I41:I42"/>
    <mergeCell ref="A43:A44"/>
    <mergeCell ref="B43:B44"/>
    <mergeCell ref="E43:E44"/>
    <mergeCell ref="F43:F44"/>
    <mergeCell ref="G43:G44"/>
    <mergeCell ref="H43:H44"/>
    <mergeCell ref="I43:I44"/>
    <mergeCell ref="A45:A46"/>
    <mergeCell ref="B45:B46"/>
    <mergeCell ref="E45:E46"/>
    <mergeCell ref="F45:F46"/>
    <mergeCell ref="G45:G46"/>
    <mergeCell ref="H45:H46"/>
    <mergeCell ref="I45:I46"/>
    <mergeCell ref="A47:A48"/>
    <mergeCell ref="B47:B48"/>
    <mergeCell ref="E47:E48"/>
    <mergeCell ref="F47:F48"/>
    <mergeCell ref="G47:G48"/>
    <mergeCell ref="A49:A50"/>
    <mergeCell ref="B49:B50"/>
    <mergeCell ref="E49:E50"/>
    <mergeCell ref="F49:F50"/>
    <mergeCell ref="G49:G50"/>
    <mergeCell ref="A51:A52"/>
    <mergeCell ref="B51:B52"/>
    <mergeCell ref="E51:E52"/>
    <mergeCell ref="F51:F52"/>
    <mergeCell ref="G51:G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0"/>
    <col collapsed="false" customWidth="true" hidden="false" outlineLevel="0" max="3" min="3" style="0" width="22.43"/>
    <col collapsed="false" customWidth="true" hidden="false" outlineLevel="0" max="4" min="4" style="0" width="22.85"/>
    <col collapsed="false" customWidth="true" hidden="false" outlineLevel="0" max="6" min="6" style="0" width="5.14"/>
    <col collapsed="false" customWidth="true" hidden="false" outlineLevel="0" max="7" min="7" style="0" width="15.14"/>
    <col collapsed="false" customWidth="true" hidden="false" outlineLevel="0" max="8" min="8" style="0" width="16"/>
    <col collapsed="false" customWidth="true" hidden="false" outlineLevel="0" max="9" min="9" style="0" width="11.28"/>
  </cols>
  <sheetData>
    <row r="2" customFormat="false" ht="15" hidden="false" customHeight="false" outlineLevel="0" collapsed="false">
      <c r="A2" s="69" t="s">
        <v>153</v>
      </c>
    </row>
    <row r="3" customFormat="false" ht="15" hidden="false" customHeight="false" outlineLevel="0" collapsed="false">
      <c r="F3" s="7" t="s">
        <v>1087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12" t="s">
        <v>767</v>
      </c>
      <c r="H4" s="8" t="s">
        <v>1088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103" t="s">
        <v>778</v>
      </c>
      <c r="H5" s="23" t="s">
        <v>1089</v>
      </c>
    </row>
    <row r="6" customFormat="false" ht="15" hidden="false" customHeight="true" outlineLevel="0" collapsed="false">
      <c r="A6" s="23" t="n">
        <v>1</v>
      </c>
      <c r="B6" s="87" t="s">
        <v>1090</v>
      </c>
      <c r="C6" s="73" t="s">
        <v>1091</v>
      </c>
      <c r="D6" s="23" t="s">
        <v>1092</v>
      </c>
      <c r="F6" s="23" t="n">
        <v>2</v>
      </c>
      <c r="G6" s="103" t="s">
        <v>682</v>
      </c>
      <c r="H6" s="23" t="s">
        <v>1093</v>
      </c>
    </row>
    <row r="7" customFormat="false" ht="15" hidden="false" customHeight="false" outlineLevel="0" collapsed="false">
      <c r="A7" s="23"/>
      <c r="B7" s="87"/>
      <c r="C7" s="73" t="s">
        <v>1094</v>
      </c>
      <c r="D7" s="23" t="s">
        <v>885</v>
      </c>
      <c r="F7" s="23" t="n">
        <v>3</v>
      </c>
      <c r="G7" s="103" t="s">
        <v>9</v>
      </c>
      <c r="H7" s="23" t="s">
        <v>745</v>
      </c>
    </row>
    <row r="8" customFormat="false" ht="15" hidden="false" customHeight="true" outlineLevel="0" collapsed="false">
      <c r="A8" s="23" t="n">
        <v>2</v>
      </c>
      <c r="B8" s="87" t="s">
        <v>1095</v>
      </c>
      <c r="C8" s="73" t="s">
        <v>1096</v>
      </c>
      <c r="D8" s="23" t="s">
        <v>1097</v>
      </c>
      <c r="F8" s="23" t="n">
        <v>4</v>
      </c>
      <c r="G8" s="103" t="s">
        <v>30</v>
      </c>
      <c r="H8" s="23" t="s">
        <v>749</v>
      </c>
    </row>
    <row r="9" customFormat="false" ht="15" hidden="false" customHeight="false" outlineLevel="0" collapsed="false">
      <c r="A9" s="23"/>
      <c r="B9" s="87"/>
      <c r="C9" s="73" t="s">
        <v>594</v>
      </c>
      <c r="D9" s="23" t="s">
        <v>1098</v>
      </c>
      <c r="F9" s="86" t="n">
        <v>5</v>
      </c>
      <c r="G9" s="112" t="s">
        <v>32</v>
      </c>
      <c r="H9" s="23" t="s">
        <v>1099</v>
      </c>
    </row>
    <row r="10" customFormat="false" ht="15" hidden="false" customHeight="true" outlineLevel="0" collapsed="false">
      <c r="A10" s="23" t="n">
        <v>3</v>
      </c>
      <c r="B10" s="87" t="s">
        <v>1100</v>
      </c>
      <c r="C10" s="73" t="s">
        <v>1101</v>
      </c>
      <c r="D10" s="73" t="s">
        <v>1102</v>
      </c>
      <c r="F10" s="73" t="n">
        <v>6</v>
      </c>
      <c r="G10" s="113" t="s">
        <v>36</v>
      </c>
      <c r="H10" s="23" t="s">
        <v>1103</v>
      </c>
    </row>
    <row r="11" customFormat="false" ht="15" hidden="false" customHeight="false" outlineLevel="0" collapsed="false">
      <c r="A11" s="23"/>
      <c r="B11" s="87"/>
      <c r="C11" s="73" t="s">
        <v>1104</v>
      </c>
      <c r="D11" s="73" t="s">
        <v>1105</v>
      </c>
      <c r="F11" s="100" t="n">
        <v>7</v>
      </c>
      <c r="G11" s="114" t="s">
        <v>1106</v>
      </c>
      <c r="H11" s="73" t="s">
        <v>1080</v>
      </c>
    </row>
    <row r="12" customFormat="false" ht="15" hidden="false" customHeight="true" outlineLevel="0" collapsed="false">
      <c r="A12" s="23" t="n">
        <v>4</v>
      </c>
      <c r="B12" s="87" t="s">
        <v>1107</v>
      </c>
      <c r="C12" s="73" t="s">
        <v>1108</v>
      </c>
      <c r="D12" s="73" t="s">
        <v>1109</v>
      </c>
      <c r="F12" s="94" t="s">
        <v>39</v>
      </c>
      <c r="G12" s="94"/>
      <c r="H12" s="73" t="s">
        <v>758</v>
      </c>
    </row>
    <row r="13" customFormat="false" ht="15" hidden="false" customHeight="false" outlineLevel="0" collapsed="false">
      <c r="A13" s="23"/>
      <c r="B13" s="87"/>
      <c r="C13" s="73" t="s">
        <v>1110</v>
      </c>
      <c r="D13" s="73" t="s">
        <v>1111</v>
      </c>
    </row>
    <row r="14" customFormat="false" ht="15" hidden="false" customHeight="true" outlineLevel="0" collapsed="false">
      <c r="A14" s="23" t="n">
        <v>5</v>
      </c>
      <c r="B14" s="88" t="s">
        <v>1112</v>
      </c>
      <c r="C14" s="73" t="s">
        <v>1113</v>
      </c>
      <c r="D14" s="73" t="s">
        <v>1114</v>
      </c>
      <c r="F14" s="7" t="s">
        <v>1038</v>
      </c>
    </row>
    <row r="15" customFormat="false" ht="15" hidden="false" customHeight="false" outlineLevel="0" collapsed="false">
      <c r="A15" s="23"/>
      <c r="B15" s="88"/>
      <c r="C15" s="73" t="s">
        <v>1115</v>
      </c>
      <c r="D15" s="73" t="s">
        <v>1116</v>
      </c>
      <c r="F15" s="8" t="s">
        <v>6</v>
      </c>
      <c r="G15" s="8" t="s">
        <v>767</v>
      </c>
      <c r="H15" s="12" t="n">
        <v>15</v>
      </c>
      <c r="I15" s="12" t="n">
        <v>16</v>
      </c>
      <c r="J15" s="62" t="n">
        <v>17</v>
      </c>
      <c r="K15" s="62" t="n">
        <v>18</v>
      </c>
    </row>
    <row r="16" customFormat="false" ht="15" hidden="false" customHeight="true" outlineLevel="0" collapsed="false">
      <c r="A16" s="23" t="n">
        <v>6</v>
      </c>
      <c r="B16" s="87" t="s">
        <v>1117</v>
      </c>
      <c r="C16" s="73" t="s">
        <v>1118</v>
      </c>
      <c r="D16" s="73" t="s">
        <v>1119</v>
      </c>
      <c r="F16" s="23" t="n">
        <v>1</v>
      </c>
      <c r="G16" s="61" t="s">
        <v>682</v>
      </c>
      <c r="H16" s="91" t="s">
        <v>1022</v>
      </c>
      <c r="I16" s="91" t="s">
        <v>1120</v>
      </c>
      <c r="J16" s="73" t="s">
        <v>1121</v>
      </c>
      <c r="K16" s="73" t="s">
        <v>1122</v>
      </c>
    </row>
    <row r="17" customFormat="false" ht="15" hidden="false" customHeight="false" outlineLevel="0" collapsed="false">
      <c r="A17" s="23"/>
      <c r="B17" s="87"/>
      <c r="C17" s="73" t="s">
        <v>1123</v>
      </c>
      <c r="D17" s="73" t="s">
        <v>1044</v>
      </c>
      <c r="F17" s="23" t="n">
        <v>2</v>
      </c>
      <c r="G17" s="61" t="s">
        <v>778</v>
      </c>
      <c r="H17" s="91" t="s">
        <v>719</v>
      </c>
      <c r="I17" s="91" t="s">
        <v>956</v>
      </c>
      <c r="J17" s="73" t="s">
        <v>952</v>
      </c>
      <c r="K17" s="73" t="s">
        <v>903</v>
      </c>
    </row>
    <row r="18" customFormat="false" ht="15" hidden="false" customHeight="true" outlineLevel="0" collapsed="false">
      <c r="A18" s="43" t="n">
        <v>7</v>
      </c>
      <c r="B18" s="89" t="s">
        <v>1124</v>
      </c>
      <c r="C18" s="23" t="s">
        <v>1125</v>
      </c>
      <c r="D18" s="73" t="s">
        <v>1126</v>
      </c>
      <c r="F18" s="23" t="n">
        <v>3</v>
      </c>
      <c r="G18" s="61" t="s">
        <v>12</v>
      </c>
      <c r="H18" s="91" t="s">
        <v>858</v>
      </c>
      <c r="I18" s="91" t="s">
        <v>858</v>
      </c>
      <c r="J18" s="73" t="s">
        <v>858</v>
      </c>
      <c r="K18" s="73" t="s">
        <v>858</v>
      </c>
    </row>
    <row r="19" customFormat="false" ht="15" hidden="false" customHeight="false" outlineLevel="0" collapsed="false">
      <c r="A19" s="43"/>
      <c r="B19" s="89"/>
      <c r="C19" s="86" t="s">
        <v>1127</v>
      </c>
      <c r="D19" s="90" t="s">
        <v>1128</v>
      </c>
      <c r="F19" s="23" t="n">
        <v>4</v>
      </c>
      <c r="G19" s="61" t="s">
        <v>786</v>
      </c>
      <c r="H19" s="91" t="s">
        <v>956</v>
      </c>
      <c r="I19" s="91" t="s">
        <v>719</v>
      </c>
      <c r="J19" s="73" t="s">
        <v>719</v>
      </c>
      <c r="K19" s="73" t="s">
        <v>719</v>
      </c>
    </row>
    <row r="20" customFormat="false" ht="15" hidden="false" customHeight="false" outlineLevel="0" collapsed="false">
      <c r="A20" s="23" t="n">
        <v>8</v>
      </c>
      <c r="B20" s="115" t="s">
        <v>1129</v>
      </c>
      <c r="C20" s="23" t="s">
        <v>79</v>
      </c>
      <c r="D20" s="23" t="s">
        <v>1130</v>
      </c>
      <c r="F20" s="86" t="n">
        <v>5</v>
      </c>
      <c r="G20" s="85" t="s">
        <v>1006</v>
      </c>
      <c r="H20" s="92" t="s">
        <v>963</v>
      </c>
      <c r="I20" s="91" t="s">
        <v>719</v>
      </c>
      <c r="J20" s="73" t="s">
        <v>719</v>
      </c>
      <c r="K20" s="73" t="s">
        <v>719</v>
      </c>
    </row>
    <row r="21" customFormat="false" ht="15" hidden="false" customHeight="false" outlineLevel="0" collapsed="false">
      <c r="A21" s="23"/>
      <c r="B21" s="115"/>
      <c r="C21" s="23" t="s">
        <v>79</v>
      </c>
      <c r="D21" s="23" t="s">
        <v>1131</v>
      </c>
      <c r="F21" s="73" t="n">
        <v>6</v>
      </c>
      <c r="G21" s="97" t="s">
        <v>14</v>
      </c>
      <c r="H21" s="102" t="s">
        <v>978</v>
      </c>
      <c r="I21" s="91" t="s">
        <v>978</v>
      </c>
      <c r="J21" s="73" t="s">
        <v>1132</v>
      </c>
      <c r="K21" s="73" t="s">
        <v>978</v>
      </c>
    </row>
    <row r="22" customFormat="false" ht="15" hidden="false" customHeight="false" outlineLevel="0" collapsed="false">
      <c r="A22" s="23" t="n">
        <v>0</v>
      </c>
      <c r="B22" s="115" t="s">
        <v>1133</v>
      </c>
      <c r="C22" s="23" t="s">
        <v>79</v>
      </c>
      <c r="D22" s="23" t="s">
        <v>1134</v>
      </c>
      <c r="F22" s="100" t="n">
        <v>7</v>
      </c>
      <c r="G22" s="101" t="s">
        <v>981</v>
      </c>
      <c r="H22" s="95" t="s">
        <v>1034</v>
      </c>
      <c r="I22" s="95" t="s">
        <v>745</v>
      </c>
      <c r="J22" s="73" t="s">
        <v>745</v>
      </c>
      <c r="K22" s="73" t="s">
        <v>745</v>
      </c>
    </row>
    <row r="23" customFormat="false" ht="15" hidden="false" customHeight="false" outlineLevel="0" collapsed="false">
      <c r="A23" s="23"/>
      <c r="B23" s="115"/>
      <c r="C23" s="23" t="s">
        <v>79</v>
      </c>
      <c r="D23" s="23" t="s">
        <v>1135</v>
      </c>
      <c r="F23" s="62" t="s">
        <v>39</v>
      </c>
      <c r="G23" s="62"/>
      <c r="H23" s="95" t="s">
        <v>758</v>
      </c>
      <c r="I23" s="95" t="s">
        <v>758</v>
      </c>
      <c r="J23" s="73" t="s">
        <v>758</v>
      </c>
      <c r="K23" s="73" t="s">
        <v>758</v>
      </c>
    </row>
    <row r="24" customFormat="false" ht="15" hidden="false" customHeight="false" outlineLevel="0" collapsed="false">
      <c r="A24" s="23" t="n">
        <v>10</v>
      </c>
      <c r="B24" s="115" t="s">
        <v>1136</v>
      </c>
      <c r="C24" s="23" t="s">
        <v>79</v>
      </c>
      <c r="D24" s="23" t="s">
        <v>1137</v>
      </c>
    </row>
    <row r="25" customFormat="false" ht="15" hidden="false" customHeight="false" outlineLevel="0" collapsed="false">
      <c r="A25" s="23"/>
      <c r="B25" s="115"/>
      <c r="C25" s="23" t="s">
        <v>79</v>
      </c>
      <c r="D25" s="23" t="s">
        <v>1138</v>
      </c>
      <c r="F25" s="7" t="s">
        <v>1139</v>
      </c>
    </row>
    <row r="26" customFormat="false" ht="15" hidden="false" customHeight="false" outlineLevel="0" collapsed="false">
      <c r="A26" s="23" t="n">
        <v>11</v>
      </c>
      <c r="B26" s="115" t="s">
        <v>1140</v>
      </c>
      <c r="C26" s="23" t="s">
        <v>79</v>
      </c>
      <c r="D26" s="23" t="s">
        <v>1141</v>
      </c>
      <c r="F26" s="0" t="s">
        <v>1142</v>
      </c>
    </row>
    <row r="27" customFormat="false" ht="15" hidden="false" customHeight="false" outlineLevel="0" collapsed="false">
      <c r="A27" s="23"/>
      <c r="B27" s="115"/>
      <c r="C27" s="23" t="s">
        <v>79</v>
      </c>
      <c r="D27" s="23" t="s">
        <v>1143</v>
      </c>
      <c r="F27" s="8" t="s">
        <v>6</v>
      </c>
      <c r="G27" s="12" t="s">
        <v>767</v>
      </c>
      <c r="H27" s="8" t="s">
        <v>1063</v>
      </c>
    </row>
    <row r="28" customFormat="false" ht="15" hidden="false" customHeight="false" outlineLevel="0" collapsed="false">
      <c r="A28" s="23" t="n">
        <v>12</v>
      </c>
      <c r="B28" s="115" t="s">
        <v>1144</v>
      </c>
      <c r="C28" s="23" t="s">
        <v>79</v>
      </c>
      <c r="D28" s="23" t="s">
        <v>1145</v>
      </c>
      <c r="F28" s="23" t="n">
        <v>1</v>
      </c>
      <c r="G28" s="103" t="s">
        <v>1065</v>
      </c>
      <c r="H28" s="23" t="s">
        <v>775</v>
      </c>
    </row>
    <row r="29" customFormat="false" ht="15" hidden="false" customHeight="false" outlineLevel="0" collapsed="false">
      <c r="A29" s="23"/>
      <c r="B29" s="115"/>
      <c r="C29" s="23" t="s">
        <v>79</v>
      </c>
      <c r="D29" s="23" t="s">
        <v>1146</v>
      </c>
      <c r="F29" s="23" t="n">
        <v>2</v>
      </c>
      <c r="G29" s="103" t="s">
        <v>778</v>
      </c>
      <c r="H29" s="23" t="s">
        <v>902</v>
      </c>
    </row>
    <row r="30" customFormat="false" ht="15" hidden="false" customHeight="false" outlineLevel="0" collapsed="false">
      <c r="A30" s="23" t="n">
        <v>13</v>
      </c>
      <c r="B30" s="115" t="s">
        <v>1147</v>
      </c>
      <c r="C30" s="23" t="s">
        <v>79</v>
      </c>
      <c r="D30" s="23" t="s">
        <v>1148</v>
      </c>
      <c r="F30" s="23" t="n">
        <v>3</v>
      </c>
      <c r="G30" s="103" t="s">
        <v>682</v>
      </c>
      <c r="H30" s="23" t="s">
        <v>858</v>
      </c>
    </row>
    <row r="31" customFormat="false" ht="15" hidden="false" customHeight="false" outlineLevel="0" collapsed="false">
      <c r="A31" s="23"/>
      <c r="B31" s="115"/>
      <c r="C31" s="23" t="s">
        <v>79</v>
      </c>
      <c r="D31" s="23" t="s">
        <v>520</v>
      </c>
      <c r="F31" s="8" t="s">
        <v>39</v>
      </c>
      <c r="G31" s="8"/>
      <c r="H31" s="23" t="s">
        <v>758</v>
      </c>
    </row>
    <row r="33" customFormat="false" ht="15" hidden="false" customHeight="false" outlineLevel="0" collapsed="false">
      <c r="F33" s="8" t="s">
        <v>6</v>
      </c>
      <c r="G33" s="8" t="s">
        <v>767</v>
      </c>
      <c r="H33" s="8" t="s">
        <v>1149</v>
      </c>
      <c r="I33" s="62" t="s">
        <v>155</v>
      </c>
    </row>
    <row r="34" customFormat="false" ht="15" hidden="false" customHeight="false" outlineLevel="0" collapsed="false">
      <c r="F34" s="23" t="n">
        <v>1</v>
      </c>
      <c r="G34" s="61" t="s">
        <v>1150</v>
      </c>
      <c r="H34" s="23" t="s">
        <v>1078</v>
      </c>
      <c r="I34" s="73" t="s">
        <v>1151</v>
      </c>
    </row>
    <row r="35" customFormat="false" ht="15" hidden="false" customHeight="false" outlineLevel="0" collapsed="false">
      <c r="F35" s="23" t="n">
        <v>2</v>
      </c>
      <c r="G35" s="61" t="s">
        <v>786</v>
      </c>
      <c r="H35" s="23" t="s">
        <v>745</v>
      </c>
      <c r="I35" s="73" t="s">
        <v>745</v>
      </c>
    </row>
    <row r="36" customFormat="false" ht="15" hidden="false" customHeight="false" outlineLevel="0" collapsed="false">
      <c r="F36" s="23" t="n">
        <v>3</v>
      </c>
      <c r="G36" s="61" t="s">
        <v>38</v>
      </c>
      <c r="H36" s="23" t="s">
        <v>788</v>
      </c>
      <c r="I36" s="73" t="s">
        <v>788</v>
      </c>
    </row>
    <row r="37" customFormat="false" ht="15" hidden="false" customHeight="false" outlineLevel="0" collapsed="false">
      <c r="F37" s="116" t="n">
        <v>4</v>
      </c>
      <c r="G37" s="83" t="s">
        <v>1106</v>
      </c>
      <c r="H37" s="23" t="s">
        <v>940</v>
      </c>
      <c r="I37" s="73" t="s">
        <v>1152</v>
      </c>
    </row>
    <row r="38" customFormat="false" ht="15" hidden="false" customHeight="false" outlineLevel="0" collapsed="false">
      <c r="F38" s="62" t="s">
        <v>39</v>
      </c>
      <c r="G38" s="62"/>
      <c r="H38" s="23" t="s">
        <v>758</v>
      </c>
      <c r="I38" s="73" t="s">
        <v>758</v>
      </c>
    </row>
    <row r="40" customFormat="false" ht="15" hidden="false" customHeight="false" outlineLevel="0" collapsed="false">
      <c r="F40" s="7" t="s">
        <v>1153</v>
      </c>
    </row>
    <row r="41" customFormat="false" ht="15" hidden="false" customHeight="false" outlineLevel="0" collapsed="false">
      <c r="F41" s="8" t="s">
        <v>6</v>
      </c>
      <c r="G41" s="8" t="s">
        <v>767</v>
      </c>
      <c r="H41" s="8" t="s">
        <v>1154</v>
      </c>
      <c r="I41" s="8" t="s">
        <v>1155</v>
      </c>
      <c r="J41" s="8" t="s">
        <v>1156</v>
      </c>
      <c r="K41" s="8" t="s">
        <v>1157</v>
      </c>
      <c r="L41" s="8" t="s">
        <v>1158</v>
      </c>
      <c r="M41" s="8" t="s">
        <v>1159</v>
      </c>
    </row>
    <row r="42" customFormat="false" ht="15" hidden="false" customHeight="false" outlineLevel="0" collapsed="false">
      <c r="F42" s="23" t="n">
        <v>1</v>
      </c>
      <c r="G42" s="61" t="s">
        <v>1065</v>
      </c>
      <c r="H42" s="23" t="s">
        <v>1160</v>
      </c>
      <c r="I42" s="23" t="s">
        <v>1161</v>
      </c>
      <c r="J42" s="23" t="s">
        <v>858</v>
      </c>
      <c r="K42" s="23" t="s">
        <v>858</v>
      </c>
      <c r="L42" s="23" t="s">
        <v>858</v>
      </c>
      <c r="M42" s="23" t="s">
        <v>858</v>
      </c>
    </row>
    <row r="43" customFormat="false" ht="15" hidden="false" customHeight="false" outlineLevel="0" collapsed="false">
      <c r="F43" s="23" t="n">
        <v>2</v>
      </c>
      <c r="G43" s="61" t="s">
        <v>778</v>
      </c>
      <c r="H43" s="23" t="s">
        <v>858</v>
      </c>
      <c r="I43" s="23" t="s">
        <v>858</v>
      </c>
      <c r="J43" s="23" t="s">
        <v>1160</v>
      </c>
      <c r="K43" s="23" t="s">
        <v>1161</v>
      </c>
      <c r="L43" s="23" t="s">
        <v>858</v>
      </c>
      <c r="M43" s="23" t="s">
        <v>858</v>
      </c>
    </row>
    <row r="44" customFormat="false" ht="15" hidden="false" customHeight="false" outlineLevel="0" collapsed="false">
      <c r="F44" s="23" t="n">
        <v>3</v>
      </c>
      <c r="G44" s="61" t="s">
        <v>682</v>
      </c>
      <c r="H44" s="23" t="s">
        <v>858</v>
      </c>
      <c r="I44" s="23" t="s">
        <v>858</v>
      </c>
      <c r="J44" s="23" t="s">
        <v>858</v>
      </c>
      <c r="K44" s="23" t="s">
        <v>858</v>
      </c>
      <c r="L44" s="23" t="s">
        <v>1160</v>
      </c>
      <c r="M44" s="23" t="s">
        <v>1161</v>
      </c>
    </row>
    <row r="45" customFormat="false" ht="15" hidden="false" customHeight="false" outlineLevel="0" collapsed="false">
      <c r="F45" s="23" t="n">
        <v>4</v>
      </c>
      <c r="G45" s="61" t="s">
        <v>981</v>
      </c>
      <c r="H45" s="23" t="s">
        <v>719</v>
      </c>
      <c r="I45" s="23" t="s">
        <v>745</v>
      </c>
      <c r="J45" s="23" t="s">
        <v>719</v>
      </c>
      <c r="K45" s="23" t="s">
        <v>745</v>
      </c>
      <c r="L45" s="23" t="s">
        <v>719</v>
      </c>
      <c r="M45" s="23" t="s">
        <v>745</v>
      </c>
    </row>
    <row r="46" customFormat="false" ht="15" hidden="false" customHeight="false" outlineLevel="0" collapsed="false">
      <c r="F46" s="8" t="s">
        <v>39</v>
      </c>
      <c r="G46" s="8"/>
      <c r="H46" s="23" t="s">
        <v>758</v>
      </c>
      <c r="I46" s="23" t="s">
        <v>758</v>
      </c>
      <c r="J46" s="23" t="s">
        <v>758</v>
      </c>
      <c r="K46" s="23" t="s">
        <v>758</v>
      </c>
      <c r="L46" s="23" t="s">
        <v>758</v>
      </c>
      <c r="M46" s="23" t="s">
        <v>758</v>
      </c>
    </row>
    <row r="49" customFormat="false" ht="30" hidden="false" customHeight="true" outlineLevel="0" collapsed="false">
      <c r="A49" s="8" t="s">
        <v>6</v>
      </c>
      <c r="B49" s="8" t="s">
        <v>425</v>
      </c>
      <c r="C49" s="8" t="s">
        <v>679</v>
      </c>
      <c r="D49" s="12" t="s">
        <v>680</v>
      </c>
      <c r="E49" s="32"/>
      <c r="F49" s="32"/>
      <c r="G49" s="18" t="s">
        <v>703</v>
      </c>
      <c r="H49" s="8" t="s">
        <v>700</v>
      </c>
    </row>
    <row r="50" customFormat="false" ht="15" hidden="false" customHeight="false" outlineLevel="0" collapsed="false">
      <c r="A50" s="8"/>
      <c r="B50" s="8"/>
      <c r="C50" s="8" t="s">
        <v>765</v>
      </c>
      <c r="D50" s="12" t="s">
        <v>766</v>
      </c>
      <c r="E50" s="32"/>
      <c r="F50" s="32"/>
      <c r="G50" s="18"/>
      <c r="H50" s="8"/>
    </row>
    <row r="51" customFormat="false" ht="15" hidden="false" customHeight="true" outlineLevel="0" collapsed="false">
      <c r="A51" s="23" t="n">
        <v>1</v>
      </c>
      <c r="B51" s="87" t="s">
        <v>1090</v>
      </c>
      <c r="C51" s="73" t="s">
        <v>1091</v>
      </c>
      <c r="D51" s="91" t="s">
        <v>1092</v>
      </c>
      <c r="E51" s="56"/>
      <c r="F51" s="56"/>
      <c r="G51" s="32" t="s">
        <v>79</v>
      </c>
      <c r="H51" s="32" t="n">
        <f aca="false">AVERAGE(3.53815,3.3867,3.51348,3.46537)</f>
        <v>3.475925</v>
      </c>
    </row>
    <row r="52" customFormat="false" ht="15" hidden="false" customHeight="false" outlineLevel="0" collapsed="false">
      <c r="A52" s="23"/>
      <c r="B52" s="87"/>
      <c r="C52" s="73" t="s">
        <v>1094</v>
      </c>
      <c r="D52" s="91" t="s">
        <v>885</v>
      </c>
      <c r="E52" s="56"/>
      <c r="F52" s="56"/>
      <c r="G52" s="32"/>
      <c r="H52" s="32"/>
    </row>
    <row r="53" customFormat="false" ht="15" hidden="false" customHeight="true" outlineLevel="0" collapsed="false">
      <c r="A53" s="23" t="n">
        <v>2</v>
      </c>
      <c r="B53" s="87" t="s">
        <v>1095</v>
      </c>
      <c r="C53" s="73" t="s">
        <v>1096</v>
      </c>
      <c r="D53" s="91" t="s">
        <v>1097</v>
      </c>
      <c r="E53" s="56"/>
      <c r="F53" s="56"/>
      <c r="G53" s="32" t="s">
        <v>79</v>
      </c>
      <c r="H53" s="117" t="n">
        <v>2.74351</v>
      </c>
    </row>
    <row r="54" customFormat="false" ht="15" hidden="false" customHeight="false" outlineLevel="0" collapsed="false">
      <c r="A54" s="23"/>
      <c r="B54" s="87"/>
      <c r="C54" s="73" t="s">
        <v>594</v>
      </c>
      <c r="D54" s="91" t="s">
        <v>1098</v>
      </c>
      <c r="E54" s="56"/>
      <c r="F54" s="56"/>
      <c r="G54" s="32"/>
      <c r="H54" s="117"/>
    </row>
    <row r="55" customFormat="false" ht="15" hidden="false" customHeight="true" outlineLevel="0" collapsed="false">
      <c r="A55" s="23" t="n">
        <v>3</v>
      </c>
      <c r="B55" s="87" t="s">
        <v>1100</v>
      </c>
      <c r="C55" s="73" t="s">
        <v>1101</v>
      </c>
      <c r="D55" s="95" t="s">
        <v>1102</v>
      </c>
      <c r="E55" s="56"/>
      <c r="F55" s="56"/>
      <c r="G55" s="95" t="s">
        <v>79</v>
      </c>
      <c r="H55" s="32" t="n">
        <f aca="false">AVERAGE(2.78278,2.75434,2.72498,2.65421)</f>
        <v>2.7290775</v>
      </c>
    </row>
    <row r="56" customFormat="false" ht="15" hidden="false" customHeight="false" outlineLevel="0" collapsed="false">
      <c r="A56" s="23"/>
      <c r="B56" s="87"/>
      <c r="C56" s="73" t="s">
        <v>1104</v>
      </c>
      <c r="D56" s="95" t="s">
        <v>1105</v>
      </c>
      <c r="E56" s="56"/>
      <c r="F56" s="56"/>
      <c r="G56" s="95"/>
      <c r="H56" s="32"/>
    </row>
    <row r="57" customFormat="false" ht="15" hidden="false" customHeight="true" outlineLevel="0" collapsed="false">
      <c r="A57" s="23" t="n">
        <v>4</v>
      </c>
      <c r="B57" s="87" t="s">
        <v>1107</v>
      </c>
      <c r="C57" s="73" t="s">
        <v>1108</v>
      </c>
      <c r="D57" s="95" t="s">
        <v>1109</v>
      </c>
      <c r="E57" s="56"/>
      <c r="F57" s="56"/>
      <c r="G57" s="32" t="s">
        <v>79</v>
      </c>
      <c r="H57" s="118" t="s">
        <v>79</v>
      </c>
    </row>
    <row r="58" customFormat="false" ht="15" hidden="false" customHeight="false" outlineLevel="0" collapsed="false">
      <c r="A58" s="23"/>
      <c r="B58" s="87"/>
      <c r="C58" s="73" t="s">
        <v>1110</v>
      </c>
      <c r="D58" s="95" t="s">
        <v>1111</v>
      </c>
      <c r="E58" s="56"/>
      <c r="F58" s="56"/>
      <c r="G58" s="32"/>
      <c r="H58" s="32"/>
    </row>
    <row r="59" customFormat="false" ht="15" hidden="false" customHeight="true" outlineLevel="0" collapsed="false">
      <c r="A59" s="23" t="n">
        <v>5</v>
      </c>
      <c r="B59" s="88" t="s">
        <v>1112</v>
      </c>
      <c r="C59" s="73" t="s">
        <v>1113</v>
      </c>
      <c r="D59" s="95" t="s">
        <v>1114</v>
      </c>
      <c r="E59" s="56"/>
      <c r="F59" s="56"/>
      <c r="G59" s="32" t="s">
        <v>79</v>
      </c>
      <c r="H59" s="32" t="s">
        <v>79</v>
      </c>
    </row>
    <row r="60" customFormat="false" ht="15" hidden="false" customHeight="false" outlineLevel="0" collapsed="false">
      <c r="A60" s="23"/>
      <c r="B60" s="88"/>
      <c r="C60" s="73" t="s">
        <v>1115</v>
      </c>
      <c r="D60" s="95" t="s">
        <v>1116</v>
      </c>
      <c r="E60" s="56"/>
      <c r="F60" s="56"/>
      <c r="G60" s="32"/>
      <c r="H60" s="32"/>
    </row>
    <row r="61" customFormat="false" ht="15" hidden="false" customHeight="true" outlineLevel="0" collapsed="false">
      <c r="A61" s="23" t="n">
        <v>6</v>
      </c>
      <c r="B61" s="87" t="s">
        <v>1117</v>
      </c>
      <c r="C61" s="73" t="s">
        <v>1118</v>
      </c>
      <c r="D61" s="95" t="s">
        <v>1119</v>
      </c>
      <c r="E61" s="56"/>
      <c r="F61" s="56"/>
      <c r="G61" s="32" t="s">
        <v>79</v>
      </c>
      <c r="H61" s="32" t="s">
        <v>79</v>
      </c>
    </row>
    <row r="62" customFormat="false" ht="15" hidden="false" customHeight="false" outlineLevel="0" collapsed="false">
      <c r="A62" s="23"/>
      <c r="B62" s="87"/>
      <c r="C62" s="73" t="s">
        <v>1123</v>
      </c>
      <c r="D62" s="95" t="s">
        <v>1044</v>
      </c>
      <c r="E62" s="56"/>
      <c r="F62" s="56"/>
      <c r="G62" s="32"/>
      <c r="H62" s="32"/>
    </row>
    <row r="63" customFormat="false" ht="15" hidden="false" customHeight="true" outlineLevel="0" collapsed="false">
      <c r="A63" s="43" t="n">
        <v>7</v>
      </c>
      <c r="B63" s="89" t="s">
        <v>1124</v>
      </c>
      <c r="C63" s="23" t="s">
        <v>1125</v>
      </c>
      <c r="D63" s="95" t="s">
        <v>1126</v>
      </c>
      <c r="E63" s="56"/>
      <c r="F63" s="56"/>
      <c r="G63" s="32" t="s">
        <v>79</v>
      </c>
      <c r="H63" s="32" t="s">
        <v>79</v>
      </c>
    </row>
    <row r="64" customFormat="false" ht="15" hidden="false" customHeight="false" outlineLevel="0" collapsed="false">
      <c r="A64" s="43"/>
      <c r="B64" s="89"/>
      <c r="C64" s="86" t="s">
        <v>1127</v>
      </c>
      <c r="D64" s="99" t="s">
        <v>1128</v>
      </c>
      <c r="E64" s="56"/>
      <c r="F64" s="56"/>
      <c r="G64" s="32"/>
      <c r="H64" s="32"/>
    </row>
    <row r="65" customFormat="false" ht="15" hidden="false" customHeight="false" outlineLevel="0" collapsed="false">
      <c r="A65" s="23" t="n">
        <v>8</v>
      </c>
      <c r="B65" s="115" t="s">
        <v>1129</v>
      </c>
      <c r="C65" s="23"/>
      <c r="D65" s="91" t="s">
        <v>1130</v>
      </c>
      <c r="E65" s="56"/>
      <c r="F65" s="56"/>
      <c r="G65" s="32" t="s">
        <v>79</v>
      </c>
      <c r="H65" s="32" t="s">
        <v>79</v>
      </c>
    </row>
    <row r="66" customFormat="false" ht="15" hidden="false" customHeight="false" outlineLevel="0" collapsed="false">
      <c r="A66" s="23"/>
      <c r="B66" s="115"/>
      <c r="C66" s="23"/>
      <c r="D66" s="91" t="s">
        <v>1131</v>
      </c>
      <c r="E66" s="56"/>
      <c r="F66" s="56"/>
      <c r="G66" s="32"/>
      <c r="H66" s="32"/>
    </row>
    <row r="67" customFormat="false" ht="15" hidden="false" customHeight="false" outlineLevel="0" collapsed="false">
      <c r="A67" s="23" t="n">
        <v>0</v>
      </c>
      <c r="B67" s="115" t="s">
        <v>1133</v>
      </c>
      <c r="C67" s="23"/>
      <c r="D67" s="91" t="s">
        <v>1134</v>
      </c>
      <c r="E67" s="56"/>
      <c r="F67" s="56"/>
      <c r="G67" s="32" t="s">
        <v>79</v>
      </c>
      <c r="H67" s="32" t="s">
        <v>79</v>
      </c>
    </row>
    <row r="68" customFormat="false" ht="15" hidden="false" customHeight="false" outlineLevel="0" collapsed="false">
      <c r="A68" s="23"/>
      <c r="B68" s="115"/>
      <c r="C68" s="23"/>
      <c r="D68" s="91" t="s">
        <v>1135</v>
      </c>
      <c r="E68" s="56"/>
      <c r="F68" s="56"/>
      <c r="G68" s="32"/>
      <c r="H68" s="32"/>
    </row>
    <row r="69" customFormat="false" ht="15" hidden="false" customHeight="false" outlineLevel="0" collapsed="false">
      <c r="A69" s="23" t="n">
        <v>10</v>
      </c>
      <c r="B69" s="115" t="s">
        <v>1136</v>
      </c>
      <c r="C69" s="23"/>
      <c r="D69" s="91" t="s">
        <v>1137</v>
      </c>
      <c r="E69" s="56"/>
      <c r="F69" s="56"/>
      <c r="G69" s="32" t="s">
        <v>79</v>
      </c>
      <c r="H69" s="32" t="s">
        <v>79</v>
      </c>
    </row>
    <row r="70" customFormat="false" ht="15" hidden="false" customHeight="false" outlineLevel="0" collapsed="false">
      <c r="A70" s="23"/>
      <c r="B70" s="115"/>
      <c r="C70" s="23"/>
      <c r="D70" s="91" t="s">
        <v>1138</v>
      </c>
      <c r="E70" s="56"/>
      <c r="F70" s="56"/>
      <c r="G70" s="32"/>
      <c r="H70" s="32"/>
    </row>
    <row r="71" customFormat="false" ht="15" hidden="false" customHeight="false" outlineLevel="0" collapsed="false">
      <c r="A71" s="23" t="n">
        <v>11</v>
      </c>
      <c r="B71" s="115" t="s">
        <v>1140</v>
      </c>
      <c r="C71" s="23"/>
      <c r="D71" s="91" t="s">
        <v>1141</v>
      </c>
      <c r="E71" s="56"/>
      <c r="F71" s="56"/>
      <c r="G71" s="32" t="s">
        <v>79</v>
      </c>
      <c r="H71" s="32" t="s">
        <v>79</v>
      </c>
    </row>
    <row r="72" customFormat="false" ht="15" hidden="false" customHeight="false" outlineLevel="0" collapsed="false">
      <c r="A72" s="23"/>
      <c r="B72" s="115"/>
      <c r="C72" s="23"/>
      <c r="D72" s="91" t="s">
        <v>1143</v>
      </c>
      <c r="E72" s="56"/>
      <c r="F72" s="56"/>
      <c r="G72" s="32"/>
      <c r="H72" s="32"/>
    </row>
    <row r="73" customFormat="false" ht="15" hidden="false" customHeight="false" outlineLevel="0" collapsed="false">
      <c r="A73" s="23" t="n">
        <v>12</v>
      </c>
      <c r="B73" s="115" t="s">
        <v>1144</v>
      </c>
      <c r="C73" s="23"/>
      <c r="D73" s="91" t="s">
        <v>1145</v>
      </c>
      <c r="E73" s="56"/>
      <c r="F73" s="56"/>
      <c r="G73" s="32" t="s">
        <v>79</v>
      </c>
      <c r="H73" s="32" t="s">
        <v>79</v>
      </c>
    </row>
    <row r="74" customFormat="false" ht="15" hidden="false" customHeight="false" outlineLevel="0" collapsed="false">
      <c r="A74" s="23"/>
      <c r="B74" s="115"/>
      <c r="C74" s="23"/>
      <c r="D74" s="91" t="s">
        <v>1146</v>
      </c>
      <c r="E74" s="56"/>
      <c r="F74" s="56"/>
      <c r="G74" s="32"/>
      <c r="H74" s="32"/>
    </row>
    <row r="75" customFormat="false" ht="15" hidden="false" customHeight="false" outlineLevel="0" collapsed="false">
      <c r="A75" s="23" t="n">
        <v>13</v>
      </c>
      <c r="B75" s="115" t="s">
        <v>1147</v>
      </c>
      <c r="C75" s="23"/>
      <c r="D75" s="91" t="s">
        <v>1148</v>
      </c>
      <c r="E75" s="56"/>
      <c r="F75" s="56"/>
      <c r="G75" s="32" t="s">
        <v>79</v>
      </c>
      <c r="H75" s="32" t="s">
        <v>79</v>
      </c>
    </row>
    <row r="76" customFormat="false" ht="15" hidden="false" customHeight="false" outlineLevel="0" collapsed="false">
      <c r="A76" s="23"/>
      <c r="B76" s="115"/>
      <c r="C76" s="23"/>
      <c r="D76" s="91" t="s">
        <v>520</v>
      </c>
      <c r="E76" s="56"/>
      <c r="F76" s="56"/>
      <c r="G76" s="32"/>
      <c r="H76" s="32"/>
    </row>
  </sheetData>
  <mergeCells count="91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  <mergeCell ref="A26:A27"/>
    <mergeCell ref="B26:B27"/>
    <mergeCell ref="A28:A29"/>
    <mergeCell ref="B28:B29"/>
    <mergeCell ref="A30:A31"/>
    <mergeCell ref="B30:B31"/>
    <mergeCell ref="F31:G31"/>
    <mergeCell ref="F38:G38"/>
    <mergeCell ref="F46:G46"/>
    <mergeCell ref="A49:A50"/>
    <mergeCell ref="B49:B50"/>
    <mergeCell ref="E49:E50"/>
    <mergeCell ref="F49:F50"/>
    <mergeCell ref="G49:G50"/>
    <mergeCell ref="H49:H50"/>
    <mergeCell ref="A51:A52"/>
    <mergeCell ref="B51:B52"/>
    <mergeCell ref="G51:G52"/>
    <mergeCell ref="H51:H52"/>
    <mergeCell ref="A53:A54"/>
    <mergeCell ref="B53:B54"/>
    <mergeCell ref="G53:G54"/>
    <mergeCell ref="H53:H54"/>
    <mergeCell ref="A55:A56"/>
    <mergeCell ref="B55:B56"/>
    <mergeCell ref="G55:G56"/>
    <mergeCell ref="H55:H56"/>
    <mergeCell ref="A57:A58"/>
    <mergeCell ref="B57:B58"/>
    <mergeCell ref="G57:G58"/>
    <mergeCell ref="H57:H58"/>
    <mergeCell ref="A59:A60"/>
    <mergeCell ref="B59:B60"/>
    <mergeCell ref="G59:G60"/>
    <mergeCell ref="H59:H60"/>
    <mergeCell ref="A61:A62"/>
    <mergeCell ref="B61:B62"/>
    <mergeCell ref="G61:G62"/>
    <mergeCell ref="H61:H62"/>
    <mergeCell ref="A63:A64"/>
    <mergeCell ref="B63:B64"/>
    <mergeCell ref="G63:G64"/>
    <mergeCell ref="H63:H64"/>
    <mergeCell ref="A65:A66"/>
    <mergeCell ref="B65:B66"/>
    <mergeCell ref="G65:G66"/>
    <mergeCell ref="H65:H66"/>
    <mergeCell ref="A67:A68"/>
    <mergeCell ref="B67:B68"/>
    <mergeCell ref="G67:G68"/>
    <mergeCell ref="H67:H68"/>
    <mergeCell ref="A69:A70"/>
    <mergeCell ref="B69:B70"/>
    <mergeCell ref="G69:G70"/>
    <mergeCell ref="H69:H70"/>
    <mergeCell ref="A71:A72"/>
    <mergeCell ref="B71:B72"/>
    <mergeCell ref="G71:G72"/>
    <mergeCell ref="H71:H72"/>
    <mergeCell ref="A73:A74"/>
    <mergeCell ref="B73:B74"/>
    <mergeCell ref="G73:G74"/>
    <mergeCell ref="H73:H74"/>
    <mergeCell ref="A75:A76"/>
    <mergeCell ref="B75:B76"/>
    <mergeCell ref="G75:G76"/>
    <mergeCell ref="H75:H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3"/>
    <col collapsed="false" customWidth="true" hidden="false" outlineLevel="0" max="3" min="3" style="0" width="29.42"/>
    <col collapsed="false" customWidth="true" hidden="false" outlineLevel="0" max="4" min="4" style="0" width="28.72"/>
    <col collapsed="false" customWidth="true" hidden="false" outlineLevel="0" max="6" min="6" style="0" width="5.85"/>
    <col collapsed="false" customWidth="true" hidden="false" outlineLevel="0" max="7" min="7" style="0" width="14"/>
    <col collapsed="false" customWidth="true" hidden="false" outlineLevel="0" max="8" min="8" style="0" width="10.71"/>
  </cols>
  <sheetData>
    <row r="2" customFormat="false" ht="15" hidden="false" customHeight="false" outlineLevel="0" collapsed="false">
      <c r="A2" s="69" t="s">
        <v>1162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1163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1164</v>
      </c>
    </row>
    <row r="6" customFormat="false" ht="15" hidden="false" customHeight="true" outlineLevel="0" collapsed="false">
      <c r="A6" s="23" t="n">
        <v>1</v>
      </c>
      <c r="B6" s="87" t="s">
        <v>1165</v>
      </c>
      <c r="C6" s="73" t="s">
        <v>1166</v>
      </c>
      <c r="D6" s="23" t="s">
        <v>1167</v>
      </c>
      <c r="F6" s="23" t="n">
        <v>1</v>
      </c>
      <c r="G6" s="61" t="s">
        <v>778</v>
      </c>
      <c r="H6" s="23" t="s">
        <v>1168</v>
      </c>
    </row>
    <row r="7" customFormat="false" ht="15" hidden="false" customHeight="false" outlineLevel="0" collapsed="false">
      <c r="A7" s="23"/>
      <c r="B7" s="87"/>
      <c r="C7" s="73" t="s">
        <v>1169</v>
      </c>
      <c r="D7" s="23" t="s">
        <v>1170</v>
      </c>
      <c r="F7" s="23" t="n">
        <v>2</v>
      </c>
      <c r="G7" s="61" t="s">
        <v>682</v>
      </c>
      <c r="H7" s="23" t="s">
        <v>1171</v>
      </c>
    </row>
    <row r="8" customFormat="false" ht="15" hidden="false" customHeight="true" outlineLevel="0" collapsed="false">
      <c r="A8" s="23" t="n">
        <v>2</v>
      </c>
      <c r="B8" s="87" t="s">
        <v>1172</v>
      </c>
      <c r="C8" s="73" t="s">
        <v>1173</v>
      </c>
      <c r="D8" s="23" t="s">
        <v>1174</v>
      </c>
      <c r="F8" s="23" t="n">
        <v>3</v>
      </c>
      <c r="G8" s="61" t="s">
        <v>786</v>
      </c>
      <c r="H8" s="23" t="s">
        <v>745</v>
      </c>
    </row>
    <row r="9" customFormat="false" ht="15" hidden="false" customHeight="false" outlineLevel="0" collapsed="false">
      <c r="A9" s="23"/>
      <c r="B9" s="87"/>
      <c r="C9" s="73" t="s">
        <v>1175</v>
      </c>
      <c r="D9" s="23" t="s">
        <v>1176</v>
      </c>
      <c r="F9" s="116" t="n">
        <v>4</v>
      </c>
      <c r="G9" s="83" t="s">
        <v>38</v>
      </c>
      <c r="H9" s="23" t="s">
        <v>1177</v>
      </c>
    </row>
    <row r="10" customFormat="false" ht="15" hidden="false" customHeight="true" outlineLevel="0" collapsed="false">
      <c r="A10" s="23" t="n">
        <v>3</v>
      </c>
      <c r="B10" s="87" t="s">
        <v>1178</v>
      </c>
      <c r="C10" s="73" t="s">
        <v>1179</v>
      </c>
      <c r="D10" s="73" t="s">
        <v>1180</v>
      </c>
      <c r="F10" s="90" t="n">
        <v>5</v>
      </c>
      <c r="G10" s="119" t="s">
        <v>632</v>
      </c>
      <c r="H10" s="86" t="s">
        <v>1181</v>
      </c>
    </row>
    <row r="11" customFormat="false" ht="15" hidden="false" customHeight="false" outlineLevel="0" collapsed="false">
      <c r="A11" s="23"/>
      <c r="B11" s="87"/>
      <c r="C11" s="73" t="s">
        <v>568</v>
      </c>
      <c r="D11" s="73" t="s">
        <v>1182</v>
      </c>
      <c r="F11" s="62" t="s">
        <v>39</v>
      </c>
      <c r="G11" s="62"/>
      <c r="H11" s="23" t="s">
        <v>758</v>
      </c>
    </row>
    <row r="12" customFormat="false" ht="15" hidden="false" customHeight="true" outlineLevel="0" collapsed="false">
      <c r="A12" s="43" t="n">
        <v>4</v>
      </c>
      <c r="B12" s="89" t="s">
        <v>1183</v>
      </c>
      <c r="C12" s="73" t="s">
        <v>1184</v>
      </c>
      <c r="D12" s="73" t="s">
        <v>1185</v>
      </c>
    </row>
    <row r="13" customFormat="false" ht="15" hidden="false" customHeight="false" outlineLevel="0" collapsed="false">
      <c r="A13" s="43"/>
      <c r="B13" s="89"/>
      <c r="C13" s="90" t="s">
        <v>1186</v>
      </c>
      <c r="D13" s="90" t="s">
        <v>1187</v>
      </c>
      <c r="F13" s="7" t="s">
        <v>1188</v>
      </c>
    </row>
    <row r="14" customFormat="false" ht="15" hidden="false" customHeight="true" outlineLevel="0" collapsed="false">
      <c r="A14" s="23" t="n">
        <v>5</v>
      </c>
      <c r="B14" s="88" t="s">
        <v>1189</v>
      </c>
      <c r="C14" s="82" t="s">
        <v>1190</v>
      </c>
      <c r="D14" s="23" t="s">
        <v>1191</v>
      </c>
      <c r="F14" s="8" t="s">
        <v>6</v>
      </c>
      <c r="G14" s="8" t="s">
        <v>767</v>
      </c>
      <c r="H14" s="8" t="s">
        <v>1192</v>
      </c>
    </row>
    <row r="15" customFormat="false" ht="15" hidden="false" customHeight="false" outlineLevel="0" collapsed="false">
      <c r="A15" s="23"/>
      <c r="B15" s="88"/>
      <c r="C15" s="82" t="s">
        <v>1193</v>
      </c>
      <c r="D15" s="23" t="s">
        <v>1194</v>
      </c>
      <c r="F15" s="23" t="n">
        <v>1</v>
      </c>
      <c r="G15" s="61" t="s">
        <v>778</v>
      </c>
      <c r="H15" s="23" t="s">
        <v>741</v>
      </c>
    </row>
    <row r="16" customFormat="false" ht="15" hidden="false" customHeight="true" outlineLevel="0" collapsed="false">
      <c r="A16" s="23" t="n">
        <v>6</v>
      </c>
      <c r="B16" s="93" t="s">
        <v>1195</v>
      </c>
      <c r="C16" s="82" t="s">
        <v>1196</v>
      </c>
      <c r="D16" s="23" t="s">
        <v>1197</v>
      </c>
      <c r="F16" s="23" t="n">
        <v>2</v>
      </c>
      <c r="G16" s="61" t="s">
        <v>786</v>
      </c>
      <c r="H16" s="23" t="s">
        <v>745</v>
      </c>
    </row>
    <row r="17" customFormat="false" ht="15" hidden="false" customHeight="false" outlineLevel="0" collapsed="false">
      <c r="A17" s="23"/>
      <c r="B17" s="93"/>
      <c r="C17" s="82" t="s">
        <v>1198</v>
      </c>
      <c r="D17" s="23" t="s">
        <v>520</v>
      </c>
      <c r="F17" s="23" t="n">
        <v>3</v>
      </c>
      <c r="G17" s="61" t="s">
        <v>31</v>
      </c>
      <c r="H17" s="23" t="s">
        <v>831</v>
      </c>
    </row>
    <row r="18" customFormat="false" ht="15" hidden="false" customHeight="true" outlineLevel="0" collapsed="false">
      <c r="A18" s="23" t="n">
        <v>7</v>
      </c>
      <c r="B18" s="87" t="s">
        <v>1199</v>
      </c>
      <c r="C18" s="82" t="s">
        <v>1200</v>
      </c>
      <c r="D18" s="23" t="s">
        <v>79</v>
      </c>
      <c r="F18" s="120" t="n">
        <v>4</v>
      </c>
      <c r="G18" s="121" t="s">
        <v>1201</v>
      </c>
      <c r="H18" s="86" t="s">
        <v>1202</v>
      </c>
    </row>
    <row r="19" customFormat="false" ht="15" hidden="false" customHeight="false" outlineLevel="0" collapsed="false">
      <c r="A19" s="23"/>
      <c r="B19" s="87"/>
      <c r="C19" s="82" t="s">
        <v>1203</v>
      </c>
      <c r="D19" s="23" t="s">
        <v>79</v>
      </c>
      <c r="F19" s="62" t="s">
        <v>39</v>
      </c>
      <c r="G19" s="62"/>
      <c r="H19" s="23" t="s">
        <v>758</v>
      </c>
    </row>
    <row r="20" customFormat="false" ht="15" hidden="false" customHeight="true" outlineLevel="0" collapsed="false">
      <c r="A20" s="23" t="n">
        <v>8</v>
      </c>
      <c r="B20" s="87" t="s">
        <v>1204</v>
      </c>
      <c r="C20" s="82" t="s">
        <v>1205</v>
      </c>
      <c r="D20" s="23" t="s">
        <v>79</v>
      </c>
    </row>
    <row r="21" customFormat="false" ht="15" hidden="false" customHeight="false" outlineLevel="0" collapsed="false">
      <c r="A21" s="23"/>
      <c r="B21" s="87"/>
      <c r="C21" s="82" t="s">
        <v>1206</v>
      </c>
      <c r="D21" s="23" t="s">
        <v>79</v>
      </c>
      <c r="F21" s="7" t="s">
        <v>1207</v>
      </c>
    </row>
    <row r="22" customFormat="false" ht="15" hidden="false" customHeight="true" outlineLevel="0" collapsed="false">
      <c r="A22" s="23" t="n">
        <v>9</v>
      </c>
      <c r="B22" s="87" t="s">
        <v>1208</v>
      </c>
      <c r="C22" s="82" t="s">
        <v>1209</v>
      </c>
      <c r="D22" s="23" t="s">
        <v>1210</v>
      </c>
      <c r="F22" s="8" t="s">
        <v>6</v>
      </c>
      <c r="G22" s="8" t="s">
        <v>767</v>
      </c>
      <c r="H22" s="8" t="s">
        <v>1211</v>
      </c>
    </row>
    <row r="23" customFormat="false" ht="15" hidden="false" customHeight="false" outlineLevel="0" collapsed="false">
      <c r="A23" s="23"/>
      <c r="B23" s="87"/>
      <c r="C23" s="82" t="s">
        <v>1212</v>
      </c>
      <c r="D23" s="23" t="s">
        <v>1213</v>
      </c>
      <c r="F23" s="23" t="n">
        <v>1</v>
      </c>
      <c r="G23" s="61" t="s">
        <v>778</v>
      </c>
      <c r="H23" s="23" t="s">
        <v>907</v>
      </c>
    </row>
    <row r="24" customFormat="false" ht="15" hidden="false" customHeight="true" outlineLevel="0" collapsed="false">
      <c r="A24" s="23" t="n">
        <v>10</v>
      </c>
      <c r="B24" s="87" t="s">
        <v>1214</v>
      </c>
      <c r="C24" s="82" t="s">
        <v>1215</v>
      </c>
      <c r="D24" s="23" t="s">
        <v>1216</v>
      </c>
      <c r="F24" s="23" t="n">
        <v>2</v>
      </c>
      <c r="G24" s="61" t="s">
        <v>682</v>
      </c>
      <c r="H24" s="23" t="s">
        <v>1217</v>
      </c>
    </row>
    <row r="25" customFormat="false" ht="15" hidden="false" customHeight="false" outlineLevel="0" collapsed="false">
      <c r="A25" s="23"/>
      <c r="B25" s="87"/>
      <c r="C25" s="82" t="s">
        <v>1218</v>
      </c>
      <c r="D25" s="23" t="s">
        <v>1219</v>
      </c>
      <c r="F25" s="23" t="n">
        <v>3</v>
      </c>
      <c r="G25" s="61" t="s">
        <v>786</v>
      </c>
      <c r="H25" s="23" t="s">
        <v>745</v>
      </c>
    </row>
    <row r="26" customFormat="false" ht="15" hidden="false" customHeight="true" outlineLevel="0" collapsed="false">
      <c r="A26" s="23" t="n">
        <v>11</v>
      </c>
      <c r="B26" s="87" t="s">
        <v>1220</v>
      </c>
      <c r="C26" s="23" t="s">
        <v>1221</v>
      </c>
      <c r="D26" s="23" t="s">
        <v>1222</v>
      </c>
      <c r="F26" s="116" t="n">
        <v>4</v>
      </c>
      <c r="G26" s="83" t="s">
        <v>38</v>
      </c>
      <c r="H26" s="23" t="s">
        <v>788</v>
      </c>
    </row>
    <row r="27" customFormat="false" ht="15" hidden="false" customHeight="false" outlineLevel="0" collapsed="false">
      <c r="A27" s="23"/>
      <c r="B27" s="87"/>
      <c r="C27" s="23" t="s">
        <v>655</v>
      </c>
      <c r="D27" s="23" t="s">
        <v>1223</v>
      </c>
      <c r="F27" s="90" t="n">
        <v>5</v>
      </c>
      <c r="G27" s="119" t="s">
        <v>632</v>
      </c>
      <c r="H27" s="86" t="s">
        <v>1224</v>
      </c>
    </row>
    <row r="28" customFormat="false" ht="15" hidden="false" customHeight="true" outlineLevel="0" collapsed="false">
      <c r="A28" s="23" t="n">
        <v>12</v>
      </c>
      <c r="B28" s="87" t="s">
        <v>1225</v>
      </c>
      <c r="C28" s="23" t="s">
        <v>1226</v>
      </c>
      <c r="D28" s="23" t="s">
        <v>1227</v>
      </c>
      <c r="F28" s="62" t="s">
        <v>39</v>
      </c>
      <c r="G28" s="62"/>
      <c r="H28" s="23" t="s">
        <v>758</v>
      </c>
    </row>
    <row r="29" customFormat="false" ht="15" hidden="false" customHeight="false" outlineLevel="0" collapsed="false">
      <c r="A29" s="23"/>
      <c r="B29" s="87"/>
      <c r="C29" s="23" t="s">
        <v>1228</v>
      </c>
      <c r="D29" s="23" t="s">
        <v>885</v>
      </c>
    </row>
    <row r="30" customFormat="false" ht="15" hidden="false" customHeight="false" outlineLevel="0" collapsed="false">
      <c r="F30" s="7" t="s">
        <v>1229</v>
      </c>
    </row>
    <row r="31" customFormat="false" ht="15" hidden="false" customHeight="false" outlineLevel="0" collapsed="false">
      <c r="F31" s="8" t="s">
        <v>6</v>
      </c>
      <c r="G31" s="8" t="s">
        <v>767</v>
      </c>
      <c r="H31" s="8" t="s">
        <v>1230</v>
      </c>
    </row>
    <row r="32" customFormat="false" ht="15" hidden="false" customHeight="false" outlineLevel="0" collapsed="false">
      <c r="F32" s="23" t="n">
        <v>1</v>
      </c>
      <c r="G32" s="61" t="s">
        <v>778</v>
      </c>
      <c r="H32" s="23" t="s">
        <v>1231</v>
      </c>
    </row>
    <row r="33" customFormat="false" ht="15" hidden="false" customHeight="false" outlineLevel="0" collapsed="false">
      <c r="F33" s="23" t="n">
        <v>2</v>
      </c>
      <c r="G33" s="61" t="s">
        <v>682</v>
      </c>
      <c r="H33" s="23" t="s">
        <v>1232</v>
      </c>
    </row>
    <row r="34" customFormat="false" ht="15" hidden="false" customHeight="false" outlineLevel="0" collapsed="false">
      <c r="F34" s="23" t="n">
        <v>3</v>
      </c>
      <c r="G34" s="61" t="s">
        <v>9</v>
      </c>
      <c r="H34" s="23" t="s">
        <v>1233</v>
      </c>
    </row>
    <row r="35" customFormat="false" ht="15" hidden="false" customHeight="false" outlineLevel="0" collapsed="false">
      <c r="F35" s="120" t="n">
        <v>4</v>
      </c>
      <c r="G35" s="121" t="s">
        <v>30</v>
      </c>
      <c r="H35" s="86" t="s">
        <v>1234</v>
      </c>
    </row>
    <row r="36" customFormat="false" ht="15" hidden="false" customHeight="false" outlineLevel="0" collapsed="false">
      <c r="F36" s="73" t="n">
        <v>5</v>
      </c>
      <c r="G36" s="122" t="s">
        <v>32</v>
      </c>
      <c r="H36" s="23" t="s">
        <v>903</v>
      </c>
    </row>
    <row r="37" customFormat="false" ht="15" hidden="false" customHeight="false" outlineLevel="0" collapsed="false">
      <c r="F37" s="23" t="n">
        <v>6</v>
      </c>
      <c r="G37" s="56" t="s">
        <v>36</v>
      </c>
      <c r="H37" s="73" t="s">
        <v>745</v>
      </c>
    </row>
    <row r="38" customFormat="false" ht="15" hidden="false" customHeight="false" outlineLevel="0" collapsed="false">
      <c r="F38" s="23" t="n">
        <v>7</v>
      </c>
      <c r="G38" s="56" t="s">
        <v>832</v>
      </c>
      <c r="H38" s="73" t="s">
        <v>1235</v>
      </c>
    </row>
    <row r="39" customFormat="false" ht="15" hidden="false" customHeight="false" outlineLevel="0" collapsed="false">
      <c r="F39" s="62" t="s">
        <v>39</v>
      </c>
      <c r="G39" s="62"/>
      <c r="H39" s="73" t="s">
        <v>1236</v>
      </c>
    </row>
    <row r="41" customFormat="false" ht="15" hidden="false" customHeight="false" outlineLevel="0" collapsed="false">
      <c r="F41" s="7" t="s">
        <v>1237</v>
      </c>
    </row>
    <row r="42" customFormat="false" ht="15" hidden="false" customHeight="false" outlineLevel="0" collapsed="false">
      <c r="F42" s="8" t="s">
        <v>6</v>
      </c>
      <c r="G42" s="8" t="s">
        <v>767</v>
      </c>
      <c r="H42" s="8" t="s">
        <v>1238</v>
      </c>
    </row>
    <row r="43" customFormat="false" ht="15" hidden="false" customHeight="false" outlineLevel="0" collapsed="false">
      <c r="F43" s="23" t="n">
        <v>1</v>
      </c>
      <c r="G43" s="61" t="s">
        <v>778</v>
      </c>
      <c r="H43" s="23" t="s">
        <v>1239</v>
      </c>
    </row>
    <row r="44" customFormat="false" ht="15" hidden="false" customHeight="false" outlineLevel="0" collapsed="false">
      <c r="F44" s="23" t="n">
        <v>2</v>
      </c>
      <c r="G44" s="61" t="s">
        <v>682</v>
      </c>
      <c r="H44" s="23" t="s">
        <v>903</v>
      </c>
    </row>
    <row r="45" customFormat="false" ht="15" hidden="false" customHeight="false" outlineLevel="0" collapsed="false">
      <c r="F45" s="23" t="n">
        <v>3</v>
      </c>
      <c r="G45" s="61" t="s">
        <v>786</v>
      </c>
      <c r="H45" s="23" t="s">
        <v>745</v>
      </c>
    </row>
    <row r="46" customFormat="false" ht="15" hidden="false" customHeight="false" outlineLevel="0" collapsed="false">
      <c r="F46" s="116" t="n">
        <v>4</v>
      </c>
      <c r="G46" s="83" t="s">
        <v>38</v>
      </c>
      <c r="H46" s="23" t="s">
        <v>788</v>
      </c>
    </row>
    <row r="47" customFormat="false" ht="15" hidden="false" customHeight="false" outlineLevel="0" collapsed="false">
      <c r="F47" s="90" t="n">
        <v>5</v>
      </c>
      <c r="G47" s="119" t="s">
        <v>632</v>
      </c>
      <c r="H47" s="86" t="s">
        <v>1240</v>
      </c>
    </row>
    <row r="48" customFormat="false" ht="15" hidden="false" customHeight="false" outlineLevel="0" collapsed="false">
      <c r="F48" s="62" t="s">
        <v>39</v>
      </c>
      <c r="G48" s="62"/>
      <c r="H48" s="23" t="s">
        <v>758</v>
      </c>
    </row>
    <row r="50" customFormat="false" ht="15" hidden="false" customHeight="false" outlineLevel="0" collapsed="false">
      <c r="F50" s="7" t="s">
        <v>1241</v>
      </c>
    </row>
    <row r="51" customFormat="false" ht="15" hidden="false" customHeight="false" outlineLevel="0" collapsed="false">
      <c r="F51" s="8" t="s">
        <v>6</v>
      </c>
      <c r="G51" s="8" t="s">
        <v>767</v>
      </c>
      <c r="H51" s="12" t="n">
        <v>19</v>
      </c>
      <c r="I51" s="8" t="n">
        <v>20</v>
      </c>
    </row>
    <row r="52" customFormat="false" ht="15" hidden="false" customHeight="false" outlineLevel="0" collapsed="false">
      <c r="F52" s="23" t="n">
        <v>1</v>
      </c>
      <c r="G52" s="61" t="s">
        <v>682</v>
      </c>
      <c r="H52" s="91" t="s">
        <v>1242</v>
      </c>
      <c r="I52" s="23" t="s">
        <v>1122</v>
      </c>
    </row>
    <row r="53" customFormat="false" ht="15" hidden="false" customHeight="false" outlineLevel="0" collapsed="false">
      <c r="F53" s="23" t="n">
        <v>2</v>
      </c>
      <c r="G53" s="61" t="s">
        <v>778</v>
      </c>
      <c r="H53" s="91" t="s">
        <v>902</v>
      </c>
      <c r="I53" s="23" t="s">
        <v>903</v>
      </c>
    </row>
    <row r="54" customFormat="false" ht="15" hidden="false" customHeight="false" outlineLevel="0" collapsed="false">
      <c r="F54" s="23" t="n">
        <v>3</v>
      </c>
      <c r="G54" s="61" t="s">
        <v>12</v>
      </c>
      <c r="H54" s="91" t="s">
        <v>858</v>
      </c>
      <c r="I54" s="23" t="s">
        <v>858</v>
      </c>
    </row>
    <row r="55" customFormat="false" ht="15" hidden="false" customHeight="false" outlineLevel="0" collapsed="false">
      <c r="F55" s="23" t="n">
        <v>4</v>
      </c>
      <c r="G55" s="61" t="s">
        <v>786</v>
      </c>
      <c r="H55" s="91" t="s">
        <v>719</v>
      </c>
      <c r="I55" s="23" t="s">
        <v>858</v>
      </c>
    </row>
    <row r="56" customFormat="false" ht="15" hidden="false" customHeight="false" outlineLevel="0" collapsed="false">
      <c r="F56" s="86" t="n">
        <v>5</v>
      </c>
      <c r="G56" s="85" t="s">
        <v>1006</v>
      </c>
      <c r="H56" s="92" t="s">
        <v>719</v>
      </c>
      <c r="I56" s="23" t="s">
        <v>745</v>
      </c>
    </row>
    <row r="57" customFormat="false" ht="15" hidden="false" customHeight="false" outlineLevel="0" collapsed="false">
      <c r="F57" s="73" t="n">
        <v>6</v>
      </c>
      <c r="G57" s="97" t="s">
        <v>14</v>
      </c>
      <c r="H57" s="102" t="s">
        <v>978</v>
      </c>
      <c r="I57" s="23" t="s">
        <v>978</v>
      </c>
    </row>
    <row r="58" customFormat="false" ht="15" hidden="false" customHeight="false" outlineLevel="0" collapsed="false">
      <c r="F58" s="100" t="n">
        <v>7</v>
      </c>
      <c r="G58" s="101" t="s">
        <v>981</v>
      </c>
      <c r="H58" s="95" t="n">
        <v>10</v>
      </c>
      <c r="I58" s="73" t="s">
        <v>745</v>
      </c>
    </row>
    <row r="59" customFormat="false" ht="15" hidden="false" customHeight="false" outlineLevel="0" collapsed="false">
      <c r="F59" s="62" t="s">
        <v>39</v>
      </c>
      <c r="G59" s="62"/>
      <c r="H59" s="95" t="s">
        <v>758</v>
      </c>
      <c r="I59" s="73" t="s">
        <v>758</v>
      </c>
    </row>
    <row r="61" customFormat="false" ht="15" hidden="false" customHeight="false" outlineLevel="0" collapsed="false">
      <c r="F61" s="7" t="s">
        <v>1243</v>
      </c>
    </row>
    <row r="62" customFormat="false" ht="15" hidden="false" customHeight="false" outlineLevel="0" collapsed="false">
      <c r="F62" s="8" t="s">
        <v>6</v>
      </c>
      <c r="G62" s="8" t="s">
        <v>767</v>
      </c>
      <c r="H62" s="8" t="n">
        <v>21</v>
      </c>
      <c r="I62" s="8" t="n">
        <v>22</v>
      </c>
      <c r="J62" s="62" t="n">
        <v>23</v>
      </c>
      <c r="K62" s="62" t="n">
        <v>24</v>
      </c>
      <c r="L62" s="62" t="n">
        <v>25</v>
      </c>
    </row>
    <row r="63" customFormat="false" ht="15" hidden="false" customHeight="false" outlineLevel="0" collapsed="false">
      <c r="F63" s="23" t="n">
        <v>1</v>
      </c>
      <c r="G63" s="61" t="s">
        <v>682</v>
      </c>
      <c r="H63" s="23" t="s">
        <v>1244</v>
      </c>
      <c r="I63" s="23" t="s">
        <v>1245</v>
      </c>
      <c r="J63" s="73" t="s">
        <v>858</v>
      </c>
      <c r="K63" s="73" t="s">
        <v>858</v>
      </c>
      <c r="L63" s="73" t="s">
        <v>858</v>
      </c>
    </row>
    <row r="64" customFormat="false" ht="15" hidden="false" customHeight="false" outlineLevel="0" collapsed="false">
      <c r="F64" s="23" t="n">
        <v>2</v>
      </c>
      <c r="G64" s="61" t="s">
        <v>778</v>
      </c>
      <c r="H64" s="23" t="s">
        <v>1246</v>
      </c>
      <c r="I64" s="23" t="s">
        <v>732</v>
      </c>
      <c r="J64" s="73" t="s">
        <v>971</v>
      </c>
      <c r="K64" s="73" t="s">
        <v>1247</v>
      </c>
      <c r="L64" s="73" t="s">
        <v>858</v>
      </c>
    </row>
    <row r="65" customFormat="false" ht="15" hidden="false" customHeight="false" outlineLevel="0" collapsed="false">
      <c r="F65" s="23" t="n">
        <v>3</v>
      </c>
      <c r="G65" s="61" t="s">
        <v>12</v>
      </c>
      <c r="H65" s="23" t="s">
        <v>858</v>
      </c>
      <c r="I65" s="23" t="s">
        <v>858</v>
      </c>
      <c r="J65" s="73" t="s">
        <v>858</v>
      </c>
      <c r="K65" s="73" t="s">
        <v>858</v>
      </c>
      <c r="L65" s="73" t="s">
        <v>858</v>
      </c>
    </row>
    <row r="66" customFormat="false" ht="15" hidden="false" customHeight="false" outlineLevel="0" collapsed="false">
      <c r="F66" s="23" t="n">
        <v>4</v>
      </c>
      <c r="G66" s="61" t="s">
        <v>786</v>
      </c>
      <c r="H66" s="23" t="s">
        <v>719</v>
      </c>
      <c r="I66" s="23" t="s">
        <v>719</v>
      </c>
      <c r="J66" s="73" t="s">
        <v>719</v>
      </c>
      <c r="K66" s="73" t="s">
        <v>858</v>
      </c>
      <c r="L66" s="73" t="s">
        <v>745</v>
      </c>
    </row>
    <row r="67" customFormat="false" ht="15" hidden="false" customHeight="false" outlineLevel="0" collapsed="false">
      <c r="F67" s="23" t="n">
        <v>5</v>
      </c>
      <c r="G67" s="61" t="s">
        <v>1006</v>
      </c>
      <c r="H67" s="23" t="s">
        <v>719</v>
      </c>
      <c r="I67" s="23" t="s">
        <v>719</v>
      </c>
      <c r="J67" s="73" t="s">
        <v>719</v>
      </c>
      <c r="K67" s="73" t="s">
        <v>745</v>
      </c>
      <c r="L67" s="73" t="s">
        <v>858</v>
      </c>
    </row>
    <row r="68" customFormat="false" ht="15" hidden="false" customHeight="false" outlineLevel="0" collapsed="false">
      <c r="F68" s="73" t="n">
        <v>6</v>
      </c>
      <c r="G68" s="97" t="s">
        <v>14</v>
      </c>
      <c r="H68" s="23" t="s">
        <v>978</v>
      </c>
      <c r="I68" s="23" t="s">
        <v>978</v>
      </c>
      <c r="J68" s="73" t="s">
        <v>978</v>
      </c>
      <c r="K68" s="73" t="s">
        <v>978</v>
      </c>
      <c r="L68" s="73" t="s">
        <v>978</v>
      </c>
    </row>
    <row r="69" customFormat="false" ht="15" hidden="false" customHeight="false" outlineLevel="0" collapsed="false">
      <c r="F69" s="73" t="n">
        <v>7</v>
      </c>
      <c r="G69" s="97" t="s">
        <v>981</v>
      </c>
      <c r="H69" s="73" t="n">
        <v>10</v>
      </c>
      <c r="I69" s="73" t="s">
        <v>745</v>
      </c>
      <c r="J69" s="73" t="s">
        <v>745</v>
      </c>
      <c r="K69" s="73" t="s">
        <v>745</v>
      </c>
      <c r="L69" s="73" t="s">
        <v>1080</v>
      </c>
    </row>
    <row r="70" customFormat="false" ht="15" hidden="false" customHeight="false" outlineLevel="0" collapsed="false">
      <c r="F70" s="73" t="n">
        <v>8</v>
      </c>
      <c r="G70" s="56" t="s">
        <v>1150</v>
      </c>
      <c r="H70" s="73" t="s">
        <v>858</v>
      </c>
      <c r="I70" s="73" t="s">
        <v>858</v>
      </c>
      <c r="J70" s="73" t="s">
        <v>858</v>
      </c>
      <c r="K70" s="73" t="s">
        <v>1248</v>
      </c>
      <c r="L70" s="73" t="s">
        <v>1249</v>
      </c>
    </row>
    <row r="71" customFormat="false" ht="15" hidden="false" customHeight="false" outlineLevel="0" collapsed="false">
      <c r="F71" s="62" t="s">
        <v>39</v>
      </c>
      <c r="G71" s="62"/>
      <c r="H71" s="73" t="s">
        <v>758</v>
      </c>
      <c r="I71" s="73" t="s">
        <v>758</v>
      </c>
      <c r="J71" s="73" t="s">
        <v>758</v>
      </c>
      <c r="K71" s="73" t="s">
        <v>758</v>
      </c>
      <c r="L71" s="73" t="s">
        <v>758</v>
      </c>
    </row>
    <row r="74" customFormat="false" ht="15" hidden="false" customHeight="true" outlineLevel="0" collapsed="false">
      <c r="A74" s="8" t="s">
        <v>6</v>
      </c>
      <c r="B74" s="8" t="s">
        <v>425</v>
      </c>
      <c r="C74" s="8" t="s">
        <v>679</v>
      </c>
      <c r="D74" s="8" t="s">
        <v>680</v>
      </c>
      <c r="G74" s="123" t="s">
        <v>703</v>
      </c>
      <c r="H74" s="8" t="s">
        <v>700</v>
      </c>
    </row>
    <row r="75" customFormat="false" ht="15" hidden="false" customHeight="false" outlineLevel="0" collapsed="false">
      <c r="A75" s="8"/>
      <c r="B75" s="8"/>
      <c r="C75" s="8" t="s">
        <v>765</v>
      </c>
      <c r="D75" s="8" t="s">
        <v>766</v>
      </c>
      <c r="G75" s="123"/>
      <c r="H75" s="8"/>
    </row>
    <row r="76" customFormat="false" ht="15" hidden="false" customHeight="true" outlineLevel="0" collapsed="false">
      <c r="A76" s="23" t="n">
        <v>1</v>
      </c>
      <c r="B76" s="87" t="s">
        <v>1165</v>
      </c>
      <c r="C76" s="73" t="s">
        <v>1166</v>
      </c>
      <c r="D76" s="23" t="s">
        <v>1167</v>
      </c>
      <c r="G76" s="32" t="s">
        <v>79</v>
      </c>
      <c r="H76" s="32" t="n">
        <f aca="false">AVERAGE(3.39159,3.27901,3.18142)</f>
        <v>3.28400666666667</v>
      </c>
    </row>
    <row r="77" customFormat="false" ht="15" hidden="false" customHeight="false" outlineLevel="0" collapsed="false">
      <c r="A77" s="23"/>
      <c r="B77" s="87"/>
      <c r="C77" s="73" t="s">
        <v>1169</v>
      </c>
      <c r="D77" s="23" t="s">
        <v>1170</v>
      </c>
      <c r="G77" s="32"/>
      <c r="H77" s="32"/>
    </row>
    <row r="78" customFormat="false" ht="15" hidden="false" customHeight="true" outlineLevel="0" collapsed="false">
      <c r="A78" s="23" t="n">
        <v>2</v>
      </c>
      <c r="B78" s="87" t="s">
        <v>1172</v>
      </c>
      <c r="C78" s="73" t="s">
        <v>1173</v>
      </c>
      <c r="D78" s="23" t="s">
        <v>1174</v>
      </c>
      <c r="G78" s="117" t="s">
        <v>79</v>
      </c>
      <c r="H78" s="117" t="n">
        <f aca="false">AVERAGE(3.99916,4.06774,4.06764,4.02325)</f>
        <v>4.0394475</v>
      </c>
    </row>
    <row r="79" customFormat="false" ht="15" hidden="false" customHeight="false" outlineLevel="0" collapsed="false">
      <c r="A79" s="23"/>
      <c r="B79" s="87"/>
      <c r="C79" s="73" t="s">
        <v>1175</v>
      </c>
      <c r="D79" s="23" t="s">
        <v>1176</v>
      </c>
      <c r="G79" s="117"/>
      <c r="H79" s="117"/>
    </row>
    <row r="80" customFormat="false" ht="15" hidden="false" customHeight="true" outlineLevel="0" collapsed="false">
      <c r="A80" s="23" t="n">
        <v>3</v>
      </c>
      <c r="B80" s="87" t="s">
        <v>1178</v>
      </c>
      <c r="C80" s="73" t="s">
        <v>1179</v>
      </c>
      <c r="D80" s="73" t="s">
        <v>1180</v>
      </c>
      <c r="G80" s="32" t="s">
        <v>79</v>
      </c>
      <c r="H80" s="32" t="s">
        <v>79</v>
      </c>
    </row>
    <row r="81" customFormat="false" ht="15" hidden="false" customHeight="false" outlineLevel="0" collapsed="false">
      <c r="A81" s="23"/>
      <c r="B81" s="87"/>
      <c r="C81" s="73" t="s">
        <v>568</v>
      </c>
      <c r="D81" s="73" t="s">
        <v>1182</v>
      </c>
      <c r="G81" s="32"/>
      <c r="H81" s="32"/>
    </row>
    <row r="82" customFormat="false" ht="15" hidden="false" customHeight="true" outlineLevel="0" collapsed="false">
      <c r="A82" s="43" t="n">
        <v>4</v>
      </c>
      <c r="B82" s="89" t="s">
        <v>1183</v>
      </c>
      <c r="C82" s="73" t="s">
        <v>1184</v>
      </c>
      <c r="D82" s="73" t="s">
        <v>1185</v>
      </c>
      <c r="G82" s="32" t="s">
        <v>79</v>
      </c>
      <c r="H82" s="32" t="s">
        <v>79</v>
      </c>
    </row>
    <row r="83" customFormat="false" ht="15" hidden="false" customHeight="false" outlineLevel="0" collapsed="false">
      <c r="A83" s="43"/>
      <c r="B83" s="89"/>
      <c r="C83" s="90" t="s">
        <v>1186</v>
      </c>
      <c r="D83" s="90" t="s">
        <v>1187</v>
      </c>
      <c r="G83" s="32"/>
      <c r="H83" s="32"/>
    </row>
    <row r="84" customFormat="false" ht="15" hidden="false" customHeight="true" outlineLevel="0" collapsed="false">
      <c r="A84" s="23" t="n">
        <v>5</v>
      </c>
      <c r="B84" s="88" t="s">
        <v>1189</v>
      </c>
      <c r="C84" s="82" t="s">
        <v>1190</v>
      </c>
      <c r="D84" s="23" t="s">
        <v>1191</v>
      </c>
      <c r="G84" s="32" t="s">
        <v>79</v>
      </c>
      <c r="H84" s="32" t="n">
        <f aca="false">AVERAGE(3.38182,3.38643,3.31403)</f>
        <v>3.36076</v>
      </c>
    </row>
    <row r="85" customFormat="false" ht="15" hidden="false" customHeight="false" outlineLevel="0" collapsed="false">
      <c r="A85" s="23"/>
      <c r="B85" s="88"/>
      <c r="C85" s="82" t="s">
        <v>1193</v>
      </c>
      <c r="D85" s="23" t="s">
        <v>1194</v>
      </c>
      <c r="G85" s="32"/>
      <c r="H85" s="32"/>
    </row>
    <row r="86" customFormat="false" ht="15" hidden="false" customHeight="true" outlineLevel="0" collapsed="false">
      <c r="A86" s="23" t="n">
        <v>6</v>
      </c>
      <c r="B86" s="93" t="s">
        <v>1195</v>
      </c>
      <c r="C86" s="82" t="s">
        <v>1196</v>
      </c>
      <c r="D86" s="23" t="s">
        <v>1197</v>
      </c>
      <c r="G86" s="32" t="s">
        <v>79</v>
      </c>
      <c r="H86" s="32" t="n">
        <f aca="false">AVERAGE(3.53815,3.3867,3.51348,3.46537)</f>
        <v>3.475925</v>
      </c>
    </row>
    <row r="87" customFormat="false" ht="15" hidden="false" customHeight="false" outlineLevel="0" collapsed="false">
      <c r="A87" s="23"/>
      <c r="B87" s="93"/>
      <c r="C87" s="82" t="s">
        <v>1198</v>
      </c>
      <c r="D87" s="23" t="s">
        <v>520</v>
      </c>
      <c r="G87" s="32"/>
      <c r="H87" s="32"/>
    </row>
    <row r="88" customFormat="false" ht="15" hidden="false" customHeight="true" outlineLevel="0" collapsed="false">
      <c r="A88" s="23" t="n">
        <v>7</v>
      </c>
      <c r="B88" s="87" t="s">
        <v>1199</v>
      </c>
      <c r="C88" s="82" t="s">
        <v>1200</v>
      </c>
      <c r="D88" s="23" t="s">
        <v>79</v>
      </c>
      <c r="G88" s="32" t="s">
        <v>79</v>
      </c>
      <c r="H88" s="32" t="s">
        <v>79</v>
      </c>
    </row>
    <row r="89" customFormat="false" ht="15" hidden="false" customHeight="false" outlineLevel="0" collapsed="false">
      <c r="A89" s="23"/>
      <c r="B89" s="87"/>
      <c r="C89" s="82" t="s">
        <v>1203</v>
      </c>
      <c r="D89" s="23" t="s">
        <v>79</v>
      </c>
      <c r="G89" s="32"/>
      <c r="H89" s="32"/>
    </row>
    <row r="90" customFormat="false" ht="15" hidden="false" customHeight="true" outlineLevel="0" collapsed="false">
      <c r="A90" s="23" t="n">
        <v>8</v>
      </c>
      <c r="B90" s="87" t="s">
        <v>1204</v>
      </c>
      <c r="C90" s="82" t="s">
        <v>1205</v>
      </c>
      <c r="D90" s="23" t="s">
        <v>79</v>
      </c>
      <c r="G90" s="32" t="s">
        <v>79</v>
      </c>
      <c r="H90" s="32" t="s">
        <v>79</v>
      </c>
    </row>
    <row r="91" customFormat="false" ht="15" hidden="false" customHeight="false" outlineLevel="0" collapsed="false">
      <c r="A91" s="23"/>
      <c r="B91" s="87"/>
      <c r="C91" s="82" t="s">
        <v>1206</v>
      </c>
      <c r="D91" s="23" t="s">
        <v>79</v>
      </c>
      <c r="G91" s="32"/>
      <c r="H91" s="32"/>
    </row>
    <row r="92" customFormat="false" ht="15" hidden="false" customHeight="true" outlineLevel="0" collapsed="false">
      <c r="A92" s="23" t="n">
        <v>9</v>
      </c>
      <c r="B92" s="87" t="s">
        <v>1208</v>
      </c>
      <c r="C92" s="82" t="s">
        <v>1209</v>
      </c>
      <c r="D92" s="23" t="s">
        <v>1210</v>
      </c>
      <c r="G92" s="32" t="s">
        <v>79</v>
      </c>
      <c r="H92" s="32" t="s">
        <v>79</v>
      </c>
    </row>
    <row r="93" customFormat="false" ht="15" hidden="false" customHeight="false" outlineLevel="0" collapsed="false">
      <c r="A93" s="23"/>
      <c r="B93" s="87"/>
      <c r="C93" s="82" t="s">
        <v>1212</v>
      </c>
      <c r="D93" s="23" t="s">
        <v>1213</v>
      </c>
      <c r="G93" s="32"/>
      <c r="H93" s="32"/>
    </row>
    <row r="94" customFormat="false" ht="15" hidden="false" customHeight="true" outlineLevel="0" collapsed="false">
      <c r="A94" s="23" t="n">
        <v>10</v>
      </c>
      <c r="B94" s="87" t="s">
        <v>1214</v>
      </c>
      <c r="C94" s="82" t="s">
        <v>1215</v>
      </c>
      <c r="D94" s="23" t="s">
        <v>1216</v>
      </c>
      <c r="G94" s="32" t="s">
        <v>79</v>
      </c>
      <c r="H94" s="32" t="s">
        <v>79</v>
      </c>
    </row>
    <row r="95" customFormat="false" ht="15" hidden="false" customHeight="false" outlineLevel="0" collapsed="false">
      <c r="A95" s="23"/>
      <c r="B95" s="87"/>
      <c r="C95" s="82" t="s">
        <v>1218</v>
      </c>
      <c r="D95" s="23" t="s">
        <v>1219</v>
      </c>
      <c r="G95" s="32"/>
      <c r="H95" s="32"/>
    </row>
    <row r="96" customFormat="false" ht="15" hidden="false" customHeight="true" outlineLevel="0" collapsed="false">
      <c r="A96" s="23" t="n">
        <v>11</v>
      </c>
      <c r="B96" s="87" t="s">
        <v>1220</v>
      </c>
      <c r="C96" s="23" t="s">
        <v>1221</v>
      </c>
      <c r="D96" s="23" t="s">
        <v>1222</v>
      </c>
      <c r="G96" s="32" t="s">
        <v>79</v>
      </c>
      <c r="H96" s="32" t="s">
        <v>79</v>
      </c>
    </row>
    <row r="97" customFormat="false" ht="15" hidden="false" customHeight="false" outlineLevel="0" collapsed="false">
      <c r="A97" s="23"/>
      <c r="B97" s="87"/>
      <c r="C97" s="23" t="s">
        <v>655</v>
      </c>
      <c r="D97" s="23" t="s">
        <v>1223</v>
      </c>
      <c r="G97" s="32"/>
      <c r="H97" s="32"/>
    </row>
    <row r="98" customFormat="false" ht="15" hidden="false" customHeight="true" outlineLevel="0" collapsed="false">
      <c r="A98" s="23" t="n">
        <v>12</v>
      </c>
      <c r="B98" s="87" t="s">
        <v>1225</v>
      </c>
      <c r="C98" s="23" t="s">
        <v>1226</v>
      </c>
      <c r="D98" s="23" t="s">
        <v>1227</v>
      </c>
      <c r="G98" s="32" t="s">
        <v>79</v>
      </c>
      <c r="H98" s="32" t="n">
        <f aca="false">AVERAGE(3.37554,3.35946)</f>
        <v>3.3675</v>
      </c>
    </row>
    <row r="99" customFormat="false" ht="15" hidden="false" customHeight="false" outlineLevel="0" collapsed="false">
      <c r="A99" s="23"/>
      <c r="B99" s="87"/>
      <c r="C99" s="23" t="s">
        <v>1228</v>
      </c>
      <c r="D99" s="23" t="s">
        <v>885</v>
      </c>
      <c r="G99" s="32"/>
      <c r="H99" s="32"/>
    </row>
  </sheetData>
  <mergeCells count="85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F19:G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F28:G28"/>
    <mergeCell ref="F39:G39"/>
    <mergeCell ref="F48:G48"/>
    <mergeCell ref="F59:G59"/>
    <mergeCell ref="F71:G71"/>
    <mergeCell ref="A74:A75"/>
    <mergeCell ref="B74:B75"/>
    <mergeCell ref="G74:G75"/>
    <mergeCell ref="H74:H75"/>
    <mergeCell ref="A76:A77"/>
    <mergeCell ref="B76:B77"/>
    <mergeCell ref="G76:G77"/>
    <mergeCell ref="H76:H77"/>
    <mergeCell ref="A78:A79"/>
    <mergeCell ref="B78:B79"/>
    <mergeCell ref="G78:G79"/>
    <mergeCell ref="H78:H79"/>
    <mergeCell ref="A80:A81"/>
    <mergeCell ref="B80:B81"/>
    <mergeCell ref="G80:G81"/>
    <mergeCell ref="H80:H81"/>
    <mergeCell ref="A82:A83"/>
    <mergeCell ref="B82:B83"/>
    <mergeCell ref="G82:G83"/>
    <mergeCell ref="H82:H83"/>
    <mergeCell ref="A84:A85"/>
    <mergeCell ref="B84:B85"/>
    <mergeCell ref="G84:G85"/>
    <mergeCell ref="H84:H85"/>
    <mergeCell ref="A86:A87"/>
    <mergeCell ref="B86:B87"/>
    <mergeCell ref="G86:G87"/>
    <mergeCell ref="H86:H87"/>
    <mergeCell ref="A88:A89"/>
    <mergeCell ref="B88:B89"/>
    <mergeCell ref="G88:G89"/>
    <mergeCell ref="H88:H89"/>
    <mergeCell ref="A90:A91"/>
    <mergeCell ref="B90:B91"/>
    <mergeCell ref="G90:G91"/>
    <mergeCell ref="H90:H91"/>
    <mergeCell ref="A92:A93"/>
    <mergeCell ref="B92:B93"/>
    <mergeCell ref="G92:G93"/>
    <mergeCell ref="H92:H93"/>
    <mergeCell ref="A94:A95"/>
    <mergeCell ref="B94:B95"/>
    <mergeCell ref="G94:G95"/>
    <mergeCell ref="H94:H95"/>
    <mergeCell ref="A96:A97"/>
    <mergeCell ref="B96:B97"/>
    <mergeCell ref="G96:G97"/>
    <mergeCell ref="H96:H97"/>
    <mergeCell ref="A98:A99"/>
    <mergeCell ref="B98:B99"/>
    <mergeCell ref="G98:G99"/>
    <mergeCell ref="H98:H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26.3"/>
    <col collapsed="false" customWidth="true" hidden="false" outlineLevel="0" max="3" min="3" style="0" width="25"/>
    <col collapsed="false" customWidth="true" hidden="false" outlineLevel="0" max="4" min="4" style="0" width="24"/>
    <col collapsed="false" customWidth="true" hidden="false" outlineLevel="0" max="5" min="5" style="0" width="25.15"/>
    <col collapsed="false" customWidth="true" hidden="false" outlineLevel="0" max="6" min="6" style="0" width="22.43"/>
  </cols>
  <sheetData>
    <row r="2" customFormat="false" ht="15" hidden="false" customHeight="false" outlineLevel="0" collapsed="false">
      <c r="A2" s="7"/>
      <c r="B2" s="55" t="n">
        <v>44074</v>
      </c>
      <c r="C2" s="7" t="s">
        <v>396</v>
      </c>
    </row>
    <row r="4" customFormat="false" ht="15" hidden="false" customHeight="false" outlineLevel="0" collapsed="false">
      <c r="A4" s="8" t="s">
        <v>6</v>
      </c>
      <c r="B4" s="8" t="s">
        <v>397</v>
      </c>
      <c r="C4" s="8" t="s">
        <v>398</v>
      </c>
      <c r="D4" s="8" t="s">
        <v>399</v>
      </c>
      <c r="E4" s="8" t="s">
        <v>400</v>
      </c>
      <c r="F4" s="8" t="s">
        <v>401</v>
      </c>
    </row>
    <row r="5" customFormat="false" ht="15" hidden="false" customHeight="false" outlineLevel="0" collapsed="false">
      <c r="A5" s="56" t="n">
        <v>1</v>
      </c>
      <c r="B5" s="56" t="s">
        <v>402</v>
      </c>
      <c r="C5" s="56" t="s">
        <v>403</v>
      </c>
      <c r="D5" s="56" t="s">
        <v>404</v>
      </c>
      <c r="E5" s="56" t="s">
        <v>405</v>
      </c>
      <c r="F5" s="56" t="s">
        <v>79</v>
      </c>
    </row>
    <row r="6" customFormat="false" ht="15" hidden="false" customHeight="false" outlineLevel="0" collapsed="false">
      <c r="A6" s="56" t="n">
        <v>2</v>
      </c>
      <c r="B6" s="56" t="s">
        <v>406</v>
      </c>
      <c r="C6" s="56" t="s">
        <v>407</v>
      </c>
      <c r="D6" s="56" t="s">
        <v>408</v>
      </c>
      <c r="E6" s="56" t="s">
        <v>409</v>
      </c>
      <c r="F6" s="56" t="s">
        <v>410</v>
      </c>
    </row>
    <row r="7" customFormat="false" ht="15" hidden="false" customHeight="false" outlineLevel="0" collapsed="false">
      <c r="A7" s="56" t="n">
        <v>3</v>
      </c>
      <c r="B7" s="56" t="s">
        <v>9</v>
      </c>
      <c r="C7" s="56" t="s">
        <v>411</v>
      </c>
      <c r="D7" s="56" t="s">
        <v>412</v>
      </c>
      <c r="E7" s="56" t="s">
        <v>413</v>
      </c>
      <c r="F7" s="56" t="s">
        <v>414</v>
      </c>
    </row>
    <row r="8" customFormat="false" ht="15" hidden="false" customHeight="false" outlineLevel="0" collapsed="false">
      <c r="A8" s="56" t="n">
        <v>4</v>
      </c>
      <c r="B8" s="56" t="s">
        <v>415</v>
      </c>
      <c r="C8" s="56" t="s">
        <v>416</v>
      </c>
      <c r="D8" s="56" t="s">
        <v>417</v>
      </c>
      <c r="E8" s="56" t="s">
        <v>418</v>
      </c>
      <c r="F8" s="56" t="s">
        <v>418</v>
      </c>
    </row>
    <row r="9" customFormat="false" ht="15" hidden="false" customHeight="false" outlineLevel="0" collapsed="false">
      <c r="A9" s="8" t="s">
        <v>39</v>
      </c>
      <c r="B9" s="8"/>
      <c r="C9" s="8" t="s">
        <v>419</v>
      </c>
      <c r="D9" s="8" t="s">
        <v>420</v>
      </c>
      <c r="E9" s="8" t="s">
        <v>421</v>
      </c>
      <c r="F9" s="8" t="s">
        <v>421</v>
      </c>
    </row>
    <row r="11" customFormat="false" ht="15" hidden="false" customHeight="false" outlineLevel="0" collapsed="false">
      <c r="B11" s="57" t="s">
        <v>415</v>
      </c>
      <c r="C11" s="57"/>
      <c r="D11" s="57"/>
    </row>
    <row r="12" customFormat="false" ht="15" hidden="false" customHeight="false" outlineLevel="0" collapsed="false">
      <c r="B12" s="56" t="s">
        <v>30</v>
      </c>
      <c r="C12" s="56" t="n">
        <v>7.65</v>
      </c>
      <c r="D12" s="56" t="n">
        <v>181.07</v>
      </c>
    </row>
    <row r="13" customFormat="false" ht="15" hidden="false" customHeight="false" outlineLevel="0" collapsed="false">
      <c r="B13" s="56" t="s">
        <v>32</v>
      </c>
      <c r="C13" s="56" t="n">
        <v>0.6</v>
      </c>
      <c r="D13" s="56" t="n">
        <v>14.2</v>
      </c>
    </row>
    <row r="14" customFormat="false" ht="15" hidden="false" customHeight="false" outlineLevel="0" collapsed="false">
      <c r="B14" s="56" t="s">
        <v>36</v>
      </c>
      <c r="C14" s="56" t="n">
        <v>0.2</v>
      </c>
      <c r="D14" s="56" t="n">
        <v>4.73</v>
      </c>
    </row>
    <row r="15" customFormat="false" ht="15" hidden="false" customHeight="false" outlineLevel="0" collapsed="false">
      <c r="B15" s="8" t="s">
        <v>39</v>
      </c>
      <c r="C15" s="8" t="s">
        <v>422</v>
      </c>
      <c r="D15" s="8" t="s">
        <v>423</v>
      </c>
    </row>
  </sheetData>
  <mergeCells count="1">
    <mergeCell ref="A9:B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33"/>
    <col collapsed="false" customWidth="true" hidden="false" outlineLevel="0" max="3" min="3" style="0" width="22.43"/>
    <col collapsed="false" customWidth="true" hidden="false" outlineLevel="0" max="4" min="4" style="0" width="26.42"/>
    <col collapsed="false" customWidth="true" hidden="false" outlineLevel="0" max="6" min="6" style="0" width="5.28"/>
    <col collapsed="false" customWidth="true" hidden="false" outlineLevel="0" max="7" min="7" style="0" width="13.71"/>
    <col collapsed="false" customWidth="true" hidden="false" outlineLevel="0" max="8" min="8" style="0" width="11"/>
  </cols>
  <sheetData>
    <row r="2" customFormat="false" ht="15" hidden="false" customHeight="false" outlineLevel="0" collapsed="false">
      <c r="A2" s="69" t="s">
        <v>182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1250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n">
        <v>26</v>
      </c>
      <c r="I5" s="8" t="n">
        <v>27</v>
      </c>
      <c r="J5" s="62" t="n">
        <v>28</v>
      </c>
      <c r="K5" s="62" t="n">
        <v>29</v>
      </c>
    </row>
    <row r="6" customFormat="false" ht="15" hidden="false" customHeight="true" outlineLevel="0" collapsed="false">
      <c r="A6" s="23" t="n">
        <v>1</v>
      </c>
      <c r="B6" s="87" t="s">
        <v>1251</v>
      </c>
      <c r="C6" s="73" t="s">
        <v>1252</v>
      </c>
      <c r="D6" s="23" t="s">
        <v>1253</v>
      </c>
      <c r="F6" s="23" t="n">
        <v>1</v>
      </c>
      <c r="G6" s="61" t="s">
        <v>778</v>
      </c>
      <c r="H6" s="23" t="s">
        <v>858</v>
      </c>
      <c r="I6" s="23" t="s">
        <v>858</v>
      </c>
      <c r="J6" s="73" t="s">
        <v>745</v>
      </c>
      <c r="K6" s="73" t="s">
        <v>952</v>
      </c>
    </row>
    <row r="7" customFormat="false" ht="15" hidden="false" customHeight="false" outlineLevel="0" collapsed="false">
      <c r="A7" s="23"/>
      <c r="B7" s="87"/>
      <c r="C7" s="73" t="s">
        <v>633</v>
      </c>
      <c r="D7" s="23" t="s">
        <v>1254</v>
      </c>
      <c r="F7" s="23" t="n">
        <v>2</v>
      </c>
      <c r="G7" s="61" t="s">
        <v>682</v>
      </c>
      <c r="H7" s="23" t="s">
        <v>858</v>
      </c>
      <c r="I7" s="23" t="s">
        <v>858</v>
      </c>
      <c r="J7" s="73" t="s">
        <v>1255</v>
      </c>
      <c r="K7" s="73" t="s">
        <v>1256</v>
      </c>
    </row>
    <row r="8" customFormat="false" ht="15" hidden="false" customHeight="true" outlineLevel="0" collapsed="false">
      <c r="A8" s="23" t="n">
        <v>2</v>
      </c>
      <c r="B8" s="89" t="s">
        <v>1257</v>
      </c>
      <c r="C8" s="73" t="s">
        <v>1258</v>
      </c>
      <c r="D8" s="23" t="s">
        <v>1259</v>
      </c>
      <c r="F8" s="23" t="n">
        <v>3</v>
      </c>
      <c r="G8" s="61" t="s">
        <v>1150</v>
      </c>
      <c r="H8" s="23" t="s">
        <v>1260</v>
      </c>
      <c r="I8" s="23" t="s">
        <v>1260</v>
      </c>
      <c r="J8" s="73" t="s">
        <v>858</v>
      </c>
      <c r="K8" s="73" t="s">
        <v>858</v>
      </c>
    </row>
    <row r="9" customFormat="false" ht="15" hidden="false" customHeight="false" outlineLevel="0" collapsed="false">
      <c r="A9" s="23"/>
      <c r="B9" s="89"/>
      <c r="C9" s="73" t="s">
        <v>1261</v>
      </c>
      <c r="D9" s="23" t="s">
        <v>1262</v>
      </c>
      <c r="F9" s="23" t="n">
        <v>4</v>
      </c>
      <c r="G9" s="61" t="s">
        <v>12</v>
      </c>
      <c r="H9" s="23" t="s">
        <v>858</v>
      </c>
      <c r="I9" s="23" t="s">
        <v>858</v>
      </c>
      <c r="J9" s="73" t="s">
        <v>858</v>
      </c>
      <c r="K9" s="73" t="s">
        <v>858</v>
      </c>
    </row>
    <row r="10" customFormat="false" ht="15" hidden="false" customHeight="true" outlineLevel="0" collapsed="false">
      <c r="A10" s="23" t="n">
        <v>3</v>
      </c>
      <c r="B10" s="87" t="s">
        <v>1263</v>
      </c>
      <c r="C10" s="73" t="s">
        <v>79</v>
      </c>
      <c r="D10" s="73" t="s">
        <v>1264</v>
      </c>
      <c r="F10" s="23" t="n">
        <v>5</v>
      </c>
      <c r="G10" s="61" t="s">
        <v>786</v>
      </c>
      <c r="H10" s="23" t="s">
        <v>745</v>
      </c>
      <c r="I10" s="23" t="s">
        <v>719</v>
      </c>
      <c r="J10" s="73" t="s">
        <v>745</v>
      </c>
      <c r="K10" s="73" t="s">
        <v>745</v>
      </c>
    </row>
    <row r="11" customFormat="false" ht="15" hidden="false" customHeight="false" outlineLevel="0" collapsed="false">
      <c r="A11" s="23"/>
      <c r="B11" s="87"/>
      <c r="C11" s="73" t="s">
        <v>79</v>
      </c>
      <c r="D11" s="73" t="s">
        <v>1265</v>
      </c>
      <c r="F11" s="73" t="n">
        <v>6</v>
      </c>
      <c r="G11" s="97" t="s">
        <v>1266</v>
      </c>
      <c r="H11" s="23" t="s">
        <v>858</v>
      </c>
      <c r="I11" s="23" t="s">
        <v>719</v>
      </c>
      <c r="J11" s="73" t="s">
        <v>858</v>
      </c>
      <c r="K11" s="73" t="s">
        <v>858</v>
      </c>
    </row>
    <row r="12" customFormat="false" ht="15" hidden="false" customHeight="true" outlineLevel="0" collapsed="false">
      <c r="A12" s="43" t="n">
        <v>4</v>
      </c>
      <c r="B12" s="89" t="s">
        <v>1267</v>
      </c>
      <c r="C12" s="73" t="s">
        <v>79</v>
      </c>
      <c r="D12" s="73" t="s">
        <v>1268</v>
      </c>
      <c r="F12" s="73" t="n">
        <v>7</v>
      </c>
      <c r="G12" s="97" t="s">
        <v>14</v>
      </c>
      <c r="H12" s="73" t="s">
        <v>978</v>
      </c>
      <c r="I12" s="73" t="s">
        <v>978</v>
      </c>
      <c r="J12" s="73" t="s">
        <v>978</v>
      </c>
      <c r="K12" s="73" t="s">
        <v>978</v>
      </c>
    </row>
    <row r="13" customFormat="false" ht="15" hidden="false" customHeight="false" outlineLevel="0" collapsed="false">
      <c r="A13" s="43"/>
      <c r="B13" s="89"/>
      <c r="C13" s="90" t="s">
        <v>79</v>
      </c>
      <c r="D13" s="90" t="s">
        <v>563</v>
      </c>
      <c r="F13" s="90" t="n">
        <v>8</v>
      </c>
      <c r="G13" s="35" t="s">
        <v>981</v>
      </c>
      <c r="H13" s="90" t="s">
        <v>745</v>
      </c>
      <c r="I13" s="90" t="s">
        <v>745</v>
      </c>
      <c r="J13" s="90" t="s">
        <v>858</v>
      </c>
      <c r="K13" s="90" t="s">
        <v>1248</v>
      </c>
    </row>
    <row r="14" customFormat="false" ht="15" hidden="false" customHeight="true" outlineLevel="0" collapsed="false">
      <c r="A14" s="23" t="n">
        <v>5</v>
      </c>
      <c r="B14" s="88" t="s">
        <v>1269</v>
      </c>
      <c r="C14" s="82" t="s">
        <v>1270</v>
      </c>
      <c r="D14" s="23" t="s">
        <v>1271</v>
      </c>
      <c r="F14" s="73" t="n">
        <v>9</v>
      </c>
      <c r="G14" s="97" t="s">
        <v>1033</v>
      </c>
      <c r="H14" s="73" t="s">
        <v>858</v>
      </c>
      <c r="I14" s="73" t="s">
        <v>858</v>
      </c>
      <c r="J14" s="73" t="s">
        <v>1034</v>
      </c>
      <c r="K14" s="73" t="s">
        <v>1034</v>
      </c>
    </row>
    <row r="15" customFormat="false" ht="15" hidden="false" customHeight="false" outlineLevel="0" collapsed="false">
      <c r="A15" s="23"/>
      <c r="B15" s="88"/>
      <c r="C15" s="82" t="s">
        <v>1272</v>
      </c>
      <c r="D15" s="23" t="s">
        <v>744</v>
      </c>
      <c r="F15" s="62" t="s">
        <v>39</v>
      </c>
      <c r="G15" s="62"/>
      <c r="H15" s="73" t="s">
        <v>758</v>
      </c>
      <c r="I15" s="73" t="s">
        <v>758</v>
      </c>
      <c r="J15" s="73" t="s">
        <v>758</v>
      </c>
      <c r="K15" s="73" t="s">
        <v>758</v>
      </c>
    </row>
    <row r="16" customFormat="false" ht="15" hidden="false" customHeight="true" outlineLevel="0" collapsed="false">
      <c r="A16" s="23" t="n">
        <v>6</v>
      </c>
      <c r="B16" s="93" t="s">
        <v>1273</v>
      </c>
      <c r="C16" s="82" t="s">
        <v>79</v>
      </c>
      <c r="D16" s="23" t="s">
        <v>1271</v>
      </c>
    </row>
    <row r="17" customFormat="false" ht="15" hidden="false" customHeight="false" outlineLevel="0" collapsed="false">
      <c r="A17" s="23"/>
      <c r="B17" s="93"/>
      <c r="C17" s="82" t="s">
        <v>79</v>
      </c>
      <c r="D17" s="23" t="s">
        <v>520</v>
      </c>
      <c r="F17" s="7" t="s">
        <v>1274</v>
      </c>
    </row>
    <row r="18" customFormat="false" ht="15" hidden="false" customHeight="true" outlineLevel="0" collapsed="false">
      <c r="A18" s="23" t="n">
        <v>7</v>
      </c>
      <c r="B18" s="93" t="s">
        <v>1275</v>
      </c>
      <c r="C18" s="82" t="s">
        <v>79</v>
      </c>
      <c r="D18" s="23" t="s">
        <v>1276</v>
      </c>
      <c r="F18" s="8" t="s">
        <v>6</v>
      </c>
      <c r="G18" s="8" t="s">
        <v>767</v>
      </c>
      <c r="H18" s="8" t="s">
        <v>1277</v>
      </c>
    </row>
    <row r="19" customFormat="false" ht="15" hidden="false" customHeight="false" outlineLevel="0" collapsed="false">
      <c r="A19" s="23"/>
      <c r="B19" s="93"/>
      <c r="C19" s="82" t="s">
        <v>79</v>
      </c>
      <c r="D19" s="23" t="s">
        <v>1278</v>
      </c>
      <c r="F19" s="23" t="n">
        <v>1</v>
      </c>
      <c r="G19" s="61" t="s">
        <v>778</v>
      </c>
      <c r="H19" s="23" t="s">
        <v>1279</v>
      </c>
    </row>
    <row r="20" customFormat="false" ht="15" hidden="false" customHeight="true" outlineLevel="0" collapsed="false">
      <c r="A20" s="23" t="n">
        <v>8</v>
      </c>
      <c r="B20" s="93" t="s">
        <v>1280</v>
      </c>
      <c r="C20" s="82" t="s">
        <v>79</v>
      </c>
      <c r="D20" s="23" t="s">
        <v>1281</v>
      </c>
      <c r="F20" s="23" t="n">
        <v>2</v>
      </c>
      <c r="G20" s="61" t="s">
        <v>682</v>
      </c>
      <c r="H20" s="23" t="s">
        <v>903</v>
      </c>
    </row>
    <row r="21" customFormat="false" ht="15" hidden="false" customHeight="false" outlineLevel="0" collapsed="false">
      <c r="A21" s="23"/>
      <c r="B21" s="93"/>
      <c r="C21" s="82" t="s">
        <v>79</v>
      </c>
      <c r="D21" s="23" t="s">
        <v>1282</v>
      </c>
      <c r="F21" s="23" t="n">
        <v>3</v>
      </c>
      <c r="G21" s="61" t="s">
        <v>786</v>
      </c>
      <c r="H21" s="23" t="s">
        <v>745</v>
      </c>
    </row>
    <row r="22" customFormat="false" ht="15" hidden="false" customHeight="true" outlineLevel="0" collapsed="false">
      <c r="A22" s="23" t="n">
        <v>9</v>
      </c>
      <c r="B22" s="87" t="s">
        <v>1283</v>
      </c>
      <c r="C22" s="82" t="s">
        <v>1284</v>
      </c>
      <c r="D22" s="23" t="s">
        <v>1285</v>
      </c>
      <c r="F22" s="116" t="n">
        <v>4</v>
      </c>
      <c r="G22" s="83" t="s">
        <v>38</v>
      </c>
      <c r="H22" s="23" t="s">
        <v>788</v>
      </c>
    </row>
    <row r="23" customFormat="false" ht="15" hidden="false" customHeight="false" outlineLevel="0" collapsed="false">
      <c r="A23" s="23"/>
      <c r="B23" s="87"/>
      <c r="C23" s="82" t="s">
        <v>1286</v>
      </c>
      <c r="D23" s="23" t="s">
        <v>1287</v>
      </c>
      <c r="F23" s="90" t="n">
        <v>5</v>
      </c>
      <c r="G23" s="119" t="s">
        <v>632</v>
      </c>
      <c r="H23" s="86" t="s">
        <v>940</v>
      </c>
    </row>
    <row r="24" customFormat="false" ht="15" hidden="false" customHeight="true" outlineLevel="0" collapsed="false">
      <c r="A24" s="23" t="n">
        <v>10</v>
      </c>
      <c r="B24" s="87" t="s">
        <v>1288</v>
      </c>
      <c r="C24" s="82" t="s">
        <v>79</v>
      </c>
      <c r="D24" s="23" t="s">
        <v>1289</v>
      </c>
      <c r="F24" s="62" t="s">
        <v>39</v>
      </c>
      <c r="G24" s="62"/>
      <c r="H24" s="23" t="s">
        <v>758</v>
      </c>
    </row>
    <row r="25" customFormat="false" ht="15" hidden="false" customHeight="false" outlineLevel="0" collapsed="false">
      <c r="A25" s="23"/>
      <c r="B25" s="87"/>
      <c r="C25" s="82" t="s">
        <v>79</v>
      </c>
      <c r="D25" s="23" t="s">
        <v>1290</v>
      </c>
    </row>
    <row r="26" customFormat="false" ht="15" hidden="false" customHeight="true" outlineLevel="0" collapsed="false">
      <c r="A26" s="23" t="n">
        <v>11</v>
      </c>
      <c r="B26" s="87" t="s">
        <v>1291</v>
      </c>
      <c r="C26" s="23" t="s">
        <v>79</v>
      </c>
      <c r="D26" s="23" t="s">
        <v>1292</v>
      </c>
      <c r="F26" s="7" t="s">
        <v>1229</v>
      </c>
    </row>
    <row r="27" customFormat="false" ht="15" hidden="false" customHeight="false" outlineLevel="0" collapsed="false">
      <c r="A27" s="23"/>
      <c r="B27" s="87"/>
      <c r="C27" s="23" t="s">
        <v>79</v>
      </c>
      <c r="D27" s="23" t="s">
        <v>1293</v>
      </c>
      <c r="F27" s="8" t="s">
        <v>6</v>
      </c>
      <c r="G27" s="8" t="s">
        <v>767</v>
      </c>
      <c r="H27" s="8" t="s">
        <v>1230</v>
      </c>
    </row>
    <row r="28" customFormat="false" ht="15" hidden="false" customHeight="true" outlineLevel="0" collapsed="false">
      <c r="A28" s="43" t="n">
        <v>12</v>
      </c>
      <c r="B28" s="89" t="s">
        <v>1294</v>
      </c>
      <c r="C28" s="23" t="s">
        <v>79</v>
      </c>
      <c r="D28" s="23" t="s">
        <v>1295</v>
      </c>
      <c r="F28" s="23" t="n">
        <v>1</v>
      </c>
      <c r="G28" s="61" t="s">
        <v>778</v>
      </c>
      <c r="H28" s="23" t="s">
        <v>1231</v>
      </c>
    </row>
    <row r="29" customFormat="false" ht="15" hidden="false" customHeight="false" outlineLevel="0" collapsed="false">
      <c r="A29" s="43"/>
      <c r="B29" s="89"/>
      <c r="C29" s="86" t="s">
        <v>79</v>
      </c>
      <c r="D29" s="86" t="s">
        <v>1296</v>
      </c>
      <c r="F29" s="23" t="n">
        <v>2</v>
      </c>
      <c r="G29" s="61" t="s">
        <v>682</v>
      </c>
      <c r="H29" s="23" t="s">
        <v>1232</v>
      </c>
    </row>
    <row r="30" customFormat="false" ht="15" hidden="false" customHeight="false" outlineLevel="0" collapsed="false">
      <c r="A30" s="23" t="n">
        <v>13</v>
      </c>
      <c r="B30" s="61" t="s">
        <v>1297</v>
      </c>
      <c r="C30" s="73" t="s">
        <v>79</v>
      </c>
      <c r="D30" s="73" t="s">
        <v>1298</v>
      </c>
      <c r="F30" s="23" t="n">
        <v>3</v>
      </c>
      <c r="G30" s="61" t="s">
        <v>9</v>
      </c>
      <c r="H30" s="23" t="s">
        <v>1233</v>
      </c>
    </row>
    <row r="31" customFormat="false" ht="15" hidden="false" customHeight="false" outlineLevel="0" collapsed="false">
      <c r="A31" s="23"/>
      <c r="B31" s="61"/>
      <c r="C31" s="73" t="s">
        <v>79</v>
      </c>
      <c r="D31" s="73" t="s">
        <v>501</v>
      </c>
      <c r="F31" s="120" t="n">
        <v>4</v>
      </c>
      <c r="G31" s="121" t="s">
        <v>30</v>
      </c>
      <c r="H31" s="86" t="s">
        <v>1234</v>
      </c>
    </row>
    <row r="32" customFormat="false" ht="15" hidden="false" customHeight="false" outlineLevel="0" collapsed="false">
      <c r="A32" s="23" t="n">
        <v>14</v>
      </c>
      <c r="B32" s="61" t="s">
        <v>1299</v>
      </c>
      <c r="C32" s="73" t="s">
        <v>79</v>
      </c>
      <c r="D32" s="73" t="s">
        <v>1300</v>
      </c>
      <c r="F32" s="73" t="n">
        <v>5</v>
      </c>
      <c r="G32" s="122" t="s">
        <v>32</v>
      </c>
      <c r="H32" s="23" t="s">
        <v>903</v>
      </c>
    </row>
    <row r="33" customFormat="false" ht="15" hidden="false" customHeight="false" outlineLevel="0" collapsed="false">
      <c r="A33" s="23"/>
      <c r="B33" s="61"/>
      <c r="C33" s="73" t="s">
        <v>79</v>
      </c>
      <c r="D33" s="73" t="s">
        <v>813</v>
      </c>
      <c r="F33" s="23" t="n">
        <v>6</v>
      </c>
      <c r="G33" s="56" t="s">
        <v>36</v>
      </c>
      <c r="H33" s="73" t="s">
        <v>745</v>
      </c>
    </row>
    <row r="34" customFormat="false" ht="15" hidden="false" customHeight="false" outlineLevel="0" collapsed="false">
      <c r="A34" s="23" t="n">
        <v>15</v>
      </c>
      <c r="B34" s="61" t="s">
        <v>1301</v>
      </c>
      <c r="C34" s="73" t="s">
        <v>79</v>
      </c>
      <c r="D34" s="73" t="s">
        <v>1302</v>
      </c>
      <c r="F34" s="23" t="n">
        <v>7</v>
      </c>
      <c r="G34" s="56" t="s">
        <v>832</v>
      </c>
      <c r="H34" s="73" t="s">
        <v>1235</v>
      </c>
    </row>
    <row r="35" customFormat="false" ht="15" hidden="false" customHeight="false" outlineLevel="0" collapsed="false">
      <c r="A35" s="23"/>
      <c r="B35" s="61"/>
      <c r="C35" s="73" t="s">
        <v>79</v>
      </c>
      <c r="D35" s="73" t="s">
        <v>1303</v>
      </c>
      <c r="F35" s="62" t="s">
        <v>39</v>
      </c>
      <c r="G35" s="62"/>
      <c r="H35" s="73" t="s">
        <v>1236</v>
      </c>
    </row>
    <row r="37" customFormat="false" ht="15" hidden="false" customHeight="false" outlineLevel="0" collapsed="false">
      <c r="F37" s="7" t="s">
        <v>1304</v>
      </c>
    </row>
    <row r="38" customFormat="false" ht="15" hidden="false" customHeight="false" outlineLevel="0" collapsed="false">
      <c r="F38" s="8" t="s">
        <v>6</v>
      </c>
      <c r="G38" s="8" t="s">
        <v>767</v>
      </c>
      <c r="H38" s="8" t="s">
        <v>189</v>
      </c>
      <c r="I38" s="8" t="s">
        <v>190</v>
      </c>
      <c r="J38" s="62" t="s">
        <v>191</v>
      </c>
      <c r="K38" s="62" t="s">
        <v>192</v>
      </c>
      <c r="L38" s="62" t="s">
        <v>193</v>
      </c>
      <c r="M38" s="62" t="s">
        <v>194</v>
      </c>
    </row>
    <row r="39" customFormat="false" ht="15" hidden="false" customHeight="false" outlineLevel="0" collapsed="false">
      <c r="F39" s="23" t="n">
        <v>1</v>
      </c>
      <c r="G39" s="61" t="s">
        <v>1065</v>
      </c>
      <c r="H39" s="23" t="s">
        <v>1160</v>
      </c>
      <c r="I39" s="23" t="s">
        <v>1161</v>
      </c>
      <c r="J39" s="73" t="s">
        <v>858</v>
      </c>
      <c r="K39" s="73" t="s">
        <v>858</v>
      </c>
      <c r="L39" s="73" t="s">
        <v>858</v>
      </c>
      <c r="M39" s="73" t="s">
        <v>858</v>
      </c>
    </row>
    <row r="40" customFormat="false" ht="15" hidden="false" customHeight="false" outlineLevel="0" collapsed="false">
      <c r="F40" s="23" t="n">
        <v>2</v>
      </c>
      <c r="G40" s="61" t="s">
        <v>778</v>
      </c>
      <c r="H40" s="23" t="s">
        <v>858</v>
      </c>
      <c r="I40" s="23" t="s">
        <v>858</v>
      </c>
      <c r="J40" s="73" t="s">
        <v>1160</v>
      </c>
      <c r="K40" s="73" t="s">
        <v>1161</v>
      </c>
      <c r="L40" s="73" t="s">
        <v>858</v>
      </c>
      <c r="M40" s="73" t="s">
        <v>858</v>
      </c>
    </row>
    <row r="41" customFormat="false" ht="15" hidden="false" customHeight="false" outlineLevel="0" collapsed="false">
      <c r="F41" s="23" t="n">
        <v>3</v>
      </c>
      <c r="G41" s="61" t="s">
        <v>682</v>
      </c>
      <c r="H41" s="23" t="s">
        <v>858</v>
      </c>
      <c r="I41" s="23" t="s">
        <v>858</v>
      </c>
      <c r="J41" s="73" t="s">
        <v>858</v>
      </c>
      <c r="K41" s="73" t="s">
        <v>858</v>
      </c>
      <c r="L41" s="73" t="s">
        <v>1160</v>
      </c>
      <c r="M41" s="73" t="s">
        <v>1161</v>
      </c>
    </row>
    <row r="42" customFormat="false" ht="15" hidden="false" customHeight="false" outlineLevel="0" collapsed="false">
      <c r="F42" s="23" t="n">
        <v>4</v>
      </c>
      <c r="G42" s="61" t="s">
        <v>1305</v>
      </c>
      <c r="H42" s="23" t="s">
        <v>719</v>
      </c>
      <c r="I42" s="23" t="s">
        <v>745</v>
      </c>
      <c r="J42" s="73" t="s">
        <v>719</v>
      </c>
      <c r="K42" s="73" t="s">
        <v>745</v>
      </c>
      <c r="L42" s="73" t="s">
        <v>719</v>
      </c>
      <c r="M42" s="73" t="s">
        <v>745</v>
      </c>
    </row>
    <row r="43" customFormat="false" ht="15" hidden="false" customHeight="false" outlineLevel="0" collapsed="false">
      <c r="F43" s="62" t="s">
        <v>39</v>
      </c>
      <c r="G43" s="62"/>
      <c r="H43" s="73" t="s">
        <v>758</v>
      </c>
      <c r="I43" s="73" t="s">
        <v>758</v>
      </c>
      <c r="J43" s="73" t="s">
        <v>758</v>
      </c>
      <c r="K43" s="73" t="s">
        <v>758</v>
      </c>
      <c r="L43" s="73" t="s">
        <v>758</v>
      </c>
      <c r="M43" s="73" t="s">
        <v>758</v>
      </c>
    </row>
  </sheetData>
  <mergeCells count="36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5:G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F24:G24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F35:G35"/>
    <mergeCell ref="F43:G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33"/>
    <col collapsed="false" customWidth="true" hidden="false" outlineLevel="0" max="4" min="3" style="0" width="27.42"/>
    <col collapsed="false" customWidth="true" hidden="false" outlineLevel="0" max="6" min="6" style="0" width="5.7"/>
    <col collapsed="false" customWidth="true" hidden="false" outlineLevel="0" max="7" min="7" style="0" width="15.14"/>
    <col collapsed="false" customWidth="true" hidden="false" outlineLevel="0" max="8" min="8" style="0" width="11"/>
  </cols>
  <sheetData>
    <row r="2" customFormat="false" ht="15" hidden="false" customHeight="false" outlineLevel="0" collapsed="false">
      <c r="A2" s="69" t="s">
        <v>195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1306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8" t="s">
        <v>1307</v>
      </c>
      <c r="I5" s="8" t="s">
        <v>1308</v>
      </c>
      <c r="J5" s="62" t="s">
        <v>1309</v>
      </c>
    </row>
    <row r="6" customFormat="false" ht="15" hidden="false" customHeight="true" outlineLevel="0" collapsed="false">
      <c r="A6" s="23" t="n">
        <v>1</v>
      </c>
      <c r="B6" s="87" t="s">
        <v>1310</v>
      </c>
      <c r="C6" s="73" t="s">
        <v>1311</v>
      </c>
      <c r="D6" s="23" t="s">
        <v>1312</v>
      </c>
      <c r="F6" s="23" t="n">
        <v>1</v>
      </c>
      <c r="G6" s="61" t="s">
        <v>682</v>
      </c>
      <c r="H6" s="23" t="s">
        <v>1313</v>
      </c>
      <c r="I6" s="23" t="s">
        <v>1314</v>
      </c>
      <c r="J6" s="73" t="s">
        <v>1315</v>
      </c>
    </row>
    <row r="7" customFormat="false" ht="15" hidden="false" customHeight="false" outlineLevel="0" collapsed="false">
      <c r="A7" s="23"/>
      <c r="B7" s="87"/>
      <c r="C7" s="73" t="s">
        <v>1316</v>
      </c>
      <c r="D7" s="23" t="s">
        <v>1317</v>
      </c>
      <c r="F7" s="23" t="n">
        <v>2</v>
      </c>
      <c r="G7" s="61" t="s">
        <v>9</v>
      </c>
      <c r="H7" s="23" t="s">
        <v>719</v>
      </c>
      <c r="I7" s="23" t="s">
        <v>719</v>
      </c>
      <c r="J7" s="73" t="s">
        <v>719</v>
      </c>
    </row>
    <row r="8" customFormat="false" ht="15" hidden="false" customHeight="true" outlineLevel="0" collapsed="false">
      <c r="A8" s="23" t="n">
        <v>2</v>
      </c>
      <c r="B8" s="89" t="s">
        <v>1318</v>
      </c>
      <c r="C8" s="73" t="s">
        <v>1319</v>
      </c>
      <c r="D8" s="23" t="s">
        <v>1320</v>
      </c>
      <c r="F8" s="23" t="n">
        <v>3</v>
      </c>
      <c r="G8" s="61" t="s">
        <v>12</v>
      </c>
      <c r="H8" s="23" t="s">
        <v>719</v>
      </c>
      <c r="I8" s="23" t="s">
        <v>719</v>
      </c>
      <c r="J8" s="73" t="s">
        <v>719</v>
      </c>
    </row>
    <row r="9" customFormat="false" ht="15" hidden="false" customHeight="false" outlineLevel="0" collapsed="false">
      <c r="A9" s="23"/>
      <c r="B9" s="89"/>
      <c r="C9" s="73" t="s">
        <v>1321</v>
      </c>
      <c r="D9" s="23" t="s">
        <v>1322</v>
      </c>
      <c r="F9" s="23" t="n">
        <v>4</v>
      </c>
      <c r="G9" s="61" t="s">
        <v>30</v>
      </c>
      <c r="H9" s="23" t="s">
        <v>1323</v>
      </c>
      <c r="I9" s="23" t="s">
        <v>1323</v>
      </c>
      <c r="J9" s="73" t="s">
        <v>1323</v>
      </c>
    </row>
    <row r="10" customFormat="false" ht="15" hidden="false" customHeight="true" outlineLevel="0" collapsed="false">
      <c r="A10" s="23" t="n">
        <v>3</v>
      </c>
      <c r="B10" s="87" t="s">
        <v>1324</v>
      </c>
      <c r="C10" s="73" t="s">
        <v>1325</v>
      </c>
      <c r="D10" s="73" t="s">
        <v>1326</v>
      </c>
      <c r="F10" s="23" t="n">
        <v>5</v>
      </c>
      <c r="G10" s="61" t="s">
        <v>32</v>
      </c>
      <c r="H10" s="23" t="s">
        <v>1327</v>
      </c>
      <c r="I10" s="23" t="s">
        <v>1327</v>
      </c>
      <c r="J10" s="73" t="s">
        <v>1327</v>
      </c>
    </row>
    <row r="11" customFormat="false" ht="15" hidden="false" customHeight="false" outlineLevel="0" collapsed="false">
      <c r="A11" s="23"/>
      <c r="B11" s="87"/>
      <c r="C11" s="73" t="s">
        <v>1328</v>
      </c>
      <c r="D11" s="73" t="s">
        <v>744</v>
      </c>
      <c r="F11" s="73" t="n">
        <v>6</v>
      </c>
      <c r="G11" s="97" t="s">
        <v>1329</v>
      </c>
      <c r="H11" s="23" t="s">
        <v>1330</v>
      </c>
      <c r="I11" s="23" t="s">
        <v>1330</v>
      </c>
      <c r="J11" s="73" t="s">
        <v>1330</v>
      </c>
    </row>
    <row r="12" customFormat="false" ht="15" hidden="false" customHeight="true" outlineLevel="0" collapsed="false">
      <c r="A12" s="43" t="n">
        <v>4</v>
      </c>
      <c r="B12" s="89" t="s">
        <v>1331</v>
      </c>
      <c r="C12" s="73" t="s">
        <v>1332</v>
      </c>
      <c r="D12" s="73" t="s">
        <v>1333</v>
      </c>
      <c r="F12" s="90" t="n">
        <v>7</v>
      </c>
      <c r="G12" s="124" t="s">
        <v>1106</v>
      </c>
      <c r="H12" s="90" t="s">
        <v>719</v>
      </c>
      <c r="I12" s="90" t="s">
        <v>1080</v>
      </c>
      <c r="J12" s="90" t="s">
        <v>940</v>
      </c>
    </row>
    <row r="13" customFormat="false" ht="15" hidden="false" customHeight="false" outlineLevel="0" collapsed="false">
      <c r="A13" s="43"/>
      <c r="B13" s="89"/>
      <c r="C13" s="90" t="s">
        <v>1334</v>
      </c>
      <c r="D13" s="90" t="s">
        <v>1335</v>
      </c>
      <c r="F13" s="62" t="s">
        <v>39</v>
      </c>
      <c r="G13" s="62"/>
      <c r="H13" s="73" t="s">
        <v>758</v>
      </c>
      <c r="I13" s="73" t="s">
        <v>758</v>
      </c>
      <c r="J13" s="73" t="s">
        <v>758</v>
      </c>
    </row>
    <row r="14" customFormat="false" ht="15" hidden="false" customHeight="true" outlineLevel="0" collapsed="false">
      <c r="A14" s="23" t="n">
        <v>5</v>
      </c>
      <c r="B14" s="89" t="s">
        <v>1336</v>
      </c>
      <c r="C14" s="82" t="s">
        <v>1337</v>
      </c>
      <c r="D14" s="23" t="s">
        <v>1338</v>
      </c>
    </row>
    <row r="15" customFormat="false" ht="15" hidden="false" customHeight="false" outlineLevel="0" collapsed="false">
      <c r="A15" s="23"/>
      <c r="B15" s="89"/>
      <c r="C15" s="82" t="s">
        <v>1339</v>
      </c>
      <c r="D15" s="23" t="s">
        <v>563</v>
      </c>
      <c r="F15" s="7" t="s">
        <v>1340</v>
      </c>
    </row>
    <row r="16" customFormat="false" ht="15" hidden="false" customHeight="true" outlineLevel="0" collapsed="false">
      <c r="A16" s="23" t="n">
        <v>6</v>
      </c>
      <c r="B16" s="89" t="s">
        <v>1341</v>
      </c>
      <c r="C16" s="82" t="s">
        <v>1342</v>
      </c>
      <c r="D16" s="23" t="s">
        <v>1343</v>
      </c>
      <c r="F16" s="8" t="s">
        <v>6</v>
      </c>
      <c r="G16" s="8" t="s">
        <v>767</v>
      </c>
      <c r="H16" s="8" t="s">
        <v>1309</v>
      </c>
      <c r="I16" s="8" t="s">
        <v>1344</v>
      </c>
      <c r="J16" s="8" t="s">
        <v>1345</v>
      </c>
      <c r="K16" s="8" t="s">
        <v>1346</v>
      </c>
    </row>
    <row r="17" customFormat="false" ht="15" hidden="false" customHeight="false" outlineLevel="0" collapsed="false">
      <c r="A17" s="23"/>
      <c r="B17" s="89"/>
      <c r="C17" s="82" t="s">
        <v>1347</v>
      </c>
      <c r="D17" s="23" t="s">
        <v>1348</v>
      </c>
      <c r="F17" s="23" t="n">
        <v>1</v>
      </c>
      <c r="G17" s="61" t="s">
        <v>682</v>
      </c>
      <c r="H17" s="23" t="s">
        <v>1349</v>
      </c>
      <c r="I17" s="23" t="s">
        <v>1350</v>
      </c>
      <c r="J17" s="23" t="s">
        <v>1351</v>
      </c>
      <c r="K17" s="23" t="s">
        <v>1352</v>
      </c>
    </row>
    <row r="18" customFormat="false" ht="15" hidden="false" customHeight="true" outlineLevel="0" collapsed="false">
      <c r="A18" s="23" t="n">
        <v>7</v>
      </c>
      <c r="B18" s="89" t="s">
        <v>1353</v>
      </c>
      <c r="C18" s="82" t="s">
        <v>1354</v>
      </c>
      <c r="D18" s="23" t="s">
        <v>1355</v>
      </c>
      <c r="F18" s="23" t="n">
        <v>2</v>
      </c>
      <c r="G18" s="61" t="s">
        <v>786</v>
      </c>
      <c r="H18" s="23" t="s">
        <v>745</v>
      </c>
      <c r="I18" s="23" t="s">
        <v>745</v>
      </c>
      <c r="J18" s="23" t="s">
        <v>903</v>
      </c>
      <c r="K18" s="23" t="s">
        <v>719</v>
      </c>
    </row>
    <row r="19" customFormat="false" ht="15" hidden="false" customHeight="false" outlineLevel="0" collapsed="false">
      <c r="A19" s="23"/>
      <c r="B19" s="89"/>
      <c r="C19" s="82" t="s">
        <v>1356</v>
      </c>
      <c r="D19" s="23" t="s">
        <v>478</v>
      </c>
      <c r="F19" s="23" t="n">
        <v>3</v>
      </c>
      <c r="G19" s="61" t="s">
        <v>12</v>
      </c>
      <c r="H19" s="23" t="s">
        <v>858</v>
      </c>
      <c r="I19" s="23" t="s">
        <v>858</v>
      </c>
      <c r="J19" s="23" t="s">
        <v>745</v>
      </c>
      <c r="K19" s="23" t="s">
        <v>719</v>
      </c>
    </row>
    <row r="20" customFormat="false" ht="15" hidden="false" customHeight="true" outlineLevel="0" collapsed="false">
      <c r="A20" s="23" t="n">
        <v>8</v>
      </c>
      <c r="B20" s="89" t="s">
        <v>1357</v>
      </c>
      <c r="C20" s="82" t="s">
        <v>1358</v>
      </c>
      <c r="D20" s="23" t="s">
        <v>1359</v>
      </c>
      <c r="F20" s="116" t="n">
        <v>4</v>
      </c>
      <c r="G20" s="83" t="s">
        <v>38</v>
      </c>
      <c r="H20" s="23" t="s">
        <v>788</v>
      </c>
      <c r="I20" s="23" t="s">
        <v>788</v>
      </c>
      <c r="J20" s="23" t="s">
        <v>788</v>
      </c>
      <c r="K20" s="23" t="s">
        <v>788</v>
      </c>
    </row>
    <row r="21" customFormat="false" ht="15" hidden="false" customHeight="false" outlineLevel="0" collapsed="false">
      <c r="A21" s="23"/>
      <c r="B21" s="89"/>
      <c r="C21" s="82" t="s">
        <v>1360</v>
      </c>
      <c r="D21" s="23" t="s">
        <v>1361</v>
      </c>
      <c r="F21" s="90" t="n">
        <v>5</v>
      </c>
      <c r="G21" s="119" t="s">
        <v>632</v>
      </c>
      <c r="H21" s="86" t="s">
        <v>719</v>
      </c>
      <c r="I21" s="86" t="s">
        <v>1080</v>
      </c>
      <c r="J21" s="86" t="s">
        <v>940</v>
      </c>
      <c r="K21" s="86" t="s">
        <v>940</v>
      </c>
    </row>
    <row r="22" customFormat="false" ht="15" hidden="false" customHeight="true" outlineLevel="0" collapsed="false">
      <c r="A22" s="23" t="n">
        <v>9</v>
      </c>
      <c r="B22" s="89" t="s">
        <v>1362</v>
      </c>
      <c r="C22" s="82" t="s">
        <v>1363</v>
      </c>
      <c r="D22" s="23" t="s">
        <v>1364</v>
      </c>
      <c r="F22" s="62" t="s">
        <v>39</v>
      </c>
      <c r="G22" s="62"/>
      <c r="H22" s="23" t="s">
        <v>758</v>
      </c>
      <c r="I22" s="23" t="s">
        <v>758</v>
      </c>
      <c r="J22" s="23" t="s">
        <v>758</v>
      </c>
      <c r="K22" s="23" t="s">
        <v>758</v>
      </c>
    </row>
    <row r="23" customFormat="false" ht="15" hidden="false" customHeight="false" outlineLevel="0" collapsed="false">
      <c r="A23" s="23"/>
      <c r="B23" s="89"/>
      <c r="C23" s="82" t="s">
        <v>1365</v>
      </c>
      <c r="D23" s="23" t="s">
        <v>1366</v>
      </c>
    </row>
    <row r="24" customFormat="false" ht="15" hidden="false" customHeight="true" outlineLevel="0" collapsed="false">
      <c r="A24" s="43" t="n">
        <v>10</v>
      </c>
      <c r="B24" s="89" t="s">
        <v>1367</v>
      </c>
      <c r="C24" s="82" t="s">
        <v>1368</v>
      </c>
      <c r="D24" s="23" t="s">
        <v>1369</v>
      </c>
      <c r="F24" s="7" t="s">
        <v>1370</v>
      </c>
    </row>
    <row r="25" customFormat="false" ht="15" hidden="false" customHeight="false" outlineLevel="0" collapsed="false">
      <c r="A25" s="43"/>
      <c r="B25" s="89"/>
      <c r="C25" s="82" t="s">
        <v>1371</v>
      </c>
      <c r="D25" s="23" t="s">
        <v>1372</v>
      </c>
      <c r="F25" s="8" t="s">
        <v>6</v>
      </c>
      <c r="G25" s="8" t="s">
        <v>767</v>
      </c>
      <c r="H25" s="62" t="n">
        <v>28</v>
      </c>
      <c r="I25" s="62" t="n">
        <v>29</v>
      </c>
    </row>
    <row r="26" customFormat="false" ht="15" hidden="false" customHeight="true" outlineLevel="0" collapsed="false">
      <c r="A26" s="23" t="n">
        <v>11</v>
      </c>
      <c r="B26" s="87" t="s">
        <v>1373</v>
      </c>
      <c r="C26" s="125" t="s">
        <v>1374</v>
      </c>
      <c r="D26" s="23" t="s">
        <v>1375</v>
      </c>
      <c r="F26" s="23" t="n">
        <v>1</v>
      </c>
      <c r="G26" s="61" t="s">
        <v>778</v>
      </c>
      <c r="H26" s="73" t="s">
        <v>745</v>
      </c>
      <c r="I26" s="73" t="s">
        <v>952</v>
      </c>
    </row>
    <row r="27" customFormat="false" ht="15" hidden="false" customHeight="false" outlineLevel="0" collapsed="false">
      <c r="A27" s="23"/>
      <c r="B27" s="87"/>
      <c r="C27" s="125" t="s">
        <v>558</v>
      </c>
      <c r="D27" s="23" t="s">
        <v>846</v>
      </c>
      <c r="F27" s="23" t="n">
        <v>2</v>
      </c>
      <c r="G27" s="61" t="s">
        <v>682</v>
      </c>
      <c r="H27" s="73" t="s">
        <v>1255</v>
      </c>
      <c r="I27" s="73" t="s">
        <v>1256</v>
      </c>
    </row>
    <row r="28" customFormat="false" ht="15" hidden="false" customHeight="false" outlineLevel="0" collapsed="false">
      <c r="F28" s="23" t="n">
        <v>3</v>
      </c>
      <c r="G28" s="61" t="s">
        <v>1150</v>
      </c>
      <c r="H28" s="73" t="s">
        <v>858</v>
      </c>
      <c r="I28" s="73" t="s">
        <v>858</v>
      </c>
    </row>
    <row r="29" customFormat="false" ht="15" hidden="false" customHeight="false" outlineLevel="0" collapsed="false">
      <c r="F29" s="23" t="n">
        <v>4</v>
      </c>
      <c r="G29" s="61" t="s">
        <v>12</v>
      </c>
      <c r="H29" s="73" t="s">
        <v>858</v>
      </c>
      <c r="I29" s="73" t="s">
        <v>858</v>
      </c>
    </row>
    <row r="30" customFormat="false" ht="15" hidden="false" customHeight="false" outlineLevel="0" collapsed="false">
      <c r="F30" s="23" t="n">
        <v>5</v>
      </c>
      <c r="G30" s="61" t="s">
        <v>786</v>
      </c>
      <c r="H30" s="73" t="s">
        <v>745</v>
      </c>
      <c r="I30" s="73" t="s">
        <v>745</v>
      </c>
    </row>
    <row r="31" customFormat="false" ht="15" hidden="false" customHeight="false" outlineLevel="0" collapsed="false">
      <c r="F31" s="73" t="n">
        <v>6</v>
      </c>
      <c r="G31" s="97" t="s">
        <v>1266</v>
      </c>
      <c r="H31" s="73" t="s">
        <v>858</v>
      </c>
      <c r="I31" s="73" t="s">
        <v>858</v>
      </c>
    </row>
    <row r="32" customFormat="false" ht="15" hidden="false" customHeight="false" outlineLevel="0" collapsed="false">
      <c r="F32" s="73" t="n">
        <v>7</v>
      </c>
      <c r="G32" s="97" t="s">
        <v>14</v>
      </c>
      <c r="H32" s="73" t="s">
        <v>978</v>
      </c>
      <c r="I32" s="73" t="s">
        <v>978</v>
      </c>
    </row>
    <row r="33" customFormat="false" ht="15" hidden="false" customHeight="false" outlineLevel="0" collapsed="false">
      <c r="F33" s="90" t="n">
        <v>8</v>
      </c>
      <c r="G33" s="35" t="s">
        <v>981</v>
      </c>
      <c r="H33" s="90" t="s">
        <v>858</v>
      </c>
      <c r="I33" s="90" t="s">
        <v>1248</v>
      </c>
    </row>
    <row r="34" customFormat="false" ht="15" hidden="false" customHeight="false" outlineLevel="0" collapsed="false">
      <c r="F34" s="73" t="n">
        <v>9</v>
      </c>
      <c r="G34" s="97" t="s">
        <v>1033</v>
      </c>
      <c r="H34" s="73" t="s">
        <v>1034</v>
      </c>
      <c r="I34" s="73" t="s">
        <v>1034</v>
      </c>
    </row>
    <row r="35" customFormat="false" ht="15" hidden="false" customHeight="false" outlineLevel="0" collapsed="false">
      <c r="F35" s="62" t="s">
        <v>39</v>
      </c>
      <c r="G35" s="62"/>
      <c r="H35" s="73" t="s">
        <v>758</v>
      </c>
      <c r="I35" s="73" t="s">
        <v>758</v>
      </c>
    </row>
    <row r="37" customFormat="false" ht="15" hidden="false" customHeight="false" outlineLevel="0" collapsed="false">
      <c r="F37" s="7" t="s">
        <v>1376</v>
      </c>
    </row>
    <row r="38" customFormat="false" ht="15" hidden="false" customHeight="false" outlineLevel="0" collapsed="false">
      <c r="F38" s="8" t="s">
        <v>6</v>
      </c>
      <c r="G38" s="8" t="s">
        <v>767</v>
      </c>
      <c r="H38" s="62" t="n">
        <v>28</v>
      </c>
      <c r="I38" s="62" t="n">
        <v>29</v>
      </c>
    </row>
    <row r="39" customFormat="false" ht="15" hidden="false" customHeight="false" outlineLevel="0" collapsed="false">
      <c r="F39" s="23" t="n">
        <v>1</v>
      </c>
      <c r="G39" s="61" t="s">
        <v>682</v>
      </c>
      <c r="H39" s="73" t="s">
        <v>1377</v>
      </c>
      <c r="I39" s="73" t="s">
        <v>1377</v>
      </c>
    </row>
    <row r="40" customFormat="false" ht="15" hidden="false" customHeight="false" outlineLevel="0" collapsed="false">
      <c r="F40" s="23" t="n">
        <v>2</v>
      </c>
      <c r="G40" s="61" t="s">
        <v>778</v>
      </c>
      <c r="H40" s="73" t="s">
        <v>1378</v>
      </c>
      <c r="I40" s="73" t="s">
        <v>1378</v>
      </c>
    </row>
    <row r="41" customFormat="false" ht="15" hidden="false" customHeight="false" outlineLevel="0" collapsed="false">
      <c r="F41" s="23" t="n">
        <v>3</v>
      </c>
      <c r="G41" s="61" t="s">
        <v>12</v>
      </c>
      <c r="H41" s="73" t="s">
        <v>1379</v>
      </c>
      <c r="I41" s="73" t="s">
        <v>1379</v>
      </c>
    </row>
    <row r="42" customFormat="false" ht="15" hidden="false" customHeight="false" outlineLevel="0" collapsed="false">
      <c r="F42" s="23" t="n">
        <v>4</v>
      </c>
      <c r="G42" s="61" t="s">
        <v>786</v>
      </c>
      <c r="H42" s="73" t="s">
        <v>858</v>
      </c>
      <c r="I42" s="73" t="s">
        <v>858</v>
      </c>
    </row>
    <row r="43" customFormat="false" ht="15" hidden="false" customHeight="false" outlineLevel="0" collapsed="false">
      <c r="F43" s="23" t="n">
        <v>5</v>
      </c>
      <c r="G43" s="61" t="s">
        <v>1266</v>
      </c>
      <c r="H43" s="73" t="s">
        <v>745</v>
      </c>
      <c r="I43" s="73" t="s">
        <v>719</v>
      </c>
    </row>
    <row r="44" customFormat="false" ht="15" hidden="false" customHeight="false" outlineLevel="0" collapsed="false">
      <c r="F44" s="73" t="n">
        <v>6</v>
      </c>
      <c r="G44" s="97" t="s">
        <v>14</v>
      </c>
      <c r="H44" s="73" t="s">
        <v>858</v>
      </c>
      <c r="I44" s="73" t="s">
        <v>719</v>
      </c>
    </row>
    <row r="45" customFormat="false" ht="15" hidden="false" customHeight="false" outlineLevel="0" collapsed="false">
      <c r="F45" s="90" t="n">
        <v>7</v>
      </c>
      <c r="G45" s="124" t="s">
        <v>981</v>
      </c>
      <c r="H45" s="90" t="s">
        <v>745</v>
      </c>
      <c r="I45" s="73" t="s">
        <v>745</v>
      </c>
    </row>
    <row r="46" customFormat="false" ht="15" hidden="false" customHeight="false" outlineLevel="0" collapsed="false">
      <c r="F46" s="62" t="s">
        <v>39</v>
      </c>
      <c r="G46" s="62"/>
      <c r="H46" s="73" t="s">
        <v>758</v>
      </c>
      <c r="I46" s="126" t="s">
        <v>758</v>
      </c>
    </row>
  </sheetData>
  <mergeCells count="2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2:G22"/>
    <mergeCell ref="A24:A25"/>
    <mergeCell ref="B24:B25"/>
    <mergeCell ref="A26:A27"/>
    <mergeCell ref="B26:B27"/>
    <mergeCell ref="F35:G35"/>
    <mergeCell ref="F46:G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6.7"/>
    <col collapsed="false" customWidth="true" hidden="false" outlineLevel="0" max="3" min="3" style="0" width="27.42"/>
    <col collapsed="false" customWidth="true" hidden="false" outlineLevel="0" max="4" min="4" style="0" width="29.14"/>
    <col collapsed="false" customWidth="true" hidden="false" outlineLevel="0" max="6" min="6" style="0" width="5.43"/>
    <col collapsed="false" customWidth="true" hidden="false" outlineLevel="0" max="7" min="7" style="0" width="13.71"/>
    <col collapsed="false" customWidth="true" hidden="false" outlineLevel="0" max="11" min="8" style="0" width="12.71"/>
  </cols>
  <sheetData>
    <row r="2" customFormat="false" ht="15" hidden="false" customHeight="false" outlineLevel="0" collapsed="false">
      <c r="A2" s="69" t="s">
        <v>205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1380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1381</v>
      </c>
      <c r="F5" s="8" t="s">
        <v>6</v>
      </c>
      <c r="G5" s="8" t="s">
        <v>767</v>
      </c>
      <c r="H5" s="62" t="s">
        <v>1382</v>
      </c>
      <c r="I5" s="62" t="s">
        <v>1383</v>
      </c>
      <c r="J5" s="62" t="s">
        <v>1384</v>
      </c>
      <c r="K5" s="62" t="s">
        <v>1385</v>
      </c>
    </row>
    <row r="6" customFormat="false" ht="15" hidden="false" customHeight="true" outlineLevel="0" collapsed="false">
      <c r="A6" s="23" t="n">
        <v>1</v>
      </c>
      <c r="B6" s="87" t="s">
        <v>1386</v>
      </c>
      <c r="C6" s="73" t="n">
        <v>151.66</v>
      </c>
      <c r="D6" s="23" t="s">
        <v>1387</v>
      </c>
      <c r="F6" s="23" t="n">
        <v>1</v>
      </c>
      <c r="G6" s="61" t="s">
        <v>682</v>
      </c>
      <c r="H6" s="23" t="s">
        <v>1388</v>
      </c>
      <c r="I6" s="23" t="s">
        <v>1389</v>
      </c>
      <c r="J6" s="23" t="s">
        <v>1390</v>
      </c>
      <c r="K6" s="23" t="s">
        <v>1391</v>
      </c>
    </row>
    <row r="7" customFormat="false" ht="15" hidden="false" customHeight="false" outlineLevel="0" collapsed="false">
      <c r="A7" s="23"/>
      <c r="B7" s="87"/>
      <c r="C7" s="73" t="s">
        <v>1392</v>
      </c>
      <c r="D7" s="23" t="s">
        <v>1393</v>
      </c>
      <c r="F7" s="23" t="n">
        <v>2</v>
      </c>
      <c r="G7" s="61" t="s">
        <v>19</v>
      </c>
      <c r="H7" s="23" t="s">
        <v>1394</v>
      </c>
      <c r="I7" s="23" t="s">
        <v>1395</v>
      </c>
      <c r="J7" s="23" t="s">
        <v>1396</v>
      </c>
      <c r="K7" s="23" t="s">
        <v>1397</v>
      </c>
    </row>
    <row r="8" customFormat="false" ht="15" hidden="false" customHeight="true" outlineLevel="0" collapsed="false">
      <c r="A8" s="23" t="n">
        <v>2</v>
      </c>
      <c r="B8" s="87" t="s">
        <v>1398</v>
      </c>
      <c r="C8" s="73" t="n">
        <v>160.46</v>
      </c>
      <c r="D8" s="23" t="s">
        <v>1399</v>
      </c>
      <c r="F8" s="23" t="n">
        <v>3</v>
      </c>
      <c r="G8" s="61" t="s">
        <v>786</v>
      </c>
      <c r="H8" s="23" t="s">
        <v>745</v>
      </c>
      <c r="I8" s="23" t="s">
        <v>745</v>
      </c>
      <c r="J8" s="23" t="s">
        <v>745</v>
      </c>
      <c r="K8" s="23" t="s">
        <v>745</v>
      </c>
    </row>
    <row r="9" customFormat="false" ht="15" hidden="false" customHeight="false" outlineLevel="0" collapsed="false">
      <c r="A9" s="23"/>
      <c r="B9" s="87"/>
      <c r="C9" s="73" t="s">
        <v>1400</v>
      </c>
      <c r="D9" s="23" t="s">
        <v>885</v>
      </c>
      <c r="F9" s="23" t="n">
        <v>4</v>
      </c>
      <c r="G9" s="61" t="s">
        <v>31</v>
      </c>
      <c r="H9" s="23" t="s">
        <v>1401</v>
      </c>
      <c r="I9" s="23" t="s">
        <v>1401</v>
      </c>
      <c r="J9" s="23" t="s">
        <v>1401</v>
      </c>
      <c r="K9" s="23" t="s">
        <v>1401</v>
      </c>
    </row>
    <row r="10" customFormat="false" ht="15" hidden="false" customHeight="true" outlineLevel="0" collapsed="false">
      <c r="A10" s="23" t="n">
        <v>3</v>
      </c>
      <c r="B10" s="87" t="s">
        <v>1402</v>
      </c>
      <c r="C10" s="73" t="n">
        <v>143.1</v>
      </c>
      <c r="D10" s="73" t="s">
        <v>1403</v>
      </c>
      <c r="F10" s="23" t="n">
        <v>5</v>
      </c>
      <c r="G10" s="61" t="s">
        <v>1404</v>
      </c>
      <c r="H10" s="23" t="s">
        <v>833</v>
      </c>
      <c r="I10" s="23" t="s">
        <v>745</v>
      </c>
      <c r="J10" s="23" t="s">
        <v>833</v>
      </c>
      <c r="K10" s="23" t="s">
        <v>745</v>
      </c>
    </row>
    <row r="11" customFormat="false" ht="15" hidden="false" customHeight="false" outlineLevel="0" collapsed="false">
      <c r="A11" s="23"/>
      <c r="B11" s="87"/>
      <c r="C11" s="73" t="s">
        <v>1405</v>
      </c>
      <c r="D11" s="73" t="s">
        <v>564</v>
      </c>
      <c r="F11" s="62" t="s">
        <v>39</v>
      </c>
      <c r="G11" s="62"/>
      <c r="H11" s="23" t="s">
        <v>758</v>
      </c>
      <c r="I11" s="23" t="s">
        <v>758</v>
      </c>
      <c r="J11" s="23" t="s">
        <v>758</v>
      </c>
      <c r="K11" s="23" t="s">
        <v>758</v>
      </c>
    </row>
    <row r="12" customFormat="false" ht="15" hidden="false" customHeight="true" outlineLevel="0" collapsed="false">
      <c r="A12" s="43" t="n">
        <v>4</v>
      </c>
      <c r="B12" s="87" t="s">
        <v>1406</v>
      </c>
      <c r="C12" s="73" t="n">
        <v>163.84</v>
      </c>
      <c r="D12" s="73" t="s">
        <v>1407</v>
      </c>
    </row>
    <row r="13" customFormat="false" ht="15" hidden="false" customHeight="false" outlineLevel="0" collapsed="false">
      <c r="A13" s="43"/>
      <c r="B13" s="87"/>
      <c r="C13" s="90" t="s">
        <v>1408</v>
      </c>
      <c r="D13" s="90" t="s">
        <v>1409</v>
      </c>
      <c r="F13" s="7" t="s">
        <v>1410</v>
      </c>
    </row>
    <row r="14" customFormat="false" ht="15" hidden="false" customHeight="true" outlineLevel="0" collapsed="false">
      <c r="A14" s="23" t="n">
        <v>5</v>
      </c>
      <c r="B14" s="87" t="s">
        <v>1411</v>
      </c>
      <c r="C14" s="82" t="s">
        <v>1412</v>
      </c>
      <c r="D14" s="23" t="s">
        <v>1413</v>
      </c>
      <c r="F14" s="8" t="s">
        <v>6</v>
      </c>
      <c r="G14" s="8" t="s">
        <v>767</v>
      </c>
      <c r="H14" s="62" t="s">
        <v>1414</v>
      </c>
      <c r="I14" s="62" t="s">
        <v>1415</v>
      </c>
      <c r="J14" s="62" t="s">
        <v>1416</v>
      </c>
      <c r="K14" s="62" t="s">
        <v>1417</v>
      </c>
    </row>
    <row r="15" customFormat="false" ht="15" hidden="false" customHeight="false" outlineLevel="0" collapsed="false">
      <c r="A15" s="23"/>
      <c r="B15" s="87"/>
      <c r="C15" s="82" t="s">
        <v>1418</v>
      </c>
      <c r="D15" s="23" t="s">
        <v>1419</v>
      </c>
      <c r="F15" s="23" t="n">
        <v>1</v>
      </c>
      <c r="G15" s="61" t="s">
        <v>682</v>
      </c>
      <c r="H15" s="23" t="s">
        <v>1420</v>
      </c>
      <c r="I15" s="23" t="s">
        <v>1421</v>
      </c>
      <c r="J15" s="23" t="s">
        <v>1422</v>
      </c>
      <c r="K15" s="23" t="s">
        <v>1423</v>
      </c>
    </row>
    <row r="16" customFormat="false" ht="15" hidden="false" customHeight="true" outlineLevel="0" collapsed="false">
      <c r="A16" s="23" t="n">
        <v>6</v>
      </c>
      <c r="B16" s="87" t="s">
        <v>1424</v>
      </c>
      <c r="C16" s="82" t="s">
        <v>1425</v>
      </c>
      <c r="D16" s="23" t="s">
        <v>1426</v>
      </c>
      <c r="F16" s="23" t="n">
        <v>2</v>
      </c>
      <c r="G16" s="61" t="s">
        <v>19</v>
      </c>
      <c r="H16" s="23" t="s">
        <v>1420</v>
      </c>
      <c r="I16" s="23" t="s">
        <v>1421</v>
      </c>
      <c r="J16" s="23" t="s">
        <v>1427</v>
      </c>
      <c r="K16" s="23" t="s">
        <v>1428</v>
      </c>
    </row>
    <row r="17" customFormat="false" ht="15" hidden="false" customHeight="false" outlineLevel="0" collapsed="false">
      <c r="A17" s="23"/>
      <c r="B17" s="87"/>
      <c r="C17" s="82" t="s">
        <v>1429</v>
      </c>
      <c r="D17" s="23" t="s">
        <v>949</v>
      </c>
      <c r="F17" s="23" t="n">
        <v>3</v>
      </c>
      <c r="G17" s="61" t="s">
        <v>786</v>
      </c>
      <c r="H17" s="23" t="s">
        <v>745</v>
      </c>
      <c r="I17" s="23" t="s">
        <v>745</v>
      </c>
      <c r="J17" s="23" t="s">
        <v>745</v>
      </c>
      <c r="K17" s="23" t="s">
        <v>745</v>
      </c>
    </row>
    <row r="18" customFormat="false" ht="15" hidden="false" customHeight="true" outlineLevel="0" collapsed="false">
      <c r="A18" s="43" t="n">
        <v>7</v>
      </c>
      <c r="B18" s="87" t="s">
        <v>1430</v>
      </c>
      <c r="C18" s="82" t="s">
        <v>1431</v>
      </c>
      <c r="D18" s="23" t="s">
        <v>1432</v>
      </c>
      <c r="F18" s="23" t="n">
        <v>4</v>
      </c>
      <c r="G18" s="61" t="s">
        <v>31</v>
      </c>
      <c r="H18" s="23" t="s">
        <v>1401</v>
      </c>
      <c r="I18" s="23" t="s">
        <v>1401</v>
      </c>
      <c r="J18" s="23" t="s">
        <v>1401</v>
      </c>
      <c r="K18" s="23" t="s">
        <v>1401</v>
      </c>
    </row>
    <row r="19" customFormat="false" ht="15" hidden="false" customHeight="false" outlineLevel="0" collapsed="false">
      <c r="A19" s="43"/>
      <c r="B19" s="87"/>
      <c r="C19" s="82" t="s">
        <v>1433</v>
      </c>
      <c r="D19" s="23" t="s">
        <v>1434</v>
      </c>
      <c r="F19" s="23" t="n">
        <v>5</v>
      </c>
      <c r="G19" s="61" t="s">
        <v>1404</v>
      </c>
      <c r="H19" s="23" t="s">
        <v>1435</v>
      </c>
      <c r="I19" s="23" t="s">
        <v>1034</v>
      </c>
      <c r="J19" s="23" t="s">
        <v>1435</v>
      </c>
      <c r="K19" s="23" t="s">
        <v>1034</v>
      </c>
    </row>
    <row r="20" customFormat="false" ht="15" hidden="false" customHeight="true" outlineLevel="0" collapsed="false">
      <c r="A20" s="23" t="n">
        <v>8</v>
      </c>
      <c r="B20" s="87" t="s">
        <v>1436</v>
      </c>
      <c r="C20" s="127" t="s">
        <v>1437</v>
      </c>
      <c r="D20" s="23" t="s">
        <v>1438</v>
      </c>
      <c r="F20" s="62" t="s">
        <v>39</v>
      </c>
      <c r="G20" s="62"/>
      <c r="H20" s="23" t="s">
        <v>758</v>
      </c>
      <c r="I20" s="23" t="s">
        <v>758</v>
      </c>
      <c r="J20" s="23" t="s">
        <v>758</v>
      </c>
      <c r="K20" s="23" t="s">
        <v>758</v>
      </c>
    </row>
    <row r="21" customFormat="false" ht="15" hidden="false" customHeight="false" outlineLevel="0" collapsed="false">
      <c r="A21" s="23"/>
      <c r="B21" s="87"/>
      <c r="C21" s="127" t="s">
        <v>1439</v>
      </c>
      <c r="D21" s="23" t="s">
        <v>1440</v>
      </c>
    </row>
  </sheetData>
  <mergeCells count="20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43.14"/>
    <col collapsed="false" customWidth="true" hidden="false" outlineLevel="0" max="4" min="3" style="0" width="27.72"/>
    <col collapsed="false" customWidth="true" hidden="false" outlineLevel="0" max="6" min="6" style="0" width="5.14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214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1441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32</v>
      </c>
      <c r="I5" s="62" t="n">
        <v>33</v>
      </c>
      <c r="J5" s="62" t="n">
        <v>34</v>
      </c>
      <c r="K5" s="62" t="n">
        <v>35</v>
      </c>
    </row>
    <row r="6" customFormat="false" ht="15" hidden="false" customHeight="true" outlineLevel="0" collapsed="false">
      <c r="A6" s="23" t="n">
        <v>1</v>
      </c>
      <c r="B6" s="87" t="s">
        <v>1442</v>
      </c>
      <c r="C6" s="73" t="s">
        <v>1443</v>
      </c>
      <c r="D6" s="23" t="s">
        <v>1444</v>
      </c>
      <c r="F6" s="23" t="n">
        <v>1</v>
      </c>
      <c r="G6" s="61" t="s">
        <v>682</v>
      </c>
      <c r="H6" s="73" t="s">
        <v>1445</v>
      </c>
      <c r="I6" s="73" t="s">
        <v>1446</v>
      </c>
      <c r="J6" s="73" t="s">
        <v>1446</v>
      </c>
      <c r="K6" s="73" t="s">
        <v>1446</v>
      </c>
    </row>
    <row r="7" customFormat="false" ht="15" hidden="false" customHeight="false" outlineLevel="0" collapsed="false">
      <c r="A7" s="23"/>
      <c r="B7" s="87"/>
      <c r="C7" s="73" t="s">
        <v>1447</v>
      </c>
      <c r="D7" s="23" t="s">
        <v>1448</v>
      </c>
      <c r="F7" s="23" t="n">
        <v>2</v>
      </c>
      <c r="G7" s="61" t="s">
        <v>778</v>
      </c>
      <c r="H7" s="73" t="s">
        <v>1378</v>
      </c>
      <c r="I7" s="73" t="s">
        <v>1378</v>
      </c>
      <c r="J7" s="73" t="s">
        <v>1378</v>
      </c>
      <c r="K7" s="73" t="s">
        <v>902</v>
      </c>
    </row>
    <row r="8" customFormat="false" ht="15" hidden="false" customHeight="true" outlineLevel="0" collapsed="false">
      <c r="A8" s="23" t="n">
        <v>2</v>
      </c>
      <c r="B8" s="87" t="s">
        <v>1449</v>
      </c>
      <c r="C8" s="73" t="s">
        <v>1450</v>
      </c>
      <c r="D8" s="23" t="s">
        <v>1451</v>
      </c>
      <c r="F8" s="23" t="n">
        <v>3</v>
      </c>
      <c r="G8" s="61" t="s">
        <v>1065</v>
      </c>
      <c r="H8" s="73" t="s">
        <v>1452</v>
      </c>
      <c r="I8" s="73" t="s">
        <v>903</v>
      </c>
      <c r="J8" s="73" t="s">
        <v>903</v>
      </c>
      <c r="K8" s="73" t="s">
        <v>745</v>
      </c>
    </row>
    <row r="9" customFormat="false" ht="15" hidden="false" customHeight="false" outlineLevel="0" collapsed="false">
      <c r="A9" s="23"/>
      <c r="B9" s="87"/>
      <c r="C9" s="73" t="s">
        <v>1453</v>
      </c>
      <c r="D9" s="23" t="s">
        <v>1454</v>
      </c>
      <c r="F9" s="23" t="n">
        <v>4</v>
      </c>
      <c r="G9" s="61" t="s">
        <v>12</v>
      </c>
      <c r="H9" s="73" t="s">
        <v>858</v>
      </c>
      <c r="I9" s="73" t="s">
        <v>858</v>
      </c>
      <c r="J9" s="73" t="s">
        <v>858</v>
      </c>
      <c r="K9" s="73" t="s">
        <v>858</v>
      </c>
    </row>
    <row r="10" customFormat="false" ht="15" hidden="false" customHeight="true" outlineLevel="0" collapsed="false">
      <c r="A10" s="23" t="n">
        <v>3</v>
      </c>
      <c r="B10" s="87" t="s">
        <v>1455</v>
      </c>
      <c r="C10" s="73" t="s">
        <v>1456</v>
      </c>
      <c r="D10" s="73" t="s">
        <v>1457</v>
      </c>
      <c r="F10" s="23" t="n">
        <v>5</v>
      </c>
      <c r="G10" s="61" t="s">
        <v>786</v>
      </c>
      <c r="H10" s="73" t="s">
        <v>745</v>
      </c>
      <c r="I10" s="73" t="s">
        <v>745</v>
      </c>
      <c r="J10" s="73" t="s">
        <v>719</v>
      </c>
      <c r="K10" s="73" t="s">
        <v>719</v>
      </c>
    </row>
    <row r="11" customFormat="false" ht="15" hidden="false" customHeight="false" outlineLevel="0" collapsed="false">
      <c r="A11" s="23"/>
      <c r="B11" s="87"/>
      <c r="C11" s="73" t="s">
        <v>1458</v>
      </c>
      <c r="D11" s="73" t="s">
        <v>1459</v>
      </c>
      <c r="F11" s="73" t="n">
        <v>6</v>
      </c>
      <c r="G11" s="97" t="s">
        <v>1006</v>
      </c>
      <c r="H11" s="73" t="s">
        <v>858</v>
      </c>
      <c r="I11" s="73" t="s">
        <v>858</v>
      </c>
      <c r="J11" s="73" t="s">
        <v>719</v>
      </c>
      <c r="K11" s="73" t="s">
        <v>719</v>
      </c>
    </row>
    <row r="12" customFormat="false" ht="15" hidden="false" customHeight="true" outlineLevel="0" collapsed="false">
      <c r="A12" s="43" t="n">
        <v>4</v>
      </c>
      <c r="B12" s="87" t="s">
        <v>1460</v>
      </c>
      <c r="C12" s="73" t="s">
        <v>1461</v>
      </c>
      <c r="D12" s="73" t="s">
        <v>1462</v>
      </c>
      <c r="F12" s="73" t="n">
        <v>7</v>
      </c>
      <c r="G12" s="97" t="s">
        <v>14</v>
      </c>
      <c r="H12" s="73" t="s">
        <v>978</v>
      </c>
      <c r="I12" s="73" t="s">
        <v>978</v>
      </c>
      <c r="J12" s="73" t="s">
        <v>978</v>
      </c>
      <c r="K12" s="73" t="s">
        <v>978</v>
      </c>
    </row>
    <row r="13" customFormat="false" ht="15" hidden="false" customHeight="false" outlineLevel="0" collapsed="false">
      <c r="A13" s="43"/>
      <c r="B13" s="87"/>
      <c r="C13" s="90" t="s">
        <v>1463</v>
      </c>
      <c r="D13" s="90" t="s">
        <v>1464</v>
      </c>
      <c r="F13" s="90" t="n">
        <v>8</v>
      </c>
      <c r="G13" s="35" t="s">
        <v>981</v>
      </c>
      <c r="H13" s="90" t="s">
        <v>745</v>
      </c>
      <c r="I13" s="90" t="s">
        <v>745</v>
      </c>
      <c r="J13" s="90" t="s">
        <v>745</v>
      </c>
      <c r="K13" s="90" t="s">
        <v>745</v>
      </c>
    </row>
    <row r="14" customFormat="false" ht="15" hidden="false" customHeight="true" outlineLevel="0" collapsed="false">
      <c r="A14" s="23" t="n">
        <v>5</v>
      </c>
      <c r="B14" s="87" t="s">
        <v>1465</v>
      </c>
      <c r="C14" s="82" t="s">
        <v>1466</v>
      </c>
      <c r="D14" s="23" t="s">
        <v>1467</v>
      </c>
      <c r="F14" s="62" t="s">
        <v>39</v>
      </c>
      <c r="G14" s="62"/>
      <c r="H14" s="73" t="s">
        <v>758</v>
      </c>
      <c r="I14" s="73" t="s">
        <v>758</v>
      </c>
      <c r="J14" s="73" t="s">
        <v>758</v>
      </c>
      <c r="K14" s="73" t="s">
        <v>758</v>
      </c>
    </row>
    <row r="15" customFormat="false" ht="15" hidden="false" customHeight="false" outlineLevel="0" collapsed="false">
      <c r="A15" s="23"/>
      <c r="B15" s="87"/>
      <c r="C15" s="82" t="s">
        <v>1468</v>
      </c>
      <c r="D15" s="23" t="s">
        <v>800</v>
      </c>
    </row>
    <row r="16" customFormat="false" ht="15" hidden="false" customHeight="true" outlineLevel="0" collapsed="false">
      <c r="A16" s="23" t="n">
        <v>6</v>
      </c>
      <c r="B16" s="87" t="s">
        <v>1469</v>
      </c>
      <c r="C16" s="82" t="s">
        <v>1470</v>
      </c>
      <c r="D16" s="23" t="s">
        <v>1471</v>
      </c>
      <c r="F16" s="7" t="s">
        <v>1472</v>
      </c>
    </row>
    <row r="17" customFormat="false" ht="15" hidden="false" customHeight="false" outlineLevel="0" collapsed="false">
      <c r="A17" s="23"/>
      <c r="B17" s="87"/>
      <c r="C17" s="82" t="s">
        <v>1473</v>
      </c>
      <c r="D17" s="23" t="s">
        <v>1474</v>
      </c>
      <c r="F17" s="8" t="s">
        <v>6</v>
      </c>
      <c r="G17" s="8" t="s">
        <v>767</v>
      </c>
      <c r="H17" s="62" t="s">
        <v>1475</v>
      </c>
    </row>
    <row r="18" customFormat="false" ht="15" hidden="false" customHeight="true" outlineLevel="0" collapsed="false">
      <c r="A18" s="23" t="n">
        <v>7</v>
      </c>
      <c r="B18" s="87" t="s">
        <v>1476</v>
      </c>
      <c r="C18" s="82" t="s">
        <v>1477</v>
      </c>
      <c r="D18" s="23" t="s">
        <v>1478</v>
      </c>
      <c r="F18" s="23" t="n">
        <v>1</v>
      </c>
      <c r="G18" s="61" t="s">
        <v>682</v>
      </c>
      <c r="H18" s="73" t="s">
        <v>1314</v>
      </c>
    </row>
    <row r="19" customFormat="false" ht="15" hidden="false" customHeight="false" outlineLevel="0" collapsed="false">
      <c r="A19" s="23"/>
      <c r="B19" s="87"/>
      <c r="C19" s="82" t="s">
        <v>1321</v>
      </c>
      <c r="D19" s="23" t="s">
        <v>1479</v>
      </c>
      <c r="F19" s="23" t="n">
        <v>2</v>
      </c>
      <c r="G19" s="61" t="s">
        <v>9</v>
      </c>
      <c r="H19" s="73" t="s">
        <v>719</v>
      </c>
    </row>
    <row r="20" customFormat="false" ht="15" hidden="false" customHeight="true" outlineLevel="0" collapsed="false">
      <c r="A20" s="23" t="n">
        <v>8</v>
      </c>
      <c r="B20" s="87" t="s">
        <v>1480</v>
      </c>
      <c r="C20" s="82" t="s">
        <v>1481</v>
      </c>
      <c r="D20" s="23" t="s">
        <v>1482</v>
      </c>
      <c r="F20" s="23" t="n">
        <v>3</v>
      </c>
      <c r="G20" s="61" t="s">
        <v>12</v>
      </c>
      <c r="H20" s="73" t="s">
        <v>719</v>
      </c>
    </row>
    <row r="21" customFormat="false" ht="15" hidden="false" customHeight="false" outlineLevel="0" collapsed="false">
      <c r="A21" s="23"/>
      <c r="B21" s="87"/>
      <c r="C21" s="82" t="s">
        <v>1483</v>
      </c>
      <c r="D21" s="23" t="s">
        <v>1484</v>
      </c>
      <c r="F21" s="23" t="n">
        <v>4</v>
      </c>
      <c r="G21" s="61" t="s">
        <v>30</v>
      </c>
      <c r="H21" s="73" t="s">
        <v>1323</v>
      </c>
    </row>
    <row r="22" customFormat="false" ht="15" hidden="false" customHeight="true" outlineLevel="0" collapsed="false">
      <c r="A22" s="23" t="n">
        <v>9</v>
      </c>
      <c r="B22" s="87" t="s">
        <v>1485</v>
      </c>
      <c r="C22" s="82" t="s">
        <v>1486</v>
      </c>
      <c r="D22" s="23" t="s">
        <v>1487</v>
      </c>
      <c r="F22" s="23" t="n">
        <v>5</v>
      </c>
      <c r="G22" s="61" t="s">
        <v>32</v>
      </c>
      <c r="H22" s="73" t="s">
        <v>1327</v>
      </c>
    </row>
    <row r="23" customFormat="false" ht="15" hidden="false" customHeight="false" outlineLevel="0" collapsed="false">
      <c r="A23" s="23"/>
      <c r="B23" s="87"/>
      <c r="C23" s="82" t="s">
        <v>721</v>
      </c>
      <c r="D23" s="23" t="s">
        <v>1488</v>
      </c>
      <c r="F23" s="73" t="n">
        <v>6</v>
      </c>
      <c r="G23" s="97" t="s">
        <v>36</v>
      </c>
      <c r="H23" s="73" t="s">
        <v>1330</v>
      </c>
    </row>
    <row r="24" customFormat="false" ht="15" hidden="false" customHeight="false" outlineLevel="0" collapsed="false">
      <c r="F24" s="73" t="n">
        <v>7</v>
      </c>
      <c r="G24" s="97" t="s">
        <v>1201</v>
      </c>
      <c r="H24" s="73" t="s">
        <v>1080</v>
      </c>
    </row>
    <row r="25" customFormat="false" ht="15" hidden="false" customHeight="false" outlineLevel="0" collapsed="false">
      <c r="F25" s="62" t="s">
        <v>39</v>
      </c>
      <c r="G25" s="62"/>
      <c r="H25" s="73" t="s">
        <v>758</v>
      </c>
    </row>
    <row r="27" customFormat="false" ht="15" hidden="false" customHeight="false" outlineLevel="0" collapsed="false">
      <c r="F27" s="7" t="s">
        <v>1489</v>
      </c>
    </row>
    <row r="28" customFormat="false" ht="15" hidden="false" customHeight="false" outlineLevel="0" collapsed="false">
      <c r="F28" s="8" t="s">
        <v>6</v>
      </c>
      <c r="G28" s="8" t="s">
        <v>767</v>
      </c>
      <c r="H28" s="62" t="s">
        <v>1490</v>
      </c>
      <c r="I28" s="62" t="s">
        <v>1491</v>
      </c>
      <c r="J28" s="62" t="s">
        <v>1492</v>
      </c>
      <c r="K28" s="62" t="s">
        <v>1493</v>
      </c>
    </row>
    <row r="29" customFormat="false" ht="15" hidden="false" customHeight="false" outlineLevel="0" collapsed="false">
      <c r="F29" s="23" t="n">
        <v>1</v>
      </c>
      <c r="G29" s="61" t="s">
        <v>778</v>
      </c>
      <c r="H29" s="73" t="s">
        <v>1349</v>
      </c>
      <c r="I29" s="73" t="s">
        <v>1351</v>
      </c>
      <c r="J29" s="73" t="s">
        <v>1351</v>
      </c>
      <c r="K29" s="73" t="s">
        <v>1352</v>
      </c>
    </row>
    <row r="30" customFormat="false" ht="15" hidden="false" customHeight="false" outlineLevel="0" collapsed="false">
      <c r="F30" s="23" t="n">
        <v>2</v>
      </c>
      <c r="G30" s="61" t="s">
        <v>786</v>
      </c>
      <c r="H30" s="73" t="s">
        <v>745</v>
      </c>
      <c r="I30" s="73" t="s">
        <v>745</v>
      </c>
      <c r="J30" s="73" t="s">
        <v>719</v>
      </c>
      <c r="K30" s="73" t="s">
        <v>719</v>
      </c>
    </row>
    <row r="31" customFormat="false" ht="15" hidden="false" customHeight="false" outlineLevel="0" collapsed="false">
      <c r="F31" s="23" t="n">
        <v>3</v>
      </c>
      <c r="G31" s="61" t="s">
        <v>12</v>
      </c>
      <c r="H31" s="73" t="s">
        <v>858</v>
      </c>
      <c r="I31" s="73" t="s">
        <v>858</v>
      </c>
      <c r="J31" s="73" t="s">
        <v>719</v>
      </c>
      <c r="K31" s="73" t="s">
        <v>719</v>
      </c>
    </row>
    <row r="32" customFormat="false" ht="15" hidden="false" customHeight="false" outlineLevel="0" collapsed="false">
      <c r="F32" s="23" t="n">
        <v>4</v>
      </c>
      <c r="G32" s="61" t="s">
        <v>38</v>
      </c>
      <c r="H32" s="73" t="s">
        <v>1177</v>
      </c>
      <c r="I32" s="73" t="s">
        <v>1177</v>
      </c>
      <c r="J32" s="73" t="s">
        <v>1177</v>
      </c>
      <c r="K32" s="73" t="s">
        <v>1177</v>
      </c>
    </row>
    <row r="33" customFormat="false" ht="15" hidden="false" customHeight="false" outlineLevel="0" collapsed="false">
      <c r="F33" s="23" t="n">
        <v>5</v>
      </c>
      <c r="G33" s="61" t="s">
        <v>981</v>
      </c>
      <c r="H33" s="73" t="s">
        <v>719</v>
      </c>
      <c r="I33" s="73" t="s">
        <v>1080</v>
      </c>
      <c r="J33" s="73" t="s">
        <v>1080</v>
      </c>
      <c r="K33" s="73" t="s">
        <v>940</v>
      </c>
    </row>
    <row r="34" customFormat="false" ht="15" hidden="false" customHeight="false" outlineLevel="0" collapsed="false">
      <c r="F34" s="62" t="s">
        <v>39</v>
      </c>
      <c r="G34" s="62"/>
      <c r="H34" s="73" t="s">
        <v>758</v>
      </c>
      <c r="I34" s="73" t="s">
        <v>758</v>
      </c>
      <c r="J34" s="73" t="s">
        <v>758</v>
      </c>
      <c r="K34" s="73" t="s">
        <v>758</v>
      </c>
    </row>
  </sheetData>
  <mergeCells count="23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4:G14"/>
    <mergeCell ref="A16:A17"/>
    <mergeCell ref="B16:B17"/>
    <mergeCell ref="A18:A19"/>
    <mergeCell ref="B18:B19"/>
    <mergeCell ref="A20:A21"/>
    <mergeCell ref="B20:B21"/>
    <mergeCell ref="A22:A23"/>
    <mergeCell ref="B22:B23"/>
    <mergeCell ref="F25:G25"/>
    <mergeCell ref="F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36.7"/>
    <col collapsed="false" customWidth="true" hidden="false" outlineLevel="0" max="3" min="3" style="0" width="33.14"/>
    <col collapsed="false" customWidth="true" hidden="false" outlineLevel="0" max="4" min="4" style="0" width="30.14"/>
    <col collapsed="false" customWidth="true" hidden="false" outlineLevel="0" max="6" min="6" style="0" width="6.28"/>
    <col collapsed="false" customWidth="true" hidden="false" outlineLevel="0" max="7" min="7" style="0" width="13.71"/>
    <col collapsed="false" customWidth="true" hidden="false" outlineLevel="0" max="10" min="10" style="0" width="4.7"/>
    <col collapsed="false" customWidth="true" hidden="false" outlineLevel="0" max="11" min="11" style="0" width="14.28"/>
    <col collapsed="false" customWidth="true" hidden="false" outlineLevel="0" max="12" min="12" style="0" width="24.43"/>
    <col collapsed="false" customWidth="true" hidden="false" outlineLevel="0" max="13" min="13" style="0" width="18.57"/>
  </cols>
  <sheetData>
    <row r="2" customFormat="false" ht="15" hidden="false" customHeight="false" outlineLevel="0" collapsed="false">
      <c r="A2" s="69" t="s">
        <v>219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1494</v>
      </c>
      <c r="J4" s="7" t="s">
        <v>1495</v>
      </c>
    </row>
    <row r="5" customFormat="false" ht="15" hidden="false" customHeight="false" outlineLevel="0" collapsed="false">
      <c r="A5" s="8"/>
      <c r="B5" s="8"/>
      <c r="C5" s="8" t="s">
        <v>1496</v>
      </c>
      <c r="D5" s="8" t="s">
        <v>1497</v>
      </c>
      <c r="F5" s="8" t="s">
        <v>6</v>
      </c>
      <c r="G5" s="8" t="s">
        <v>767</v>
      </c>
      <c r="H5" s="62" t="s">
        <v>1491</v>
      </c>
      <c r="J5" s="8" t="s">
        <v>6</v>
      </c>
      <c r="K5" s="8" t="s">
        <v>767</v>
      </c>
      <c r="L5" s="8" t="s">
        <v>1498</v>
      </c>
    </row>
    <row r="6" customFormat="false" ht="15" hidden="false" customHeight="true" outlineLevel="0" collapsed="false">
      <c r="A6" s="23" t="n">
        <v>1</v>
      </c>
      <c r="B6" s="87" t="s">
        <v>1499</v>
      </c>
      <c r="C6" s="73" t="s">
        <v>1500</v>
      </c>
      <c r="D6" s="23" t="s">
        <v>1501</v>
      </c>
      <c r="F6" s="23" t="n">
        <v>1</v>
      </c>
      <c r="G6" s="61" t="s">
        <v>778</v>
      </c>
      <c r="H6" s="73" t="s">
        <v>1351</v>
      </c>
      <c r="J6" s="23" t="n">
        <v>1</v>
      </c>
      <c r="K6" s="25" t="s">
        <v>682</v>
      </c>
      <c r="L6" s="70" t="s">
        <v>741</v>
      </c>
    </row>
    <row r="7" customFormat="false" ht="15" hidden="false" customHeight="false" outlineLevel="0" collapsed="false">
      <c r="A7" s="23"/>
      <c r="B7" s="87"/>
      <c r="C7" s="73" t="s">
        <v>1502</v>
      </c>
      <c r="D7" s="23" t="s">
        <v>1503</v>
      </c>
      <c r="F7" s="23" t="n">
        <v>2</v>
      </c>
      <c r="G7" s="61" t="s">
        <v>786</v>
      </c>
      <c r="H7" s="73" t="s">
        <v>745</v>
      </c>
      <c r="J7" s="23" t="n">
        <v>2</v>
      </c>
      <c r="K7" s="25" t="s">
        <v>9</v>
      </c>
      <c r="L7" s="70" t="s">
        <v>745</v>
      </c>
    </row>
    <row r="8" customFormat="false" ht="15" hidden="false" customHeight="true" outlineLevel="0" collapsed="false">
      <c r="A8" s="23" t="n">
        <v>2</v>
      </c>
      <c r="B8" s="87" t="s">
        <v>1504</v>
      </c>
      <c r="C8" s="73" t="s">
        <v>1505</v>
      </c>
      <c r="D8" s="23" t="s">
        <v>1506</v>
      </c>
      <c r="F8" s="23" t="n">
        <v>4</v>
      </c>
      <c r="G8" s="61" t="s">
        <v>38</v>
      </c>
      <c r="H8" s="73" t="s">
        <v>1177</v>
      </c>
      <c r="J8" s="70" t="n">
        <v>3</v>
      </c>
      <c r="K8" s="83" t="s">
        <v>30</v>
      </c>
      <c r="L8" s="70" t="s">
        <v>749</v>
      </c>
    </row>
    <row r="9" customFormat="false" ht="15" hidden="false" customHeight="false" outlineLevel="0" collapsed="false">
      <c r="A9" s="23"/>
      <c r="B9" s="87"/>
      <c r="C9" s="73" t="s">
        <v>1507</v>
      </c>
      <c r="D9" s="23" t="s">
        <v>1508</v>
      </c>
      <c r="F9" s="86" t="n">
        <v>5</v>
      </c>
      <c r="G9" s="85" t="s">
        <v>981</v>
      </c>
      <c r="H9" s="90" t="s">
        <v>1080</v>
      </c>
      <c r="J9" s="23" t="n">
        <v>4</v>
      </c>
      <c r="K9" s="56" t="s">
        <v>32</v>
      </c>
      <c r="L9" s="70" t="s">
        <v>751</v>
      </c>
    </row>
    <row r="10" customFormat="false" ht="15" hidden="false" customHeight="true" outlineLevel="0" collapsed="false">
      <c r="A10" s="23" t="n">
        <v>3</v>
      </c>
      <c r="B10" s="87" t="s">
        <v>1509</v>
      </c>
      <c r="C10" s="73" t="s">
        <v>1510</v>
      </c>
      <c r="D10" s="73" t="s">
        <v>1511</v>
      </c>
      <c r="F10" s="62" t="s">
        <v>39</v>
      </c>
      <c r="G10" s="62"/>
      <c r="H10" s="73" t="s">
        <v>758</v>
      </c>
      <c r="J10" s="23" t="n">
        <v>5</v>
      </c>
      <c r="K10" s="56" t="s">
        <v>36</v>
      </c>
      <c r="L10" s="70" t="s">
        <v>754</v>
      </c>
    </row>
    <row r="11" customFormat="false" ht="15" hidden="false" customHeight="false" outlineLevel="0" collapsed="false">
      <c r="A11" s="23"/>
      <c r="B11" s="87"/>
      <c r="C11" s="73" t="s">
        <v>1512</v>
      </c>
      <c r="D11" s="73" t="s">
        <v>980</v>
      </c>
      <c r="F11" s="72"/>
      <c r="G11" s="72"/>
      <c r="H11" s="96"/>
      <c r="J11" s="23" t="n">
        <v>6</v>
      </c>
      <c r="K11" s="56" t="s">
        <v>651</v>
      </c>
      <c r="L11" s="70" t="s">
        <v>755</v>
      </c>
    </row>
    <row r="12" customFormat="false" ht="15" hidden="false" customHeight="true" outlineLevel="0" collapsed="false">
      <c r="A12" s="43" t="n">
        <v>4</v>
      </c>
      <c r="B12" s="87" t="s">
        <v>1513</v>
      </c>
      <c r="C12" s="73" t="s">
        <v>1514</v>
      </c>
      <c r="D12" s="73" t="s">
        <v>1515</v>
      </c>
      <c r="F12" s="7" t="s">
        <v>1516</v>
      </c>
      <c r="J12" s="62" t="s">
        <v>39</v>
      </c>
      <c r="K12" s="62"/>
      <c r="L12" s="70" t="s">
        <v>758</v>
      </c>
    </row>
    <row r="13" customFormat="false" ht="15" hidden="false" customHeight="false" outlineLevel="0" collapsed="false">
      <c r="A13" s="43"/>
      <c r="B13" s="87"/>
      <c r="C13" s="90" t="s">
        <v>1517</v>
      </c>
      <c r="D13" s="90" t="s">
        <v>1518</v>
      </c>
      <c r="F13" s="8" t="s">
        <v>6</v>
      </c>
      <c r="G13" s="8" t="s">
        <v>767</v>
      </c>
      <c r="H13" s="62" t="n">
        <v>36</v>
      </c>
    </row>
    <row r="14" customFormat="false" ht="15" hidden="false" customHeight="true" outlineLevel="0" collapsed="false">
      <c r="A14" s="23" t="n">
        <v>5</v>
      </c>
      <c r="B14" s="87" t="s">
        <v>1519</v>
      </c>
      <c r="C14" s="82" t="s">
        <v>1520</v>
      </c>
      <c r="D14" s="23" t="s">
        <v>1521</v>
      </c>
      <c r="F14" s="23" t="n">
        <v>1</v>
      </c>
      <c r="G14" s="61" t="s">
        <v>682</v>
      </c>
      <c r="H14" s="73" t="s">
        <v>1446</v>
      </c>
      <c r="J14" s="7" t="s">
        <v>1522</v>
      </c>
    </row>
    <row r="15" customFormat="false" ht="15" hidden="false" customHeight="false" outlineLevel="0" collapsed="false">
      <c r="A15" s="23"/>
      <c r="B15" s="87"/>
      <c r="C15" s="82" t="s">
        <v>1523</v>
      </c>
      <c r="D15" s="23" t="s">
        <v>1524</v>
      </c>
      <c r="F15" s="23" t="n">
        <v>2</v>
      </c>
      <c r="G15" s="61" t="s">
        <v>778</v>
      </c>
      <c r="H15" s="73" t="s">
        <v>902</v>
      </c>
      <c r="J15" s="8" t="s">
        <v>6</v>
      </c>
      <c r="K15" s="8" t="s">
        <v>767</v>
      </c>
      <c r="L15" s="8" t="s">
        <v>1525</v>
      </c>
      <c r="M15" s="8" t="s">
        <v>222</v>
      </c>
    </row>
    <row r="16" customFormat="false" ht="15" hidden="false" customHeight="true" outlineLevel="0" collapsed="false">
      <c r="A16" s="23" t="n">
        <v>6</v>
      </c>
      <c r="B16" s="87" t="s">
        <v>1526</v>
      </c>
      <c r="C16" s="82" t="s">
        <v>1527</v>
      </c>
      <c r="D16" s="23" t="s">
        <v>1528</v>
      </c>
      <c r="F16" s="23" t="n">
        <v>3</v>
      </c>
      <c r="G16" s="61" t="s">
        <v>1065</v>
      </c>
      <c r="H16" s="73" t="s">
        <v>745</v>
      </c>
      <c r="J16" s="23" t="n">
        <v>1</v>
      </c>
      <c r="K16" s="25" t="s">
        <v>682</v>
      </c>
      <c r="L16" s="70" t="s">
        <v>1529</v>
      </c>
      <c r="M16" s="70" t="s">
        <v>1530</v>
      </c>
    </row>
    <row r="17" customFormat="false" ht="15" hidden="false" customHeight="false" outlineLevel="0" collapsed="false">
      <c r="A17" s="23"/>
      <c r="B17" s="87"/>
      <c r="C17" s="82" t="s">
        <v>552</v>
      </c>
      <c r="D17" s="23" t="s">
        <v>1531</v>
      </c>
      <c r="F17" s="23" t="n">
        <v>4</v>
      </c>
      <c r="G17" s="61" t="s">
        <v>12</v>
      </c>
      <c r="H17" s="73" t="s">
        <v>858</v>
      </c>
      <c r="J17" s="23" t="n">
        <v>2</v>
      </c>
      <c r="K17" s="25" t="s">
        <v>9</v>
      </c>
      <c r="L17" s="70" t="s">
        <v>1394</v>
      </c>
      <c r="M17" s="70" t="s">
        <v>1394</v>
      </c>
    </row>
    <row r="18" customFormat="false" ht="15" hidden="false" customHeight="true" outlineLevel="0" collapsed="false">
      <c r="A18" s="23" t="n">
        <v>7</v>
      </c>
      <c r="B18" s="87" t="s">
        <v>1532</v>
      </c>
      <c r="C18" s="82" t="s">
        <v>1533</v>
      </c>
      <c r="D18" s="23" t="s">
        <v>1534</v>
      </c>
      <c r="F18" s="23" t="n">
        <v>5</v>
      </c>
      <c r="G18" s="61" t="s">
        <v>786</v>
      </c>
      <c r="H18" s="73" t="s">
        <v>719</v>
      </c>
      <c r="J18" s="70" t="n">
        <v>3</v>
      </c>
      <c r="K18" s="83" t="s">
        <v>30</v>
      </c>
      <c r="L18" s="70" t="s">
        <v>745</v>
      </c>
      <c r="M18" s="70" t="s">
        <v>745</v>
      </c>
    </row>
    <row r="19" customFormat="false" ht="15" hidden="false" customHeight="false" outlineLevel="0" collapsed="false">
      <c r="A19" s="23"/>
      <c r="B19" s="87"/>
      <c r="C19" s="82" t="s">
        <v>1535</v>
      </c>
      <c r="D19" s="23" t="s">
        <v>1536</v>
      </c>
      <c r="F19" s="73" t="n">
        <v>6</v>
      </c>
      <c r="G19" s="97" t="s">
        <v>1006</v>
      </c>
      <c r="H19" s="73" t="s">
        <v>719</v>
      </c>
      <c r="J19" s="23" t="n">
        <v>4</v>
      </c>
      <c r="K19" s="56" t="s">
        <v>32</v>
      </c>
      <c r="L19" s="70" t="s">
        <v>1401</v>
      </c>
      <c r="M19" s="70" t="s">
        <v>1401</v>
      </c>
    </row>
    <row r="20" customFormat="false" ht="15" hidden="false" customHeight="true" outlineLevel="0" collapsed="false">
      <c r="A20" s="23" t="n">
        <v>8</v>
      </c>
      <c r="B20" s="87" t="s">
        <v>1537</v>
      </c>
      <c r="C20" s="82" t="s">
        <v>1538</v>
      </c>
      <c r="D20" s="23" t="s">
        <v>1539</v>
      </c>
      <c r="F20" s="73" t="n">
        <v>7</v>
      </c>
      <c r="G20" s="97" t="s">
        <v>14</v>
      </c>
      <c r="H20" s="73" t="s">
        <v>978</v>
      </c>
      <c r="J20" s="23" t="n">
        <v>5</v>
      </c>
      <c r="K20" s="56" t="s">
        <v>36</v>
      </c>
      <c r="L20" s="70" t="s">
        <v>940</v>
      </c>
      <c r="M20" s="70" t="s">
        <v>1034</v>
      </c>
    </row>
    <row r="21" customFormat="false" ht="15" hidden="false" customHeight="false" outlineLevel="0" collapsed="false">
      <c r="A21" s="23"/>
      <c r="B21" s="87"/>
      <c r="C21" s="82" t="s">
        <v>1540</v>
      </c>
      <c r="D21" s="23" t="s">
        <v>1541</v>
      </c>
      <c r="F21" s="90" t="n">
        <v>8</v>
      </c>
      <c r="G21" s="35" t="s">
        <v>981</v>
      </c>
      <c r="H21" s="90" t="s">
        <v>745</v>
      </c>
      <c r="J21" s="62" t="s">
        <v>39</v>
      </c>
      <c r="K21" s="62"/>
      <c r="L21" s="70" t="s">
        <v>758</v>
      </c>
      <c r="M21" s="70" t="s">
        <v>758</v>
      </c>
    </row>
    <row r="22" customFormat="false" ht="15" hidden="false" customHeight="false" outlineLevel="0" collapsed="false">
      <c r="F22" s="62" t="s">
        <v>39</v>
      </c>
      <c r="G22" s="62"/>
      <c r="H22" s="73" t="s">
        <v>758</v>
      </c>
    </row>
  </sheetData>
  <mergeCells count="22">
    <mergeCell ref="A4:A5"/>
    <mergeCell ref="B4:B5"/>
    <mergeCell ref="A6:A7"/>
    <mergeCell ref="B6:B7"/>
    <mergeCell ref="A8:A9"/>
    <mergeCell ref="B8:B9"/>
    <mergeCell ref="A10:A11"/>
    <mergeCell ref="B10:B11"/>
    <mergeCell ref="F10:G10"/>
    <mergeCell ref="A12:A13"/>
    <mergeCell ref="B12:B13"/>
    <mergeCell ref="J12:K12"/>
    <mergeCell ref="A14:A15"/>
    <mergeCell ref="B14:B15"/>
    <mergeCell ref="A16:A17"/>
    <mergeCell ref="B16:B17"/>
    <mergeCell ref="A18:A19"/>
    <mergeCell ref="B18:B19"/>
    <mergeCell ref="A20:A21"/>
    <mergeCell ref="B20:B21"/>
    <mergeCell ref="J21:K21"/>
    <mergeCell ref="F22:G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9.14"/>
    <col collapsed="false" customWidth="true" hidden="false" outlineLevel="0" max="3" min="3" style="0" width="32.14"/>
    <col collapsed="false" customWidth="true" hidden="false" outlineLevel="0" max="4" min="4" style="0" width="31.57"/>
    <col collapsed="false" customWidth="true" hidden="false" outlineLevel="0" max="6" min="6" style="0" width="6"/>
    <col collapsed="false" customWidth="true" hidden="false" outlineLevel="0" max="7" min="7" style="0" width="13.71"/>
    <col collapsed="false" customWidth="true" hidden="false" outlineLevel="0" max="8" min="8" style="0" width="15.14"/>
    <col collapsed="false" customWidth="true" hidden="false" outlineLevel="0" max="9" min="9" style="0" width="13"/>
  </cols>
  <sheetData>
    <row r="2" customFormat="false" ht="15" hidden="false" customHeight="false" outlineLevel="0" collapsed="false">
      <c r="A2" s="69" t="s">
        <v>225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1542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37</v>
      </c>
      <c r="I5" s="62" t="n">
        <v>38</v>
      </c>
      <c r="J5" s="62" t="n">
        <v>39</v>
      </c>
      <c r="K5" s="62" t="n">
        <v>40</v>
      </c>
      <c r="L5" s="62" t="n">
        <v>41</v>
      </c>
      <c r="M5" s="62" t="n">
        <v>42</v>
      </c>
      <c r="N5" s="62" t="n">
        <v>43</v>
      </c>
      <c r="O5" s="62" t="n">
        <v>44</v>
      </c>
    </row>
    <row r="6" customFormat="false" ht="15" hidden="false" customHeight="true" outlineLevel="0" collapsed="false">
      <c r="A6" s="23" t="n">
        <v>1</v>
      </c>
      <c r="B6" s="87" t="s">
        <v>1543</v>
      </c>
      <c r="C6" s="73" t="s">
        <v>1544</v>
      </c>
      <c r="D6" s="23" t="s">
        <v>1545</v>
      </c>
      <c r="F6" s="23" t="n">
        <v>1</v>
      </c>
      <c r="G6" s="61" t="s">
        <v>682</v>
      </c>
      <c r="H6" s="73" t="s">
        <v>1446</v>
      </c>
      <c r="I6" s="73" t="s">
        <v>1546</v>
      </c>
      <c r="J6" s="73" t="s">
        <v>1546</v>
      </c>
      <c r="K6" s="73" t="s">
        <v>1547</v>
      </c>
      <c r="L6" s="73" t="s">
        <v>1548</v>
      </c>
      <c r="M6" s="73" t="s">
        <v>1446</v>
      </c>
      <c r="N6" s="73" t="s">
        <v>1549</v>
      </c>
      <c r="O6" s="73" t="s">
        <v>1550</v>
      </c>
    </row>
    <row r="7" customFormat="false" ht="15" hidden="false" customHeight="false" outlineLevel="0" collapsed="false">
      <c r="A7" s="23"/>
      <c r="B7" s="87"/>
      <c r="C7" s="73" t="s">
        <v>1176</v>
      </c>
      <c r="D7" s="23" t="s">
        <v>1551</v>
      </c>
      <c r="F7" s="23" t="n">
        <v>2</v>
      </c>
      <c r="G7" s="61" t="s">
        <v>778</v>
      </c>
      <c r="H7" s="73" t="s">
        <v>902</v>
      </c>
      <c r="I7" s="73" t="s">
        <v>903</v>
      </c>
      <c r="J7" s="73" t="s">
        <v>903</v>
      </c>
      <c r="K7" s="73" t="s">
        <v>903</v>
      </c>
      <c r="L7" s="73" t="s">
        <v>902</v>
      </c>
      <c r="M7" s="73" t="s">
        <v>903</v>
      </c>
      <c r="N7" s="73" t="s">
        <v>1378</v>
      </c>
      <c r="O7" s="73" t="s">
        <v>1452</v>
      </c>
    </row>
    <row r="8" customFormat="false" ht="15" hidden="false" customHeight="true" outlineLevel="0" collapsed="false">
      <c r="A8" s="23" t="n">
        <v>2</v>
      </c>
      <c r="B8" s="87" t="s">
        <v>1552</v>
      </c>
      <c r="C8" s="73" t="s">
        <v>1553</v>
      </c>
      <c r="D8" s="23" t="s">
        <v>1554</v>
      </c>
      <c r="F8" s="23" t="n">
        <v>3</v>
      </c>
      <c r="G8" s="61" t="s">
        <v>1065</v>
      </c>
      <c r="H8" s="73" t="s">
        <v>745</v>
      </c>
      <c r="I8" s="73" t="s">
        <v>745</v>
      </c>
      <c r="J8" s="73" t="s">
        <v>745</v>
      </c>
      <c r="K8" s="73" t="s">
        <v>745</v>
      </c>
      <c r="L8" s="73" t="s">
        <v>1378</v>
      </c>
      <c r="M8" s="73" t="s">
        <v>1378</v>
      </c>
      <c r="N8" s="73" t="s">
        <v>858</v>
      </c>
      <c r="O8" s="73" t="s">
        <v>858</v>
      </c>
    </row>
    <row r="9" customFormat="false" ht="15" hidden="false" customHeight="false" outlineLevel="0" collapsed="false">
      <c r="A9" s="23"/>
      <c r="B9" s="87"/>
      <c r="C9" s="73" t="s">
        <v>1555</v>
      </c>
      <c r="D9" s="23" t="s">
        <v>1556</v>
      </c>
      <c r="F9" s="23" t="n">
        <v>4</v>
      </c>
      <c r="G9" s="61" t="s">
        <v>12</v>
      </c>
      <c r="H9" s="73" t="s">
        <v>858</v>
      </c>
      <c r="I9" s="73" t="s">
        <v>858</v>
      </c>
      <c r="J9" s="73" t="s">
        <v>858</v>
      </c>
      <c r="K9" s="73" t="s">
        <v>858</v>
      </c>
      <c r="L9" s="73" t="s">
        <v>858</v>
      </c>
      <c r="M9" s="73" t="s">
        <v>858</v>
      </c>
      <c r="N9" s="73" t="s">
        <v>858</v>
      </c>
      <c r="O9" s="73" t="s">
        <v>858</v>
      </c>
    </row>
    <row r="10" customFormat="false" ht="15" hidden="false" customHeight="true" outlineLevel="0" collapsed="false">
      <c r="A10" s="23" t="n">
        <v>3</v>
      </c>
      <c r="B10" s="87" t="s">
        <v>1557</v>
      </c>
      <c r="C10" s="73" t="s">
        <v>1558</v>
      </c>
      <c r="D10" s="73" t="s">
        <v>1559</v>
      </c>
      <c r="F10" s="23" t="n">
        <v>5</v>
      </c>
      <c r="G10" s="61" t="s">
        <v>786</v>
      </c>
      <c r="H10" s="73" t="s">
        <v>745</v>
      </c>
      <c r="I10" s="73" t="s">
        <v>719</v>
      </c>
      <c r="J10" s="73" t="s">
        <v>745</v>
      </c>
      <c r="K10" s="73" t="s">
        <v>745</v>
      </c>
      <c r="L10" s="73" t="s">
        <v>858</v>
      </c>
      <c r="M10" s="73" t="s">
        <v>719</v>
      </c>
      <c r="N10" s="73" t="s">
        <v>745</v>
      </c>
      <c r="O10" s="73" t="s">
        <v>745</v>
      </c>
    </row>
    <row r="11" customFormat="false" ht="15" hidden="false" customHeight="false" outlineLevel="0" collapsed="false">
      <c r="A11" s="23"/>
      <c r="B11" s="87"/>
      <c r="C11" s="73" t="s">
        <v>1560</v>
      </c>
      <c r="D11" s="73" t="s">
        <v>1116</v>
      </c>
      <c r="F11" s="73" t="n">
        <v>6</v>
      </c>
      <c r="G11" s="97" t="s">
        <v>1266</v>
      </c>
      <c r="H11" s="73" t="s">
        <v>858</v>
      </c>
      <c r="I11" s="73" t="s">
        <v>719</v>
      </c>
      <c r="J11" s="73" t="s">
        <v>858</v>
      </c>
      <c r="K11" s="73" t="s">
        <v>858</v>
      </c>
      <c r="L11" s="73" t="s">
        <v>745</v>
      </c>
      <c r="M11" s="73" t="s">
        <v>719</v>
      </c>
      <c r="N11" s="73" t="s">
        <v>858</v>
      </c>
      <c r="O11" s="73" t="s">
        <v>858</v>
      </c>
    </row>
    <row r="12" customFormat="false" ht="15" hidden="false" customHeight="true" outlineLevel="0" collapsed="false">
      <c r="A12" s="43" t="n">
        <v>4</v>
      </c>
      <c r="B12" s="87" t="s">
        <v>1561</v>
      </c>
      <c r="C12" s="73" t="s">
        <v>1562</v>
      </c>
      <c r="D12" s="73" t="s">
        <v>1563</v>
      </c>
      <c r="F12" s="73" t="n">
        <v>7</v>
      </c>
      <c r="G12" s="97" t="s">
        <v>14</v>
      </c>
      <c r="H12" s="73" t="s">
        <v>978</v>
      </c>
      <c r="I12" s="73" t="s">
        <v>978</v>
      </c>
      <c r="J12" s="73" t="s">
        <v>978</v>
      </c>
      <c r="K12" s="73" t="s">
        <v>978</v>
      </c>
      <c r="L12" s="73" t="s">
        <v>978</v>
      </c>
      <c r="M12" s="73" t="s">
        <v>978</v>
      </c>
      <c r="N12" s="73" t="s">
        <v>978</v>
      </c>
      <c r="O12" s="73" t="s">
        <v>978</v>
      </c>
    </row>
    <row r="13" customFormat="false" ht="15" hidden="false" customHeight="false" outlineLevel="0" collapsed="false">
      <c r="A13" s="43"/>
      <c r="B13" s="87"/>
      <c r="C13" s="90" t="s">
        <v>1564</v>
      </c>
      <c r="D13" s="90" t="s">
        <v>1565</v>
      </c>
      <c r="F13" s="90" t="n">
        <v>8</v>
      </c>
      <c r="G13" s="35" t="s">
        <v>981</v>
      </c>
      <c r="H13" s="90" t="s">
        <v>745</v>
      </c>
      <c r="I13" s="90" t="s">
        <v>745</v>
      </c>
      <c r="J13" s="90" t="s">
        <v>745</v>
      </c>
      <c r="K13" s="90" t="s">
        <v>745</v>
      </c>
      <c r="L13" s="90" t="s">
        <v>1248</v>
      </c>
      <c r="M13" s="90" t="s">
        <v>745</v>
      </c>
      <c r="N13" s="90" t="s">
        <v>745</v>
      </c>
      <c r="O13" s="90" t="s">
        <v>745</v>
      </c>
    </row>
    <row r="14" customFormat="false" ht="15" hidden="false" customHeight="true" outlineLevel="0" collapsed="false">
      <c r="A14" s="23" t="n">
        <v>5</v>
      </c>
      <c r="B14" s="87" t="s">
        <v>1566</v>
      </c>
      <c r="C14" s="82" t="s">
        <v>1567</v>
      </c>
      <c r="D14" s="23" t="s">
        <v>1568</v>
      </c>
      <c r="F14" s="73" t="n">
        <v>9</v>
      </c>
      <c r="G14" s="97" t="s">
        <v>1033</v>
      </c>
      <c r="H14" s="73" t="s">
        <v>858</v>
      </c>
      <c r="I14" s="73" t="s">
        <v>858</v>
      </c>
      <c r="J14" s="73" t="s">
        <v>858</v>
      </c>
      <c r="K14" s="73" t="s">
        <v>858</v>
      </c>
      <c r="L14" s="73" t="s">
        <v>1034</v>
      </c>
      <c r="M14" s="73" t="s">
        <v>858</v>
      </c>
      <c r="N14" s="73" t="s">
        <v>858</v>
      </c>
      <c r="O14" s="73" t="s">
        <v>858</v>
      </c>
    </row>
    <row r="15" customFormat="false" ht="15" hidden="false" customHeight="false" outlineLevel="0" collapsed="false">
      <c r="A15" s="23"/>
      <c r="B15" s="87"/>
      <c r="C15" s="82" t="s">
        <v>1569</v>
      </c>
      <c r="D15" s="23" t="s">
        <v>1570</v>
      </c>
      <c r="F15" s="62" t="s">
        <v>39</v>
      </c>
      <c r="G15" s="62"/>
      <c r="H15" s="73" t="s">
        <v>758</v>
      </c>
      <c r="I15" s="73" t="s">
        <v>758</v>
      </c>
      <c r="J15" s="73" t="s">
        <v>758</v>
      </c>
      <c r="K15" s="73" t="s">
        <v>758</v>
      </c>
      <c r="L15" s="73" t="s">
        <v>758</v>
      </c>
      <c r="M15" s="73" t="s">
        <v>758</v>
      </c>
      <c r="N15" s="73" t="s">
        <v>758</v>
      </c>
      <c r="O15" s="73" t="s">
        <v>758</v>
      </c>
    </row>
    <row r="16" customFormat="false" ht="15" hidden="false" customHeight="true" outlineLevel="0" collapsed="false">
      <c r="A16" s="23" t="n">
        <v>6</v>
      </c>
      <c r="B16" s="87" t="s">
        <v>1571</v>
      </c>
      <c r="C16" s="82" t="s">
        <v>1572</v>
      </c>
      <c r="D16" s="23" t="s">
        <v>1573</v>
      </c>
    </row>
    <row r="17" customFormat="false" ht="15" hidden="false" customHeight="false" outlineLevel="0" collapsed="false">
      <c r="A17" s="23"/>
      <c r="B17" s="87"/>
      <c r="C17" s="82" t="s">
        <v>1574</v>
      </c>
      <c r="D17" s="23" t="s">
        <v>1575</v>
      </c>
      <c r="F17" s="7" t="s">
        <v>1576</v>
      </c>
    </row>
    <row r="18" customFormat="false" ht="15" hidden="false" customHeight="true" outlineLevel="0" collapsed="false">
      <c r="A18" s="23" t="n">
        <v>7</v>
      </c>
      <c r="B18" s="87" t="s">
        <v>1577</v>
      </c>
      <c r="C18" s="82" t="s">
        <v>1578</v>
      </c>
      <c r="D18" s="23" t="s">
        <v>1579</v>
      </c>
      <c r="F18" s="8" t="s">
        <v>6</v>
      </c>
      <c r="G18" s="8" t="s">
        <v>767</v>
      </c>
      <c r="H18" s="62" t="s">
        <v>1580</v>
      </c>
      <c r="I18" s="62" t="s">
        <v>1581</v>
      </c>
    </row>
    <row r="19" customFormat="false" ht="15" hidden="false" customHeight="false" outlineLevel="0" collapsed="false">
      <c r="A19" s="23"/>
      <c r="B19" s="87"/>
      <c r="C19" s="82" t="s">
        <v>1582</v>
      </c>
      <c r="D19" s="23" t="s">
        <v>1583</v>
      </c>
      <c r="F19" s="23" t="n">
        <v>1</v>
      </c>
      <c r="G19" s="61" t="s">
        <v>778</v>
      </c>
      <c r="H19" s="73" t="s">
        <v>1584</v>
      </c>
      <c r="I19" s="73" t="s">
        <v>1352</v>
      </c>
    </row>
    <row r="20" customFormat="false" ht="15" hidden="false" customHeight="true" outlineLevel="0" collapsed="false">
      <c r="A20" s="23" t="n">
        <v>8</v>
      </c>
      <c r="B20" s="87" t="s">
        <v>1585</v>
      </c>
      <c r="C20" s="82" t="s">
        <v>1586</v>
      </c>
      <c r="D20" s="23" t="s">
        <v>1587</v>
      </c>
      <c r="F20" s="23" t="n">
        <v>2</v>
      </c>
      <c r="G20" s="61" t="s">
        <v>786</v>
      </c>
      <c r="H20" s="73" t="s">
        <v>745</v>
      </c>
      <c r="I20" s="73" t="s">
        <v>745</v>
      </c>
    </row>
    <row r="21" customFormat="false" ht="15" hidden="false" customHeight="false" outlineLevel="0" collapsed="false">
      <c r="A21" s="23"/>
      <c r="B21" s="87"/>
      <c r="C21" s="82" t="s">
        <v>1588</v>
      </c>
      <c r="D21" s="23" t="s">
        <v>1589</v>
      </c>
      <c r="F21" s="23" t="n">
        <v>4</v>
      </c>
      <c r="G21" s="61" t="s">
        <v>38</v>
      </c>
      <c r="H21" s="73" t="s">
        <v>1177</v>
      </c>
      <c r="I21" s="73" t="s">
        <v>1177</v>
      </c>
    </row>
    <row r="22" customFormat="false" ht="15" hidden="false" customHeight="true" outlineLevel="0" collapsed="false">
      <c r="A22" s="43" t="n">
        <v>9</v>
      </c>
      <c r="B22" s="87" t="s">
        <v>1590</v>
      </c>
      <c r="C22" s="82" t="s">
        <v>1591</v>
      </c>
      <c r="D22" s="23" t="s">
        <v>1592</v>
      </c>
      <c r="F22" s="23" t="n">
        <v>5</v>
      </c>
      <c r="G22" s="61" t="s">
        <v>981</v>
      </c>
      <c r="H22" s="73" t="s">
        <v>1593</v>
      </c>
      <c r="I22" s="73" t="s">
        <v>940</v>
      </c>
    </row>
    <row r="23" customFormat="false" ht="15" hidden="false" customHeight="false" outlineLevel="0" collapsed="false">
      <c r="A23" s="43"/>
      <c r="B23" s="87"/>
      <c r="C23" s="128" t="s">
        <v>973</v>
      </c>
      <c r="D23" s="86" t="s">
        <v>1594</v>
      </c>
      <c r="F23" s="62" t="s">
        <v>39</v>
      </c>
      <c r="G23" s="62"/>
      <c r="H23" s="73" t="s">
        <v>758</v>
      </c>
      <c r="I23" s="73" t="s">
        <v>758</v>
      </c>
    </row>
    <row r="24" customFormat="false" ht="15" hidden="false" customHeight="true" outlineLevel="0" collapsed="false">
      <c r="A24" s="23" t="n">
        <v>10</v>
      </c>
      <c r="B24" s="87" t="s">
        <v>1595</v>
      </c>
      <c r="C24" s="73" t="s">
        <v>1596</v>
      </c>
      <c r="D24" s="73" t="s">
        <v>1597</v>
      </c>
    </row>
    <row r="25" customFormat="false" ht="15" hidden="false" customHeight="false" outlineLevel="0" collapsed="false">
      <c r="A25" s="23"/>
      <c r="B25" s="87"/>
      <c r="C25" s="73" t="s">
        <v>1598</v>
      </c>
      <c r="D25" s="73" t="s">
        <v>1599</v>
      </c>
    </row>
  </sheetData>
  <mergeCells count="24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5:G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33.43"/>
    <col collapsed="false" customWidth="true" hidden="false" outlineLevel="0" max="3" min="3" style="0" width="30.29"/>
    <col collapsed="false" customWidth="true" hidden="false" outlineLevel="0" max="4" min="4" style="0" width="29.57"/>
    <col collapsed="false" customWidth="true" hidden="false" outlineLevel="0" max="6" min="6" style="0" width="4.43"/>
    <col collapsed="false" customWidth="true" hidden="false" outlineLevel="0" max="7" min="7" style="0" width="13.71"/>
    <col collapsed="false" customWidth="true" hidden="false" outlineLevel="0" max="8" min="8" style="0" width="14.43"/>
    <col collapsed="false" customWidth="true" hidden="false" outlineLevel="0" max="10" min="10" style="0" width="5.14"/>
    <col collapsed="false" customWidth="true" hidden="false" outlineLevel="0" max="11" min="11" style="0" width="13.71"/>
    <col collapsed="false" customWidth="true" hidden="false" outlineLevel="0" max="12" min="12" style="0" width="13.43"/>
  </cols>
  <sheetData>
    <row r="2" customFormat="false" ht="15" hidden="false" customHeight="false" outlineLevel="0" collapsed="false">
      <c r="A2" s="69" t="s">
        <v>236</v>
      </c>
    </row>
    <row r="3" customFormat="false" ht="15" hidden="false" customHeight="false" outlineLevel="0" collapsed="false">
      <c r="F3" s="7" t="s">
        <v>1600</v>
      </c>
      <c r="J3" s="7" t="s">
        <v>1601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8" t="s">
        <v>767</v>
      </c>
      <c r="H4" s="62" t="s">
        <v>1602</v>
      </c>
      <c r="J4" s="8" t="s">
        <v>6</v>
      </c>
      <c r="K4" s="8" t="s">
        <v>767</v>
      </c>
      <c r="L4" s="62" t="s">
        <v>1603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1</v>
      </c>
      <c r="G5" s="61" t="s">
        <v>682</v>
      </c>
      <c r="H5" s="73" t="s">
        <v>1315</v>
      </c>
      <c r="J5" s="23" t="n">
        <v>1</v>
      </c>
      <c r="K5" s="61" t="s">
        <v>682</v>
      </c>
      <c r="L5" s="73" t="s">
        <v>1604</v>
      </c>
    </row>
    <row r="6" customFormat="false" ht="15" hidden="false" customHeight="true" outlineLevel="0" collapsed="false">
      <c r="A6" s="23" t="n">
        <v>1</v>
      </c>
      <c r="B6" s="87" t="s">
        <v>1605</v>
      </c>
      <c r="C6" s="73" t="s">
        <v>1606</v>
      </c>
      <c r="D6" s="23" t="s">
        <v>1607</v>
      </c>
      <c r="F6" s="23" t="n">
        <v>2</v>
      </c>
      <c r="G6" s="61" t="s">
        <v>9</v>
      </c>
      <c r="H6" s="73" t="s">
        <v>719</v>
      </c>
      <c r="J6" s="23" t="n">
        <v>2</v>
      </c>
      <c r="K6" s="61" t="s">
        <v>786</v>
      </c>
      <c r="L6" s="73" t="s">
        <v>745</v>
      </c>
    </row>
    <row r="7" customFormat="false" ht="15" hidden="false" customHeight="false" outlineLevel="0" collapsed="false">
      <c r="A7" s="23"/>
      <c r="B7" s="87"/>
      <c r="C7" s="73" t="s">
        <v>1608</v>
      </c>
      <c r="D7" s="23" t="s">
        <v>1609</v>
      </c>
      <c r="F7" s="23" t="n">
        <v>3</v>
      </c>
      <c r="G7" s="61" t="s">
        <v>12</v>
      </c>
      <c r="H7" s="73" t="s">
        <v>719</v>
      </c>
      <c r="J7" s="23" t="n">
        <v>3</v>
      </c>
      <c r="K7" s="61" t="s">
        <v>31</v>
      </c>
      <c r="L7" s="73" t="s">
        <v>1401</v>
      </c>
    </row>
    <row r="8" customFormat="false" ht="15" hidden="false" customHeight="true" outlineLevel="0" collapsed="false">
      <c r="A8" s="23" t="n">
        <v>2</v>
      </c>
      <c r="B8" s="87" t="s">
        <v>1610</v>
      </c>
      <c r="C8" s="73" t="s">
        <v>1611</v>
      </c>
      <c r="D8" s="23" t="s">
        <v>1612</v>
      </c>
      <c r="F8" s="23" t="n">
        <v>4</v>
      </c>
      <c r="G8" s="61" t="s">
        <v>30</v>
      </c>
      <c r="H8" s="73" t="s">
        <v>1323</v>
      </c>
      <c r="J8" s="90" t="n">
        <v>4</v>
      </c>
      <c r="K8" s="124" t="s">
        <v>1404</v>
      </c>
      <c r="L8" s="90" t="s">
        <v>1613</v>
      </c>
    </row>
    <row r="9" customFormat="false" ht="15" hidden="false" customHeight="false" outlineLevel="0" collapsed="false">
      <c r="A9" s="23"/>
      <c r="B9" s="87"/>
      <c r="C9" s="73" t="s">
        <v>1614</v>
      </c>
      <c r="D9" s="23" t="s">
        <v>655</v>
      </c>
      <c r="F9" s="23" t="n">
        <v>5</v>
      </c>
      <c r="G9" s="61" t="s">
        <v>32</v>
      </c>
      <c r="H9" s="73" t="s">
        <v>1327</v>
      </c>
      <c r="J9" s="62" t="s">
        <v>39</v>
      </c>
      <c r="K9" s="62"/>
      <c r="L9" s="73" t="s">
        <v>758</v>
      </c>
    </row>
    <row r="10" customFormat="false" ht="15" hidden="false" customHeight="true" outlineLevel="0" collapsed="false">
      <c r="A10" s="23" t="n">
        <v>3</v>
      </c>
      <c r="B10" s="87" t="s">
        <v>1615</v>
      </c>
      <c r="C10" s="73" t="s">
        <v>1616</v>
      </c>
      <c r="D10" s="73" t="s">
        <v>1617</v>
      </c>
      <c r="F10" s="73" t="n">
        <v>6</v>
      </c>
      <c r="G10" s="97" t="s">
        <v>36</v>
      </c>
      <c r="H10" s="73" t="s">
        <v>1330</v>
      </c>
    </row>
    <row r="11" customFormat="false" ht="15" hidden="false" customHeight="false" outlineLevel="0" collapsed="false">
      <c r="A11" s="23"/>
      <c r="B11" s="87"/>
      <c r="C11" s="73" t="s">
        <v>1393</v>
      </c>
      <c r="D11" s="73" t="s">
        <v>1618</v>
      </c>
      <c r="F11" s="90" t="n">
        <v>7</v>
      </c>
      <c r="G11" s="124" t="s">
        <v>981</v>
      </c>
      <c r="H11" s="90" t="s">
        <v>940</v>
      </c>
      <c r="J11" s="7" t="s">
        <v>1619</v>
      </c>
    </row>
    <row r="12" customFormat="false" ht="15" hidden="false" customHeight="true" outlineLevel="0" collapsed="false">
      <c r="A12" s="43" t="n">
        <v>4</v>
      </c>
      <c r="B12" s="87" t="s">
        <v>1620</v>
      </c>
      <c r="C12" s="73" t="s">
        <v>1621</v>
      </c>
      <c r="D12" s="73" t="s">
        <v>1622</v>
      </c>
      <c r="F12" s="62" t="s">
        <v>39</v>
      </c>
      <c r="G12" s="62"/>
      <c r="H12" s="73" t="s">
        <v>758</v>
      </c>
      <c r="J12" s="8" t="s">
        <v>6</v>
      </c>
      <c r="K12" s="8" t="s">
        <v>767</v>
      </c>
      <c r="L12" s="62" t="s">
        <v>1623</v>
      </c>
    </row>
    <row r="13" customFormat="false" ht="15" hidden="false" customHeight="false" outlineLevel="0" collapsed="false">
      <c r="A13" s="43"/>
      <c r="B13" s="87"/>
      <c r="C13" s="90" t="s">
        <v>1624</v>
      </c>
      <c r="D13" s="90" t="s">
        <v>1625</v>
      </c>
      <c r="J13" s="23" t="n">
        <v>1</v>
      </c>
      <c r="K13" s="61" t="s">
        <v>682</v>
      </c>
      <c r="L13" s="73" t="s">
        <v>1626</v>
      </c>
    </row>
    <row r="14" customFormat="false" ht="15" hidden="false" customHeight="true" outlineLevel="0" collapsed="false">
      <c r="A14" s="23" t="n">
        <v>5</v>
      </c>
      <c r="B14" s="87" t="s">
        <v>1627</v>
      </c>
      <c r="C14" s="82" t="s">
        <v>1628</v>
      </c>
      <c r="D14" s="23" t="s">
        <v>1629</v>
      </c>
      <c r="F14" s="7" t="s">
        <v>1630</v>
      </c>
      <c r="J14" s="23" t="n">
        <v>2</v>
      </c>
      <c r="K14" s="61" t="s">
        <v>19</v>
      </c>
      <c r="L14" s="73" t="s">
        <v>903</v>
      </c>
    </row>
    <row r="15" customFormat="false" ht="15" hidden="false" customHeight="false" outlineLevel="0" collapsed="false">
      <c r="A15" s="23"/>
      <c r="B15" s="87"/>
      <c r="C15" s="82" t="s">
        <v>1631</v>
      </c>
      <c r="D15" s="23" t="s">
        <v>997</v>
      </c>
      <c r="F15" s="8" t="s">
        <v>6</v>
      </c>
      <c r="G15" s="8" t="s">
        <v>767</v>
      </c>
      <c r="H15" s="62" t="s">
        <v>1603</v>
      </c>
      <c r="J15" s="23" t="n">
        <v>3</v>
      </c>
      <c r="K15" s="61" t="s">
        <v>786</v>
      </c>
      <c r="L15" s="73" t="s">
        <v>745</v>
      </c>
    </row>
    <row r="16" customFormat="false" ht="15" hidden="false" customHeight="true" outlineLevel="0" collapsed="false">
      <c r="A16" s="23" t="n">
        <v>6</v>
      </c>
      <c r="B16" s="87" t="s">
        <v>1632</v>
      </c>
      <c r="C16" s="82" t="s">
        <v>1633</v>
      </c>
      <c r="D16" s="23" t="s">
        <v>1634</v>
      </c>
      <c r="F16" s="23" t="n">
        <v>1</v>
      </c>
      <c r="G16" s="61" t="s">
        <v>682</v>
      </c>
      <c r="H16" s="73" t="s">
        <v>1604</v>
      </c>
      <c r="J16" s="23" t="n">
        <v>4</v>
      </c>
      <c r="K16" s="61" t="s">
        <v>31</v>
      </c>
      <c r="L16" s="73" t="s">
        <v>1401</v>
      </c>
    </row>
    <row r="17" customFormat="false" ht="15" hidden="false" customHeight="false" outlineLevel="0" collapsed="false">
      <c r="A17" s="23"/>
      <c r="B17" s="87"/>
      <c r="C17" s="82" t="s">
        <v>1635</v>
      </c>
      <c r="D17" s="23" t="s">
        <v>530</v>
      </c>
      <c r="F17" s="23" t="n">
        <v>2</v>
      </c>
      <c r="G17" s="61" t="s">
        <v>9</v>
      </c>
      <c r="H17" s="73" t="s">
        <v>745</v>
      </c>
      <c r="J17" s="90" t="n">
        <v>5</v>
      </c>
      <c r="K17" s="124" t="s">
        <v>1404</v>
      </c>
      <c r="L17" s="90" t="s">
        <v>1435</v>
      </c>
    </row>
    <row r="18" customFormat="false" ht="15" hidden="false" customHeight="true" outlineLevel="0" collapsed="false">
      <c r="A18" s="23" t="n">
        <v>7</v>
      </c>
      <c r="B18" s="87" t="s">
        <v>1636</v>
      </c>
      <c r="C18" s="82" t="s">
        <v>1637</v>
      </c>
      <c r="D18" s="23" t="s">
        <v>1638</v>
      </c>
      <c r="F18" s="23" t="n">
        <v>3</v>
      </c>
      <c r="G18" s="61" t="s">
        <v>30</v>
      </c>
      <c r="H18" s="73" t="s">
        <v>1323</v>
      </c>
      <c r="J18" s="62" t="s">
        <v>39</v>
      </c>
      <c r="K18" s="62"/>
      <c r="L18" s="73" t="s">
        <v>758</v>
      </c>
    </row>
    <row r="19" customFormat="false" ht="15" hidden="false" customHeight="false" outlineLevel="0" collapsed="false">
      <c r="A19" s="23"/>
      <c r="B19" s="87"/>
      <c r="C19" s="82" t="s">
        <v>1639</v>
      </c>
      <c r="D19" s="23" t="s">
        <v>1640</v>
      </c>
      <c r="F19" s="23" t="n">
        <v>4</v>
      </c>
      <c r="G19" s="61" t="s">
        <v>32</v>
      </c>
      <c r="H19" s="73" t="s">
        <v>1641</v>
      </c>
    </row>
    <row r="20" customFormat="false" ht="15" hidden="false" customHeight="true" outlineLevel="0" collapsed="false">
      <c r="A20" s="23" t="n">
        <v>8</v>
      </c>
      <c r="B20" s="87" t="s">
        <v>1642</v>
      </c>
      <c r="C20" s="82" t="s">
        <v>1643</v>
      </c>
      <c r="D20" s="23" t="s">
        <v>1644</v>
      </c>
      <c r="F20" s="90" t="n">
        <v>5</v>
      </c>
      <c r="G20" s="124" t="s">
        <v>36</v>
      </c>
      <c r="H20" s="90" t="s">
        <v>1645</v>
      </c>
      <c r="J20" s="7" t="s">
        <v>1646</v>
      </c>
    </row>
    <row r="21" customFormat="false" ht="15" hidden="false" customHeight="false" outlineLevel="0" collapsed="false">
      <c r="A21" s="23"/>
      <c r="B21" s="87"/>
      <c r="C21" s="82" t="s">
        <v>1647</v>
      </c>
      <c r="D21" s="23" t="s">
        <v>1262</v>
      </c>
      <c r="F21" s="73" t="n">
        <v>6</v>
      </c>
      <c r="G21" s="97" t="s">
        <v>1404</v>
      </c>
      <c r="H21" s="73" t="s">
        <v>1648</v>
      </c>
      <c r="J21" s="8" t="s">
        <v>6</v>
      </c>
      <c r="K21" s="8" t="s">
        <v>767</v>
      </c>
      <c r="L21" s="62" t="s">
        <v>1649</v>
      </c>
    </row>
    <row r="22" customFormat="false" ht="15" hidden="false" customHeight="true" outlineLevel="0" collapsed="false">
      <c r="A22" s="43" t="n">
        <v>9</v>
      </c>
      <c r="B22" s="87" t="s">
        <v>1650</v>
      </c>
      <c r="C22" s="82" t="s">
        <v>1651</v>
      </c>
      <c r="D22" s="23" t="s">
        <v>1652</v>
      </c>
      <c r="F22" s="62" t="s">
        <v>39</v>
      </c>
      <c r="G22" s="62"/>
      <c r="H22" s="73" t="s">
        <v>758</v>
      </c>
      <c r="J22" s="23" t="n">
        <v>1</v>
      </c>
      <c r="K22" s="61" t="s">
        <v>682</v>
      </c>
      <c r="L22" s="73" t="s">
        <v>1653</v>
      </c>
    </row>
    <row r="23" customFormat="false" ht="15" hidden="false" customHeight="false" outlineLevel="0" collapsed="false">
      <c r="A23" s="43"/>
      <c r="B23" s="87"/>
      <c r="C23" s="128" t="s">
        <v>1347</v>
      </c>
      <c r="D23" s="86" t="s">
        <v>1654</v>
      </c>
      <c r="J23" s="23" t="n">
        <v>2</v>
      </c>
      <c r="K23" s="61" t="s">
        <v>19</v>
      </c>
      <c r="L23" s="73" t="s">
        <v>1655</v>
      </c>
    </row>
    <row r="24" customFormat="false" ht="15" hidden="false" customHeight="true" outlineLevel="0" collapsed="false">
      <c r="A24" s="23" t="n">
        <v>10</v>
      </c>
      <c r="B24" s="87" t="s">
        <v>1656</v>
      </c>
      <c r="C24" s="73" t="s">
        <v>1657</v>
      </c>
      <c r="D24" s="73" t="s">
        <v>1658</v>
      </c>
      <c r="F24" s="7" t="s">
        <v>1659</v>
      </c>
      <c r="J24" s="23" t="n">
        <v>3</v>
      </c>
      <c r="K24" s="61" t="s">
        <v>786</v>
      </c>
      <c r="L24" s="73" t="s">
        <v>745</v>
      </c>
    </row>
    <row r="25" customFormat="false" ht="15" hidden="false" customHeight="false" outlineLevel="0" collapsed="false">
      <c r="A25" s="23"/>
      <c r="B25" s="87"/>
      <c r="C25" s="73" t="s">
        <v>1660</v>
      </c>
      <c r="D25" s="73" t="s">
        <v>1483</v>
      </c>
      <c r="F25" s="8" t="s">
        <v>6</v>
      </c>
      <c r="G25" s="8" t="s">
        <v>767</v>
      </c>
      <c r="H25" s="62" t="s">
        <v>1661</v>
      </c>
      <c r="J25" s="23" t="n">
        <v>4</v>
      </c>
      <c r="K25" s="61" t="s">
        <v>31</v>
      </c>
      <c r="L25" s="73" t="s">
        <v>1401</v>
      </c>
    </row>
    <row r="26" customFormat="false" ht="15" hidden="false" customHeight="true" outlineLevel="0" collapsed="false">
      <c r="A26" s="23" t="n">
        <v>11</v>
      </c>
      <c r="B26" s="87" t="s">
        <v>1662</v>
      </c>
      <c r="C26" s="73" t="s">
        <v>1663</v>
      </c>
      <c r="D26" s="73" t="s">
        <v>1664</v>
      </c>
      <c r="F26" s="23" t="n">
        <v>1</v>
      </c>
      <c r="G26" s="61" t="s">
        <v>1065</v>
      </c>
      <c r="H26" s="73" t="s">
        <v>1665</v>
      </c>
      <c r="J26" s="90" t="n">
        <v>5</v>
      </c>
      <c r="K26" s="124" t="s">
        <v>1404</v>
      </c>
      <c r="L26" s="90" t="s">
        <v>940</v>
      </c>
    </row>
    <row r="27" customFormat="false" ht="15" hidden="false" customHeight="false" outlineLevel="0" collapsed="false">
      <c r="A27" s="23"/>
      <c r="B27" s="87"/>
      <c r="C27" s="73" t="s">
        <v>1666</v>
      </c>
      <c r="D27" s="73" t="s">
        <v>1667</v>
      </c>
      <c r="F27" s="23" t="n">
        <v>2</v>
      </c>
      <c r="G27" s="61" t="s">
        <v>778</v>
      </c>
      <c r="H27" s="73" t="s">
        <v>1668</v>
      </c>
      <c r="J27" s="62" t="s">
        <v>39</v>
      </c>
      <c r="K27" s="62"/>
      <c r="L27" s="73" t="s">
        <v>758</v>
      </c>
    </row>
    <row r="28" customFormat="false" ht="15" hidden="false" customHeight="true" outlineLevel="0" collapsed="false">
      <c r="A28" s="23" t="n">
        <v>12</v>
      </c>
      <c r="B28" s="87" t="s">
        <v>1669</v>
      </c>
      <c r="C28" s="73" t="s">
        <v>1670</v>
      </c>
      <c r="D28" s="73" t="s">
        <v>1671</v>
      </c>
      <c r="F28" s="23" t="n">
        <v>3</v>
      </c>
      <c r="G28" s="61" t="s">
        <v>786</v>
      </c>
      <c r="H28" s="73" t="s">
        <v>745</v>
      </c>
    </row>
    <row r="29" customFormat="false" ht="15" hidden="false" customHeight="false" outlineLevel="0" collapsed="false">
      <c r="A29" s="23"/>
      <c r="B29" s="87"/>
      <c r="C29" s="73" t="s">
        <v>1672</v>
      </c>
      <c r="D29" s="73" t="s">
        <v>1673</v>
      </c>
      <c r="F29" s="23" t="n">
        <v>4</v>
      </c>
      <c r="G29" s="61" t="s">
        <v>1674</v>
      </c>
      <c r="H29" s="73" t="s">
        <v>1177</v>
      </c>
      <c r="J29" s="7" t="s">
        <v>1675</v>
      </c>
    </row>
    <row r="30" customFormat="false" ht="15" hidden="false" customHeight="false" outlineLevel="0" collapsed="false">
      <c r="F30" s="90" t="n">
        <v>5</v>
      </c>
      <c r="G30" s="124" t="s">
        <v>981</v>
      </c>
      <c r="H30" s="90" t="s">
        <v>940</v>
      </c>
      <c r="J30" s="8" t="s">
        <v>6</v>
      </c>
      <c r="K30" s="8" t="s">
        <v>767</v>
      </c>
      <c r="L30" s="62" t="s">
        <v>1676</v>
      </c>
    </row>
    <row r="31" customFormat="false" ht="15" hidden="false" customHeight="false" outlineLevel="0" collapsed="false">
      <c r="F31" s="62" t="s">
        <v>39</v>
      </c>
      <c r="G31" s="62"/>
      <c r="H31" s="73" t="s">
        <v>758</v>
      </c>
      <c r="J31" s="23" t="n">
        <v>1</v>
      </c>
      <c r="K31" s="61" t="s">
        <v>778</v>
      </c>
      <c r="L31" s="73" t="s">
        <v>1677</v>
      </c>
    </row>
    <row r="32" customFormat="false" ht="15" hidden="false" customHeight="false" outlineLevel="0" collapsed="false">
      <c r="J32" s="23" t="n">
        <v>2</v>
      </c>
      <c r="K32" s="61" t="s">
        <v>9</v>
      </c>
      <c r="L32" s="73" t="s">
        <v>719</v>
      </c>
    </row>
    <row r="33" customFormat="false" ht="15" hidden="false" customHeight="false" outlineLevel="0" collapsed="false">
      <c r="F33" s="7" t="s">
        <v>1678</v>
      </c>
      <c r="J33" s="23" t="n">
        <v>3</v>
      </c>
      <c r="K33" s="61" t="s">
        <v>12</v>
      </c>
      <c r="L33" s="73" t="s">
        <v>719</v>
      </c>
    </row>
    <row r="34" customFormat="false" ht="15" hidden="false" customHeight="false" outlineLevel="0" collapsed="false">
      <c r="F34" s="8" t="s">
        <v>6</v>
      </c>
      <c r="G34" s="8" t="s">
        <v>767</v>
      </c>
      <c r="H34" s="62" t="s">
        <v>1676</v>
      </c>
      <c r="J34" s="23" t="n">
        <v>4</v>
      </c>
      <c r="K34" s="61" t="s">
        <v>14</v>
      </c>
      <c r="L34" s="73" t="s">
        <v>1679</v>
      </c>
    </row>
    <row r="35" customFormat="false" ht="15" hidden="false" customHeight="false" outlineLevel="0" collapsed="false">
      <c r="F35" s="23" t="n">
        <v>1</v>
      </c>
      <c r="G35" s="61" t="s">
        <v>682</v>
      </c>
      <c r="H35" s="73" t="s">
        <v>903</v>
      </c>
      <c r="J35" s="90" t="n">
        <v>5</v>
      </c>
      <c r="K35" s="124" t="s">
        <v>31</v>
      </c>
      <c r="L35" s="90" t="s">
        <v>1330</v>
      </c>
    </row>
    <row r="36" customFormat="false" ht="15" hidden="false" customHeight="false" outlineLevel="0" collapsed="false">
      <c r="F36" s="23" t="n">
        <v>2</v>
      </c>
      <c r="G36" s="61" t="s">
        <v>778</v>
      </c>
      <c r="H36" s="73" t="s">
        <v>1680</v>
      </c>
      <c r="J36" s="90" t="n">
        <v>6</v>
      </c>
      <c r="K36" s="124" t="s">
        <v>981</v>
      </c>
      <c r="L36" s="90" t="s">
        <v>1593</v>
      </c>
    </row>
    <row r="37" customFormat="false" ht="15" hidden="false" customHeight="false" outlineLevel="0" collapsed="false">
      <c r="F37" s="23" t="n">
        <v>3</v>
      </c>
      <c r="G37" s="61" t="s">
        <v>786</v>
      </c>
      <c r="H37" s="73" t="s">
        <v>745</v>
      </c>
      <c r="J37" s="62" t="s">
        <v>39</v>
      </c>
      <c r="K37" s="62"/>
      <c r="L37" s="73" t="s">
        <v>758</v>
      </c>
    </row>
    <row r="38" customFormat="false" ht="15" hidden="false" customHeight="false" outlineLevel="0" collapsed="false">
      <c r="F38" s="23" t="n">
        <v>4</v>
      </c>
      <c r="G38" s="61" t="s">
        <v>1674</v>
      </c>
      <c r="H38" s="73" t="s">
        <v>1177</v>
      </c>
    </row>
    <row r="39" customFormat="false" ht="15" hidden="false" customHeight="false" outlineLevel="0" collapsed="false">
      <c r="F39" s="90" t="n">
        <v>5</v>
      </c>
      <c r="G39" s="124" t="s">
        <v>981</v>
      </c>
      <c r="H39" s="90" t="s">
        <v>1593</v>
      </c>
      <c r="J39" s="7" t="s">
        <v>1681</v>
      </c>
    </row>
    <row r="40" customFormat="false" ht="15" hidden="false" customHeight="false" outlineLevel="0" collapsed="false">
      <c r="F40" s="62" t="s">
        <v>39</v>
      </c>
      <c r="G40" s="62"/>
      <c r="H40" s="73" t="s">
        <v>758</v>
      </c>
      <c r="J40" s="8" t="s">
        <v>6</v>
      </c>
      <c r="K40" s="8" t="s">
        <v>767</v>
      </c>
      <c r="L40" s="62" t="s">
        <v>1682</v>
      </c>
    </row>
    <row r="41" customFormat="false" ht="15" hidden="false" customHeight="false" outlineLevel="0" collapsed="false">
      <c r="J41" s="23" t="n">
        <v>1</v>
      </c>
      <c r="K41" s="61" t="s">
        <v>778</v>
      </c>
      <c r="L41" s="73" t="s">
        <v>1683</v>
      </c>
    </row>
    <row r="42" customFormat="false" ht="15" hidden="false" customHeight="false" outlineLevel="0" collapsed="false">
      <c r="F42" s="7" t="s">
        <v>1684</v>
      </c>
      <c r="J42" s="23" t="n">
        <v>2</v>
      </c>
      <c r="K42" s="61" t="s">
        <v>9</v>
      </c>
      <c r="L42" s="73" t="s">
        <v>719</v>
      </c>
    </row>
    <row r="43" customFormat="false" ht="15" hidden="false" customHeight="false" outlineLevel="0" collapsed="false">
      <c r="F43" s="8" t="s">
        <v>6</v>
      </c>
      <c r="G43" s="8" t="s">
        <v>767</v>
      </c>
      <c r="H43" s="62" t="s">
        <v>1603</v>
      </c>
      <c r="J43" s="23" t="n">
        <v>3</v>
      </c>
      <c r="K43" s="61" t="s">
        <v>12</v>
      </c>
      <c r="L43" s="73" t="s">
        <v>719</v>
      </c>
    </row>
    <row r="44" customFormat="false" ht="15" hidden="false" customHeight="false" outlineLevel="0" collapsed="false">
      <c r="F44" s="23" t="n">
        <v>1</v>
      </c>
      <c r="G44" s="61" t="s">
        <v>682</v>
      </c>
      <c r="H44" s="73" t="s">
        <v>1685</v>
      </c>
      <c r="J44" s="23" t="n">
        <v>4</v>
      </c>
      <c r="K44" s="61" t="s">
        <v>14</v>
      </c>
      <c r="L44" s="73" t="s">
        <v>1679</v>
      </c>
    </row>
    <row r="45" customFormat="false" ht="15" hidden="false" customHeight="false" outlineLevel="0" collapsed="false">
      <c r="F45" s="23" t="n">
        <v>2</v>
      </c>
      <c r="G45" s="61" t="s">
        <v>9</v>
      </c>
      <c r="H45" s="73" t="s">
        <v>1235</v>
      </c>
      <c r="J45" s="90" t="n">
        <v>5</v>
      </c>
      <c r="K45" s="124" t="s">
        <v>31</v>
      </c>
      <c r="L45" s="90" t="s">
        <v>1330</v>
      </c>
    </row>
    <row r="46" customFormat="false" ht="15" hidden="false" customHeight="false" outlineLevel="0" collapsed="false">
      <c r="F46" s="23" t="n">
        <v>3</v>
      </c>
      <c r="G46" s="61" t="s">
        <v>31</v>
      </c>
      <c r="H46" s="73" t="s">
        <v>1686</v>
      </c>
      <c r="J46" s="90" t="n">
        <v>6</v>
      </c>
      <c r="K46" s="124" t="s">
        <v>981</v>
      </c>
      <c r="L46" s="90" t="s">
        <v>833</v>
      </c>
    </row>
    <row r="47" customFormat="false" ht="15" hidden="false" customHeight="false" outlineLevel="0" collapsed="false">
      <c r="F47" s="90" t="n">
        <v>4</v>
      </c>
      <c r="G47" s="124" t="s">
        <v>1404</v>
      </c>
      <c r="H47" s="90" t="s">
        <v>1687</v>
      </c>
      <c r="J47" s="62" t="s">
        <v>39</v>
      </c>
      <c r="K47" s="62"/>
      <c r="L47" s="73" t="s">
        <v>758</v>
      </c>
    </row>
    <row r="48" customFormat="false" ht="15" hidden="false" customHeight="false" outlineLevel="0" collapsed="false">
      <c r="F48" s="62" t="s">
        <v>39</v>
      </c>
      <c r="G48" s="62"/>
      <c r="H48" s="73" t="s">
        <v>1688</v>
      </c>
    </row>
    <row r="49" customFormat="false" ht="15" hidden="false" customHeight="false" outlineLevel="0" collapsed="false">
      <c r="J49" s="7" t="s">
        <v>1689</v>
      </c>
    </row>
    <row r="50" customFormat="false" ht="15" hidden="false" customHeight="false" outlineLevel="0" collapsed="false">
      <c r="J50" s="8" t="s">
        <v>6</v>
      </c>
      <c r="K50" s="8" t="s">
        <v>767</v>
      </c>
      <c r="L50" s="62" t="s">
        <v>1623</v>
      </c>
    </row>
    <row r="51" customFormat="false" ht="15" hidden="false" customHeight="false" outlineLevel="0" collapsed="false">
      <c r="J51" s="23" t="n">
        <v>1</v>
      </c>
      <c r="K51" s="61" t="s">
        <v>682</v>
      </c>
      <c r="L51" s="73" t="s">
        <v>1690</v>
      </c>
    </row>
    <row r="52" customFormat="false" ht="15" hidden="false" customHeight="false" outlineLevel="0" collapsed="false">
      <c r="J52" s="23" t="n">
        <v>2</v>
      </c>
      <c r="K52" s="61" t="s">
        <v>1691</v>
      </c>
      <c r="L52" s="73" t="s">
        <v>1692</v>
      </c>
    </row>
    <row r="53" customFormat="false" ht="15" hidden="false" customHeight="false" outlineLevel="0" collapsed="false">
      <c r="J53" s="23" t="n">
        <v>3</v>
      </c>
      <c r="K53" s="61" t="s">
        <v>9</v>
      </c>
      <c r="L53" s="73" t="s">
        <v>745</v>
      </c>
    </row>
    <row r="54" customFormat="false" ht="15" hidden="false" customHeight="false" outlineLevel="0" collapsed="false">
      <c r="J54" s="23" t="n">
        <v>4</v>
      </c>
      <c r="K54" s="61" t="s">
        <v>14</v>
      </c>
      <c r="L54" s="73" t="s">
        <v>1693</v>
      </c>
    </row>
    <row r="55" customFormat="false" ht="15" hidden="false" customHeight="false" outlineLevel="0" collapsed="false">
      <c r="J55" s="90" t="n">
        <v>5</v>
      </c>
      <c r="K55" s="124" t="s">
        <v>1404</v>
      </c>
      <c r="L55" s="90" t="s">
        <v>1694</v>
      </c>
    </row>
    <row r="56" customFormat="false" ht="15" hidden="false" customHeight="false" outlineLevel="0" collapsed="false">
      <c r="J56" s="62" t="s">
        <v>39</v>
      </c>
      <c r="K56" s="62"/>
      <c r="L56" s="73" t="s">
        <v>758</v>
      </c>
    </row>
  </sheetData>
  <mergeCells count="37">
    <mergeCell ref="A4:A5"/>
    <mergeCell ref="B4:B5"/>
    <mergeCell ref="A6:A7"/>
    <mergeCell ref="B6:B7"/>
    <mergeCell ref="A8:A9"/>
    <mergeCell ref="B8:B9"/>
    <mergeCell ref="J9:K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J18:K18"/>
    <mergeCell ref="A20:A21"/>
    <mergeCell ref="B20:B21"/>
    <mergeCell ref="A22:A23"/>
    <mergeCell ref="B22:B23"/>
    <mergeCell ref="F22:G22"/>
    <mergeCell ref="A24:A25"/>
    <mergeCell ref="B24:B25"/>
    <mergeCell ref="A26:A27"/>
    <mergeCell ref="B26:B27"/>
    <mergeCell ref="J27:K27"/>
    <mergeCell ref="A28:A29"/>
    <mergeCell ref="B28:B29"/>
    <mergeCell ref="F31:G31"/>
    <mergeCell ref="J37:K37"/>
    <mergeCell ref="F40:G40"/>
    <mergeCell ref="J47:K47"/>
    <mergeCell ref="F48:G48"/>
    <mergeCell ref="J56:K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29"/>
    <col collapsed="false" customWidth="true" hidden="false" outlineLevel="0" max="3" min="3" style="0" width="29.72"/>
    <col collapsed="false" customWidth="true" hidden="false" outlineLevel="0" max="4" min="4" style="0" width="28.72"/>
    <col collapsed="false" customWidth="true" hidden="false" outlineLevel="0" max="6" min="6" style="0" width="6.7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249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1695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45</v>
      </c>
      <c r="I5" s="62" t="n">
        <v>46</v>
      </c>
    </row>
    <row r="6" customFormat="false" ht="15" hidden="false" customHeight="true" outlineLevel="0" collapsed="false">
      <c r="A6" s="23" t="n">
        <v>1</v>
      </c>
      <c r="B6" s="87" t="s">
        <v>1696</v>
      </c>
      <c r="C6" s="73" t="s">
        <v>1697</v>
      </c>
      <c r="D6" s="23" t="s">
        <v>1698</v>
      </c>
      <c r="F6" s="23" t="n">
        <v>1</v>
      </c>
      <c r="G6" s="61" t="s">
        <v>682</v>
      </c>
      <c r="H6" s="73" t="s">
        <v>1699</v>
      </c>
      <c r="I6" s="73" t="s">
        <v>1700</v>
      </c>
    </row>
    <row r="7" customFormat="false" ht="15" hidden="false" customHeight="false" outlineLevel="0" collapsed="false">
      <c r="A7" s="23"/>
      <c r="B7" s="87"/>
      <c r="C7" s="73" t="s">
        <v>1701</v>
      </c>
      <c r="D7" s="23" t="s">
        <v>1213</v>
      </c>
      <c r="F7" s="23" t="n">
        <v>2</v>
      </c>
      <c r="G7" s="61" t="s">
        <v>778</v>
      </c>
      <c r="H7" s="73" t="s">
        <v>903</v>
      </c>
      <c r="I7" s="73" t="s">
        <v>1379</v>
      </c>
    </row>
    <row r="8" customFormat="false" ht="15" hidden="false" customHeight="true" outlineLevel="0" collapsed="false">
      <c r="A8" s="23" t="n">
        <v>2</v>
      </c>
      <c r="B8" s="87" t="s">
        <v>1702</v>
      </c>
      <c r="C8" s="73" t="s">
        <v>1703</v>
      </c>
      <c r="D8" s="23" t="s">
        <v>1704</v>
      </c>
      <c r="F8" s="23" t="n">
        <v>3</v>
      </c>
      <c r="G8" s="61" t="s">
        <v>1065</v>
      </c>
      <c r="H8" s="73" t="s">
        <v>858</v>
      </c>
      <c r="I8" s="73" t="s">
        <v>858</v>
      </c>
    </row>
    <row r="9" customFormat="false" ht="15" hidden="false" customHeight="false" outlineLevel="0" collapsed="false">
      <c r="A9" s="23"/>
      <c r="B9" s="87"/>
      <c r="C9" s="73" t="s">
        <v>1705</v>
      </c>
      <c r="D9" s="23" t="s">
        <v>1706</v>
      </c>
      <c r="F9" s="23" t="n">
        <v>4</v>
      </c>
      <c r="G9" s="61" t="s">
        <v>12</v>
      </c>
      <c r="H9" s="73" t="s">
        <v>858</v>
      </c>
      <c r="I9" s="73" t="s">
        <v>858</v>
      </c>
    </row>
    <row r="10" customFormat="false" ht="15" hidden="false" customHeight="true" outlineLevel="0" collapsed="false">
      <c r="A10" s="23" t="n">
        <v>3</v>
      </c>
      <c r="B10" s="87" t="s">
        <v>1707</v>
      </c>
      <c r="C10" s="73" t="s">
        <v>1708</v>
      </c>
      <c r="D10" s="73" t="s">
        <v>1709</v>
      </c>
      <c r="F10" s="23" t="n">
        <v>5</v>
      </c>
      <c r="G10" s="61" t="s">
        <v>786</v>
      </c>
      <c r="H10" s="73" t="s">
        <v>745</v>
      </c>
      <c r="I10" s="73" t="s">
        <v>745</v>
      </c>
    </row>
    <row r="11" customFormat="false" ht="15" hidden="false" customHeight="false" outlineLevel="0" collapsed="false">
      <c r="A11" s="23"/>
      <c r="B11" s="87"/>
      <c r="C11" s="73" t="s">
        <v>1371</v>
      </c>
      <c r="D11" s="73" t="s">
        <v>885</v>
      </c>
      <c r="F11" s="73" t="n">
        <v>6</v>
      </c>
      <c r="G11" s="97" t="s">
        <v>1266</v>
      </c>
      <c r="H11" s="73" t="s">
        <v>858</v>
      </c>
      <c r="I11" s="73" t="s">
        <v>858</v>
      </c>
    </row>
    <row r="12" customFormat="false" ht="15" hidden="false" customHeight="true" outlineLevel="0" collapsed="false">
      <c r="A12" s="43" t="n">
        <v>4</v>
      </c>
      <c r="B12" s="87" t="s">
        <v>1710</v>
      </c>
      <c r="C12" s="73" t="s">
        <v>1711</v>
      </c>
      <c r="D12" s="73" t="s">
        <v>1712</v>
      </c>
      <c r="F12" s="73" t="n">
        <v>7</v>
      </c>
      <c r="G12" s="97" t="s">
        <v>14</v>
      </c>
      <c r="H12" s="73" t="s">
        <v>978</v>
      </c>
      <c r="I12" s="73" t="s">
        <v>978</v>
      </c>
    </row>
    <row r="13" customFormat="false" ht="15" hidden="false" customHeight="false" outlineLevel="0" collapsed="false">
      <c r="A13" s="43"/>
      <c r="B13" s="87"/>
      <c r="C13" s="90" t="s">
        <v>1713</v>
      </c>
      <c r="D13" s="90" t="s">
        <v>1589</v>
      </c>
      <c r="F13" s="90" t="n">
        <v>8</v>
      </c>
      <c r="G13" s="35" t="s">
        <v>981</v>
      </c>
      <c r="H13" s="90" t="s">
        <v>745</v>
      </c>
      <c r="I13" s="90" t="s">
        <v>745</v>
      </c>
    </row>
    <row r="14" customFormat="false" ht="15" hidden="false" customHeight="true" outlineLevel="0" collapsed="false">
      <c r="A14" s="23" t="n">
        <v>5</v>
      </c>
      <c r="B14" s="87" t="s">
        <v>1714</v>
      </c>
      <c r="C14" s="82" t="s">
        <v>1715</v>
      </c>
      <c r="D14" s="23" t="s">
        <v>1716</v>
      </c>
      <c r="F14" s="62" t="s">
        <v>39</v>
      </c>
      <c r="G14" s="62"/>
      <c r="H14" s="73" t="s">
        <v>758</v>
      </c>
      <c r="I14" s="73" t="s">
        <v>758</v>
      </c>
    </row>
    <row r="15" customFormat="false" ht="15" hidden="false" customHeight="false" outlineLevel="0" collapsed="false">
      <c r="A15" s="23"/>
      <c r="B15" s="87"/>
      <c r="C15" s="82" t="s">
        <v>1717</v>
      </c>
      <c r="D15" s="23" t="s">
        <v>687</v>
      </c>
    </row>
    <row r="16" customFormat="false" ht="15" hidden="false" customHeight="true" outlineLevel="0" collapsed="false">
      <c r="A16" s="23" t="n">
        <v>6</v>
      </c>
      <c r="B16" s="87" t="s">
        <v>1718</v>
      </c>
      <c r="C16" s="82" t="s">
        <v>1719</v>
      </c>
      <c r="D16" s="23" t="s">
        <v>1720</v>
      </c>
      <c r="F16" s="7" t="s">
        <v>1721</v>
      </c>
    </row>
    <row r="17" customFormat="false" ht="15" hidden="false" customHeight="false" outlineLevel="0" collapsed="false">
      <c r="A17" s="23"/>
      <c r="B17" s="87"/>
      <c r="C17" s="82" t="s">
        <v>1722</v>
      </c>
      <c r="D17" s="23" t="s">
        <v>1723</v>
      </c>
      <c r="F17" s="8" t="s">
        <v>6</v>
      </c>
      <c r="G17" s="8" t="s">
        <v>767</v>
      </c>
      <c r="H17" s="62" t="n">
        <v>47</v>
      </c>
      <c r="I17" s="62" t="n">
        <v>48</v>
      </c>
      <c r="J17" s="62" t="n">
        <v>49</v>
      </c>
      <c r="K17" s="62" t="n">
        <v>50</v>
      </c>
      <c r="L17" s="62" t="n">
        <v>51</v>
      </c>
    </row>
    <row r="18" customFormat="false" ht="15" hidden="false" customHeight="true" outlineLevel="0" collapsed="false">
      <c r="A18" s="23" t="n">
        <v>7</v>
      </c>
      <c r="B18" s="87" t="s">
        <v>1724</v>
      </c>
      <c r="C18" s="82" t="s">
        <v>1725</v>
      </c>
      <c r="D18" s="23" t="s">
        <v>1726</v>
      </c>
      <c r="F18" s="23" t="n">
        <v>1</v>
      </c>
      <c r="G18" s="61" t="s">
        <v>682</v>
      </c>
      <c r="H18" s="73" t="s">
        <v>1446</v>
      </c>
      <c r="I18" s="73" t="s">
        <v>1546</v>
      </c>
      <c r="J18" s="73" t="s">
        <v>1445</v>
      </c>
      <c r="K18" s="73" t="s">
        <v>1727</v>
      </c>
      <c r="L18" s="73" t="s">
        <v>1727</v>
      </c>
    </row>
    <row r="19" customFormat="false" ht="15" hidden="false" customHeight="false" outlineLevel="0" collapsed="false">
      <c r="A19" s="23"/>
      <c r="B19" s="87"/>
      <c r="C19" s="82" t="s">
        <v>1728</v>
      </c>
      <c r="D19" s="23" t="s">
        <v>541</v>
      </c>
      <c r="F19" s="23" t="n">
        <v>2</v>
      </c>
      <c r="G19" s="61" t="s">
        <v>778</v>
      </c>
      <c r="H19" s="73" t="s">
        <v>1452</v>
      </c>
      <c r="I19" s="73" t="s">
        <v>1378</v>
      </c>
      <c r="J19" s="73" t="s">
        <v>1452</v>
      </c>
      <c r="K19" s="73" t="s">
        <v>1729</v>
      </c>
      <c r="L19" s="73" t="s">
        <v>952</v>
      </c>
    </row>
    <row r="20" customFormat="false" ht="15" hidden="false" customHeight="false" outlineLevel="0" collapsed="false">
      <c r="F20" s="23" t="n">
        <v>3</v>
      </c>
      <c r="G20" s="61" t="s">
        <v>1065</v>
      </c>
      <c r="H20" s="73" t="s">
        <v>1452</v>
      </c>
      <c r="I20" s="73" t="s">
        <v>1378</v>
      </c>
      <c r="J20" s="73" t="s">
        <v>1378</v>
      </c>
      <c r="K20" s="73" t="s">
        <v>952</v>
      </c>
      <c r="L20" s="73" t="s">
        <v>1729</v>
      </c>
    </row>
    <row r="21" customFormat="false" ht="15" hidden="false" customHeight="false" outlineLevel="0" collapsed="false">
      <c r="F21" s="23" t="n">
        <v>4</v>
      </c>
      <c r="G21" s="61" t="s">
        <v>786</v>
      </c>
      <c r="H21" s="73" t="s">
        <v>745</v>
      </c>
      <c r="I21" s="73" t="s">
        <v>745</v>
      </c>
      <c r="J21" s="73" t="s">
        <v>745</v>
      </c>
      <c r="K21" s="73" t="s">
        <v>745</v>
      </c>
      <c r="L21" s="73" t="s">
        <v>745</v>
      </c>
    </row>
    <row r="22" customFormat="false" ht="15" hidden="false" customHeight="false" outlineLevel="0" collapsed="false">
      <c r="F22" s="23" t="n">
        <v>5</v>
      </c>
      <c r="G22" s="61" t="s">
        <v>14</v>
      </c>
      <c r="H22" s="73" t="s">
        <v>1132</v>
      </c>
      <c r="I22" s="73" t="s">
        <v>1132</v>
      </c>
      <c r="J22" s="73" t="s">
        <v>1132</v>
      </c>
      <c r="K22" s="73" t="s">
        <v>1132</v>
      </c>
      <c r="L22" s="73" t="s">
        <v>1132</v>
      </c>
    </row>
    <row r="23" customFormat="false" ht="15" hidden="false" customHeight="false" outlineLevel="0" collapsed="false">
      <c r="F23" s="73" t="n">
        <v>6</v>
      </c>
      <c r="G23" s="97" t="s">
        <v>981</v>
      </c>
      <c r="H23" s="73" t="s">
        <v>745</v>
      </c>
      <c r="I23" s="73" t="s">
        <v>745</v>
      </c>
      <c r="J23" s="73" t="s">
        <v>745</v>
      </c>
      <c r="K23" s="73" t="s">
        <v>745</v>
      </c>
      <c r="L23" s="73" t="s">
        <v>745</v>
      </c>
    </row>
    <row r="24" customFormat="false" ht="15" hidden="false" customHeight="false" outlineLevel="0" collapsed="false">
      <c r="F24" s="62" t="s">
        <v>39</v>
      </c>
      <c r="G24" s="62"/>
      <c r="H24" s="73" t="s">
        <v>758</v>
      </c>
      <c r="I24" s="73" t="s">
        <v>758</v>
      </c>
      <c r="J24" s="73" t="s">
        <v>758</v>
      </c>
      <c r="K24" s="73" t="s">
        <v>758</v>
      </c>
      <c r="L24" s="73" t="s">
        <v>758</v>
      </c>
    </row>
  </sheetData>
  <mergeCells count="1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F14:G14"/>
    <mergeCell ref="A16:A17"/>
    <mergeCell ref="B16:B17"/>
    <mergeCell ref="A18:A19"/>
    <mergeCell ref="B18:B19"/>
    <mergeCell ref="F24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7.3"/>
    <col collapsed="false" customWidth="true" hidden="false" outlineLevel="0" max="3" min="3" style="0" width="27.57"/>
    <col collapsed="false" customWidth="true" hidden="false" outlineLevel="0" max="4" min="4" style="0" width="29"/>
    <col collapsed="false" customWidth="true" hidden="false" outlineLevel="0" max="6" min="6" style="0" width="5.7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257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1730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52</v>
      </c>
      <c r="I5" s="62" t="n">
        <v>53</v>
      </c>
      <c r="J5" s="62" t="n">
        <v>54</v>
      </c>
      <c r="K5" s="62" t="n">
        <v>55</v>
      </c>
    </row>
    <row r="6" customFormat="false" ht="15" hidden="false" customHeight="true" outlineLevel="0" collapsed="false">
      <c r="A6" s="23" t="n">
        <v>1</v>
      </c>
      <c r="B6" s="87" t="s">
        <v>1731</v>
      </c>
      <c r="C6" s="73" t="s">
        <v>1732</v>
      </c>
      <c r="D6" s="23" t="s">
        <v>1733</v>
      </c>
      <c r="F6" s="23" t="n">
        <v>1</v>
      </c>
      <c r="G6" s="61" t="s">
        <v>682</v>
      </c>
      <c r="H6" s="73" t="s">
        <v>1734</v>
      </c>
      <c r="I6" s="73" t="s">
        <v>1735</v>
      </c>
      <c r="J6" s="73" t="s">
        <v>1446</v>
      </c>
      <c r="K6" s="73" t="s">
        <v>1736</v>
      </c>
    </row>
    <row r="7" customFormat="false" ht="15" hidden="false" customHeight="false" outlineLevel="0" collapsed="false">
      <c r="A7" s="23"/>
      <c r="B7" s="87"/>
      <c r="C7" s="73" t="s">
        <v>1737</v>
      </c>
      <c r="D7" s="23" t="s">
        <v>1738</v>
      </c>
      <c r="F7" s="23" t="n">
        <v>2</v>
      </c>
      <c r="G7" s="61" t="s">
        <v>778</v>
      </c>
      <c r="H7" s="73" t="s">
        <v>1739</v>
      </c>
      <c r="I7" s="73" t="s">
        <v>1740</v>
      </c>
      <c r="J7" s="73" t="s">
        <v>1378</v>
      </c>
      <c r="K7" s="73" t="s">
        <v>1452</v>
      </c>
    </row>
    <row r="8" customFormat="false" ht="15" hidden="false" customHeight="true" outlineLevel="0" collapsed="false">
      <c r="A8" s="23" t="n">
        <v>2</v>
      </c>
      <c r="B8" s="87" t="s">
        <v>1741</v>
      </c>
      <c r="C8" s="73" t="s">
        <v>1742</v>
      </c>
      <c r="D8" s="23" t="s">
        <v>1743</v>
      </c>
      <c r="F8" s="23" t="n">
        <v>3</v>
      </c>
      <c r="G8" s="61" t="s">
        <v>1065</v>
      </c>
      <c r="H8" s="73" t="s">
        <v>1744</v>
      </c>
      <c r="I8" s="73" t="s">
        <v>1745</v>
      </c>
      <c r="J8" s="73" t="s">
        <v>1379</v>
      </c>
      <c r="K8" s="73" t="s">
        <v>1379</v>
      </c>
    </row>
    <row r="9" customFormat="false" ht="15" hidden="false" customHeight="false" outlineLevel="0" collapsed="false">
      <c r="A9" s="23"/>
      <c r="B9" s="87"/>
      <c r="C9" s="73" t="s">
        <v>1746</v>
      </c>
      <c r="D9" s="23" t="s">
        <v>885</v>
      </c>
      <c r="F9" s="23" t="n">
        <v>4</v>
      </c>
      <c r="G9" s="61" t="s">
        <v>786</v>
      </c>
      <c r="H9" s="73" t="s">
        <v>745</v>
      </c>
      <c r="I9" s="73" t="s">
        <v>745</v>
      </c>
      <c r="J9" s="73" t="s">
        <v>745</v>
      </c>
      <c r="K9" s="73" t="s">
        <v>745</v>
      </c>
    </row>
    <row r="10" customFormat="false" ht="15" hidden="false" customHeight="true" outlineLevel="0" collapsed="false">
      <c r="A10" s="23" t="n">
        <v>3</v>
      </c>
      <c r="B10" s="87" t="s">
        <v>1747</v>
      </c>
      <c r="C10" s="73" t="s">
        <v>1748</v>
      </c>
      <c r="D10" s="73" t="s">
        <v>1749</v>
      </c>
      <c r="F10" s="23" t="n">
        <v>5</v>
      </c>
      <c r="G10" s="61" t="s">
        <v>14</v>
      </c>
      <c r="H10" s="73" t="s">
        <v>1132</v>
      </c>
      <c r="I10" s="73" t="s">
        <v>1132</v>
      </c>
      <c r="J10" s="73" t="s">
        <v>1132</v>
      </c>
      <c r="K10" s="73" t="s">
        <v>1132</v>
      </c>
    </row>
    <row r="11" customFormat="false" ht="15" hidden="false" customHeight="false" outlineLevel="0" collapsed="false">
      <c r="A11" s="23"/>
      <c r="B11" s="87"/>
      <c r="C11" s="73" t="s">
        <v>1750</v>
      </c>
      <c r="D11" s="73" t="s">
        <v>1751</v>
      </c>
      <c r="F11" s="73" t="n">
        <v>6</v>
      </c>
      <c r="G11" s="97" t="s">
        <v>981</v>
      </c>
      <c r="H11" s="73" t="s">
        <v>745</v>
      </c>
      <c r="I11" s="73" t="s">
        <v>745</v>
      </c>
      <c r="J11" s="73" t="s">
        <v>858</v>
      </c>
      <c r="K11" s="73" t="s">
        <v>858</v>
      </c>
    </row>
    <row r="12" customFormat="false" ht="15" hidden="false" customHeight="true" outlineLevel="0" collapsed="false">
      <c r="A12" s="43" t="n">
        <v>4</v>
      </c>
      <c r="B12" s="87" t="s">
        <v>1752</v>
      </c>
      <c r="C12" s="73" t="s">
        <v>1753</v>
      </c>
      <c r="D12" s="73" t="s">
        <v>1754</v>
      </c>
      <c r="F12" s="73" t="n">
        <v>7</v>
      </c>
      <c r="G12" s="97" t="s">
        <v>1404</v>
      </c>
      <c r="H12" s="73" t="s">
        <v>858</v>
      </c>
      <c r="I12" s="73" t="s">
        <v>858</v>
      </c>
      <c r="J12" s="73" t="s">
        <v>719</v>
      </c>
      <c r="K12" s="73" t="s">
        <v>1080</v>
      </c>
    </row>
    <row r="13" customFormat="false" ht="15" hidden="false" customHeight="false" outlineLevel="0" collapsed="false">
      <c r="A13" s="43"/>
      <c r="B13" s="87"/>
      <c r="C13" s="90" t="s">
        <v>1755</v>
      </c>
      <c r="D13" s="90" t="s">
        <v>1756</v>
      </c>
      <c r="F13" s="62" t="s">
        <v>39</v>
      </c>
      <c r="G13" s="62"/>
      <c r="H13" s="73" t="s">
        <v>758</v>
      </c>
      <c r="I13" s="73" t="s">
        <v>758</v>
      </c>
      <c r="J13" s="73" t="s">
        <v>758</v>
      </c>
      <c r="K13" s="73" t="s">
        <v>758</v>
      </c>
    </row>
    <row r="14" customFormat="false" ht="15" hidden="false" customHeight="true" outlineLevel="0" collapsed="false">
      <c r="A14" s="23" t="n">
        <v>5</v>
      </c>
      <c r="B14" s="87" t="s">
        <v>1757</v>
      </c>
      <c r="C14" s="82" t="s">
        <v>1758</v>
      </c>
      <c r="D14" s="23" t="s">
        <v>1759</v>
      </c>
    </row>
    <row r="15" customFormat="false" ht="15" hidden="false" customHeight="false" outlineLevel="0" collapsed="false">
      <c r="A15" s="23"/>
      <c r="B15" s="87"/>
      <c r="C15" s="82" t="s">
        <v>1760</v>
      </c>
      <c r="D15" s="23" t="s">
        <v>1761</v>
      </c>
      <c r="F15" s="7" t="s">
        <v>1762</v>
      </c>
    </row>
    <row r="16" customFormat="false" ht="15" hidden="false" customHeight="true" outlineLevel="0" collapsed="false">
      <c r="A16" s="23" t="n">
        <v>6</v>
      </c>
      <c r="B16" s="87" t="s">
        <v>1763</v>
      </c>
      <c r="C16" s="82" t="s">
        <v>1764</v>
      </c>
      <c r="D16" s="23" t="s">
        <v>1765</v>
      </c>
      <c r="F16" s="8" t="s">
        <v>6</v>
      </c>
      <c r="G16" s="8" t="s">
        <v>767</v>
      </c>
      <c r="H16" s="62" t="s">
        <v>1766</v>
      </c>
    </row>
    <row r="17" customFormat="false" ht="15" hidden="false" customHeight="false" outlineLevel="0" collapsed="false">
      <c r="A17" s="23"/>
      <c r="B17" s="87"/>
      <c r="C17" s="82" t="s">
        <v>1767</v>
      </c>
      <c r="D17" s="23" t="s">
        <v>1723</v>
      </c>
      <c r="F17" s="23" t="n">
        <v>1</v>
      </c>
      <c r="G17" s="61" t="s">
        <v>682</v>
      </c>
      <c r="H17" s="73" t="s">
        <v>1665</v>
      </c>
    </row>
    <row r="18" customFormat="false" ht="15" hidden="false" customHeight="true" outlineLevel="0" collapsed="false">
      <c r="A18" s="23" t="n">
        <v>7</v>
      </c>
      <c r="B18" s="87" t="s">
        <v>1768</v>
      </c>
      <c r="C18" s="82" t="s">
        <v>1769</v>
      </c>
      <c r="D18" s="23" t="s">
        <v>1726</v>
      </c>
      <c r="F18" s="23" t="n">
        <v>2</v>
      </c>
      <c r="G18" s="61" t="s">
        <v>778</v>
      </c>
      <c r="H18" s="73" t="s">
        <v>1668</v>
      </c>
    </row>
    <row r="19" customFormat="false" ht="15" hidden="false" customHeight="false" outlineLevel="0" collapsed="false">
      <c r="A19" s="23"/>
      <c r="B19" s="87"/>
      <c r="C19" s="82" t="s">
        <v>1770</v>
      </c>
      <c r="D19" s="23" t="s">
        <v>541</v>
      </c>
      <c r="F19" s="23" t="n">
        <v>3</v>
      </c>
      <c r="G19" s="61" t="s">
        <v>786</v>
      </c>
      <c r="H19" s="73" t="s">
        <v>1435</v>
      </c>
    </row>
    <row r="20" customFormat="false" ht="15" hidden="false" customHeight="true" outlineLevel="0" collapsed="false">
      <c r="A20" s="23" t="n">
        <v>8</v>
      </c>
      <c r="B20" s="87" t="s">
        <v>1771</v>
      </c>
      <c r="C20" s="82" t="s">
        <v>1772</v>
      </c>
      <c r="D20" s="23" t="s">
        <v>1726</v>
      </c>
      <c r="F20" s="23" t="n">
        <v>4</v>
      </c>
      <c r="G20" s="61" t="s">
        <v>12</v>
      </c>
      <c r="H20" s="73" t="s">
        <v>1773</v>
      </c>
    </row>
    <row r="21" customFormat="false" ht="15" hidden="false" customHeight="false" outlineLevel="0" collapsed="false">
      <c r="A21" s="23"/>
      <c r="B21" s="87"/>
      <c r="C21" s="82" t="s">
        <v>1774</v>
      </c>
      <c r="D21" s="23" t="s">
        <v>541</v>
      </c>
      <c r="F21" s="23" t="n">
        <v>5</v>
      </c>
      <c r="G21" s="61" t="s">
        <v>38</v>
      </c>
      <c r="H21" s="73" t="s">
        <v>1177</v>
      </c>
    </row>
    <row r="22" customFormat="false" ht="15" hidden="false" customHeight="true" outlineLevel="0" collapsed="false">
      <c r="A22" s="23" t="n">
        <v>9</v>
      </c>
      <c r="B22" s="87" t="s">
        <v>1775</v>
      </c>
      <c r="C22" s="82" t="s">
        <v>79</v>
      </c>
      <c r="D22" s="23" t="s">
        <v>1726</v>
      </c>
      <c r="F22" s="90" t="n">
        <v>6</v>
      </c>
      <c r="G22" s="124" t="s">
        <v>981</v>
      </c>
      <c r="H22" s="90" t="s">
        <v>940</v>
      </c>
    </row>
    <row r="23" customFormat="false" ht="15" hidden="false" customHeight="false" outlineLevel="0" collapsed="false">
      <c r="A23" s="23"/>
      <c r="B23" s="87"/>
      <c r="C23" s="82" t="s">
        <v>79</v>
      </c>
      <c r="D23" s="23" t="s">
        <v>541</v>
      </c>
      <c r="F23" s="62" t="s">
        <v>39</v>
      </c>
      <c r="G23" s="62"/>
      <c r="H23" s="73" t="s">
        <v>758</v>
      </c>
    </row>
    <row r="25" customFormat="false" ht="15" hidden="false" customHeight="false" outlineLevel="0" collapsed="false">
      <c r="F25" s="7" t="s">
        <v>1776</v>
      </c>
    </row>
    <row r="26" customFormat="false" ht="15" hidden="false" customHeight="false" outlineLevel="0" collapsed="false">
      <c r="F26" s="8" t="s">
        <v>6</v>
      </c>
      <c r="G26" s="8" t="s">
        <v>767</v>
      </c>
      <c r="H26" s="62" t="s">
        <v>1777</v>
      </c>
    </row>
    <row r="27" customFormat="false" ht="15" hidden="false" customHeight="false" outlineLevel="0" collapsed="false">
      <c r="F27" s="23" t="n">
        <v>1</v>
      </c>
      <c r="G27" s="61" t="s">
        <v>682</v>
      </c>
      <c r="H27" s="73" t="s">
        <v>1246</v>
      </c>
    </row>
    <row r="28" customFormat="false" ht="15" hidden="false" customHeight="false" outlineLevel="0" collapsed="false">
      <c r="F28" s="23" t="n">
        <v>2</v>
      </c>
      <c r="G28" s="61" t="s">
        <v>778</v>
      </c>
      <c r="H28" s="73" t="s">
        <v>1778</v>
      </c>
    </row>
    <row r="29" customFormat="false" ht="15" hidden="false" customHeight="false" outlineLevel="0" collapsed="false">
      <c r="F29" s="23" t="n">
        <v>3</v>
      </c>
      <c r="G29" s="61" t="s">
        <v>786</v>
      </c>
      <c r="H29" s="73" t="s">
        <v>719</v>
      </c>
    </row>
    <row r="30" customFormat="false" ht="15" hidden="false" customHeight="false" outlineLevel="0" collapsed="false">
      <c r="F30" s="23" t="n">
        <v>4</v>
      </c>
      <c r="G30" s="61" t="s">
        <v>12</v>
      </c>
      <c r="H30" s="73" t="s">
        <v>719</v>
      </c>
    </row>
    <row r="31" customFormat="false" ht="15" hidden="false" customHeight="false" outlineLevel="0" collapsed="false">
      <c r="F31" s="23" t="n">
        <v>5</v>
      </c>
      <c r="G31" s="61" t="s">
        <v>38</v>
      </c>
      <c r="H31" s="73" t="s">
        <v>1177</v>
      </c>
    </row>
    <row r="32" customFormat="false" ht="15" hidden="false" customHeight="false" outlineLevel="0" collapsed="false">
      <c r="F32" s="90" t="n">
        <v>6</v>
      </c>
      <c r="G32" s="124" t="s">
        <v>981</v>
      </c>
      <c r="H32" s="90" t="s">
        <v>940</v>
      </c>
    </row>
    <row r="33" customFormat="false" ht="15" hidden="false" customHeight="false" outlineLevel="0" collapsed="false">
      <c r="F33" s="62" t="s">
        <v>39</v>
      </c>
      <c r="G33" s="62"/>
      <c r="H33" s="73" t="s">
        <v>758</v>
      </c>
    </row>
    <row r="35" customFormat="false" ht="15" hidden="false" customHeight="false" outlineLevel="0" collapsed="false">
      <c r="F35" s="7" t="s">
        <v>1779</v>
      </c>
    </row>
    <row r="36" customFormat="false" ht="15" hidden="false" customHeight="false" outlineLevel="0" collapsed="false">
      <c r="F36" s="8" t="s">
        <v>6</v>
      </c>
      <c r="G36" s="8" t="s">
        <v>767</v>
      </c>
      <c r="H36" s="62" t="s">
        <v>1780</v>
      </c>
    </row>
    <row r="37" customFormat="false" ht="15" hidden="false" customHeight="false" outlineLevel="0" collapsed="false">
      <c r="F37" s="23" t="n">
        <v>1</v>
      </c>
      <c r="G37" s="61" t="s">
        <v>682</v>
      </c>
      <c r="H37" s="73" t="s">
        <v>1781</v>
      </c>
    </row>
    <row r="38" customFormat="false" ht="15" hidden="false" customHeight="false" outlineLevel="0" collapsed="false">
      <c r="F38" s="23" t="n">
        <v>2</v>
      </c>
      <c r="G38" s="61" t="s">
        <v>19</v>
      </c>
      <c r="H38" s="73" t="s">
        <v>1452</v>
      </c>
    </row>
    <row r="39" customFormat="false" ht="15" hidden="false" customHeight="false" outlineLevel="0" collapsed="false">
      <c r="F39" s="23" t="n">
        <v>3</v>
      </c>
      <c r="G39" s="61" t="s">
        <v>786</v>
      </c>
      <c r="H39" s="73" t="s">
        <v>745</v>
      </c>
    </row>
    <row r="40" customFormat="false" ht="15" hidden="false" customHeight="false" outlineLevel="0" collapsed="false">
      <c r="F40" s="23" t="n">
        <v>4</v>
      </c>
      <c r="G40" s="61" t="s">
        <v>31</v>
      </c>
      <c r="H40" s="73" t="s">
        <v>1401</v>
      </c>
    </row>
    <row r="41" customFormat="false" ht="15" hidden="false" customHeight="false" outlineLevel="0" collapsed="false">
      <c r="F41" s="23" t="n">
        <v>5</v>
      </c>
      <c r="G41" s="61" t="s">
        <v>1404</v>
      </c>
      <c r="H41" s="73" t="s">
        <v>940</v>
      </c>
    </row>
    <row r="42" customFormat="false" ht="15" hidden="false" customHeight="false" outlineLevel="0" collapsed="false">
      <c r="F42" s="62" t="s">
        <v>39</v>
      </c>
      <c r="G42" s="62"/>
      <c r="H42" s="73" t="s">
        <v>758</v>
      </c>
    </row>
    <row r="44" customFormat="false" ht="15" hidden="false" customHeight="false" outlineLevel="0" collapsed="false">
      <c r="F44" s="7" t="s">
        <v>1782</v>
      </c>
    </row>
    <row r="45" customFormat="false" ht="15" hidden="false" customHeight="false" outlineLevel="0" collapsed="false">
      <c r="F45" s="8" t="s">
        <v>6</v>
      </c>
      <c r="G45" s="8" t="s">
        <v>767</v>
      </c>
      <c r="H45" s="62" t="s">
        <v>1783</v>
      </c>
    </row>
    <row r="46" customFormat="false" ht="15" hidden="false" customHeight="false" outlineLevel="0" collapsed="false">
      <c r="F46" s="23" t="n">
        <v>1</v>
      </c>
      <c r="G46" s="61" t="s">
        <v>682</v>
      </c>
      <c r="H46" s="73" t="s">
        <v>1784</v>
      </c>
    </row>
    <row r="47" customFormat="false" ht="15" hidden="false" customHeight="false" outlineLevel="0" collapsed="false">
      <c r="F47" s="23" t="n">
        <v>2</v>
      </c>
      <c r="G47" s="61" t="s">
        <v>786</v>
      </c>
      <c r="H47" s="73" t="s">
        <v>719</v>
      </c>
    </row>
    <row r="48" customFormat="false" ht="15" hidden="false" customHeight="false" outlineLevel="0" collapsed="false">
      <c r="F48" s="23" t="n">
        <v>3</v>
      </c>
      <c r="G48" s="61" t="s">
        <v>12</v>
      </c>
      <c r="H48" s="73" t="s">
        <v>719</v>
      </c>
    </row>
    <row r="49" customFormat="false" ht="15" hidden="false" customHeight="false" outlineLevel="0" collapsed="false">
      <c r="F49" s="23" t="n">
        <v>4</v>
      </c>
      <c r="G49" s="61" t="s">
        <v>14</v>
      </c>
      <c r="H49" s="73" t="s">
        <v>1132</v>
      </c>
    </row>
    <row r="50" customFormat="false" ht="15" hidden="false" customHeight="false" outlineLevel="0" collapsed="false">
      <c r="F50" s="23" t="n">
        <v>5</v>
      </c>
      <c r="G50" s="61" t="s">
        <v>36</v>
      </c>
      <c r="H50" s="73" t="s">
        <v>1330</v>
      </c>
    </row>
    <row r="51" customFormat="false" ht="15" hidden="false" customHeight="false" outlineLevel="0" collapsed="false">
      <c r="F51" s="90" t="n">
        <v>6</v>
      </c>
      <c r="G51" s="124" t="s">
        <v>1404</v>
      </c>
      <c r="H51" s="90" t="s">
        <v>940</v>
      </c>
    </row>
    <row r="52" customFormat="false" ht="15" hidden="false" customHeight="false" outlineLevel="0" collapsed="false">
      <c r="F52" s="62" t="s">
        <v>39</v>
      </c>
      <c r="G52" s="62"/>
      <c r="H52" s="73" t="s">
        <v>758</v>
      </c>
    </row>
    <row r="54" customFormat="false" ht="15" hidden="false" customHeight="false" outlineLevel="0" collapsed="false">
      <c r="F54" s="7" t="s">
        <v>1785</v>
      </c>
    </row>
    <row r="55" customFormat="false" ht="15" hidden="false" customHeight="false" outlineLevel="0" collapsed="false">
      <c r="F55" s="8" t="s">
        <v>6</v>
      </c>
      <c r="G55" s="8" t="s">
        <v>767</v>
      </c>
      <c r="H55" s="62" t="s">
        <v>266</v>
      </c>
    </row>
    <row r="56" customFormat="false" ht="15" hidden="false" customHeight="false" outlineLevel="0" collapsed="false">
      <c r="F56" s="23" t="n">
        <v>1</v>
      </c>
      <c r="G56" s="61" t="s">
        <v>682</v>
      </c>
      <c r="H56" s="73" t="s">
        <v>1786</v>
      </c>
    </row>
    <row r="57" customFormat="false" ht="15" hidden="false" customHeight="false" outlineLevel="0" collapsed="false">
      <c r="F57" s="23" t="n">
        <v>2</v>
      </c>
      <c r="G57" s="61" t="s">
        <v>778</v>
      </c>
      <c r="H57" s="73" t="s">
        <v>1787</v>
      </c>
    </row>
    <row r="58" customFormat="false" ht="15" hidden="false" customHeight="false" outlineLevel="0" collapsed="false">
      <c r="F58" s="23" t="n">
        <v>3</v>
      </c>
      <c r="G58" s="61" t="s">
        <v>9</v>
      </c>
      <c r="H58" s="73" t="s">
        <v>1694</v>
      </c>
    </row>
    <row r="59" customFormat="false" ht="15" hidden="false" customHeight="false" outlineLevel="0" collapsed="false">
      <c r="F59" s="23" t="n">
        <v>4</v>
      </c>
      <c r="G59" s="61" t="s">
        <v>1788</v>
      </c>
      <c r="H59" s="73" t="s">
        <v>1789</v>
      </c>
    </row>
    <row r="60" customFormat="false" ht="15" hidden="false" customHeight="false" outlineLevel="0" collapsed="false">
      <c r="F60" s="23" t="n">
        <v>5</v>
      </c>
      <c r="G60" s="61" t="s">
        <v>38</v>
      </c>
      <c r="H60" s="73" t="s">
        <v>1177</v>
      </c>
    </row>
    <row r="61" customFormat="false" ht="15" hidden="false" customHeight="false" outlineLevel="0" collapsed="false">
      <c r="F61" s="90" t="n">
        <v>6</v>
      </c>
      <c r="G61" s="124" t="s">
        <v>981</v>
      </c>
      <c r="H61" s="90" t="s">
        <v>940</v>
      </c>
    </row>
    <row r="62" customFormat="false" ht="15" hidden="false" customHeight="false" outlineLevel="0" collapsed="false">
      <c r="F62" s="62" t="s">
        <v>39</v>
      </c>
      <c r="G62" s="62"/>
      <c r="H62" s="73" t="s">
        <v>758</v>
      </c>
    </row>
  </sheetData>
  <mergeCells count="26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F33:G33"/>
    <mergeCell ref="F42:G42"/>
    <mergeCell ref="F52:G52"/>
    <mergeCell ref="F62:G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3"/>
    <col collapsed="false" customWidth="true" hidden="false" outlineLevel="0" max="3" min="3" style="0" width="27.57"/>
    <col collapsed="false" customWidth="true" hidden="false" outlineLevel="0" max="4" min="4" style="0" width="29.57"/>
    <col collapsed="false" customWidth="true" hidden="false" outlineLevel="0" max="6" min="6" style="0" width="5.43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267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1790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n">
        <v>56</v>
      </c>
      <c r="I5" s="62" t="n">
        <v>57</v>
      </c>
      <c r="J5" s="62" t="n">
        <v>58</v>
      </c>
    </row>
    <row r="6" customFormat="false" ht="15" hidden="false" customHeight="true" outlineLevel="0" collapsed="false">
      <c r="A6" s="23" t="n">
        <v>1</v>
      </c>
      <c r="B6" s="87" t="s">
        <v>1791</v>
      </c>
      <c r="C6" s="73" t="s">
        <v>1792</v>
      </c>
      <c r="D6" s="23" t="s">
        <v>1793</v>
      </c>
      <c r="F6" s="23" t="n">
        <v>1</v>
      </c>
      <c r="G6" s="61" t="s">
        <v>682</v>
      </c>
      <c r="H6" s="73" t="s">
        <v>858</v>
      </c>
      <c r="I6" s="73" t="s">
        <v>719</v>
      </c>
      <c r="J6" s="73" t="s">
        <v>940</v>
      </c>
    </row>
    <row r="7" customFormat="false" ht="15" hidden="false" customHeight="false" outlineLevel="0" collapsed="false">
      <c r="A7" s="23"/>
      <c r="B7" s="87"/>
      <c r="C7" s="73" t="s">
        <v>1794</v>
      </c>
      <c r="D7" s="23" t="s">
        <v>506</v>
      </c>
      <c r="F7" s="23" t="n">
        <v>2</v>
      </c>
      <c r="G7" s="61" t="s">
        <v>778</v>
      </c>
      <c r="H7" s="73" t="s">
        <v>1795</v>
      </c>
      <c r="I7" s="73" t="s">
        <v>1452</v>
      </c>
      <c r="J7" s="73" t="s">
        <v>1796</v>
      </c>
    </row>
    <row r="8" customFormat="false" ht="15" hidden="false" customHeight="true" outlineLevel="0" collapsed="false">
      <c r="A8" s="23" t="n">
        <v>2</v>
      </c>
      <c r="B8" s="87" t="s">
        <v>1797</v>
      </c>
      <c r="C8" s="73" t="s">
        <v>1798</v>
      </c>
      <c r="D8" s="23" t="s">
        <v>1799</v>
      </c>
      <c r="F8" s="23" t="n">
        <v>3</v>
      </c>
      <c r="G8" s="61" t="s">
        <v>1065</v>
      </c>
      <c r="H8" s="73" t="s">
        <v>902</v>
      </c>
      <c r="I8" s="73" t="s">
        <v>1800</v>
      </c>
      <c r="J8" s="73" t="s">
        <v>1379</v>
      </c>
    </row>
    <row r="9" customFormat="false" ht="15" hidden="false" customHeight="false" outlineLevel="0" collapsed="false">
      <c r="A9" s="23"/>
      <c r="B9" s="87"/>
      <c r="C9" s="73" t="s">
        <v>1801</v>
      </c>
      <c r="D9" s="23" t="s">
        <v>950</v>
      </c>
      <c r="F9" s="23" t="n">
        <v>4</v>
      </c>
      <c r="G9" s="61" t="s">
        <v>12</v>
      </c>
      <c r="H9" s="73" t="s">
        <v>858</v>
      </c>
      <c r="I9" s="73" t="s">
        <v>858</v>
      </c>
      <c r="J9" s="73" t="s">
        <v>858</v>
      </c>
    </row>
    <row r="10" customFormat="false" ht="15" hidden="false" customHeight="true" outlineLevel="0" collapsed="false">
      <c r="A10" s="23" t="n">
        <v>3</v>
      </c>
      <c r="B10" s="87" t="s">
        <v>1802</v>
      </c>
      <c r="C10" s="73" t="s">
        <v>1803</v>
      </c>
      <c r="D10" s="73" t="s">
        <v>1804</v>
      </c>
      <c r="F10" s="23" t="n">
        <v>5</v>
      </c>
      <c r="G10" s="61" t="s">
        <v>786</v>
      </c>
      <c r="H10" s="73" t="s">
        <v>745</v>
      </c>
      <c r="I10" s="73" t="s">
        <v>745</v>
      </c>
      <c r="J10" s="73" t="s">
        <v>745</v>
      </c>
    </row>
    <row r="11" customFormat="false" ht="15" hidden="false" customHeight="false" outlineLevel="0" collapsed="false">
      <c r="A11" s="23"/>
      <c r="B11" s="87"/>
      <c r="C11" s="73" t="s">
        <v>1805</v>
      </c>
      <c r="D11" s="73" t="s">
        <v>1806</v>
      </c>
      <c r="F11" s="73" t="n">
        <v>6</v>
      </c>
      <c r="G11" s="97" t="s">
        <v>14</v>
      </c>
      <c r="H11" s="73" t="s">
        <v>1132</v>
      </c>
      <c r="I11" s="73" t="s">
        <v>1132</v>
      </c>
      <c r="J11" s="73" t="s">
        <v>1132</v>
      </c>
    </row>
    <row r="12" customFormat="false" ht="15" hidden="false" customHeight="true" outlineLevel="0" collapsed="false">
      <c r="A12" s="43" t="n">
        <v>4</v>
      </c>
      <c r="B12" s="87" t="s">
        <v>1807</v>
      </c>
      <c r="C12" s="73" t="s">
        <v>1808</v>
      </c>
      <c r="D12" s="73" t="s">
        <v>1809</v>
      </c>
      <c r="F12" s="73" t="n">
        <v>7</v>
      </c>
      <c r="G12" s="97" t="s">
        <v>1404</v>
      </c>
      <c r="H12" s="73" t="s">
        <v>1593</v>
      </c>
      <c r="I12" s="73" t="s">
        <v>1593</v>
      </c>
      <c r="J12" s="73" t="s">
        <v>1435</v>
      </c>
    </row>
    <row r="13" customFormat="false" ht="15" hidden="false" customHeight="false" outlineLevel="0" collapsed="false">
      <c r="A13" s="43"/>
      <c r="B13" s="87"/>
      <c r="C13" s="90" t="s">
        <v>1810</v>
      </c>
      <c r="D13" s="90" t="s">
        <v>1811</v>
      </c>
      <c r="F13" s="62" t="s">
        <v>39</v>
      </c>
      <c r="G13" s="62"/>
      <c r="H13" s="73" t="s">
        <v>758</v>
      </c>
      <c r="I13" s="73" t="s">
        <v>758</v>
      </c>
      <c r="J13" s="73" t="s">
        <v>758</v>
      </c>
    </row>
    <row r="14" customFormat="false" ht="15" hidden="false" customHeight="true" outlineLevel="0" collapsed="false">
      <c r="A14" s="23" t="n">
        <v>5</v>
      </c>
      <c r="B14" s="87" t="s">
        <v>1812</v>
      </c>
      <c r="C14" s="82" t="s">
        <v>1813</v>
      </c>
      <c r="D14" s="23" t="s">
        <v>1814</v>
      </c>
    </row>
    <row r="15" customFormat="false" ht="15" hidden="false" customHeight="false" outlineLevel="0" collapsed="false">
      <c r="A15" s="23"/>
      <c r="B15" s="87"/>
      <c r="C15" s="82" t="s">
        <v>909</v>
      </c>
      <c r="D15" s="23" t="s">
        <v>1069</v>
      </c>
      <c r="F15" s="7" t="s">
        <v>1815</v>
      </c>
    </row>
    <row r="16" customFormat="false" ht="15" hidden="false" customHeight="true" outlineLevel="0" collapsed="false">
      <c r="A16" s="23" t="n">
        <v>6</v>
      </c>
      <c r="B16" s="87" t="s">
        <v>1816</v>
      </c>
      <c r="C16" s="82" t="n">
        <v>33.42</v>
      </c>
      <c r="D16" s="23" t="s">
        <v>1817</v>
      </c>
      <c r="F16" s="8" t="s">
        <v>6</v>
      </c>
      <c r="G16" s="8" t="s">
        <v>767</v>
      </c>
      <c r="H16" s="62" t="s">
        <v>272</v>
      </c>
    </row>
    <row r="17" customFormat="false" ht="15" hidden="false" customHeight="false" outlineLevel="0" collapsed="false">
      <c r="A17" s="23"/>
      <c r="B17" s="87"/>
      <c r="C17" s="82" t="s">
        <v>1818</v>
      </c>
      <c r="D17" s="23" t="s">
        <v>1819</v>
      </c>
      <c r="F17" s="23" t="n">
        <v>1</v>
      </c>
      <c r="G17" s="61" t="s">
        <v>778</v>
      </c>
      <c r="H17" s="73" t="s">
        <v>1820</v>
      </c>
    </row>
    <row r="18" customFormat="false" ht="15" hidden="false" customHeight="true" outlineLevel="0" collapsed="false">
      <c r="A18" s="23" t="n">
        <v>7</v>
      </c>
      <c r="B18" s="87" t="s">
        <v>1821</v>
      </c>
      <c r="C18" s="82" t="s">
        <v>79</v>
      </c>
      <c r="D18" s="23" t="s">
        <v>1822</v>
      </c>
      <c r="F18" s="23" t="n">
        <v>2</v>
      </c>
      <c r="G18" s="61" t="s">
        <v>1065</v>
      </c>
      <c r="H18" s="73" t="s">
        <v>1823</v>
      </c>
    </row>
    <row r="19" customFormat="false" ht="15" hidden="false" customHeight="false" outlineLevel="0" collapsed="false">
      <c r="A19" s="23"/>
      <c r="B19" s="87"/>
      <c r="C19" s="82" t="s">
        <v>79</v>
      </c>
      <c r="D19" s="23" t="s">
        <v>1824</v>
      </c>
      <c r="F19" s="23" t="n">
        <v>3</v>
      </c>
      <c r="G19" s="61" t="s">
        <v>786</v>
      </c>
      <c r="H19" s="73" t="s">
        <v>1773</v>
      </c>
    </row>
    <row r="20" customFormat="false" ht="15" hidden="false" customHeight="false" outlineLevel="0" collapsed="false">
      <c r="B20" s="129"/>
      <c r="F20" s="23" t="n">
        <v>4</v>
      </c>
      <c r="G20" s="61" t="s">
        <v>12</v>
      </c>
      <c r="H20" s="73" t="s">
        <v>1773</v>
      </c>
    </row>
    <row r="21" customFormat="false" ht="15" hidden="false" customHeight="false" outlineLevel="0" collapsed="false">
      <c r="B21" s="129"/>
      <c r="F21" s="23" t="n">
        <v>5</v>
      </c>
      <c r="G21" s="61" t="s">
        <v>38</v>
      </c>
      <c r="H21" s="73" t="s">
        <v>1825</v>
      </c>
    </row>
    <row r="22" customFormat="false" ht="15" hidden="false" customHeight="false" outlineLevel="0" collapsed="false">
      <c r="B22" s="107"/>
      <c r="F22" s="73" t="n">
        <v>6</v>
      </c>
      <c r="G22" s="97" t="s">
        <v>1826</v>
      </c>
      <c r="H22" s="73" t="s">
        <v>1827</v>
      </c>
    </row>
    <row r="23" customFormat="false" ht="15" hidden="false" customHeight="false" outlineLevel="0" collapsed="false">
      <c r="B23" s="107"/>
      <c r="F23" s="62" t="s">
        <v>39</v>
      </c>
      <c r="G23" s="62"/>
      <c r="H23" s="73" t="s">
        <v>758</v>
      </c>
    </row>
    <row r="25" customFormat="false" ht="15" hidden="false" customHeight="false" outlineLevel="0" collapsed="false">
      <c r="F25" s="7" t="s">
        <v>1828</v>
      </c>
    </row>
    <row r="26" customFormat="false" ht="15" hidden="false" customHeight="false" outlineLevel="0" collapsed="false">
      <c r="F26" s="8" t="s">
        <v>6</v>
      </c>
      <c r="G26" s="8" t="s">
        <v>767</v>
      </c>
      <c r="H26" s="62" t="s">
        <v>271</v>
      </c>
    </row>
    <row r="27" customFormat="false" ht="15" hidden="false" customHeight="false" outlineLevel="0" collapsed="false">
      <c r="F27" s="23" t="n">
        <v>1</v>
      </c>
      <c r="G27" s="61" t="s">
        <v>682</v>
      </c>
      <c r="H27" s="73" t="s">
        <v>1829</v>
      </c>
    </row>
    <row r="28" customFormat="false" ht="15" hidden="false" customHeight="false" outlineLevel="0" collapsed="false">
      <c r="F28" s="23" t="n">
        <v>2</v>
      </c>
      <c r="G28" s="61" t="s">
        <v>778</v>
      </c>
      <c r="H28" s="73" t="s">
        <v>1830</v>
      </c>
    </row>
    <row r="29" customFormat="false" ht="15" hidden="false" customHeight="false" outlineLevel="0" collapsed="false">
      <c r="F29" s="23" t="n">
        <v>3</v>
      </c>
      <c r="G29" s="61" t="s">
        <v>9</v>
      </c>
      <c r="H29" s="73" t="s">
        <v>1773</v>
      </c>
    </row>
    <row r="30" customFormat="false" ht="15" hidden="false" customHeight="false" outlineLevel="0" collapsed="false">
      <c r="F30" s="23" t="n">
        <v>4</v>
      </c>
      <c r="G30" s="61" t="s">
        <v>12</v>
      </c>
      <c r="H30" s="73" t="s">
        <v>1773</v>
      </c>
    </row>
    <row r="31" customFormat="false" ht="15" hidden="false" customHeight="false" outlineLevel="0" collapsed="false">
      <c r="F31" s="23" t="n">
        <v>5</v>
      </c>
      <c r="G31" s="61" t="s">
        <v>38</v>
      </c>
      <c r="H31" s="73" t="s">
        <v>1825</v>
      </c>
    </row>
    <row r="32" customFormat="false" ht="15" hidden="false" customHeight="false" outlineLevel="0" collapsed="false">
      <c r="F32" s="73" t="n">
        <v>6</v>
      </c>
      <c r="G32" s="97" t="s">
        <v>1404</v>
      </c>
      <c r="H32" s="73" t="s">
        <v>856</v>
      </c>
    </row>
    <row r="33" customFormat="false" ht="15" hidden="false" customHeight="false" outlineLevel="0" collapsed="false">
      <c r="F33" s="62" t="s">
        <v>39</v>
      </c>
      <c r="G33" s="62"/>
      <c r="H33" s="73" t="s">
        <v>758</v>
      </c>
    </row>
    <row r="35" customFormat="false" ht="15" hidden="false" customHeight="false" outlineLevel="0" collapsed="false">
      <c r="F35" s="7" t="s">
        <v>1831</v>
      </c>
    </row>
    <row r="36" customFormat="false" ht="15" hidden="false" customHeight="false" outlineLevel="0" collapsed="false">
      <c r="F36" s="8" t="s">
        <v>6</v>
      </c>
      <c r="G36" s="8" t="s">
        <v>767</v>
      </c>
      <c r="H36" s="62" t="n">
        <v>1</v>
      </c>
      <c r="I36" s="62" t="n">
        <v>2</v>
      </c>
    </row>
    <row r="37" customFormat="false" ht="15" hidden="false" customHeight="false" outlineLevel="0" collapsed="false">
      <c r="F37" s="23" t="n">
        <v>1</v>
      </c>
      <c r="G37" s="61" t="s">
        <v>1065</v>
      </c>
      <c r="H37" s="73" t="s">
        <v>1832</v>
      </c>
      <c r="I37" s="73" t="s">
        <v>1833</v>
      </c>
    </row>
    <row r="38" customFormat="false" ht="15" hidden="false" customHeight="false" outlineLevel="0" collapsed="false">
      <c r="F38" s="23" t="n">
        <v>2</v>
      </c>
      <c r="G38" s="61" t="s">
        <v>778</v>
      </c>
      <c r="H38" s="73" t="s">
        <v>745</v>
      </c>
      <c r="I38" s="73" t="s">
        <v>745</v>
      </c>
    </row>
    <row r="39" customFormat="false" ht="15" hidden="false" customHeight="false" outlineLevel="0" collapsed="false">
      <c r="F39" s="23" t="n">
        <v>3</v>
      </c>
      <c r="G39" s="61" t="s">
        <v>1006</v>
      </c>
      <c r="H39" s="73" t="s">
        <v>745</v>
      </c>
      <c r="I39" s="73" t="s">
        <v>745</v>
      </c>
    </row>
    <row r="40" customFormat="false" ht="15" hidden="false" customHeight="false" outlineLevel="0" collapsed="false">
      <c r="F40" s="23" t="n">
        <v>4</v>
      </c>
      <c r="G40" s="61" t="s">
        <v>786</v>
      </c>
      <c r="H40" s="73" t="s">
        <v>858</v>
      </c>
      <c r="I40" s="73" t="s">
        <v>858</v>
      </c>
    </row>
    <row r="41" customFormat="false" ht="15" hidden="false" customHeight="false" outlineLevel="0" collapsed="false">
      <c r="F41" s="23" t="n">
        <v>5</v>
      </c>
      <c r="G41" s="61" t="s">
        <v>38</v>
      </c>
      <c r="H41" s="73" t="s">
        <v>1177</v>
      </c>
      <c r="I41" s="73" t="s">
        <v>1177</v>
      </c>
    </row>
    <row r="42" customFormat="false" ht="15" hidden="false" customHeight="false" outlineLevel="0" collapsed="false">
      <c r="F42" s="73" t="n">
        <v>6</v>
      </c>
      <c r="G42" s="97" t="s">
        <v>1106</v>
      </c>
      <c r="H42" s="73" t="s">
        <v>858</v>
      </c>
      <c r="I42" s="73" t="s">
        <v>1080</v>
      </c>
    </row>
    <row r="43" customFormat="false" ht="15" hidden="false" customHeight="false" outlineLevel="0" collapsed="false">
      <c r="F43" s="73" t="n">
        <v>7</v>
      </c>
      <c r="G43" s="97" t="s">
        <v>1404</v>
      </c>
      <c r="H43" s="73" t="s">
        <v>856</v>
      </c>
      <c r="I43" s="73" t="s">
        <v>858</v>
      </c>
    </row>
    <row r="44" customFormat="false" ht="15" hidden="false" customHeight="false" outlineLevel="0" collapsed="false">
      <c r="F44" s="62" t="s">
        <v>39</v>
      </c>
      <c r="G44" s="62"/>
      <c r="H44" s="73" t="s">
        <v>758</v>
      </c>
      <c r="I44" s="73" t="s">
        <v>758</v>
      </c>
    </row>
  </sheetData>
  <mergeCells count="21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B22:B23"/>
    <mergeCell ref="F23:G23"/>
    <mergeCell ref="F33:G33"/>
    <mergeCell ref="F44:G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8.42"/>
    <col collapsed="false" customWidth="true" hidden="false" outlineLevel="0" max="3" min="3" style="0" width="31.14"/>
    <col collapsed="false" customWidth="true" hidden="false" outlineLevel="0" max="4" min="4" style="0" width="30.86"/>
    <col collapsed="false" customWidth="true" hidden="false" outlineLevel="0" max="6" min="6" style="0" width="3.57"/>
    <col collapsed="false" customWidth="true" hidden="false" outlineLevel="0" max="7" min="7" style="0" width="22.71"/>
    <col collapsed="false" customWidth="true" hidden="false" outlineLevel="0" max="8" min="8" style="0" width="11.85"/>
    <col collapsed="false" customWidth="true" hidden="false" outlineLevel="0" max="9" min="9" style="0" width="11.71"/>
    <col collapsed="false" customWidth="true" hidden="false" outlineLevel="0" max="10" min="10" style="0" width="12"/>
    <col collapsed="false" customWidth="true" hidden="false" outlineLevel="0" max="11" min="11" style="0" width="12.14"/>
  </cols>
  <sheetData>
    <row r="2" customFormat="false" ht="15" hidden="false" customHeight="false" outlineLevel="0" collapsed="false">
      <c r="A2" s="58" t="s">
        <v>53</v>
      </c>
      <c r="G2" s="7" t="s">
        <v>424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" t="s">
        <v>428</v>
      </c>
      <c r="I4" s="8" t="s">
        <v>429</v>
      </c>
      <c r="J4" s="8" t="s">
        <v>430</v>
      </c>
      <c r="K4" s="8" t="s">
        <v>431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398</v>
      </c>
      <c r="H5" s="60" t="n">
        <v>0.975</v>
      </c>
      <c r="I5" s="23" t="s">
        <v>79</v>
      </c>
      <c r="J5" s="23" t="s">
        <v>79</v>
      </c>
      <c r="K5" s="23" t="s">
        <v>79</v>
      </c>
    </row>
    <row r="6" customFormat="false" ht="15" hidden="false" customHeight="false" outlineLevel="0" collapsed="false">
      <c r="A6" s="23" t="n">
        <v>1</v>
      </c>
      <c r="B6" s="61" t="s">
        <v>54</v>
      </c>
      <c r="C6" s="23" t="s">
        <v>434</v>
      </c>
      <c r="D6" s="23" t="s">
        <v>435</v>
      </c>
      <c r="F6" s="23" t="n">
        <v>2</v>
      </c>
      <c r="G6" s="59" t="s">
        <v>399</v>
      </c>
      <c r="H6" s="23" t="s">
        <v>79</v>
      </c>
      <c r="I6" s="60" t="n">
        <v>0.955</v>
      </c>
      <c r="J6" s="23" t="s">
        <v>79</v>
      </c>
      <c r="K6" s="23" t="s">
        <v>79</v>
      </c>
    </row>
    <row r="7" customFormat="false" ht="15" hidden="false" customHeight="false" outlineLevel="0" collapsed="false">
      <c r="A7" s="23"/>
      <c r="B7" s="61"/>
      <c r="C7" s="23" t="s">
        <v>436</v>
      </c>
      <c r="D7" s="23" t="s">
        <v>437</v>
      </c>
      <c r="F7" s="23" t="n">
        <v>3</v>
      </c>
      <c r="G7" s="59" t="s">
        <v>400</v>
      </c>
      <c r="H7" s="23" t="s">
        <v>79</v>
      </c>
      <c r="I7" s="23" t="s">
        <v>79</v>
      </c>
      <c r="J7" s="60" t="n">
        <v>0.935</v>
      </c>
      <c r="K7" s="23" t="s">
        <v>79</v>
      </c>
    </row>
    <row r="8" customFormat="false" ht="15" hidden="false" customHeight="false" outlineLevel="0" collapsed="false">
      <c r="A8" s="23" t="n">
        <v>2</v>
      </c>
      <c r="B8" s="61" t="s">
        <v>55</v>
      </c>
      <c r="C8" s="23" t="s">
        <v>438</v>
      </c>
      <c r="D8" s="23" t="s">
        <v>439</v>
      </c>
      <c r="F8" s="23" t="n">
        <v>4</v>
      </c>
      <c r="G8" s="59" t="s">
        <v>401</v>
      </c>
      <c r="H8" s="23" t="s">
        <v>79</v>
      </c>
      <c r="I8" s="23" t="s">
        <v>79</v>
      </c>
      <c r="J8" s="23" t="s">
        <v>79</v>
      </c>
      <c r="K8" s="60" t="n">
        <v>0.935</v>
      </c>
    </row>
    <row r="9" customFormat="false" ht="15" hidden="false" customHeight="false" outlineLevel="0" collapsed="false">
      <c r="A9" s="23"/>
      <c r="B9" s="61"/>
      <c r="C9" s="23" t="s">
        <v>440</v>
      </c>
      <c r="D9" s="23" t="s">
        <v>441</v>
      </c>
      <c r="F9" s="23" t="n">
        <v>5</v>
      </c>
      <c r="G9" s="59" t="s">
        <v>442</v>
      </c>
      <c r="H9" s="60" t="n">
        <v>0.025</v>
      </c>
      <c r="I9" s="60" t="n">
        <v>0.045</v>
      </c>
      <c r="J9" s="60" t="n">
        <v>0.065</v>
      </c>
      <c r="K9" s="60" t="n">
        <v>0.065</v>
      </c>
    </row>
    <row r="10" customFormat="false" ht="15" hidden="false" customHeight="false" outlineLevel="0" collapsed="false">
      <c r="A10" s="23" t="n">
        <v>3</v>
      </c>
      <c r="B10" s="61" t="s">
        <v>56</v>
      </c>
      <c r="C10" s="23" t="s">
        <v>443</v>
      </c>
      <c r="D10" s="23" t="s">
        <v>444</v>
      </c>
      <c r="F10" s="62" t="s">
        <v>39</v>
      </c>
      <c r="G10" s="62"/>
      <c r="H10" s="63" t="n">
        <v>1</v>
      </c>
      <c r="I10" s="63" t="n">
        <v>1</v>
      </c>
      <c r="J10" s="63" t="n">
        <v>1</v>
      </c>
      <c r="K10" s="63" t="n">
        <v>1</v>
      </c>
    </row>
    <row r="11" customFormat="false" ht="15" hidden="false" customHeight="false" outlineLevel="0" collapsed="false">
      <c r="A11" s="23"/>
      <c r="B11" s="61"/>
      <c r="C11" s="23" t="s">
        <v>445</v>
      </c>
      <c r="D11" s="23" t="s">
        <v>446</v>
      </c>
    </row>
    <row r="12" customFormat="false" ht="15" hidden="false" customHeight="false" outlineLevel="0" collapsed="false">
      <c r="A12" s="23" t="n">
        <v>4</v>
      </c>
      <c r="B12" s="61" t="s">
        <v>57</v>
      </c>
      <c r="C12" s="23" t="s">
        <v>447</v>
      </c>
      <c r="D12" s="23" t="s">
        <v>448</v>
      </c>
    </row>
    <row r="13" customFormat="false" ht="15" hidden="false" customHeight="false" outlineLevel="0" collapsed="false">
      <c r="A13" s="23"/>
      <c r="B13" s="61"/>
      <c r="C13" s="23" t="s">
        <v>449</v>
      </c>
      <c r="D13" s="23" t="s">
        <v>450</v>
      </c>
      <c r="F13" s="8" t="s">
        <v>6</v>
      </c>
      <c r="G13" s="8" t="s">
        <v>397</v>
      </c>
      <c r="H13" s="8" t="s">
        <v>451</v>
      </c>
      <c r="I13" s="8" t="s">
        <v>452</v>
      </c>
      <c r="J13" s="8" t="s">
        <v>453</v>
      </c>
      <c r="K13" s="8" t="s">
        <v>454</v>
      </c>
    </row>
    <row r="14" customFormat="false" ht="15" hidden="false" customHeight="false" outlineLevel="0" collapsed="false">
      <c r="A14" s="23" t="n">
        <v>5</v>
      </c>
      <c r="B14" s="61" t="s">
        <v>455</v>
      </c>
      <c r="C14" s="23" t="s">
        <v>456</v>
      </c>
      <c r="D14" s="23" t="s">
        <v>457</v>
      </c>
      <c r="F14" s="23" t="n">
        <v>1</v>
      </c>
      <c r="G14" s="59" t="s">
        <v>399</v>
      </c>
      <c r="H14" s="60" t="n">
        <v>0.975</v>
      </c>
      <c r="I14" s="23" t="s">
        <v>79</v>
      </c>
      <c r="J14" s="60" t="n">
        <v>0.945</v>
      </c>
      <c r="K14" s="23" t="s">
        <v>79</v>
      </c>
    </row>
    <row r="15" customFormat="false" ht="15" hidden="false" customHeight="false" outlineLevel="0" collapsed="false">
      <c r="A15" s="23"/>
      <c r="B15" s="61"/>
      <c r="C15" s="23" t="s">
        <v>458</v>
      </c>
      <c r="D15" s="23" t="s">
        <v>459</v>
      </c>
      <c r="F15" s="23" t="n">
        <v>2</v>
      </c>
      <c r="G15" s="59" t="s">
        <v>401</v>
      </c>
      <c r="H15" s="23" t="s">
        <v>79</v>
      </c>
      <c r="I15" s="63" t="n">
        <v>0.93</v>
      </c>
      <c r="J15" s="23" t="s">
        <v>79</v>
      </c>
      <c r="K15" s="60" t="n">
        <v>0.925</v>
      </c>
    </row>
    <row r="16" customFormat="false" ht="15" hidden="false" customHeight="false" outlineLevel="0" collapsed="false">
      <c r="A16" s="23" t="n">
        <v>6</v>
      </c>
      <c r="B16" s="61" t="s">
        <v>460</v>
      </c>
      <c r="C16" s="23" t="s">
        <v>461</v>
      </c>
      <c r="D16" s="23" t="s">
        <v>462</v>
      </c>
      <c r="F16" s="23" t="n">
        <v>3</v>
      </c>
      <c r="G16" s="59" t="s">
        <v>442</v>
      </c>
      <c r="H16" s="63" t="n">
        <v>0.05</v>
      </c>
      <c r="I16" s="63" t="n">
        <v>0.07</v>
      </c>
      <c r="J16" s="60" t="n">
        <v>0.055</v>
      </c>
      <c r="K16" s="60" t="n">
        <v>0.075</v>
      </c>
    </row>
    <row r="17" customFormat="false" ht="15" hidden="false" customHeight="false" outlineLevel="0" collapsed="false">
      <c r="A17" s="23"/>
      <c r="B17" s="61"/>
      <c r="C17" s="23" t="s">
        <v>463</v>
      </c>
      <c r="D17" s="23" t="s">
        <v>464</v>
      </c>
      <c r="F17" s="62" t="s">
        <v>39</v>
      </c>
      <c r="G17" s="62"/>
      <c r="H17" s="63" t="n">
        <v>1</v>
      </c>
      <c r="I17" s="63" t="n">
        <v>1</v>
      </c>
      <c r="J17" s="63" t="n">
        <v>1</v>
      </c>
      <c r="K17" s="63" t="n">
        <v>1</v>
      </c>
    </row>
    <row r="18" customFormat="false" ht="15" hidden="false" customHeight="false" outlineLevel="0" collapsed="false">
      <c r="A18" s="23" t="n">
        <v>7</v>
      </c>
      <c r="B18" s="61" t="s">
        <v>465</v>
      </c>
      <c r="C18" s="23" t="s">
        <v>466</v>
      </c>
      <c r="D18" s="23" t="s">
        <v>467</v>
      </c>
    </row>
    <row r="19" customFormat="false" ht="15" hidden="false" customHeight="false" outlineLevel="0" collapsed="false">
      <c r="A19" s="23"/>
      <c r="B19" s="61"/>
      <c r="C19" s="23" t="s">
        <v>468</v>
      </c>
      <c r="D19" s="23" t="s">
        <v>464</v>
      </c>
      <c r="G19" s="64" t="s">
        <v>469</v>
      </c>
    </row>
    <row r="20" customFormat="false" ht="15" hidden="false" customHeight="false" outlineLevel="0" collapsed="false">
      <c r="A20" s="23" t="n">
        <v>8</v>
      </c>
      <c r="B20" s="61" t="s">
        <v>470</v>
      </c>
      <c r="C20" s="23" t="s">
        <v>471</v>
      </c>
      <c r="D20" s="23" t="s">
        <v>472</v>
      </c>
      <c r="F20" s="8" t="s">
        <v>6</v>
      </c>
      <c r="G20" s="8" t="s">
        <v>397</v>
      </c>
      <c r="H20" s="8" t="s">
        <v>473</v>
      </c>
      <c r="I20" s="8" t="s">
        <v>474</v>
      </c>
      <c r="J20" s="8" t="s">
        <v>475</v>
      </c>
      <c r="K20" s="8" t="s">
        <v>476</v>
      </c>
    </row>
    <row r="21" customFormat="false" ht="15" hidden="false" customHeight="false" outlineLevel="0" collapsed="false">
      <c r="A21" s="23"/>
      <c r="B21" s="61"/>
      <c r="C21" s="23" t="s">
        <v>477</v>
      </c>
      <c r="D21" s="23" t="s">
        <v>478</v>
      </c>
      <c r="F21" s="23" t="n">
        <v>1</v>
      </c>
      <c r="G21" s="59" t="s">
        <v>479</v>
      </c>
      <c r="H21" s="60" t="n">
        <v>0.975</v>
      </c>
      <c r="I21" s="23" t="s">
        <v>79</v>
      </c>
      <c r="J21" s="23" t="s">
        <v>79</v>
      </c>
      <c r="K21" s="23" t="s">
        <v>79</v>
      </c>
    </row>
    <row r="22" customFormat="false" ht="15" hidden="false" customHeight="false" outlineLevel="0" collapsed="false">
      <c r="A22" s="23" t="n">
        <v>9</v>
      </c>
      <c r="B22" s="61" t="s">
        <v>480</v>
      </c>
      <c r="C22" s="23" t="s">
        <v>481</v>
      </c>
      <c r="D22" s="23" t="s">
        <v>79</v>
      </c>
      <c r="F22" s="23" t="n">
        <v>2</v>
      </c>
      <c r="G22" s="59" t="s">
        <v>479</v>
      </c>
      <c r="H22" s="23" t="s">
        <v>79</v>
      </c>
      <c r="I22" s="63" t="n">
        <v>0.97</v>
      </c>
      <c r="J22" s="23" t="s">
        <v>79</v>
      </c>
      <c r="K22" s="23" t="s">
        <v>79</v>
      </c>
    </row>
    <row r="23" customFormat="false" ht="15" hidden="false" customHeight="false" outlineLevel="0" collapsed="false">
      <c r="A23" s="23"/>
      <c r="B23" s="61"/>
      <c r="C23" s="23" t="s">
        <v>482</v>
      </c>
      <c r="D23" s="23" t="s">
        <v>79</v>
      </c>
      <c r="F23" s="23" t="n">
        <v>3</v>
      </c>
      <c r="G23" s="59" t="s">
        <v>483</v>
      </c>
      <c r="H23" s="23" t="s">
        <v>79</v>
      </c>
      <c r="I23" s="23" t="s">
        <v>79</v>
      </c>
      <c r="J23" s="60" t="n">
        <v>0.935</v>
      </c>
      <c r="K23" s="23" t="s">
        <v>79</v>
      </c>
    </row>
    <row r="24" customFormat="false" ht="15" hidden="false" customHeight="false" outlineLevel="0" collapsed="false">
      <c r="A24" s="23" t="n">
        <v>10</v>
      </c>
      <c r="B24" s="61" t="s">
        <v>484</v>
      </c>
      <c r="C24" s="23" t="s">
        <v>485</v>
      </c>
      <c r="D24" s="23" t="s">
        <v>79</v>
      </c>
      <c r="F24" s="23" t="n">
        <v>4</v>
      </c>
      <c r="G24" s="59" t="s">
        <v>483</v>
      </c>
      <c r="H24" s="23" t="s">
        <v>79</v>
      </c>
      <c r="I24" s="23" t="s">
        <v>79</v>
      </c>
      <c r="J24" s="23" t="s">
        <v>79</v>
      </c>
      <c r="K24" s="63" t="n">
        <v>0.93</v>
      </c>
    </row>
    <row r="25" customFormat="false" ht="15" hidden="false" customHeight="false" outlineLevel="0" collapsed="false">
      <c r="A25" s="23"/>
      <c r="B25" s="61"/>
      <c r="C25" s="23" t="s">
        <v>486</v>
      </c>
      <c r="D25" s="23" t="s">
        <v>79</v>
      </c>
      <c r="F25" s="23" t="n">
        <v>5</v>
      </c>
      <c r="G25" s="59" t="s">
        <v>442</v>
      </c>
      <c r="H25" s="60" t="n">
        <v>0.025</v>
      </c>
      <c r="I25" s="63" t="n">
        <v>0.03</v>
      </c>
      <c r="J25" s="60" t="n">
        <v>0.065</v>
      </c>
      <c r="K25" s="63" t="n">
        <v>0.07</v>
      </c>
    </row>
    <row r="26" customFormat="false" ht="15" hidden="false" customHeight="false" outlineLevel="0" collapsed="false">
      <c r="F26" s="62" t="s">
        <v>39</v>
      </c>
      <c r="G26" s="62"/>
      <c r="H26" s="63" t="n">
        <v>1</v>
      </c>
      <c r="I26" s="63" t="n">
        <v>1</v>
      </c>
      <c r="J26" s="63" t="n">
        <v>1</v>
      </c>
      <c r="K26" s="63" t="n">
        <v>1</v>
      </c>
    </row>
    <row r="28" customFormat="false" ht="15" hidden="false" customHeight="false" outlineLevel="0" collapsed="false">
      <c r="A28" s="0" t="n">
        <v>1</v>
      </c>
      <c r="B28" s="0" t="s">
        <v>487</v>
      </c>
    </row>
    <row r="29" customFormat="false" ht="15" hidden="false" customHeight="false" outlineLevel="0" collapsed="false">
      <c r="B29" s="0" t="s">
        <v>488</v>
      </c>
      <c r="C29" s="65" t="n">
        <v>0.508</v>
      </c>
      <c r="F29" s="8" t="s">
        <v>6</v>
      </c>
      <c r="G29" s="8" t="s">
        <v>397</v>
      </c>
      <c r="H29" s="8" t="s">
        <v>489</v>
      </c>
      <c r="I29" s="8" t="s">
        <v>484</v>
      </c>
      <c r="J29" s="66"/>
      <c r="K29" s="66"/>
    </row>
    <row r="30" customFormat="false" ht="15" hidden="false" customHeight="false" outlineLevel="0" collapsed="false">
      <c r="B30" s="0" t="s">
        <v>490</v>
      </c>
      <c r="C30" s="65" t="n">
        <v>0.3045</v>
      </c>
      <c r="F30" s="23" t="n">
        <v>1</v>
      </c>
      <c r="G30" s="59" t="s">
        <v>491</v>
      </c>
      <c r="H30" s="63" t="n">
        <v>0.99</v>
      </c>
      <c r="I30" s="23" t="s">
        <v>79</v>
      </c>
      <c r="J30" s="67"/>
      <c r="K30" s="67"/>
    </row>
    <row r="31" customFormat="false" ht="15" hidden="false" customHeight="false" outlineLevel="0" collapsed="false">
      <c r="B31" s="0" t="s">
        <v>492</v>
      </c>
      <c r="C31" s="65" t="n">
        <v>0.1015</v>
      </c>
      <c r="F31" s="23" t="n">
        <v>2</v>
      </c>
      <c r="G31" s="59" t="s">
        <v>491</v>
      </c>
      <c r="H31" s="23" t="s">
        <v>79</v>
      </c>
      <c r="I31" s="60" t="n">
        <v>0.985</v>
      </c>
      <c r="J31" s="67"/>
      <c r="K31" s="67"/>
    </row>
    <row r="32" customFormat="false" ht="15" hidden="false" customHeight="false" outlineLevel="0" collapsed="false">
      <c r="B32" s="0" t="s">
        <v>38</v>
      </c>
      <c r="C32" s="65" t="n">
        <v>0.084</v>
      </c>
      <c r="F32" s="23" t="n">
        <v>3</v>
      </c>
      <c r="G32" s="59" t="s">
        <v>442</v>
      </c>
      <c r="H32" s="63" t="n">
        <v>0.01</v>
      </c>
      <c r="I32" s="60" t="n">
        <v>0.015</v>
      </c>
      <c r="J32" s="67"/>
      <c r="K32" s="67"/>
    </row>
    <row r="33" customFormat="false" ht="15" hidden="false" customHeight="false" outlineLevel="0" collapsed="false">
      <c r="B33" s="0" t="s">
        <v>493</v>
      </c>
      <c r="C33" s="65" t="n">
        <v>0.002</v>
      </c>
      <c r="F33" s="62" t="s">
        <v>39</v>
      </c>
      <c r="G33" s="62"/>
      <c r="H33" s="63" t="n">
        <v>1</v>
      </c>
      <c r="I33" s="63" t="n">
        <v>1</v>
      </c>
      <c r="J33" s="67"/>
      <c r="K33" s="67"/>
    </row>
    <row r="34" customFormat="false" ht="15" hidden="false" customHeight="false" outlineLevel="0" collapsed="false">
      <c r="B34" s="0" t="s">
        <v>39</v>
      </c>
      <c r="C34" s="68" t="n">
        <v>1</v>
      </c>
    </row>
    <row r="36" customFormat="false" ht="15" hidden="false" customHeight="false" outlineLevel="0" collapsed="false">
      <c r="A36" s="0" t="n">
        <v>2</v>
      </c>
      <c r="B36" s="0" t="s">
        <v>494</v>
      </c>
    </row>
    <row r="37" customFormat="false" ht="15" hidden="false" customHeight="false" outlineLevel="0" collapsed="false">
      <c r="B37" s="0" t="s">
        <v>488</v>
      </c>
      <c r="C37" s="65" t="n">
        <v>0.195</v>
      </c>
    </row>
    <row r="38" customFormat="false" ht="15" hidden="false" customHeight="false" outlineLevel="0" collapsed="false">
      <c r="B38" s="0" t="s">
        <v>490</v>
      </c>
      <c r="C38" s="65" t="n">
        <v>0.6155</v>
      </c>
    </row>
    <row r="39" customFormat="false" ht="15" hidden="false" customHeight="false" outlineLevel="0" collapsed="false">
      <c r="B39" s="0" t="s">
        <v>492</v>
      </c>
      <c r="C39" s="65" t="n">
        <v>0.1025</v>
      </c>
    </row>
    <row r="40" customFormat="false" ht="15" hidden="false" customHeight="false" outlineLevel="0" collapsed="false">
      <c r="B40" s="0" t="s">
        <v>38</v>
      </c>
      <c r="C40" s="65" t="n">
        <v>0.085</v>
      </c>
    </row>
    <row r="41" customFormat="false" ht="15" hidden="false" customHeight="false" outlineLevel="0" collapsed="false">
      <c r="B41" s="0" t="s">
        <v>36</v>
      </c>
      <c r="C41" s="65" t="n">
        <v>0.002</v>
      </c>
    </row>
    <row r="42" customFormat="false" ht="15" hidden="false" customHeight="false" outlineLevel="0" collapsed="false">
      <c r="B42" s="0" t="s">
        <v>39</v>
      </c>
      <c r="C42" s="68" t="n">
        <v>1</v>
      </c>
    </row>
    <row r="44" customFormat="false" ht="15" hidden="false" customHeight="false" outlineLevel="0" collapsed="false">
      <c r="A44" s="0" t="n">
        <v>3</v>
      </c>
      <c r="B44" s="0" t="s">
        <v>495</v>
      </c>
    </row>
    <row r="45" customFormat="false" ht="15" hidden="false" customHeight="false" outlineLevel="0" collapsed="false">
      <c r="B45" s="0" t="s">
        <v>490</v>
      </c>
      <c r="C45" s="68" t="n">
        <v>0.8</v>
      </c>
    </row>
    <row r="46" customFormat="false" ht="15" hidden="false" customHeight="false" outlineLevel="0" collapsed="false">
      <c r="B46" s="0" t="s">
        <v>492</v>
      </c>
      <c r="C46" s="65" t="n">
        <v>0.107</v>
      </c>
    </row>
    <row r="47" customFormat="false" ht="15" hidden="false" customHeight="false" outlineLevel="0" collapsed="false">
      <c r="B47" s="0" t="s">
        <v>31</v>
      </c>
      <c r="C47" s="65" t="n">
        <v>0.093</v>
      </c>
    </row>
    <row r="48" customFormat="false" ht="15" hidden="false" customHeight="false" outlineLevel="0" collapsed="false">
      <c r="B48" s="0" t="s">
        <v>39</v>
      </c>
      <c r="C48" s="68" t="n">
        <v>1</v>
      </c>
    </row>
  </sheetData>
  <mergeCells count="26">
    <mergeCell ref="A4:A5"/>
    <mergeCell ref="B4:B5"/>
    <mergeCell ref="A6:A7"/>
    <mergeCell ref="B6:B7"/>
    <mergeCell ref="A8:A9"/>
    <mergeCell ref="B8:B9"/>
    <mergeCell ref="A10:A11"/>
    <mergeCell ref="B10:B11"/>
    <mergeCell ref="F10:G10"/>
    <mergeCell ref="A12:A13"/>
    <mergeCell ref="B12:B13"/>
    <mergeCell ref="A14:A15"/>
    <mergeCell ref="B14:B15"/>
    <mergeCell ref="A16:A17"/>
    <mergeCell ref="B16:B17"/>
    <mergeCell ref="F17:G17"/>
    <mergeCell ref="A18:A19"/>
    <mergeCell ref="B18:B19"/>
    <mergeCell ref="A20:A21"/>
    <mergeCell ref="B20:B21"/>
    <mergeCell ref="A22:A23"/>
    <mergeCell ref="B22:B23"/>
    <mergeCell ref="A24:A25"/>
    <mergeCell ref="B24:B25"/>
    <mergeCell ref="F26:G26"/>
    <mergeCell ref="F33:G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7.85"/>
    <col collapsed="false" customWidth="true" hidden="false" outlineLevel="0" max="3" min="3" style="0" width="32.29"/>
    <col collapsed="false" customWidth="true" hidden="false" outlineLevel="0" max="4" min="4" style="0" width="27.72"/>
    <col collapsed="false" customWidth="true" hidden="false" outlineLevel="0" max="7" min="7" style="0" width="15.14"/>
  </cols>
  <sheetData>
    <row r="2" customFormat="false" ht="15" hidden="false" customHeight="false" outlineLevel="0" collapsed="false">
      <c r="A2" s="69" t="s">
        <v>275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1834</v>
      </c>
    </row>
    <row r="5" customFormat="false" ht="15" hidden="false" customHeight="false" outlineLevel="0" collapsed="false">
      <c r="A5" s="8"/>
      <c r="B5" s="8"/>
      <c r="C5" s="8" t="s">
        <v>1835</v>
      </c>
      <c r="D5" s="8" t="s">
        <v>1836</v>
      </c>
      <c r="F5" s="8" t="s">
        <v>6</v>
      </c>
      <c r="G5" s="8" t="s">
        <v>767</v>
      </c>
      <c r="H5" s="62" t="n">
        <v>3</v>
      </c>
      <c r="I5" s="62" t="n">
        <v>4</v>
      </c>
      <c r="J5" s="62" t="n">
        <v>5</v>
      </c>
      <c r="K5" s="62" t="n">
        <v>6</v>
      </c>
      <c r="L5" s="62" t="n">
        <v>7</v>
      </c>
      <c r="M5" s="62" t="n">
        <v>8</v>
      </c>
    </row>
    <row r="6" customFormat="false" ht="15" hidden="false" customHeight="true" outlineLevel="0" collapsed="false">
      <c r="A6" s="23" t="n">
        <v>1</v>
      </c>
      <c r="B6" s="87" t="s">
        <v>1837</v>
      </c>
      <c r="C6" s="73" t="s">
        <v>1838</v>
      </c>
      <c r="D6" s="23" t="s">
        <v>1839</v>
      </c>
      <c r="F6" s="23" t="n">
        <v>1</v>
      </c>
      <c r="G6" s="61" t="s">
        <v>1065</v>
      </c>
      <c r="H6" s="73" t="s">
        <v>1840</v>
      </c>
      <c r="I6" s="73" t="s">
        <v>1841</v>
      </c>
      <c r="J6" s="73" t="s">
        <v>1842</v>
      </c>
      <c r="K6" s="73" t="s">
        <v>1843</v>
      </c>
      <c r="L6" s="73" t="s">
        <v>1844</v>
      </c>
      <c r="M6" s="73" t="s">
        <v>1845</v>
      </c>
    </row>
    <row r="7" customFormat="false" ht="15" hidden="false" customHeight="false" outlineLevel="0" collapsed="false">
      <c r="A7" s="23"/>
      <c r="B7" s="87"/>
      <c r="C7" s="73" t="s">
        <v>1846</v>
      </c>
      <c r="D7" s="23" t="s">
        <v>1847</v>
      </c>
      <c r="F7" s="23" t="n">
        <v>2</v>
      </c>
      <c r="G7" s="61" t="s">
        <v>778</v>
      </c>
      <c r="H7" s="73" t="s">
        <v>745</v>
      </c>
      <c r="I7" s="73" t="s">
        <v>952</v>
      </c>
      <c r="J7" s="73" t="s">
        <v>952</v>
      </c>
      <c r="K7" s="73" t="s">
        <v>1378</v>
      </c>
      <c r="L7" s="73" t="s">
        <v>903</v>
      </c>
      <c r="M7" s="73" t="s">
        <v>902</v>
      </c>
    </row>
    <row r="8" customFormat="false" ht="15" hidden="false" customHeight="true" outlineLevel="0" collapsed="false">
      <c r="A8" s="23" t="n">
        <v>2</v>
      </c>
      <c r="B8" s="87" t="s">
        <v>1848</v>
      </c>
      <c r="C8" s="73" t="s">
        <v>1849</v>
      </c>
      <c r="D8" s="23" t="s">
        <v>1850</v>
      </c>
      <c r="F8" s="23" t="n">
        <v>3</v>
      </c>
      <c r="G8" s="61" t="s">
        <v>1006</v>
      </c>
      <c r="H8" s="73" t="s">
        <v>745</v>
      </c>
      <c r="I8" s="73" t="s">
        <v>745</v>
      </c>
      <c r="J8" s="73" t="s">
        <v>745</v>
      </c>
      <c r="K8" s="73" t="s">
        <v>745</v>
      </c>
      <c r="L8" s="73" t="s">
        <v>745</v>
      </c>
      <c r="M8" s="73" t="s">
        <v>745</v>
      </c>
    </row>
    <row r="9" customFormat="false" ht="15" hidden="false" customHeight="false" outlineLevel="0" collapsed="false">
      <c r="A9" s="23"/>
      <c r="B9" s="87"/>
      <c r="C9" s="73" t="s">
        <v>1488</v>
      </c>
      <c r="D9" s="23" t="s">
        <v>1851</v>
      </c>
      <c r="F9" s="23" t="n">
        <v>4</v>
      </c>
      <c r="G9" s="61" t="s">
        <v>786</v>
      </c>
      <c r="H9" s="73" t="s">
        <v>858</v>
      </c>
      <c r="I9" s="73" t="s">
        <v>858</v>
      </c>
      <c r="J9" s="73" t="s">
        <v>858</v>
      </c>
      <c r="K9" s="73" t="s">
        <v>858</v>
      </c>
      <c r="L9" s="73" t="s">
        <v>858</v>
      </c>
      <c r="M9" s="73" t="s">
        <v>858</v>
      </c>
    </row>
    <row r="10" customFormat="false" ht="15" hidden="false" customHeight="true" outlineLevel="0" collapsed="false">
      <c r="A10" s="23" t="n">
        <v>3</v>
      </c>
      <c r="B10" s="87" t="s">
        <v>1852</v>
      </c>
      <c r="C10" s="73" t="s">
        <v>1853</v>
      </c>
      <c r="D10" s="73" t="s">
        <v>1854</v>
      </c>
      <c r="F10" s="23" t="n">
        <v>5</v>
      </c>
      <c r="G10" s="61" t="s">
        <v>38</v>
      </c>
      <c r="H10" s="73" t="s">
        <v>1177</v>
      </c>
      <c r="I10" s="73" t="s">
        <v>1177</v>
      </c>
      <c r="J10" s="73" t="s">
        <v>1177</v>
      </c>
      <c r="K10" s="73" t="s">
        <v>1177</v>
      </c>
      <c r="L10" s="73" t="s">
        <v>1177</v>
      </c>
      <c r="M10" s="73" t="s">
        <v>1177</v>
      </c>
    </row>
    <row r="11" customFormat="false" ht="15" hidden="false" customHeight="false" outlineLevel="0" collapsed="false">
      <c r="A11" s="23"/>
      <c r="B11" s="87"/>
      <c r="C11" s="73" t="s">
        <v>1855</v>
      </c>
      <c r="D11" s="90" t="s">
        <v>1856</v>
      </c>
      <c r="F11" s="73" t="n">
        <v>6</v>
      </c>
      <c r="G11" s="97" t="s">
        <v>1106</v>
      </c>
      <c r="H11" s="73" t="s">
        <v>858</v>
      </c>
      <c r="I11" s="73" t="s">
        <v>858</v>
      </c>
      <c r="J11" s="73" t="s">
        <v>940</v>
      </c>
      <c r="K11" s="73" t="s">
        <v>940</v>
      </c>
      <c r="L11" s="73" t="s">
        <v>858</v>
      </c>
      <c r="M11" s="73" t="s">
        <v>858</v>
      </c>
    </row>
    <row r="12" customFormat="false" ht="15" hidden="false" customHeight="true" outlineLevel="0" collapsed="false">
      <c r="A12" s="43" t="n">
        <v>4</v>
      </c>
      <c r="B12" s="87" t="s">
        <v>1857</v>
      </c>
      <c r="C12" s="95" t="s">
        <v>1858</v>
      </c>
      <c r="D12" s="73" t="s">
        <v>79</v>
      </c>
      <c r="F12" s="73" t="n">
        <v>7</v>
      </c>
      <c r="G12" s="97" t="s">
        <v>1404</v>
      </c>
      <c r="H12" s="73" t="s">
        <v>1859</v>
      </c>
      <c r="I12" s="73" t="s">
        <v>856</v>
      </c>
      <c r="J12" s="73" t="s">
        <v>858</v>
      </c>
      <c r="K12" s="73" t="s">
        <v>858</v>
      </c>
      <c r="L12" s="73" t="s">
        <v>719</v>
      </c>
      <c r="M12" s="73" t="s">
        <v>719</v>
      </c>
    </row>
    <row r="13" customFormat="false" ht="15" hidden="false" customHeight="false" outlineLevel="0" collapsed="false">
      <c r="A13" s="43"/>
      <c r="B13" s="87"/>
      <c r="C13" s="99" t="s">
        <v>846</v>
      </c>
      <c r="D13" s="73" t="s">
        <v>79</v>
      </c>
      <c r="F13" s="62" t="s">
        <v>39</v>
      </c>
      <c r="G13" s="62"/>
      <c r="H13" s="73" t="s">
        <v>758</v>
      </c>
      <c r="I13" s="73" t="s">
        <v>758</v>
      </c>
      <c r="J13" s="73" t="s">
        <v>758</v>
      </c>
      <c r="K13" s="73" t="s">
        <v>758</v>
      </c>
      <c r="L13" s="73" t="s">
        <v>758</v>
      </c>
      <c r="M13" s="73" t="s">
        <v>758</v>
      </c>
    </row>
    <row r="14" customFormat="false" ht="15" hidden="false" customHeight="true" outlineLevel="0" collapsed="false">
      <c r="A14" s="23" t="n">
        <v>5</v>
      </c>
      <c r="B14" s="87" t="s">
        <v>1860</v>
      </c>
      <c r="C14" s="82" t="s">
        <v>1861</v>
      </c>
      <c r="D14" s="100" t="s">
        <v>1862</v>
      </c>
    </row>
    <row r="15" customFormat="false" ht="15" hidden="false" customHeight="false" outlineLevel="0" collapsed="false">
      <c r="A15" s="23"/>
      <c r="B15" s="87"/>
      <c r="C15" s="82" t="s">
        <v>1488</v>
      </c>
      <c r="D15" s="90" t="s">
        <v>1863</v>
      </c>
      <c r="F15" s="7" t="s">
        <v>1864</v>
      </c>
    </row>
    <row r="16" customFormat="false" ht="15" hidden="false" customHeight="true" outlineLevel="0" collapsed="false">
      <c r="A16" s="23" t="n">
        <v>6</v>
      </c>
      <c r="B16" s="87" t="s">
        <v>1865</v>
      </c>
      <c r="C16" s="82" t="s">
        <v>1866</v>
      </c>
      <c r="D16" s="23" t="s">
        <v>1867</v>
      </c>
      <c r="F16" s="8" t="s">
        <v>6</v>
      </c>
      <c r="G16" s="8" t="s">
        <v>767</v>
      </c>
      <c r="H16" s="62" t="s">
        <v>1868</v>
      </c>
      <c r="I16" s="62" t="s">
        <v>1869</v>
      </c>
      <c r="J16" s="62" t="s">
        <v>1870</v>
      </c>
      <c r="K16" s="62" t="s">
        <v>1871</v>
      </c>
    </row>
    <row r="17" customFormat="false" ht="15" hidden="false" customHeight="false" outlineLevel="0" collapsed="false">
      <c r="A17" s="23"/>
      <c r="B17" s="87"/>
      <c r="C17" s="82" t="s">
        <v>638</v>
      </c>
      <c r="D17" s="23" t="s">
        <v>1872</v>
      </c>
      <c r="F17" s="23" t="n">
        <v>1</v>
      </c>
      <c r="G17" s="61" t="s">
        <v>10</v>
      </c>
      <c r="H17" s="73" t="s">
        <v>1873</v>
      </c>
      <c r="I17" s="73" t="s">
        <v>1160</v>
      </c>
      <c r="J17" s="73" t="s">
        <v>1161</v>
      </c>
      <c r="K17" s="73" t="s">
        <v>1843</v>
      </c>
    </row>
    <row r="18" customFormat="false" ht="15" hidden="false" customHeight="true" outlineLevel="0" collapsed="false">
      <c r="A18" s="23" t="n">
        <v>7</v>
      </c>
      <c r="B18" s="87" t="s">
        <v>1874</v>
      </c>
      <c r="C18" s="82" t="s">
        <v>1875</v>
      </c>
      <c r="D18" s="23" t="s">
        <v>1876</v>
      </c>
      <c r="F18" s="23" t="n">
        <v>2</v>
      </c>
      <c r="G18" s="61" t="s">
        <v>778</v>
      </c>
      <c r="H18" s="73" t="s">
        <v>1877</v>
      </c>
      <c r="I18" s="73" t="s">
        <v>719</v>
      </c>
      <c r="J18" s="73" t="s">
        <v>745</v>
      </c>
      <c r="K18" s="73" t="s">
        <v>1378</v>
      </c>
    </row>
    <row r="19" customFormat="false" ht="15" hidden="false" customHeight="false" outlineLevel="0" collapsed="false">
      <c r="A19" s="23"/>
      <c r="B19" s="87"/>
      <c r="C19" s="82" t="s">
        <v>1878</v>
      </c>
      <c r="D19" s="23" t="s">
        <v>1879</v>
      </c>
      <c r="F19" s="62" t="s">
        <v>39</v>
      </c>
      <c r="G19" s="62"/>
      <c r="H19" s="73" t="s">
        <v>758</v>
      </c>
      <c r="I19" s="73" t="s">
        <v>758</v>
      </c>
      <c r="J19" s="73" t="s">
        <v>758</v>
      </c>
      <c r="K19" s="73" t="s">
        <v>758</v>
      </c>
    </row>
    <row r="20" customFormat="false" ht="15" hidden="false" customHeight="true" outlineLevel="0" collapsed="false">
      <c r="A20" s="23" t="n">
        <v>8</v>
      </c>
      <c r="B20" s="87" t="s">
        <v>1880</v>
      </c>
      <c r="C20" s="82" t="s">
        <v>79</v>
      </c>
      <c r="D20" s="23" t="s">
        <v>1881</v>
      </c>
    </row>
    <row r="21" customFormat="false" ht="15" hidden="false" customHeight="false" outlineLevel="0" collapsed="false">
      <c r="A21" s="23"/>
      <c r="B21" s="87"/>
      <c r="C21" s="82" t="s">
        <v>79</v>
      </c>
      <c r="D21" s="23" t="s">
        <v>1882</v>
      </c>
    </row>
    <row r="22" customFormat="false" ht="15" hidden="false" customHeight="true" outlineLevel="0" collapsed="false">
      <c r="A22" s="23" t="n">
        <v>9</v>
      </c>
      <c r="B22" s="87" t="s">
        <v>1883</v>
      </c>
      <c r="C22" s="82" t="s">
        <v>79</v>
      </c>
      <c r="D22" s="23" t="s">
        <v>1884</v>
      </c>
    </row>
    <row r="23" customFormat="false" ht="15" hidden="false" customHeight="false" outlineLevel="0" collapsed="false">
      <c r="A23" s="23"/>
      <c r="B23" s="87"/>
      <c r="C23" s="82" t="s">
        <v>79</v>
      </c>
      <c r="D23" s="23" t="s">
        <v>1885</v>
      </c>
    </row>
    <row r="24" customFormat="false" ht="15" hidden="false" customHeight="true" outlineLevel="0" collapsed="false">
      <c r="A24" s="23" t="n">
        <v>10</v>
      </c>
      <c r="B24" s="87" t="s">
        <v>1886</v>
      </c>
      <c r="C24" s="82" t="s">
        <v>79</v>
      </c>
      <c r="D24" s="23" t="s">
        <v>1887</v>
      </c>
    </row>
    <row r="25" customFormat="false" ht="15" hidden="false" customHeight="false" outlineLevel="0" collapsed="false">
      <c r="A25" s="23"/>
      <c r="B25" s="87"/>
      <c r="C25" s="82" t="s">
        <v>79</v>
      </c>
      <c r="D25" s="23" t="s">
        <v>1888</v>
      </c>
    </row>
    <row r="26" customFormat="false" ht="15" hidden="false" customHeight="true" outlineLevel="0" collapsed="false">
      <c r="A26" s="23" t="n">
        <v>11</v>
      </c>
      <c r="B26" s="87" t="s">
        <v>1889</v>
      </c>
      <c r="C26" s="82" t="s">
        <v>79</v>
      </c>
      <c r="D26" s="23" t="s">
        <v>1890</v>
      </c>
    </row>
    <row r="27" customFormat="false" ht="15" hidden="false" customHeight="false" outlineLevel="0" collapsed="false">
      <c r="A27" s="23"/>
      <c r="B27" s="87"/>
      <c r="C27" s="82" t="s">
        <v>79</v>
      </c>
      <c r="D27" s="23" t="s">
        <v>1891</v>
      </c>
    </row>
    <row r="28" customFormat="false" ht="15" hidden="false" customHeight="true" outlineLevel="0" collapsed="false">
      <c r="A28" s="23" t="n">
        <v>12</v>
      </c>
      <c r="B28" s="87" t="s">
        <v>1892</v>
      </c>
      <c r="C28" s="82" t="s">
        <v>1893</v>
      </c>
      <c r="D28" s="23" t="s">
        <v>1894</v>
      </c>
    </row>
    <row r="29" customFormat="false" ht="15" hidden="false" customHeight="false" outlineLevel="0" collapsed="false">
      <c r="A29" s="23"/>
      <c r="B29" s="87"/>
      <c r="C29" s="82" t="s">
        <v>1895</v>
      </c>
      <c r="D29" s="23" t="s">
        <v>1896</v>
      </c>
    </row>
  </sheetData>
  <mergeCells count="2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F19:G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29"/>
    <col collapsed="false" customWidth="true" hidden="false" outlineLevel="0" max="3" min="3" style="0" width="31.86"/>
    <col collapsed="false" customWidth="true" hidden="false" outlineLevel="0" max="4" min="4" style="0" width="29.29"/>
    <col collapsed="false" customWidth="true" hidden="false" outlineLevel="0" max="6" min="6" style="0" width="5.28"/>
    <col collapsed="false" customWidth="true" hidden="false" outlineLevel="0" max="7" min="7" style="0" width="15.14"/>
    <col collapsed="false" customWidth="true" hidden="false" outlineLevel="0" max="9" min="8" style="0" width="10.57"/>
    <col collapsed="false" customWidth="true" hidden="false" outlineLevel="0" max="10" min="10" style="0" width="7.7"/>
    <col collapsed="false" customWidth="true" hidden="false" outlineLevel="0" max="11" min="11" style="0" width="13.71"/>
    <col collapsed="false" customWidth="true" hidden="false" outlineLevel="0" max="14" min="14" style="0" width="5"/>
    <col collapsed="false" customWidth="true" hidden="false" outlineLevel="0" max="15" min="15" style="0" width="13.71"/>
  </cols>
  <sheetData>
    <row r="2" customFormat="false" ht="15" hidden="false" customHeight="false" outlineLevel="0" collapsed="false">
      <c r="A2" s="69" t="s">
        <v>286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1897</v>
      </c>
    </row>
    <row r="5" customFormat="false" ht="15" hidden="false" customHeight="false" outlineLevel="0" collapsed="false">
      <c r="A5" s="8"/>
      <c r="B5" s="8"/>
      <c r="C5" s="8" t="s">
        <v>1835</v>
      </c>
      <c r="D5" s="8" t="s">
        <v>1836</v>
      </c>
      <c r="F5" s="8" t="s">
        <v>6</v>
      </c>
      <c r="G5" s="8" t="s">
        <v>767</v>
      </c>
      <c r="H5" s="62" t="n">
        <v>1</v>
      </c>
      <c r="I5" s="62" t="n">
        <v>2</v>
      </c>
    </row>
    <row r="6" customFormat="false" ht="15" hidden="false" customHeight="true" outlineLevel="0" collapsed="false">
      <c r="A6" s="23" t="n">
        <v>1</v>
      </c>
      <c r="B6" s="87" t="s">
        <v>1898</v>
      </c>
      <c r="C6" s="73" t="s">
        <v>1899</v>
      </c>
      <c r="D6" s="23" t="s">
        <v>1900</v>
      </c>
      <c r="F6" s="23" t="n">
        <v>1</v>
      </c>
      <c r="G6" s="61" t="s">
        <v>778</v>
      </c>
      <c r="H6" s="73" t="s">
        <v>1901</v>
      </c>
      <c r="I6" s="73" t="s">
        <v>1902</v>
      </c>
    </row>
    <row r="7" customFormat="false" ht="15" hidden="false" customHeight="false" outlineLevel="0" collapsed="false">
      <c r="A7" s="23"/>
      <c r="B7" s="87"/>
      <c r="C7" s="73" t="s">
        <v>1903</v>
      </c>
      <c r="D7" s="23" t="s">
        <v>1293</v>
      </c>
      <c r="F7" s="23" t="n">
        <v>2</v>
      </c>
      <c r="G7" s="61" t="s">
        <v>1065</v>
      </c>
      <c r="H7" s="73" t="s">
        <v>1901</v>
      </c>
      <c r="I7" s="73" t="s">
        <v>1904</v>
      </c>
    </row>
    <row r="8" customFormat="false" ht="15" hidden="false" customHeight="true" outlineLevel="0" collapsed="false">
      <c r="A8" s="23" t="n">
        <v>2</v>
      </c>
      <c r="B8" s="87" t="s">
        <v>1905</v>
      </c>
      <c r="C8" s="73" t="s">
        <v>1906</v>
      </c>
      <c r="D8" s="23" t="s">
        <v>1907</v>
      </c>
      <c r="F8" s="23" t="n">
        <v>3</v>
      </c>
      <c r="G8" s="61" t="s">
        <v>34</v>
      </c>
      <c r="H8" s="73" t="s">
        <v>1908</v>
      </c>
      <c r="I8" s="73" t="s">
        <v>1908</v>
      </c>
    </row>
    <row r="9" customFormat="false" ht="15" hidden="false" customHeight="false" outlineLevel="0" collapsed="false">
      <c r="A9" s="23"/>
      <c r="B9" s="87"/>
      <c r="C9" s="73" t="s">
        <v>1909</v>
      </c>
      <c r="D9" s="23" t="s">
        <v>1910</v>
      </c>
      <c r="F9" s="23" t="n">
        <v>4</v>
      </c>
      <c r="G9" s="61" t="s">
        <v>10</v>
      </c>
      <c r="H9" s="73" t="s">
        <v>745</v>
      </c>
      <c r="I9" s="73" t="s">
        <v>745</v>
      </c>
    </row>
    <row r="10" customFormat="false" ht="15" hidden="false" customHeight="true" outlineLevel="0" collapsed="false">
      <c r="A10" s="23" t="n">
        <v>3</v>
      </c>
      <c r="B10" s="87" t="s">
        <v>1911</v>
      </c>
      <c r="C10" s="73" t="s">
        <v>1912</v>
      </c>
      <c r="D10" s="73" t="s">
        <v>1913</v>
      </c>
      <c r="F10" s="23" t="n">
        <v>5</v>
      </c>
      <c r="G10" s="61" t="s">
        <v>37</v>
      </c>
      <c r="H10" s="73" t="s">
        <v>1080</v>
      </c>
      <c r="I10" s="73" t="s">
        <v>1593</v>
      </c>
    </row>
    <row r="11" customFormat="false" ht="15" hidden="false" customHeight="false" outlineLevel="0" collapsed="false">
      <c r="A11" s="23"/>
      <c r="B11" s="87"/>
      <c r="C11" s="73" t="s">
        <v>1914</v>
      </c>
      <c r="D11" s="90" t="s">
        <v>1910</v>
      </c>
      <c r="F11" s="73" t="n">
        <v>6</v>
      </c>
      <c r="G11" s="97" t="s">
        <v>36</v>
      </c>
      <c r="H11" s="73" t="s">
        <v>1330</v>
      </c>
      <c r="I11" s="73" t="s">
        <v>1330</v>
      </c>
    </row>
    <row r="12" customFormat="false" ht="15" hidden="false" customHeight="true" outlineLevel="0" collapsed="false">
      <c r="A12" s="43" t="n">
        <v>4</v>
      </c>
      <c r="B12" s="87" t="s">
        <v>1915</v>
      </c>
      <c r="C12" s="95" t="s">
        <v>1916</v>
      </c>
      <c r="D12" s="73" t="s">
        <v>1917</v>
      </c>
      <c r="F12" s="73" t="n">
        <v>7</v>
      </c>
      <c r="G12" s="97" t="s">
        <v>35</v>
      </c>
      <c r="H12" s="73" t="s">
        <v>1918</v>
      </c>
      <c r="I12" s="73" t="s">
        <v>1918</v>
      </c>
    </row>
    <row r="13" customFormat="false" ht="15" hidden="false" customHeight="false" outlineLevel="0" collapsed="false">
      <c r="A13" s="43"/>
      <c r="B13" s="87"/>
      <c r="C13" s="99" t="s">
        <v>1919</v>
      </c>
      <c r="D13" s="73" t="s">
        <v>1920</v>
      </c>
      <c r="F13" s="62" t="s">
        <v>39</v>
      </c>
      <c r="G13" s="62"/>
      <c r="H13" s="73" t="s">
        <v>758</v>
      </c>
      <c r="I13" s="73" t="s">
        <v>758</v>
      </c>
    </row>
    <row r="14" customFormat="false" ht="15" hidden="false" customHeight="true" outlineLevel="0" collapsed="false">
      <c r="A14" s="23" t="n">
        <v>5</v>
      </c>
      <c r="B14" s="87" t="s">
        <v>1921</v>
      </c>
      <c r="C14" s="82" t="s">
        <v>1922</v>
      </c>
      <c r="D14" s="100" t="s">
        <v>1923</v>
      </c>
    </row>
    <row r="15" customFormat="false" ht="15" hidden="false" customHeight="false" outlineLevel="0" collapsed="false">
      <c r="A15" s="23"/>
      <c r="B15" s="87"/>
      <c r="C15" s="82" t="s">
        <v>1924</v>
      </c>
      <c r="D15" s="90" t="s">
        <v>1925</v>
      </c>
      <c r="F15" s="7" t="s">
        <v>1926</v>
      </c>
      <c r="J15" s="7" t="s">
        <v>1927</v>
      </c>
      <c r="N15" s="7" t="s">
        <v>1928</v>
      </c>
    </row>
    <row r="16" customFormat="false" ht="15" hidden="false" customHeight="true" outlineLevel="0" collapsed="false">
      <c r="A16" s="23" t="n">
        <v>6</v>
      </c>
      <c r="B16" s="87" t="s">
        <v>1929</v>
      </c>
      <c r="C16" s="82" t="s">
        <v>1930</v>
      </c>
      <c r="D16" s="23" t="s">
        <v>1931</v>
      </c>
      <c r="F16" s="8" t="s">
        <v>6</v>
      </c>
      <c r="G16" s="8" t="s">
        <v>767</v>
      </c>
      <c r="H16" s="62" t="s">
        <v>547</v>
      </c>
      <c r="J16" s="8" t="s">
        <v>6</v>
      </c>
      <c r="K16" s="8" t="s">
        <v>767</v>
      </c>
      <c r="L16" s="62" t="s">
        <v>548</v>
      </c>
      <c r="N16" s="8" t="s">
        <v>6</v>
      </c>
      <c r="O16" s="8" t="s">
        <v>767</v>
      </c>
      <c r="P16" s="62" t="s">
        <v>548</v>
      </c>
    </row>
    <row r="17" customFormat="false" ht="15" hidden="false" customHeight="false" outlineLevel="0" collapsed="false">
      <c r="A17" s="23"/>
      <c r="B17" s="87"/>
      <c r="C17" s="82" t="s">
        <v>1932</v>
      </c>
      <c r="D17" s="23" t="s">
        <v>1933</v>
      </c>
      <c r="F17" s="23" t="n">
        <v>1</v>
      </c>
      <c r="G17" s="61" t="s">
        <v>778</v>
      </c>
      <c r="H17" s="73" t="s">
        <v>1934</v>
      </c>
      <c r="J17" s="23" t="n">
        <v>1</v>
      </c>
      <c r="K17" s="61" t="s">
        <v>778</v>
      </c>
      <c r="L17" s="73" t="s">
        <v>1935</v>
      </c>
      <c r="N17" s="23" t="n">
        <v>1</v>
      </c>
      <c r="O17" s="61" t="s">
        <v>682</v>
      </c>
      <c r="P17" s="73" t="s">
        <v>1936</v>
      </c>
    </row>
    <row r="18" customFormat="false" ht="15" hidden="false" customHeight="true" outlineLevel="0" collapsed="false">
      <c r="A18" s="23" t="n">
        <v>7</v>
      </c>
      <c r="B18" s="87" t="s">
        <v>1937</v>
      </c>
      <c r="C18" s="82" t="s">
        <v>1938</v>
      </c>
      <c r="D18" s="23" t="s">
        <v>1939</v>
      </c>
      <c r="F18" s="23" t="n">
        <v>2</v>
      </c>
      <c r="G18" s="61" t="s">
        <v>1065</v>
      </c>
      <c r="H18" s="73" t="s">
        <v>1452</v>
      </c>
      <c r="J18" s="23" t="n">
        <v>2</v>
      </c>
      <c r="K18" s="61" t="s">
        <v>10</v>
      </c>
      <c r="L18" s="73" t="s">
        <v>745</v>
      </c>
      <c r="N18" s="23" t="n">
        <v>2</v>
      </c>
      <c r="O18" s="61" t="s">
        <v>34</v>
      </c>
      <c r="P18" s="73" t="s">
        <v>1908</v>
      </c>
    </row>
    <row r="19" customFormat="false" ht="15" hidden="false" customHeight="false" outlineLevel="0" collapsed="false">
      <c r="A19" s="23"/>
      <c r="B19" s="87"/>
      <c r="C19" s="82" t="s">
        <v>1940</v>
      </c>
      <c r="D19" s="23" t="s">
        <v>482</v>
      </c>
      <c r="F19" s="23" t="n">
        <v>3</v>
      </c>
      <c r="G19" s="61" t="s">
        <v>10</v>
      </c>
      <c r="H19" s="73" t="s">
        <v>745</v>
      </c>
      <c r="J19" s="23" t="n">
        <v>3</v>
      </c>
      <c r="K19" s="61" t="s">
        <v>30</v>
      </c>
      <c r="L19" s="73" t="s">
        <v>1323</v>
      </c>
      <c r="N19" s="23" t="n">
        <v>3</v>
      </c>
      <c r="O19" s="61" t="s">
        <v>37</v>
      </c>
      <c r="P19" s="73" t="s">
        <v>1435</v>
      </c>
    </row>
    <row r="20" customFormat="false" ht="15" hidden="false" customHeight="true" outlineLevel="0" collapsed="false">
      <c r="A20" s="23" t="n">
        <v>8</v>
      </c>
      <c r="B20" s="87" t="s">
        <v>1941</v>
      </c>
      <c r="C20" s="82" t="n">
        <v>368.31</v>
      </c>
      <c r="D20" s="23" t="s">
        <v>1942</v>
      </c>
      <c r="F20" s="23" t="n">
        <v>4</v>
      </c>
      <c r="G20" s="61" t="s">
        <v>30</v>
      </c>
      <c r="H20" s="73" t="s">
        <v>1323</v>
      </c>
      <c r="J20" s="23" t="n">
        <v>4</v>
      </c>
      <c r="K20" s="61" t="s">
        <v>32</v>
      </c>
      <c r="L20" s="73" t="s">
        <v>1641</v>
      </c>
      <c r="N20" s="23" t="n">
        <v>4</v>
      </c>
      <c r="O20" s="61" t="s">
        <v>10</v>
      </c>
      <c r="P20" s="73" t="s">
        <v>719</v>
      </c>
    </row>
    <row r="21" customFormat="false" ht="15" hidden="false" customHeight="false" outlineLevel="0" collapsed="false">
      <c r="A21" s="23"/>
      <c r="B21" s="87"/>
      <c r="C21" s="82" t="s">
        <v>1943</v>
      </c>
      <c r="D21" s="23" t="s">
        <v>1944</v>
      </c>
      <c r="F21" s="23" t="n">
        <v>5</v>
      </c>
      <c r="G21" s="61" t="s">
        <v>32</v>
      </c>
      <c r="H21" s="73" t="s">
        <v>1641</v>
      </c>
      <c r="J21" s="23" t="n">
        <v>5</v>
      </c>
      <c r="K21" s="61" t="s">
        <v>36</v>
      </c>
      <c r="L21" s="73" t="s">
        <v>1645</v>
      </c>
      <c r="N21" s="23" t="n">
        <v>5</v>
      </c>
      <c r="O21" s="61" t="s">
        <v>36</v>
      </c>
      <c r="P21" s="73" t="s">
        <v>1645</v>
      </c>
    </row>
    <row r="22" customFormat="false" ht="15" hidden="false" customHeight="true" outlineLevel="0" collapsed="false">
      <c r="A22" s="23" t="n">
        <v>9</v>
      </c>
      <c r="B22" s="87" t="s">
        <v>1945</v>
      </c>
      <c r="C22" s="82" t="n">
        <v>321.26</v>
      </c>
      <c r="D22" s="23" t="s">
        <v>79</v>
      </c>
      <c r="F22" s="73" t="n">
        <v>6</v>
      </c>
      <c r="G22" s="97" t="s">
        <v>36</v>
      </c>
      <c r="H22" s="73" t="s">
        <v>1645</v>
      </c>
      <c r="J22" s="73" t="n">
        <v>6</v>
      </c>
      <c r="K22" s="97" t="s">
        <v>1404</v>
      </c>
      <c r="L22" s="73" t="s">
        <v>1435</v>
      </c>
      <c r="N22" s="62" t="s">
        <v>39</v>
      </c>
      <c r="O22" s="62"/>
      <c r="P22" s="73" t="s">
        <v>758</v>
      </c>
    </row>
    <row r="23" customFormat="false" ht="15" hidden="false" customHeight="false" outlineLevel="0" collapsed="false">
      <c r="A23" s="23"/>
      <c r="B23" s="87"/>
      <c r="C23" s="82" t="s">
        <v>1946</v>
      </c>
      <c r="D23" s="23" t="s">
        <v>79</v>
      </c>
      <c r="F23" s="73" t="n">
        <v>7</v>
      </c>
      <c r="G23" s="97" t="s">
        <v>981</v>
      </c>
      <c r="H23" s="73" t="s">
        <v>1080</v>
      </c>
      <c r="J23" s="62" t="s">
        <v>39</v>
      </c>
      <c r="K23" s="62"/>
      <c r="L23" s="73" t="s">
        <v>758</v>
      </c>
    </row>
    <row r="24" customFormat="false" ht="15" hidden="false" customHeight="true" outlineLevel="0" collapsed="false">
      <c r="A24" s="23" t="n">
        <v>10</v>
      </c>
      <c r="B24" s="87" t="s">
        <v>1947</v>
      </c>
      <c r="C24" s="82" t="n">
        <v>281.29</v>
      </c>
      <c r="D24" s="23" t="s">
        <v>79</v>
      </c>
      <c r="F24" s="62" t="s">
        <v>39</v>
      </c>
      <c r="G24" s="62"/>
      <c r="H24" s="73" t="s">
        <v>758</v>
      </c>
    </row>
    <row r="25" customFormat="false" ht="15" hidden="false" customHeight="false" outlineLevel="0" collapsed="false">
      <c r="A25" s="23"/>
      <c r="B25" s="87"/>
      <c r="C25" s="82" t="s">
        <v>1948</v>
      </c>
      <c r="D25" s="23" t="s">
        <v>79</v>
      </c>
    </row>
    <row r="26" customFormat="false" ht="15" hidden="false" customHeight="true" outlineLevel="0" collapsed="false">
      <c r="A26" s="23" t="n">
        <v>11</v>
      </c>
      <c r="B26" s="87" t="s">
        <v>1949</v>
      </c>
      <c r="C26" s="82" t="s">
        <v>1950</v>
      </c>
      <c r="D26" s="23" t="s">
        <v>1951</v>
      </c>
      <c r="F26" s="7" t="s">
        <v>1952</v>
      </c>
      <c r="J26" s="7" t="s">
        <v>1953</v>
      </c>
    </row>
    <row r="27" customFormat="false" ht="15" hidden="false" customHeight="false" outlineLevel="0" collapsed="false">
      <c r="A27" s="23"/>
      <c r="B27" s="87"/>
      <c r="C27" s="82" t="s">
        <v>589</v>
      </c>
      <c r="D27" s="23" t="s">
        <v>1954</v>
      </c>
      <c r="F27" s="8" t="s">
        <v>6</v>
      </c>
      <c r="G27" s="8" t="s">
        <v>767</v>
      </c>
      <c r="H27" s="62" t="s">
        <v>547</v>
      </c>
      <c r="J27" s="8" t="s">
        <v>6</v>
      </c>
      <c r="K27" s="8" t="s">
        <v>767</v>
      </c>
      <c r="L27" s="62" t="s">
        <v>548</v>
      </c>
    </row>
    <row r="28" customFormat="false" ht="15" hidden="false" customHeight="true" outlineLevel="0" collapsed="false">
      <c r="A28" s="23" t="n">
        <v>12</v>
      </c>
      <c r="B28" s="87" t="s">
        <v>1955</v>
      </c>
      <c r="C28" s="82" t="s">
        <v>1956</v>
      </c>
      <c r="D28" s="23" t="s">
        <v>1957</v>
      </c>
      <c r="F28" s="23" t="n">
        <v>1</v>
      </c>
      <c r="G28" s="61" t="s">
        <v>778</v>
      </c>
      <c r="H28" s="73" t="s">
        <v>1958</v>
      </c>
      <c r="J28" s="23" t="n">
        <v>1</v>
      </c>
      <c r="K28" s="61" t="s">
        <v>682</v>
      </c>
      <c r="L28" s="73" t="s">
        <v>1959</v>
      </c>
    </row>
    <row r="29" customFormat="false" ht="15" hidden="false" customHeight="false" outlineLevel="0" collapsed="false">
      <c r="A29" s="23"/>
      <c r="B29" s="87"/>
      <c r="C29" s="82" t="s">
        <v>909</v>
      </c>
      <c r="D29" s="23" t="s">
        <v>1960</v>
      </c>
      <c r="F29" s="23" t="n">
        <v>2</v>
      </c>
      <c r="G29" s="61" t="s">
        <v>682</v>
      </c>
      <c r="H29" s="73" t="s">
        <v>775</v>
      </c>
      <c r="J29" s="23" t="n">
        <v>2</v>
      </c>
      <c r="K29" s="61" t="s">
        <v>34</v>
      </c>
      <c r="L29" s="73" t="s">
        <v>1908</v>
      </c>
    </row>
    <row r="30" customFormat="false" ht="15" hidden="false" customHeight="true" outlineLevel="0" collapsed="false">
      <c r="A30" s="23" t="n">
        <v>13</v>
      </c>
      <c r="B30" s="87" t="s">
        <v>1961</v>
      </c>
      <c r="C30" s="82" t="s">
        <v>1962</v>
      </c>
      <c r="D30" s="23" t="s">
        <v>1963</v>
      </c>
      <c r="F30" s="23" t="n">
        <v>3</v>
      </c>
      <c r="G30" s="61" t="s">
        <v>34</v>
      </c>
      <c r="H30" s="73" t="s">
        <v>1908</v>
      </c>
      <c r="J30" s="23" t="n">
        <v>3</v>
      </c>
      <c r="K30" s="61" t="s">
        <v>32</v>
      </c>
      <c r="L30" s="73" t="s">
        <v>1641</v>
      </c>
    </row>
    <row r="31" customFormat="false" ht="15" hidden="false" customHeight="false" outlineLevel="0" collapsed="false">
      <c r="A31" s="23"/>
      <c r="B31" s="87"/>
      <c r="C31" s="82" t="s">
        <v>1964</v>
      </c>
      <c r="D31" s="23" t="s">
        <v>1965</v>
      </c>
      <c r="F31" s="23" t="n">
        <v>4</v>
      </c>
      <c r="G31" s="61" t="s">
        <v>32</v>
      </c>
      <c r="H31" s="73" t="s">
        <v>1641</v>
      </c>
      <c r="J31" s="23" t="n">
        <v>4</v>
      </c>
      <c r="K31" s="61" t="s">
        <v>37</v>
      </c>
      <c r="L31" s="73" t="s">
        <v>1435</v>
      </c>
    </row>
    <row r="32" customFormat="false" ht="15" hidden="false" customHeight="true" outlineLevel="0" collapsed="false">
      <c r="A32" s="23" t="n">
        <v>14</v>
      </c>
      <c r="B32" s="87" t="s">
        <v>1966</v>
      </c>
      <c r="C32" s="82" t="s">
        <v>1967</v>
      </c>
      <c r="D32" s="23" t="s">
        <v>1968</v>
      </c>
      <c r="F32" s="23" t="n">
        <v>5</v>
      </c>
      <c r="G32" s="61" t="s">
        <v>37</v>
      </c>
      <c r="H32" s="73" t="s">
        <v>719</v>
      </c>
      <c r="J32" s="23" t="n">
        <v>5</v>
      </c>
      <c r="K32" s="61" t="s">
        <v>10</v>
      </c>
      <c r="L32" s="73" t="s">
        <v>719</v>
      </c>
    </row>
    <row r="33" customFormat="false" ht="15" hidden="false" customHeight="false" outlineLevel="0" collapsed="false">
      <c r="A33" s="23"/>
      <c r="B33" s="87"/>
      <c r="C33" s="82" t="s">
        <v>1969</v>
      </c>
      <c r="D33" s="23" t="s">
        <v>1970</v>
      </c>
      <c r="F33" s="73" t="n">
        <v>6</v>
      </c>
      <c r="G33" s="97" t="s">
        <v>10</v>
      </c>
      <c r="H33" s="73" t="s">
        <v>719</v>
      </c>
      <c r="J33" s="73" t="n">
        <v>6</v>
      </c>
      <c r="K33" s="97" t="s">
        <v>36</v>
      </c>
      <c r="L33" s="73" t="s">
        <v>1645</v>
      </c>
    </row>
    <row r="34" customFormat="false" ht="15" hidden="false" customHeight="true" outlineLevel="0" collapsed="false">
      <c r="A34" s="23" t="n">
        <v>15</v>
      </c>
      <c r="B34" s="87" t="s">
        <v>1971</v>
      </c>
      <c r="C34" s="82" t="n">
        <v>83.89</v>
      </c>
      <c r="D34" s="23" t="s">
        <v>1972</v>
      </c>
      <c r="F34" s="73" t="n">
        <v>7</v>
      </c>
      <c r="G34" s="97" t="s">
        <v>36</v>
      </c>
      <c r="H34" s="73" t="s">
        <v>1645</v>
      </c>
      <c r="J34" s="62" t="s">
        <v>39</v>
      </c>
      <c r="K34" s="62"/>
      <c r="L34" s="73" t="s">
        <v>758</v>
      </c>
    </row>
    <row r="35" customFormat="false" ht="15" hidden="false" customHeight="false" outlineLevel="0" collapsed="false">
      <c r="A35" s="23"/>
      <c r="B35" s="87"/>
      <c r="C35" s="82" t="s">
        <v>1973</v>
      </c>
      <c r="D35" s="23" t="s">
        <v>1974</v>
      </c>
      <c r="F35" s="62" t="s">
        <v>39</v>
      </c>
      <c r="G35" s="62"/>
      <c r="H35" s="73" t="s">
        <v>758</v>
      </c>
    </row>
    <row r="36" customFormat="false" ht="15" hidden="false" customHeight="true" outlineLevel="0" collapsed="false">
      <c r="A36" s="23" t="n">
        <v>16</v>
      </c>
      <c r="B36" s="87" t="s">
        <v>1975</v>
      </c>
      <c r="C36" s="82" t="n">
        <v>97.98</v>
      </c>
      <c r="D36" s="23" t="s">
        <v>1976</v>
      </c>
    </row>
    <row r="37" customFormat="false" ht="15" hidden="false" customHeight="false" outlineLevel="0" collapsed="false">
      <c r="A37" s="23"/>
      <c r="B37" s="87"/>
      <c r="C37" s="82" t="s">
        <v>1977</v>
      </c>
      <c r="D37" s="23" t="s">
        <v>1978</v>
      </c>
      <c r="F37" s="7" t="s">
        <v>1979</v>
      </c>
    </row>
    <row r="38" customFormat="false" ht="15" hidden="false" customHeight="true" outlineLevel="0" collapsed="false">
      <c r="A38" s="23" t="n">
        <v>17</v>
      </c>
      <c r="B38" s="87" t="s">
        <v>1980</v>
      </c>
      <c r="C38" s="82" t="n">
        <v>95.72</v>
      </c>
      <c r="D38" s="23" t="s">
        <v>1981</v>
      </c>
      <c r="F38" s="8" t="s">
        <v>6</v>
      </c>
      <c r="G38" s="8" t="s">
        <v>767</v>
      </c>
      <c r="H38" s="62" t="s">
        <v>1982</v>
      </c>
      <c r="I38" s="62" t="s">
        <v>1983</v>
      </c>
      <c r="J38" s="62" t="s">
        <v>1984</v>
      </c>
      <c r="K38" s="62" t="s">
        <v>1985</v>
      </c>
    </row>
    <row r="39" customFormat="false" ht="15" hidden="false" customHeight="false" outlineLevel="0" collapsed="false">
      <c r="A39" s="23"/>
      <c r="B39" s="87"/>
      <c r="C39" s="82" t="s">
        <v>1986</v>
      </c>
      <c r="D39" s="23" t="s">
        <v>1987</v>
      </c>
      <c r="F39" s="23" t="n">
        <v>1</v>
      </c>
      <c r="G39" s="61" t="s">
        <v>10</v>
      </c>
      <c r="H39" s="73" t="s">
        <v>1161</v>
      </c>
      <c r="I39" s="73" t="s">
        <v>1988</v>
      </c>
      <c r="J39" s="73" t="s">
        <v>1989</v>
      </c>
      <c r="K39" s="73" t="s">
        <v>1990</v>
      </c>
    </row>
    <row r="40" customFormat="false" ht="15" hidden="false" customHeight="true" outlineLevel="0" collapsed="false">
      <c r="A40" s="23" t="n">
        <v>18</v>
      </c>
      <c r="B40" s="87" t="s">
        <v>1991</v>
      </c>
      <c r="C40" s="82" t="s">
        <v>1992</v>
      </c>
      <c r="D40" s="23" t="s">
        <v>1993</v>
      </c>
      <c r="F40" s="23" t="n">
        <v>2</v>
      </c>
      <c r="G40" s="61" t="s">
        <v>778</v>
      </c>
      <c r="H40" s="73" t="s">
        <v>719</v>
      </c>
      <c r="I40" s="73" t="s">
        <v>1994</v>
      </c>
      <c r="J40" s="73" t="s">
        <v>1435</v>
      </c>
      <c r="K40" s="73" t="s">
        <v>1995</v>
      </c>
    </row>
    <row r="41" customFormat="false" ht="15" hidden="false" customHeight="false" outlineLevel="0" collapsed="false">
      <c r="A41" s="23"/>
      <c r="B41" s="87"/>
      <c r="C41" s="82" t="s">
        <v>1996</v>
      </c>
      <c r="D41" s="23" t="s">
        <v>1997</v>
      </c>
      <c r="F41" s="23" t="n">
        <v>3</v>
      </c>
      <c r="G41" s="61" t="s">
        <v>1998</v>
      </c>
      <c r="H41" s="73" t="s">
        <v>719</v>
      </c>
      <c r="I41" s="73" t="s">
        <v>1994</v>
      </c>
      <c r="J41" s="73" t="s">
        <v>1435</v>
      </c>
      <c r="K41" s="73" t="s">
        <v>1995</v>
      </c>
    </row>
    <row r="42" customFormat="false" ht="15" hidden="false" customHeight="false" outlineLevel="0" collapsed="false">
      <c r="F42" s="62" t="s">
        <v>39</v>
      </c>
      <c r="G42" s="62"/>
      <c r="H42" s="73" t="s">
        <v>758</v>
      </c>
      <c r="I42" s="73" t="s">
        <v>758</v>
      </c>
      <c r="J42" s="73" t="s">
        <v>758</v>
      </c>
      <c r="K42" s="73" t="s">
        <v>758</v>
      </c>
    </row>
    <row r="44" customFormat="false" ht="15" hidden="false" customHeight="false" outlineLevel="0" collapsed="false">
      <c r="F44" s="7" t="s">
        <v>1999</v>
      </c>
    </row>
    <row r="45" customFormat="false" ht="15" hidden="false" customHeight="false" outlineLevel="0" collapsed="false">
      <c r="F45" s="8" t="s">
        <v>6</v>
      </c>
      <c r="G45" s="8" t="s">
        <v>767</v>
      </c>
      <c r="H45" s="62" t="n">
        <v>9</v>
      </c>
      <c r="I45" s="62" t="n">
        <v>10</v>
      </c>
    </row>
    <row r="46" customFormat="false" ht="15" hidden="false" customHeight="false" outlineLevel="0" collapsed="false">
      <c r="F46" s="23" t="n">
        <v>1</v>
      </c>
      <c r="G46" s="61" t="s">
        <v>1065</v>
      </c>
      <c r="H46" s="73" t="s">
        <v>902</v>
      </c>
      <c r="I46" s="73" t="s">
        <v>2000</v>
      </c>
    </row>
    <row r="47" customFormat="false" ht="15" hidden="false" customHeight="false" outlineLevel="0" collapsed="false">
      <c r="F47" s="23" t="n">
        <v>2</v>
      </c>
      <c r="G47" s="61" t="s">
        <v>778</v>
      </c>
      <c r="H47" s="73" t="s">
        <v>2001</v>
      </c>
      <c r="I47" s="73" t="s">
        <v>902</v>
      </c>
    </row>
    <row r="48" customFormat="false" ht="15" hidden="false" customHeight="false" outlineLevel="0" collapsed="false">
      <c r="F48" s="23" t="n">
        <v>3</v>
      </c>
      <c r="G48" s="61" t="s">
        <v>38</v>
      </c>
      <c r="H48" s="73" t="s">
        <v>1177</v>
      </c>
      <c r="I48" s="73" t="s">
        <v>1177</v>
      </c>
    </row>
    <row r="49" customFormat="false" ht="15" hidden="false" customHeight="false" outlineLevel="0" collapsed="false">
      <c r="F49" s="23" t="n">
        <v>4</v>
      </c>
      <c r="G49" s="61" t="s">
        <v>1404</v>
      </c>
      <c r="H49" s="73" t="s">
        <v>1593</v>
      </c>
      <c r="I49" s="73" t="s">
        <v>1995</v>
      </c>
    </row>
    <row r="50" customFormat="false" ht="15" hidden="false" customHeight="false" outlineLevel="0" collapsed="false">
      <c r="F50" s="73" t="n">
        <v>5</v>
      </c>
      <c r="G50" s="97" t="s">
        <v>1998</v>
      </c>
      <c r="H50" s="73" t="s">
        <v>745</v>
      </c>
      <c r="I50" s="73" t="s">
        <v>745</v>
      </c>
    </row>
    <row r="51" customFormat="false" ht="15" hidden="false" customHeight="false" outlineLevel="0" collapsed="false">
      <c r="F51" s="62" t="s">
        <v>39</v>
      </c>
      <c r="G51" s="62"/>
      <c r="H51" s="73" t="s">
        <v>758</v>
      </c>
      <c r="I51" s="73" t="s">
        <v>758</v>
      </c>
    </row>
    <row r="53" customFormat="false" ht="15" hidden="false" customHeight="false" outlineLevel="0" collapsed="false">
      <c r="F53" s="7" t="s">
        <v>2002</v>
      </c>
    </row>
    <row r="54" customFormat="false" ht="15" hidden="false" customHeight="false" outlineLevel="0" collapsed="false">
      <c r="F54" s="8" t="s">
        <v>6</v>
      </c>
      <c r="G54" s="8" t="s">
        <v>767</v>
      </c>
      <c r="H54" s="62" t="s">
        <v>2003</v>
      </c>
      <c r="I54" s="62" t="s">
        <v>2004</v>
      </c>
    </row>
    <row r="55" customFormat="false" ht="15" hidden="false" customHeight="false" outlineLevel="0" collapsed="false">
      <c r="F55" s="23" t="n">
        <v>1</v>
      </c>
      <c r="G55" s="61" t="s">
        <v>778</v>
      </c>
      <c r="H55" s="73" t="s">
        <v>1934</v>
      </c>
      <c r="I55" s="73" t="s">
        <v>2005</v>
      </c>
    </row>
    <row r="56" customFormat="false" ht="15" hidden="false" customHeight="false" outlineLevel="0" collapsed="false">
      <c r="F56" s="23" t="n">
        <v>2</v>
      </c>
      <c r="G56" s="61" t="s">
        <v>682</v>
      </c>
      <c r="H56" s="73" t="s">
        <v>1452</v>
      </c>
      <c r="I56" s="73" t="s">
        <v>732</v>
      </c>
    </row>
    <row r="57" customFormat="false" ht="15" hidden="false" customHeight="false" outlineLevel="0" collapsed="false">
      <c r="F57" s="23" t="n">
        <v>3</v>
      </c>
      <c r="G57" s="61" t="s">
        <v>10</v>
      </c>
      <c r="H57" s="73" t="s">
        <v>940</v>
      </c>
      <c r="I57" s="73" t="s">
        <v>745</v>
      </c>
    </row>
    <row r="58" customFormat="false" ht="15" hidden="false" customHeight="false" outlineLevel="0" collapsed="false">
      <c r="F58" s="23" t="n">
        <v>4</v>
      </c>
      <c r="G58" s="61" t="s">
        <v>2006</v>
      </c>
      <c r="H58" s="73" t="s">
        <v>856</v>
      </c>
      <c r="I58" s="73" t="s">
        <v>858</v>
      </c>
    </row>
    <row r="59" customFormat="false" ht="15" hidden="false" customHeight="false" outlineLevel="0" collapsed="false">
      <c r="F59" s="23" t="n">
        <v>5</v>
      </c>
      <c r="G59" s="61" t="s">
        <v>32</v>
      </c>
      <c r="H59" s="73" t="s">
        <v>1327</v>
      </c>
      <c r="I59" s="73" t="s">
        <v>1327</v>
      </c>
    </row>
    <row r="60" customFormat="false" ht="15" hidden="false" customHeight="false" outlineLevel="0" collapsed="false">
      <c r="F60" s="73" t="n">
        <v>6</v>
      </c>
      <c r="G60" s="97" t="s">
        <v>30</v>
      </c>
      <c r="H60" s="73" t="s">
        <v>1323</v>
      </c>
      <c r="I60" s="73" t="s">
        <v>1323</v>
      </c>
    </row>
    <row r="61" customFormat="false" ht="15" hidden="false" customHeight="false" outlineLevel="0" collapsed="false">
      <c r="F61" s="73" t="n">
        <v>7</v>
      </c>
      <c r="G61" s="97" t="s">
        <v>36</v>
      </c>
      <c r="H61" s="73" t="s">
        <v>1330</v>
      </c>
      <c r="I61" s="73" t="s">
        <v>1330</v>
      </c>
    </row>
    <row r="62" customFormat="false" ht="15" hidden="false" customHeight="false" outlineLevel="0" collapsed="false">
      <c r="F62" s="73" t="n">
        <v>8</v>
      </c>
      <c r="G62" s="97" t="s">
        <v>1404</v>
      </c>
      <c r="H62" s="73" t="s">
        <v>940</v>
      </c>
      <c r="I62" s="73" t="s">
        <v>858</v>
      </c>
    </row>
    <row r="63" customFormat="false" ht="15" hidden="false" customHeight="false" outlineLevel="0" collapsed="false">
      <c r="F63" s="73" t="n">
        <v>9</v>
      </c>
      <c r="G63" s="97" t="s">
        <v>2007</v>
      </c>
      <c r="H63" s="73" t="s">
        <v>858</v>
      </c>
      <c r="I63" s="73" t="s">
        <v>940</v>
      </c>
    </row>
    <row r="64" customFormat="false" ht="15" hidden="false" customHeight="false" outlineLevel="0" collapsed="false">
      <c r="F64" s="62" t="s">
        <v>39</v>
      </c>
      <c r="G64" s="62"/>
      <c r="H64" s="73" t="s">
        <v>758</v>
      </c>
      <c r="I64" s="73" t="s">
        <v>758</v>
      </c>
    </row>
    <row r="66" customFormat="false" ht="15" hidden="false" customHeight="false" outlineLevel="0" collapsed="false">
      <c r="F66" s="7" t="s">
        <v>2008</v>
      </c>
    </row>
    <row r="67" customFormat="false" ht="15" hidden="false" customHeight="false" outlineLevel="0" collapsed="false">
      <c r="F67" s="8" t="s">
        <v>6</v>
      </c>
      <c r="G67" s="8" t="s">
        <v>767</v>
      </c>
      <c r="H67" s="62" t="s">
        <v>2003</v>
      </c>
      <c r="I67" s="62" t="s">
        <v>2004</v>
      </c>
      <c r="J67" s="62" t="s">
        <v>2009</v>
      </c>
      <c r="K67" s="62" t="s">
        <v>2010</v>
      </c>
    </row>
    <row r="68" customFormat="false" ht="15" hidden="false" customHeight="false" outlineLevel="0" collapsed="false">
      <c r="F68" s="23" t="n">
        <v>1</v>
      </c>
      <c r="G68" s="61" t="s">
        <v>1065</v>
      </c>
      <c r="H68" s="73" t="s">
        <v>858</v>
      </c>
      <c r="I68" s="73" t="s">
        <v>858</v>
      </c>
      <c r="J68" s="73" t="s">
        <v>858</v>
      </c>
      <c r="K68" s="73" t="s">
        <v>1379</v>
      </c>
    </row>
    <row r="69" customFormat="false" ht="15" hidden="false" customHeight="false" outlineLevel="0" collapsed="false">
      <c r="F69" s="23" t="n">
        <v>2</v>
      </c>
      <c r="G69" s="61" t="s">
        <v>682</v>
      </c>
      <c r="H69" s="73" t="s">
        <v>2011</v>
      </c>
      <c r="I69" s="73" t="s">
        <v>2012</v>
      </c>
      <c r="J69" s="73" t="s">
        <v>2013</v>
      </c>
      <c r="K69" s="73" t="s">
        <v>2014</v>
      </c>
    </row>
    <row r="70" customFormat="false" ht="15" hidden="false" customHeight="false" outlineLevel="0" collapsed="false">
      <c r="F70" s="23" t="n">
        <v>3</v>
      </c>
      <c r="G70" s="61" t="s">
        <v>10</v>
      </c>
      <c r="H70" s="73" t="s">
        <v>719</v>
      </c>
      <c r="I70" s="73" t="s">
        <v>719</v>
      </c>
      <c r="J70" s="73" t="s">
        <v>719</v>
      </c>
      <c r="K70" s="73" t="s">
        <v>745</v>
      </c>
    </row>
    <row r="71" customFormat="false" ht="15" hidden="false" customHeight="false" outlineLevel="0" collapsed="false">
      <c r="F71" s="23" t="n">
        <v>4</v>
      </c>
      <c r="G71" s="61" t="s">
        <v>34</v>
      </c>
      <c r="H71" s="73" t="s">
        <v>2015</v>
      </c>
      <c r="I71" s="73" t="s">
        <v>2015</v>
      </c>
      <c r="J71" s="73" t="s">
        <v>2015</v>
      </c>
      <c r="K71" s="73" t="s">
        <v>2015</v>
      </c>
    </row>
    <row r="72" customFormat="false" ht="15" hidden="false" customHeight="false" outlineLevel="0" collapsed="false">
      <c r="F72" s="23" t="n">
        <v>5</v>
      </c>
      <c r="G72" s="61" t="s">
        <v>32</v>
      </c>
      <c r="H72" s="73" t="s">
        <v>1641</v>
      </c>
      <c r="I72" s="73" t="s">
        <v>1641</v>
      </c>
      <c r="J72" s="73" t="s">
        <v>858</v>
      </c>
      <c r="K72" s="73" t="s">
        <v>858</v>
      </c>
    </row>
    <row r="73" customFormat="false" ht="15" hidden="false" customHeight="false" outlineLevel="0" collapsed="false">
      <c r="F73" s="73" t="n">
        <v>6</v>
      </c>
      <c r="G73" s="97" t="s">
        <v>37</v>
      </c>
      <c r="H73" s="73" t="s">
        <v>2016</v>
      </c>
      <c r="I73" s="73" t="s">
        <v>2017</v>
      </c>
      <c r="J73" s="73" t="s">
        <v>2017</v>
      </c>
      <c r="K73" s="73" t="s">
        <v>2018</v>
      </c>
    </row>
    <row r="74" customFormat="false" ht="15" hidden="false" customHeight="false" outlineLevel="0" collapsed="false">
      <c r="F74" s="73" t="n">
        <v>7</v>
      </c>
      <c r="G74" s="97" t="s">
        <v>36</v>
      </c>
      <c r="H74" s="73" t="s">
        <v>1645</v>
      </c>
      <c r="I74" s="73" t="s">
        <v>1645</v>
      </c>
      <c r="J74" s="73" t="s">
        <v>1645</v>
      </c>
      <c r="K74" s="73" t="s">
        <v>1645</v>
      </c>
    </row>
    <row r="75" customFormat="false" ht="15" hidden="false" customHeight="false" outlineLevel="0" collapsed="false">
      <c r="F75" s="73" t="n">
        <v>8</v>
      </c>
      <c r="G75" s="97" t="s">
        <v>35</v>
      </c>
      <c r="H75" s="73" t="s">
        <v>858</v>
      </c>
      <c r="I75" s="73" t="s">
        <v>858</v>
      </c>
      <c r="J75" s="73" t="s">
        <v>858</v>
      </c>
      <c r="K75" s="73" t="s">
        <v>2019</v>
      </c>
    </row>
    <row r="76" customFormat="false" ht="15" hidden="false" customHeight="false" outlineLevel="0" collapsed="false">
      <c r="F76" s="62" t="s">
        <v>39</v>
      </c>
      <c r="G76" s="62"/>
      <c r="H76" s="73" t="s">
        <v>758</v>
      </c>
      <c r="I76" s="73" t="s">
        <v>758</v>
      </c>
      <c r="J76" s="73" t="s">
        <v>758</v>
      </c>
      <c r="K76" s="73" t="s">
        <v>758</v>
      </c>
    </row>
  </sheetData>
  <mergeCells count="4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N22:O22"/>
    <mergeCell ref="J23:K23"/>
    <mergeCell ref="A24:A25"/>
    <mergeCell ref="B24:B25"/>
    <mergeCell ref="F24:G24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J34:K34"/>
    <mergeCell ref="F35:G35"/>
    <mergeCell ref="A36:A37"/>
    <mergeCell ref="B36:B37"/>
    <mergeCell ref="A38:A39"/>
    <mergeCell ref="B38:B39"/>
    <mergeCell ref="A40:A41"/>
    <mergeCell ref="B40:B41"/>
    <mergeCell ref="F42:G42"/>
    <mergeCell ref="F51:G51"/>
    <mergeCell ref="F64:G64"/>
    <mergeCell ref="F76:G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27.15"/>
    <col collapsed="false" customWidth="true" hidden="false" outlineLevel="0" max="3" min="3" style="0" width="30.86"/>
    <col collapsed="false" customWidth="true" hidden="false" outlineLevel="0" max="4" min="4" style="0" width="31"/>
    <col collapsed="false" customWidth="true" hidden="false" outlineLevel="0" max="6" min="6" style="0" width="6.28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305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2020</v>
      </c>
    </row>
    <row r="5" customFormat="false" ht="15" hidden="false" customHeight="false" outlineLevel="0" collapsed="false">
      <c r="A5" s="8"/>
      <c r="B5" s="8"/>
      <c r="C5" s="8" t="s">
        <v>1835</v>
      </c>
      <c r="D5" s="8" t="s">
        <v>1836</v>
      </c>
      <c r="F5" s="8" t="s">
        <v>6</v>
      </c>
      <c r="G5" s="8" t="s">
        <v>767</v>
      </c>
      <c r="H5" s="62" t="n">
        <v>6135</v>
      </c>
    </row>
    <row r="6" customFormat="false" ht="15" hidden="false" customHeight="true" outlineLevel="0" collapsed="false">
      <c r="A6" s="23" t="n">
        <v>1</v>
      </c>
      <c r="B6" s="87" t="s">
        <v>2021</v>
      </c>
      <c r="C6" s="73" t="s">
        <v>2022</v>
      </c>
      <c r="D6" s="23" t="s">
        <v>2023</v>
      </c>
      <c r="F6" s="23" t="n">
        <v>1</v>
      </c>
      <c r="G6" s="61" t="s">
        <v>778</v>
      </c>
      <c r="H6" s="73" t="s">
        <v>2024</v>
      </c>
    </row>
    <row r="7" customFormat="false" ht="15" hidden="false" customHeight="false" outlineLevel="0" collapsed="false">
      <c r="A7" s="23"/>
      <c r="B7" s="87"/>
      <c r="C7" s="73" t="s">
        <v>2025</v>
      </c>
      <c r="D7" s="23" t="s">
        <v>2026</v>
      </c>
      <c r="F7" s="23" t="n">
        <v>2</v>
      </c>
      <c r="G7" s="61" t="s">
        <v>10</v>
      </c>
      <c r="H7" s="73" t="s">
        <v>2027</v>
      </c>
    </row>
    <row r="8" customFormat="false" ht="15" hidden="false" customHeight="true" outlineLevel="0" collapsed="false">
      <c r="A8" s="23" t="n">
        <v>2</v>
      </c>
      <c r="B8" s="87" t="s">
        <v>2028</v>
      </c>
      <c r="C8" s="73" t="s">
        <v>2029</v>
      </c>
      <c r="D8" s="23" t="s">
        <v>2030</v>
      </c>
      <c r="F8" s="62" t="s">
        <v>39</v>
      </c>
      <c r="G8" s="62"/>
      <c r="H8" s="73" t="s">
        <v>758</v>
      </c>
    </row>
    <row r="9" customFormat="false" ht="15" hidden="false" customHeight="false" outlineLevel="0" collapsed="false">
      <c r="A9" s="23"/>
      <c r="B9" s="87"/>
      <c r="C9" s="73" t="s">
        <v>820</v>
      </c>
      <c r="D9" s="23" t="s">
        <v>633</v>
      </c>
    </row>
    <row r="10" customFormat="false" ht="15" hidden="false" customHeight="true" outlineLevel="0" collapsed="false">
      <c r="A10" s="23" t="n">
        <v>3</v>
      </c>
      <c r="B10" s="87" t="s">
        <v>2031</v>
      </c>
      <c r="C10" s="73" t="n">
        <v>368.31</v>
      </c>
      <c r="D10" s="73" t="s">
        <v>1942</v>
      </c>
      <c r="F10" s="7" t="s">
        <v>2032</v>
      </c>
    </row>
    <row r="11" customFormat="false" ht="15" hidden="false" customHeight="false" outlineLevel="0" collapsed="false">
      <c r="A11" s="23"/>
      <c r="B11" s="87"/>
      <c r="C11" s="73" t="s">
        <v>2033</v>
      </c>
      <c r="D11" s="90" t="s">
        <v>1944</v>
      </c>
      <c r="F11" s="8" t="s">
        <v>6</v>
      </c>
      <c r="G11" s="8" t="s">
        <v>767</v>
      </c>
      <c r="H11" s="62" t="s">
        <v>2034</v>
      </c>
      <c r="I11" s="62" t="s">
        <v>2035</v>
      </c>
    </row>
    <row r="12" customFormat="false" ht="15" hidden="false" customHeight="true" outlineLevel="0" collapsed="false">
      <c r="A12" s="43" t="n">
        <v>4</v>
      </c>
      <c r="B12" s="87" t="s">
        <v>2036</v>
      </c>
      <c r="C12" s="95" t="s">
        <v>2037</v>
      </c>
      <c r="D12" s="73" t="s">
        <v>2038</v>
      </c>
      <c r="F12" s="23" t="n">
        <v>1</v>
      </c>
      <c r="G12" s="61" t="s">
        <v>778</v>
      </c>
      <c r="H12" s="73" t="n">
        <v>5</v>
      </c>
      <c r="I12" s="73" t="n">
        <v>5.5</v>
      </c>
    </row>
    <row r="13" customFormat="false" ht="15" hidden="false" customHeight="false" outlineLevel="0" collapsed="false">
      <c r="A13" s="43"/>
      <c r="B13" s="87"/>
      <c r="C13" s="99" t="s">
        <v>2039</v>
      </c>
      <c r="D13" s="73" t="s">
        <v>2040</v>
      </c>
      <c r="F13" s="23" t="n">
        <v>2</v>
      </c>
      <c r="G13" s="61" t="s">
        <v>10</v>
      </c>
      <c r="H13" s="73" t="n">
        <v>90</v>
      </c>
      <c r="I13" s="73" t="n">
        <v>89</v>
      </c>
    </row>
    <row r="14" customFormat="false" ht="15" hidden="false" customHeight="true" outlineLevel="0" collapsed="false">
      <c r="A14" s="23" t="n">
        <v>5</v>
      </c>
      <c r="B14" s="87" t="s">
        <v>2041</v>
      </c>
      <c r="C14" s="82" t="s">
        <v>2042</v>
      </c>
      <c r="D14" s="100" t="s">
        <v>2043</v>
      </c>
      <c r="F14" s="23" t="n">
        <v>3</v>
      </c>
      <c r="G14" s="61" t="s">
        <v>1998</v>
      </c>
      <c r="H14" s="73" t="n">
        <v>5</v>
      </c>
      <c r="I14" s="73" t="n">
        <v>5.5</v>
      </c>
    </row>
    <row r="15" customFormat="false" ht="15" hidden="false" customHeight="false" outlineLevel="0" collapsed="false">
      <c r="A15" s="23"/>
      <c r="B15" s="87"/>
      <c r="C15" s="82" t="s">
        <v>2044</v>
      </c>
      <c r="D15" s="73" t="s">
        <v>2045</v>
      </c>
      <c r="F15" s="62" t="s">
        <v>39</v>
      </c>
      <c r="G15" s="62"/>
      <c r="H15" s="73" t="s">
        <v>758</v>
      </c>
      <c r="I15" s="73" t="s">
        <v>758</v>
      </c>
    </row>
    <row r="16" customFormat="false" ht="15" hidden="false" customHeight="true" outlineLevel="0" collapsed="false">
      <c r="A16" s="23" t="n">
        <v>6</v>
      </c>
      <c r="B16" s="87" t="s">
        <v>2046</v>
      </c>
      <c r="C16" s="82" t="s">
        <v>2047</v>
      </c>
      <c r="D16" s="100" t="s">
        <v>2048</v>
      </c>
    </row>
    <row r="17" customFormat="false" ht="15" hidden="false" customHeight="false" outlineLevel="0" collapsed="false">
      <c r="A17" s="23"/>
      <c r="B17" s="87"/>
      <c r="C17" s="82" t="s">
        <v>2049</v>
      </c>
      <c r="D17" s="73" t="s">
        <v>2050</v>
      </c>
      <c r="F17" s="7" t="s">
        <v>2051</v>
      </c>
    </row>
    <row r="18" customFormat="false" ht="15" hidden="false" customHeight="false" outlineLevel="0" collapsed="false">
      <c r="F18" s="8" t="s">
        <v>6</v>
      </c>
      <c r="G18" s="8" t="s">
        <v>767</v>
      </c>
      <c r="H18" s="62" t="n">
        <v>2</v>
      </c>
      <c r="I18" s="62" t="n">
        <v>3</v>
      </c>
    </row>
    <row r="19" customFormat="false" ht="15" hidden="false" customHeight="false" outlineLevel="0" collapsed="false">
      <c r="F19" s="23" t="n">
        <v>1</v>
      </c>
      <c r="G19" s="61" t="s">
        <v>1065</v>
      </c>
      <c r="H19" s="73" t="s">
        <v>2052</v>
      </c>
      <c r="I19" s="73" t="s">
        <v>1217</v>
      </c>
    </row>
    <row r="20" customFormat="false" ht="15" hidden="false" customHeight="false" outlineLevel="0" collapsed="false">
      <c r="F20" s="23" t="n">
        <v>2</v>
      </c>
      <c r="G20" s="61" t="s">
        <v>682</v>
      </c>
      <c r="H20" s="73" t="s">
        <v>2014</v>
      </c>
      <c r="I20" s="73" t="s">
        <v>2014</v>
      </c>
    </row>
    <row r="21" customFormat="false" ht="15" hidden="false" customHeight="false" outlineLevel="0" collapsed="false">
      <c r="F21" s="23" t="n">
        <v>3</v>
      </c>
      <c r="G21" s="61" t="s">
        <v>10</v>
      </c>
      <c r="H21" s="73" t="s">
        <v>745</v>
      </c>
      <c r="I21" s="73" t="s">
        <v>745</v>
      </c>
    </row>
    <row r="22" customFormat="false" ht="15" hidden="false" customHeight="false" outlineLevel="0" collapsed="false">
      <c r="F22" s="23" t="n">
        <v>4</v>
      </c>
      <c r="G22" s="61" t="s">
        <v>34</v>
      </c>
      <c r="H22" s="73" t="s">
        <v>2015</v>
      </c>
      <c r="I22" s="73" t="s">
        <v>2015</v>
      </c>
    </row>
    <row r="23" customFormat="false" ht="15" hidden="false" customHeight="false" outlineLevel="0" collapsed="false">
      <c r="F23" s="23" t="n">
        <v>5</v>
      </c>
      <c r="G23" s="61" t="s">
        <v>32</v>
      </c>
      <c r="H23" s="73" t="s">
        <v>858</v>
      </c>
      <c r="I23" s="73" t="s">
        <v>858</v>
      </c>
    </row>
    <row r="24" customFormat="false" ht="15" hidden="false" customHeight="false" outlineLevel="0" collapsed="false">
      <c r="F24" s="73" t="n">
        <v>6</v>
      </c>
      <c r="G24" s="97" t="s">
        <v>37</v>
      </c>
      <c r="H24" s="73" t="s">
        <v>1080</v>
      </c>
      <c r="I24" s="73" t="s">
        <v>1995</v>
      </c>
    </row>
    <row r="25" customFormat="false" ht="15" hidden="false" customHeight="false" outlineLevel="0" collapsed="false">
      <c r="F25" s="73" t="n">
        <v>7</v>
      </c>
      <c r="G25" s="97" t="s">
        <v>36</v>
      </c>
      <c r="H25" s="73" t="s">
        <v>1645</v>
      </c>
      <c r="I25" s="73" t="s">
        <v>1645</v>
      </c>
    </row>
    <row r="26" customFormat="false" ht="15" hidden="false" customHeight="false" outlineLevel="0" collapsed="false">
      <c r="F26" s="73" t="n">
        <v>8</v>
      </c>
      <c r="G26" s="97" t="s">
        <v>35</v>
      </c>
      <c r="H26" s="73" t="s">
        <v>2019</v>
      </c>
      <c r="I26" s="73" t="s">
        <v>2019</v>
      </c>
    </row>
    <row r="27" customFormat="false" ht="15" hidden="false" customHeight="false" outlineLevel="0" collapsed="false">
      <c r="F27" s="62" t="s">
        <v>39</v>
      </c>
      <c r="G27" s="62"/>
      <c r="H27" s="73" t="s">
        <v>758</v>
      </c>
      <c r="I27" s="73" t="s">
        <v>758</v>
      </c>
    </row>
  </sheetData>
  <mergeCells count="17">
    <mergeCell ref="A4:A5"/>
    <mergeCell ref="B4:B5"/>
    <mergeCell ref="A6:A7"/>
    <mergeCell ref="B6:B7"/>
    <mergeCell ref="A8:A9"/>
    <mergeCell ref="B8:B9"/>
    <mergeCell ref="F8:G8"/>
    <mergeCell ref="A10:A11"/>
    <mergeCell ref="B10:B11"/>
    <mergeCell ref="A12:A13"/>
    <mergeCell ref="B12:B13"/>
    <mergeCell ref="A14:A15"/>
    <mergeCell ref="B14:B15"/>
    <mergeCell ref="F15:G15"/>
    <mergeCell ref="A16:A17"/>
    <mergeCell ref="B16:B17"/>
    <mergeCell ref="F27:G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31.29"/>
    <col collapsed="false" customWidth="true" hidden="false" outlineLevel="0" max="3" min="3" style="0" width="30.86"/>
    <col collapsed="false" customWidth="true" hidden="false" outlineLevel="0" max="4" min="4" style="0" width="32"/>
    <col collapsed="false" customWidth="true" hidden="false" outlineLevel="0" max="6" min="6" style="0" width="6.43"/>
    <col collapsed="false" customWidth="true" hidden="false" outlineLevel="0" max="7" min="7" style="0" width="13.71"/>
  </cols>
  <sheetData>
    <row r="2" customFormat="false" ht="15" hidden="false" customHeight="false" outlineLevel="0" collapsed="false">
      <c r="A2" s="69" t="s">
        <v>2053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2054</v>
      </c>
    </row>
    <row r="5" customFormat="false" ht="15" hidden="false" customHeight="false" outlineLevel="0" collapsed="false">
      <c r="A5" s="8"/>
      <c r="B5" s="8"/>
      <c r="C5" s="8" t="s">
        <v>2055</v>
      </c>
      <c r="D5" s="8" t="s">
        <v>2056</v>
      </c>
      <c r="F5" s="8" t="s">
        <v>6</v>
      </c>
      <c r="G5" s="8" t="s">
        <v>767</v>
      </c>
      <c r="H5" s="62" t="s">
        <v>2057</v>
      </c>
      <c r="I5" s="62" t="s">
        <v>2058</v>
      </c>
    </row>
    <row r="6" customFormat="false" ht="15" hidden="false" customHeight="true" outlineLevel="0" collapsed="false">
      <c r="A6" s="23" t="n">
        <v>1</v>
      </c>
      <c r="B6" s="87" t="s">
        <v>2059</v>
      </c>
      <c r="C6" s="73" t="s">
        <v>2060</v>
      </c>
      <c r="D6" s="23" t="s">
        <v>2061</v>
      </c>
      <c r="F6" s="23" t="n">
        <v>1</v>
      </c>
      <c r="G6" s="61" t="s">
        <v>682</v>
      </c>
      <c r="H6" s="73" t="s">
        <v>1604</v>
      </c>
      <c r="I6" s="73" t="s">
        <v>2062</v>
      </c>
    </row>
    <row r="7" customFormat="false" ht="15" hidden="false" customHeight="false" outlineLevel="0" collapsed="false">
      <c r="A7" s="23"/>
      <c r="B7" s="87"/>
      <c r="C7" s="73" t="s">
        <v>2063</v>
      </c>
      <c r="D7" s="23" t="s">
        <v>997</v>
      </c>
      <c r="F7" s="23" t="n">
        <v>2</v>
      </c>
      <c r="G7" s="61" t="s">
        <v>10</v>
      </c>
      <c r="H7" s="73" t="s">
        <v>745</v>
      </c>
      <c r="I7" s="73" t="s">
        <v>745</v>
      </c>
    </row>
    <row r="8" customFormat="false" ht="15" hidden="false" customHeight="true" outlineLevel="0" collapsed="false">
      <c r="A8" s="23" t="n">
        <v>2</v>
      </c>
      <c r="B8" s="87" t="s">
        <v>2064</v>
      </c>
      <c r="C8" s="73" t="s">
        <v>2065</v>
      </c>
      <c r="D8" s="23" t="s">
        <v>2066</v>
      </c>
      <c r="F8" s="23" t="n">
        <v>3</v>
      </c>
      <c r="G8" s="61" t="s">
        <v>30</v>
      </c>
      <c r="H8" s="73" t="s">
        <v>1323</v>
      </c>
      <c r="I8" s="73" t="s">
        <v>1323</v>
      </c>
    </row>
    <row r="9" customFormat="false" ht="15" hidden="false" customHeight="false" outlineLevel="0" collapsed="false">
      <c r="A9" s="23"/>
      <c r="B9" s="87"/>
      <c r="C9" s="73" t="s">
        <v>2067</v>
      </c>
      <c r="D9" s="23" t="s">
        <v>621</v>
      </c>
      <c r="F9" s="23" t="n">
        <v>4</v>
      </c>
      <c r="G9" s="61" t="s">
        <v>32</v>
      </c>
      <c r="H9" s="73" t="s">
        <v>1641</v>
      </c>
      <c r="I9" s="73" t="s">
        <v>1641</v>
      </c>
    </row>
    <row r="10" customFormat="false" ht="15" hidden="false" customHeight="true" outlineLevel="0" collapsed="false">
      <c r="A10" s="23" t="n">
        <v>3</v>
      </c>
      <c r="B10" s="87" t="s">
        <v>2068</v>
      </c>
      <c r="C10" s="73" t="s">
        <v>2069</v>
      </c>
      <c r="D10" s="73" t="s">
        <v>2070</v>
      </c>
      <c r="F10" s="23" t="n">
        <v>5</v>
      </c>
      <c r="G10" s="61" t="s">
        <v>36</v>
      </c>
      <c r="H10" s="73" t="s">
        <v>1645</v>
      </c>
      <c r="I10" s="73" t="s">
        <v>1645</v>
      </c>
    </row>
    <row r="11" customFormat="false" ht="15" hidden="false" customHeight="false" outlineLevel="0" collapsed="false">
      <c r="A11" s="23"/>
      <c r="B11" s="87"/>
      <c r="C11" s="73" t="s">
        <v>2071</v>
      </c>
      <c r="D11" s="90" t="s">
        <v>2072</v>
      </c>
      <c r="F11" s="73" t="n">
        <v>6</v>
      </c>
      <c r="G11" s="97" t="s">
        <v>1404</v>
      </c>
      <c r="H11" s="73" t="s">
        <v>1648</v>
      </c>
      <c r="I11" s="73" t="s">
        <v>2073</v>
      </c>
    </row>
    <row r="12" customFormat="false" ht="15" hidden="false" customHeight="true" outlineLevel="0" collapsed="false">
      <c r="A12" s="43" t="n">
        <v>4</v>
      </c>
      <c r="B12" s="87" t="s">
        <v>2074</v>
      </c>
      <c r="C12" s="95" t="s">
        <v>2075</v>
      </c>
      <c r="D12" s="73" t="s">
        <v>2076</v>
      </c>
      <c r="F12" s="62" t="s">
        <v>39</v>
      </c>
      <c r="G12" s="62"/>
      <c r="H12" s="73" t="s">
        <v>758</v>
      </c>
      <c r="I12" s="73" t="s">
        <v>758</v>
      </c>
    </row>
    <row r="13" customFormat="false" ht="15" hidden="false" customHeight="false" outlineLevel="0" collapsed="false">
      <c r="A13" s="43"/>
      <c r="B13" s="87"/>
      <c r="C13" s="99" t="s">
        <v>2077</v>
      </c>
      <c r="D13" s="73" t="s">
        <v>2078</v>
      </c>
    </row>
    <row r="14" customFormat="false" ht="15" hidden="false" customHeight="true" outlineLevel="0" collapsed="false">
      <c r="A14" s="23" t="n">
        <v>5</v>
      </c>
      <c r="B14" s="87" t="s">
        <v>2079</v>
      </c>
      <c r="C14" s="82" t="s">
        <v>2080</v>
      </c>
      <c r="D14" s="100" t="s">
        <v>2081</v>
      </c>
      <c r="F14" s="7" t="s">
        <v>2082</v>
      </c>
    </row>
    <row r="15" customFormat="false" ht="15" hidden="false" customHeight="false" outlineLevel="0" collapsed="false">
      <c r="A15" s="23"/>
      <c r="B15" s="87"/>
      <c r="C15" s="82" t="s">
        <v>2083</v>
      </c>
      <c r="D15" s="90" t="s">
        <v>2084</v>
      </c>
      <c r="F15" s="8" t="s">
        <v>6</v>
      </c>
      <c r="G15" s="8" t="s">
        <v>767</v>
      </c>
      <c r="H15" s="62" t="s">
        <v>2085</v>
      </c>
      <c r="I15" s="62" t="s">
        <v>2086</v>
      </c>
      <c r="J15" s="62" t="s">
        <v>2086</v>
      </c>
    </row>
    <row r="16" customFormat="false" ht="15" hidden="false" customHeight="true" outlineLevel="0" collapsed="false">
      <c r="A16" s="23" t="n">
        <v>6</v>
      </c>
      <c r="B16" s="87" t="s">
        <v>2087</v>
      </c>
      <c r="C16" s="82" t="s">
        <v>2088</v>
      </c>
      <c r="D16" s="100" t="s">
        <v>2089</v>
      </c>
      <c r="F16" s="23" t="n">
        <v>1</v>
      </c>
      <c r="G16" s="61" t="s">
        <v>682</v>
      </c>
      <c r="H16" s="73" t="s">
        <v>2090</v>
      </c>
      <c r="I16" s="73" t="s">
        <v>2091</v>
      </c>
      <c r="J16" s="73" t="s">
        <v>903</v>
      </c>
    </row>
    <row r="17" customFormat="false" ht="15" hidden="false" customHeight="false" outlineLevel="0" collapsed="false">
      <c r="A17" s="23"/>
      <c r="B17" s="87"/>
      <c r="C17" s="82" t="s">
        <v>2092</v>
      </c>
      <c r="D17" s="90" t="s">
        <v>2093</v>
      </c>
      <c r="F17" s="23" t="n">
        <v>2</v>
      </c>
      <c r="G17" s="61" t="s">
        <v>682</v>
      </c>
      <c r="H17" s="73" t="s">
        <v>858</v>
      </c>
      <c r="I17" s="73" t="s">
        <v>858</v>
      </c>
      <c r="J17" s="73" t="s">
        <v>2094</v>
      </c>
    </row>
    <row r="18" customFormat="false" ht="15" hidden="false" customHeight="true" outlineLevel="0" collapsed="false">
      <c r="A18" s="23" t="n">
        <v>7</v>
      </c>
      <c r="B18" s="87" t="s">
        <v>2095</v>
      </c>
      <c r="C18" s="82" t="s">
        <v>2096</v>
      </c>
      <c r="D18" s="23" t="s">
        <v>2097</v>
      </c>
      <c r="F18" s="23" t="n">
        <v>3</v>
      </c>
      <c r="G18" s="61" t="s">
        <v>34</v>
      </c>
      <c r="H18" s="73" t="s">
        <v>2098</v>
      </c>
      <c r="I18" s="73" t="s">
        <v>2098</v>
      </c>
      <c r="J18" s="73" t="s">
        <v>2098</v>
      </c>
    </row>
    <row r="19" customFormat="false" ht="15" hidden="false" customHeight="false" outlineLevel="0" collapsed="false">
      <c r="A19" s="23"/>
      <c r="B19" s="87"/>
      <c r="C19" s="82" t="s">
        <v>2099</v>
      </c>
      <c r="D19" s="23" t="s">
        <v>2100</v>
      </c>
      <c r="F19" s="23" t="n">
        <v>4</v>
      </c>
      <c r="G19" s="61" t="s">
        <v>32</v>
      </c>
      <c r="H19" s="73" t="s">
        <v>2101</v>
      </c>
      <c r="I19" s="73" t="s">
        <v>2102</v>
      </c>
      <c r="J19" s="73" t="s">
        <v>2102</v>
      </c>
    </row>
    <row r="20" customFormat="false" ht="15" hidden="false" customHeight="true" outlineLevel="0" collapsed="false">
      <c r="A20" s="23" t="n">
        <v>8</v>
      </c>
      <c r="B20" s="87" t="s">
        <v>2103</v>
      </c>
      <c r="C20" s="82" t="s">
        <v>2104</v>
      </c>
      <c r="D20" s="23" t="s">
        <v>2105</v>
      </c>
      <c r="F20" s="23" t="n">
        <v>5</v>
      </c>
      <c r="G20" s="61" t="s">
        <v>37</v>
      </c>
      <c r="H20" s="73" t="s">
        <v>1789</v>
      </c>
      <c r="I20" s="73" t="s">
        <v>2106</v>
      </c>
      <c r="J20" s="73" t="s">
        <v>2106</v>
      </c>
    </row>
    <row r="21" customFormat="false" ht="15" hidden="false" customHeight="false" outlineLevel="0" collapsed="false">
      <c r="A21" s="23"/>
      <c r="B21" s="87"/>
      <c r="C21" s="82" t="s">
        <v>2107</v>
      </c>
      <c r="D21" s="23" t="s">
        <v>2100</v>
      </c>
      <c r="F21" s="23" t="n">
        <v>6</v>
      </c>
      <c r="G21" s="61" t="s">
        <v>10</v>
      </c>
      <c r="H21" s="73" t="s">
        <v>1789</v>
      </c>
      <c r="I21" s="73" t="s">
        <v>1789</v>
      </c>
      <c r="J21" s="73" t="s">
        <v>1789</v>
      </c>
    </row>
    <row r="22" customFormat="false" ht="15" hidden="false" customHeight="true" outlineLevel="0" collapsed="false">
      <c r="A22" s="23" t="n">
        <v>9</v>
      </c>
      <c r="B22" s="87" t="s">
        <v>2108</v>
      </c>
      <c r="C22" s="82" t="s">
        <v>2109</v>
      </c>
      <c r="D22" s="23" t="s">
        <v>2110</v>
      </c>
      <c r="F22" s="73" t="n">
        <v>7</v>
      </c>
      <c r="G22" s="97" t="s">
        <v>36</v>
      </c>
      <c r="H22" s="73" t="s">
        <v>2111</v>
      </c>
      <c r="I22" s="73" t="s">
        <v>2112</v>
      </c>
      <c r="J22" s="73" t="s">
        <v>2112</v>
      </c>
    </row>
    <row r="23" customFormat="false" ht="15" hidden="false" customHeight="false" outlineLevel="0" collapsed="false">
      <c r="A23" s="23"/>
      <c r="B23" s="87"/>
      <c r="C23" s="82" t="s">
        <v>2113</v>
      </c>
      <c r="D23" s="23" t="s">
        <v>2114</v>
      </c>
      <c r="F23" s="62" t="s">
        <v>39</v>
      </c>
      <c r="G23" s="62"/>
      <c r="H23" s="73" t="s">
        <v>758</v>
      </c>
      <c r="I23" s="73" t="s">
        <v>758</v>
      </c>
      <c r="J23" s="73" t="s">
        <v>758</v>
      </c>
    </row>
    <row r="24" customFormat="false" ht="15" hidden="false" customHeight="true" outlineLevel="0" collapsed="false">
      <c r="A24" s="23" t="n">
        <v>10</v>
      </c>
      <c r="B24" s="87" t="s">
        <v>2115</v>
      </c>
      <c r="C24" s="82" t="s">
        <v>2116</v>
      </c>
      <c r="D24" s="23" t="s">
        <v>2117</v>
      </c>
    </row>
    <row r="25" customFormat="false" ht="15" hidden="false" customHeight="false" outlineLevel="0" collapsed="false">
      <c r="A25" s="23"/>
      <c r="B25" s="87"/>
      <c r="C25" s="82" t="s">
        <v>2118</v>
      </c>
      <c r="D25" s="23" t="s">
        <v>2119</v>
      </c>
      <c r="F25" s="7" t="s">
        <v>2120</v>
      </c>
    </row>
    <row r="26" customFormat="false" ht="15" hidden="false" customHeight="true" outlineLevel="0" collapsed="false">
      <c r="A26" s="23" t="n">
        <v>11</v>
      </c>
      <c r="B26" s="87" t="s">
        <v>2121</v>
      </c>
      <c r="C26" s="82" t="s">
        <v>2122</v>
      </c>
      <c r="D26" s="23" t="s">
        <v>2123</v>
      </c>
      <c r="F26" s="8" t="s">
        <v>6</v>
      </c>
      <c r="G26" s="8" t="s">
        <v>767</v>
      </c>
      <c r="H26" s="62" t="s">
        <v>2124</v>
      </c>
      <c r="I26" s="62" t="s">
        <v>2125</v>
      </c>
    </row>
    <row r="27" customFormat="false" ht="15" hidden="false" customHeight="false" outlineLevel="0" collapsed="false">
      <c r="A27" s="23"/>
      <c r="B27" s="87"/>
      <c r="C27" s="82" t="s">
        <v>2126</v>
      </c>
      <c r="D27" s="23" t="s">
        <v>2127</v>
      </c>
      <c r="F27" s="23" t="n">
        <v>1</v>
      </c>
      <c r="G27" s="61" t="s">
        <v>682</v>
      </c>
      <c r="H27" s="73" t="s">
        <v>952</v>
      </c>
      <c r="I27" s="73" t="s">
        <v>1736</v>
      </c>
    </row>
    <row r="28" customFormat="false" ht="15" hidden="false" customHeight="true" outlineLevel="0" collapsed="false">
      <c r="A28" s="23" t="n">
        <v>12</v>
      </c>
      <c r="B28" s="87" t="s">
        <v>2128</v>
      </c>
      <c r="C28" s="82" t="s">
        <v>2129</v>
      </c>
      <c r="D28" s="23" t="s">
        <v>2130</v>
      </c>
      <c r="F28" s="23" t="n">
        <v>2</v>
      </c>
      <c r="G28" s="61" t="s">
        <v>778</v>
      </c>
      <c r="H28" s="73" t="s">
        <v>2131</v>
      </c>
      <c r="I28" s="73" t="s">
        <v>1452</v>
      </c>
    </row>
    <row r="29" customFormat="false" ht="15" hidden="false" customHeight="false" outlineLevel="0" collapsed="false">
      <c r="A29" s="23"/>
      <c r="B29" s="87"/>
      <c r="C29" s="82" t="s">
        <v>1640</v>
      </c>
      <c r="D29" s="23" t="s">
        <v>1570</v>
      </c>
      <c r="F29" s="23" t="n">
        <v>3</v>
      </c>
      <c r="G29" s="61" t="s">
        <v>1065</v>
      </c>
      <c r="H29" s="73" t="s">
        <v>858</v>
      </c>
      <c r="I29" s="73" t="s">
        <v>1379</v>
      </c>
    </row>
    <row r="30" customFormat="false" ht="15" hidden="false" customHeight="true" outlineLevel="0" collapsed="false">
      <c r="A30" s="23" t="n">
        <v>13</v>
      </c>
      <c r="B30" s="87" t="s">
        <v>2132</v>
      </c>
      <c r="C30" s="82" t="s">
        <v>2133</v>
      </c>
      <c r="D30" s="23" t="s">
        <v>2134</v>
      </c>
      <c r="F30" s="23" t="n">
        <v>4</v>
      </c>
      <c r="G30" s="61" t="s">
        <v>307</v>
      </c>
      <c r="H30" s="73" t="s">
        <v>745</v>
      </c>
      <c r="I30" s="73" t="s">
        <v>745</v>
      </c>
    </row>
    <row r="31" customFormat="false" ht="15" hidden="false" customHeight="false" outlineLevel="0" collapsed="false">
      <c r="A31" s="23"/>
      <c r="B31" s="87"/>
      <c r="C31" s="82" t="s">
        <v>2135</v>
      </c>
      <c r="D31" s="23" t="s">
        <v>2136</v>
      </c>
      <c r="F31" s="23" t="n">
        <v>5</v>
      </c>
      <c r="G31" s="61" t="s">
        <v>14</v>
      </c>
      <c r="H31" s="73" t="s">
        <v>1132</v>
      </c>
      <c r="I31" s="73" t="s">
        <v>1132</v>
      </c>
    </row>
    <row r="32" customFormat="false" ht="15" hidden="false" customHeight="true" outlineLevel="0" collapsed="false">
      <c r="A32" s="23" t="n">
        <v>14</v>
      </c>
      <c r="B32" s="87" t="s">
        <v>2137</v>
      </c>
      <c r="C32" s="82" t="s">
        <v>2138</v>
      </c>
      <c r="D32" s="23" t="s">
        <v>2139</v>
      </c>
      <c r="F32" s="23" t="n">
        <v>6</v>
      </c>
      <c r="G32" s="61" t="s">
        <v>1404</v>
      </c>
      <c r="H32" s="73" t="s">
        <v>1034</v>
      </c>
      <c r="I32" s="73" t="s">
        <v>1080</v>
      </c>
    </row>
    <row r="33" customFormat="false" ht="15" hidden="false" customHeight="false" outlineLevel="0" collapsed="false">
      <c r="A33" s="23"/>
      <c r="B33" s="87"/>
      <c r="C33" s="82" t="s">
        <v>2140</v>
      </c>
      <c r="D33" s="23" t="s">
        <v>2141</v>
      </c>
      <c r="F33" s="62" t="s">
        <v>39</v>
      </c>
      <c r="G33" s="62"/>
      <c r="H33" s="73" t="s">
        <v>758</v>
      </c>
      <c r="I33" s="73" t="s">
        <v>758</v>
      </c>
    </row>
    <row r="34" customFormat="false" ht="15" hidden="false" customHeight="true" outlineLevel="0" collapsed="false">
      <c r="A34" s="23" t="n">
        <v>15</v>
      </c>
      <c r="B34" s="87" t="s">
        <v>2142</v>
      </c>
      <c r="C34" s="82" t="s">
        <v>2143</v>
      </c>
      <c r="D34" s="23" t="s">
        <v>2144</v>
      </c>
    </row>
    <row r="35" customFormat="false" ht="15" hidden="false" customHeight="false" outlineLevel="0" collapsed="false">
      <c r="A35" s="23"/>
      <c r="B35" s="87"/>
      <c r="C35" s="82" t="s">
        <v>2145</v>
      </c>
      <c r="D35" s="23" t="s">
        <v>2127</v>
      </c>
      <c r="F35" s="7" t="s">
        <v>2146</v>
      </c>
    </row>
    <row r="36" customFormat="false" ht="15" hidden="false" customHeight="false" outlineLevel="0" collapsed="false">
      <c r="F36" s="8" t="s">
        <v>6</v>
      </c>
      <c r="G36" s="8" t="s">
        <v>767</v>
      </c>
      <c r="H36" s="62" t="s">
        <v>2147</v>
      </c>
    </row>
    <row r="37" customFormat="false" ht="15" hidden="false" customHeight="false" outlineLevel="0" collapsed="false">
      <c r="F37" s="23" t="n">
        <v>1</v>
      </c>
      <c r="G37" s="61" t="s">
        <v>778</v>
      </c>
      <c r="H37" s="73" t="s">
        <v>1168</v>
      </c>
    </row>
    <row r="38" customFormat="false" ht="15" hidden="false" customHeight="false" outlineLevel="0" collapsed="false">
      <c r="F38" s="23" t="n">
        <v>2</v>
      </c>
      <c r="G38" s="61" t="s">
        <v>682</v>
      </c>
      <c r="H38" s="73" t="s">
        <v>1093</v>
      </c>
    </row>
    <row r="39" customFormat="false" ht="15" hidden="false" customHeight="false" outlineLevel="0" collapsed="false">
      <c r="F39" s="23" t="n">
        <v>3</v>
      </c>
      <c r="G39" s="61" t="s">
        <v>10</v>
      </c>
      <c r="H39" s="73" t="s">
        <v>745</v>
      </c>
    </row>
    <row r="40" customFormat="false" ht="15" hidden="false" customHeight="false" outlineLevel="0" collapsed="false">
      <c r="F40" s="23" t="n">
        <v>4</v>
      </c>
      <c r="G40" s="61" t="s">
        <v>30</v>
      </c>
      <c r="H40" s="73" t="s">
        <v>1323</v>
      </c>
    </row>
    <row r="41" customFormat="false" ht="15" hidden="false" customHeight="false" outlineLevel="0" collapsed="false">
      <c r="F41" s="23" t="n">
        <v>5</v>
      </c>
      <c r="G41" s="61" t="s">
        <v>32</v>
      </c>
      <c r="H41" s="73" t="s">
        <v>1641</v>
      </c>
    </row>
    <row r="42" customFormat="false" ht="15" hidden="false" customHeight="false" outlineLevel="0" collapsed="false">
      <c r="F42" s="23" t="n">
        <v>6</v>
      </c>
      <c r="G42" s="61" t="s">
        <v>36</v>
      </c>
      <c r="H42" s="73" t="s">
        <v>1645</v>
      </c>
    </row>
    <row r="43" customFormat="false" ht="15" hidden="false" customHeight="false" outlineLevel="0" collapsed="false">
      <c r="F43" s="23" t="n">
        <v>7</v>
      </c>
      <c r="G43" s="61" t="s">
        <v>981</v>
      </c>
      <c r="H43" s="73" t="s">
        <v>1080</v>
      </c>
    </row>
    <row r="44" customFormat="false" ht="15" hidden="false" customHeight="false" outlineLevel="0" collapsed="false">
      <c r="F44" s="62" t="s">
        <v>39</v>
      </c>
      <c r="G44" s="62"/>
      <c r="H44" s="73" t="s">
        <v>758</v>
      </c>
    </row>
    <row r="46" customFormat="false" ht="15" hidden="false" customHeight="false" outlineLevel="0" collapsed="false">
      <c r="F46" s="7" t="s">
        <v>2148</v>
      </c>
    </row>
    <row r="47" customFormat="false" ht="15" hidden="false" customHeight="false" outlineLevel="0" collapsed="false">
      <c r="F47" s="8" t="s">
        <v>6</v>
      </c>
      <c r="G47" s="8" t="s">
        <v>767</v>
      </c>
      <c r="H47" s="62" t="s">
        <v>2149</v>
      </c>
    </row>
    <row r="48" customFormat="false" ht="15" hidden="false" customHeight="false" outlineLevel="0" collapsed="false">
      <c r="F48" s="23" t="n">
        <v>1</v>
      </c>
      <c r="G48" s="61" t="s">
        <v>682</v>
      </c>
      <c r="H48" s="73" t="s">
        <v>2150</v>
      </c>
    </row>
    <row r="49" customFormat="false" ht="15" hidden="false" customHeight="false" outlineLevel="0" collapsed="false">
      <c r="F49" s="23" t="n">
        <v>2</v>
      </c>
      <c r="G49" s="61" t="s">
        <v>778</v>
      </c>
      <c r="H49" s="73" t="s">
        <v>2151</v>
      </c>
    </row>
    <row r="50" customFormat="false" ht="15" hidden="false" customHeight="false" outlineLevel="0" collapsed="false">
      <c r="F50" s="23" t="n">
        <v>3</v>
      </c>
      <c r="G50" s="61" t="s">
        <v>10</v>
      </c>
      <c r="H50" s="73" t="s">
        <v>2152</v>
      </c>
    </row>
    <row r="51" customFormat="false" ht="15" hidden="false" customHeight="false" outlineLevel="0" collapsed="false">
      <c r="F51" s="23" t="n">
        <v>4</v>
      </c>
      <c r="G51" s="61" t="s">
        <v>12</v>
      </c>
      <c r="H51" s="73" t="s">
        <v>2152</v>
      </c>
    </row>
    <row r="52" customFormat="false" ht="15" hidden="false" customHeight="false" outlineLevel="0" collapsed="false">
      <c r="F52" s="23" t="n">
        <v>5</v>
      </c>
      <c r="G52" s="61" t="s">
        <v>38</v>
      </c>
      <c r="H52" s="73" t="s">
        <v>2153</v>
      </c>
    </row>
    <row r="53" customFormat="false" ht="15" hidden="false" customHeight="false" outlineLevel="0" collapsed="false">
      <c r="F53" s="23" t="n">
        <v>6</v>
      </c>
      <c r="G53" s="61" t="s">
        <v>981</v>
      </c>
      <c r="H53" s="73" t="s">
        <v>2154</v>
      </c>
    </row>
    <row r="54" customFormat="false" ht="15" hidden="false" customHeight="false" outlineLevel="0" collapsed="false">
      <c r="F54" s="62" t="s">
        <v>39</v>
      </c>
      <c r="G54" s="62"/>
      <c r="H54" s="73" t="s">
        <v>2155</v>
      </c>
    </row>
    <row r="56" customFormat="false" ht="15" hidden="false" customHeight="false" outlineLevel="0" collapsed="false">
      <c r="F56" s="7" t="s">
        <v>2156</v>
      </c>
    </row>
    <row r="57" customFormat="false" ht="15" hidden="false" customHeight="false" outlineLevel="0" collapsed="false">
      <c r="F57" s="8" t="s">
        <v>6</v>
      </c>
      <c r="G57" s="8" t="s">
        <v>767</v>
      </c>
      <c r="H57" s="62" t="s">
        <v>2157</v>
      </c>
    </row>
    <row r="58" customFormat="false" ht="15" hidden="false" customHeight="false" outlineLevel="0" collapsed="false">
      <c r="F58" s="23" t="n">
        <v>1</v>
      </c>
      <c r="G58" s="61" t="s">
        <v>682</v>
      </c>
      <c r="H58" s="73" t="s">
        <v>2158</v>
      </c>
    </row>
    <row r="59" customFormat="false" ht="15" hidden="false" customHeight="false" outlineLevel="0" collapsed="false">
      <c r="F59" s="23" t="n">
        <v>2</v>
      </c>
      <c r="G59" s="61" t="s">
        <v>1065</v>
      </c>
      <c r="H59" s="73" t="s">
        <v>2159</v>
      </c>
    </row>
    <row r="60" customFormat="false" ht="15" hidden="false" customHeight="false" outlineLevel="0" collapsed="false">
      <c r="F60" s="23" t="n">
        <v>3</v>
      </c>
      <c r="G60" s="61" t="s">
        <v>34</v>
      </c>
      <c r="H60" s="73" t="s">
        <v>2160</v>
      </c>
    </row>
    <row r="61" customFormat="false" ht="15" hidden="false" customHeight="false" outlineLevel="0" collapsed="false">
      <c r="F61" s="23" t="n">
        <v>4</v>
      </c>
      <c r="G61" s="61" t="s">
        <v>37</v>
      </c>
      <c r="H61" s="73" t="s">
        <v>2161</v>
      </c>
    </row>
    <row r="62" customFormat="false" ht="15" hidden="false" customHeight="false" outlineLevel="0" collapsed="false">
      <c r="F62" s="23" t="n">
        <v>5</v>
      </c>
      <c r="G62" s="61" t="s">
        <v>2162</v>
      </c>
      <c r="H62" s="73" t="s">
        <v>423</v>
      </c>
    </row>
    <row r="63" customFormat="false" ht="15" hidden="false" customHeight="false" outlineLevel="0" collapsed="false">
      <c r="F63" s="23" t="n">
        <v>6</v>
      </c>
      <c r="G63" s="61" t="s">
        <v>36</v>
      </c>
      <c r="H63" s="73" t="s">
        <v>792</v>
      </c>
    </row>
    <row r="64" customFormat="false" ht="15" hidden="false" customHeight="false" outlineLevel="0" collapsed="false">
      <c r="F64" s="23" t="n">
        <v>7</v>
      </c>
      <c r="G64" s="61" t="s">
        <v>35</v>
      </c>
      <c r="H64" s="73" t="s">
        <v>2163</v>
      </c>
    </row>
    <row r="65" customFormat="false" ht="15" hidden="false" customHeight="false" outlineLevel="0" collapsed="false">
      <c r="F65" s="62" t="s">
        <v>39</v>
      </c>
      <c r="G65" s="62"/>
      <c r="H65" s="73" t="s">
        <v>2164</v>
      </c>
    </row>
    <row r="67" customFormat="false" ht="15" hidden="false" customHeight="false" outlineLevel="0" collapsed="false">
      <c r="F67" s="7" t="s">
        <v>2165</v>
      </c>
    </row>
    <row r="68" customFormat="false" ht="15" hidden="false" customHeight="false" outlineLevel="0" collapsed="false">
      <c r="F68" s="8" t="s">
        <v>6</v>
      </c>
      <c r="G68" s="8" t="s">
        <v>767</v>
      </c>
      <c r="H68" s="62" t="s">
        <v>2166</v>
      </c>
    </row>
    <row r="69" customFormat="false" ht="15" hidden="false" customHeight="false" outlineLevel="0" collapsed="false">
      <c r="F69" s="23" t="n">
        <v>1</v>
      </c>
      <c r="G69" s="61" t="s">
        <v>778</v>
      </c>
      <c r="H69" s="73" t="s">
        <v>2167</v>
      </c>
    </row>
    <row r="70" customFormat="false" ht="15" hidden="false" customHeight="false" outlineLevel="0" collapsed="false">
      <c r="F70" s="23" t="n">
        <v>2</v>
      </c>
      <c r="G70" s="61" t="s">
        <v>682</v>
      </c>
      <c r="H70" s="73" t="s">
        <v>2168</v>
      </c>
    </row>
    <row r="71" customFormat="false" ht="15" hidden="false" customHeight="false" outlineLevel="0" collapsed="false">
      <c r="F71" s="23" t="n">
        <v>3</v>
      </c>
      <c r="G71" s="61" t="s">
        <v>34</v>
      </c>
      <c r="H71" s="73" t="s">
        <v>2160</v>
      </c>
    </row>
    <row r="72" customFormat="false" ht="15" hidden="false" customHeight="false" outlineLevel="0" collapsed="false">
      <c r="F72" s="23" t="n">
        <v>4</v>
      </c>
      <c r="G72" s="61" t="s">
        <v>32</v>
      </c>
      <c r="H72" s="73" t="s">
        <v>2024</v>
      </c>
    </row>
    <row r="73" customFormat="false" ht="15" hidden="false" customHeight="false" outlineLevel="0" collapsed="false">
      <c r="F73" s="23" t="n">
        <v>5</v>
      </c>
      <c r="G73" s="61" t="s">
        <v>37</v>
      </c>
      <c r="H73" s="73" t="s">
        <v>1161</v>
      </c>
    </row>
    <row r="74" customFormat="false" ht="15" hidden="false" customHeight="false" outlineLevel="0" collapsed="false">
      <c r="F74" s="23" t="n">
        <v>6</v>
      </c>
      <c r="G74" s="61" t="s">
        <v>2162</v>
      </c>
      <c r="H74" s="73" t="s">
        <v>758</v>
      </c>
    </row>
    <row r="75" customFormat="false" ht="15" hidden="false" customHeight="false" outlineLevel="0" collapsed="false">
      <c r="F75" s="23" t="n">
        <v>7</v>
      </c>
      <c r="G75" s="61" t="s">
        <v>36</v>
      </c>
      <c r="H75" s="73" t="s">
        <v>792</v>
      </c>
    </row>
    <row r="76" customFormat="false" ht="15" hidden="false" customHeight="false" outlineLevel="0" collapsed="false">
      <c r="F76" s="62" t="s">
        <v>39</v>
      </c>
      <c r="G76" s="62"/>
      <c r="H76" s="73" t="s">
        <v>2164</v>
      </c>
    </row>
  </sheetData>
  <mergeCells count="39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F33:G33"/>
    <mergeCell ref="A34:A35"/>
    <mergeCell ref="B34:B35"/>
    <mergeCell ref="F44:G44"/>
    <mergeCell ref="F54:G54"/>
    <mergeCell ref="F65:G65"/>
    <mergeCell ref="F76:G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4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16" activeCellId="0" sqref="B16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34"/>
    <col collapsed="false" customWidth="true" hidden="false" outlineLevel="0" max="3" min="3" style="0" width="27.57"/>
    <col collapsed="false" customWidth="true" hidden="false" outlineLevel="0" max="4" min="4" style="0" width="27.3"/>
    <col collapsed="false" customWidth="true" hidden="false" outlineLevel="0" max="6" min="6" style="0" width="5.28"/>
    <col collapsed="false" customWidth="true" hidden="false" outlineLevel="0" max="7" min="7" style="0" width="17.85"/>
    <col collapsed="false" customWidth="true" hidden="false" outlineLevel="0" max="8" min="8" style="0" width="12"/>
    <col collapsed="false" customWidth="true" hidden="false" outlineLevel="0" max="13" min="9" style="0" width="10.57"/>
  </cols>
  <sheetData>
    <row r="2" customFormat="false" ht="15" hidden="false" customHeight="false" outlineLevel="0" collapsed="false">
      <c r="A2" s="69" t="s">
        <v>326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2169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s">
        <v>2170</v>
      </c>
    </row>
    <row r="6" customFormat="false" ht="15" hidden="false" customHeight="true" outlineLevel="0" collapsed="false">
      <c r="A6" s="23" t="n">
        <v>1</v>
      </c>
      <c r="B6" s="87" t="s">
        <v>2171</v>
      </c>
      <c r="C6" s="73" t="s">
        <v>2172</v>
      </c>
      <c r="D6" s="23" t="s">
        <v>2173</v>
      </c>
      <c r="F6" s="23" t="n">
        <v>1</v>
      </c>
      <c r="G6" s="61" t="s">
        <v>682</v>
      </c>
      <c r="H6" s="73" t="s">
        <v>1314</v>
      </c>
    </row>
    <row r="7" customFormat="false" ht="15" hidden="false" customHeight="false" outlineLevel="0" collapsed="false">
      <c r="A7" s="23"/>
      <c r="B7" s="87"/>
      <c r="C7" s="73" t="s">
        <v>1909</v>
      </c>
      <c r="D7" s="23" t="s">
        <v>1182</v>
      </c>
      <c r="F7" s="23" t="n">
        <v>2</v>
      </c>
      <c r="G7" s="61" t="s">
        <v>2162</v>
      </c>
      <c r="H7" s="73" t="s">
        <v>745</v>
      </c>
    </row>
    <row r="8" customFormat="false" ht="15" hidden="false" customHeight="true" outlineLevel="0" collapsed="false">
      <c r="A8" s="23" t="n">
        <v>2</v>
      </c>
      <c r="B8" s="87" t="s">
        <v>2174</v>
      </c>
      <c r="C8" s="73" t="s">
        <v>2175</v>
      </c>
      <c r="D8" s="23" t="s">
        <v>2176</v>
      </c>
      <c r="F8" s="23" t="n">
        <v>3</v>
      </c>
      <c r="G8" s="61" t="s">
        <v>12</v>
      </c>
      <c r="H8" s="73" t="s">
        <v>858</v>
      </c>
    </row>
    <row r="9" customFormat="false" ht="15" hidden="false" customHeight="false" outlineLevel="0" collapsed="false">
      <c r="A9" s="23"/>
      <c r="B9" s="87"/>
      <c r="C9" s="73" t="s">
        <v>501</v>
      </c>
      <c r="D9" s="23" t="s">
        <v>1761</v>
      </c>
      <c r="F9" s="23" t="n">
        <v>4</v>
      </c>
      <c r="G9" s="61" t="s">
        <v>30</v>
      </c>
      <c r="H9" s="73" t="s">
        <v>1323</v>
      </c>
    </row>
    <row r="10" customFormat="false" ht="15" hidden="false" customHeight="true" outlineLevel="0" collapsed="false">
      <c r="A10" s="23" t="n">
        <v>3</v>
      </c>
      <c r="B10" s="87" t="s">
        <v>2177</v>
      </c>
      <c r="C10" s="73" t="s">
        <v>2178</v>
      </c>
      <c r="D10" s="73" t="s">
        <v>2179</v>
      </c>
      <c r="F10" s="23" t="n">
        <v>5</v>
      </c>
      <c r="G10" s="61" t="s">
        <v>32</v>
      </c>
      <c r="H10" s="73" t="s">
        <v>1641</v>
      </c>
    </row>
    <row r="11" customFormat="false" ht="15" hidden="false" customHeight="false" outlineLevel="0" collapsed="false">
      <c r="A11" s="23"/>
      <c r="B11" s="87"/>
      <c r="C11" s="73" t="s">
        <v>1393</v>
      </c>
      <c r="D11" s="90" t="s">
        <v>2180</v>
      </c>
      <c r="F11" s="23" t="n">
        <v>6</v>
      </c>
      <c r="G11" s="61" t="s">
        <v>36</v>
      </c>
      <c r="H11" s="73" t="s">
        <v>1645</v>
      </c>
    </row>
    <row r="12" customFormat="false" ht="15" hidden="false" customHeight="true" outlineLevel="0" collapsed="false">
      <c r="A12" s="43" t="n">
        <v>4</v>
      </c>
      <c r="B12" s="87" t="s">
        <v>2181</v>
      </c>
      <c r="C12" s="95" t="s">
        <v>2182</v>
      </c>
      <c r="D12" s="73" t="s">
        <v>2183</v>
      </c>
      <c r="F12" s="73" t="n">
        <v>7</v>
      </c>
      <c r="G12" s="97" t="s">
        <v>981</v>
      </c>
      <c r="H12" s="73" t="s">
        <v>1080</v>
      </c>
    </row>
    <row r="13" customFormat="false" ht="15" hidden="false" customHeight="false" outlineLevel="0" collapsed="false">
      <c r="A13" s="43"/>
      <c r="B13" s="87"/>
      <c r="C13" s="99" t="s">
        <v>2184</v>
      </c>
      <c r="D13" s="90" t="s">
        <v>2185</v>
      </c>
      <c r="F13" s="62" t="s">
        <v>39</v>
      </c>
      <c r="G13" s="62"/>
      <c r="H13" s="73" t="s">
        <v>758</v>
      </c>
    </row>
    <row r="14" customFormat="false" ht="15" hidden="false" customHeight="true" outlineLevel="0" collapsed="false">
      <c r="A14" s="23" t="n">
        <v>5</v>
      </c>
      <c r="B14" s="87" t="s">
        <v>2186</v>
      </c>
      <c r="C14" s="130" t="s">
        <v>2187</v>
      </c>
      <c r="D14" s="73" t="s">
        <v>2188</v>
      </c>
    </row>
    <row r="15" customFormat="false" ht="15" hidden="false" customHeight="false" outlineLevel="0" collapsed="false">
      <c r="A15" s="23"/>
      <c r="B15" s="87"/>
      <c r="C15" s="130" t="s">
        <v>2189</v>
      </c>
      <c r="D15" s="73" t="s">
        <v>2190</v>
      </c>
      <c r="F15" s="7" t="s">
        <v>2191</v>
      </c>
    </row>
    <row r="16" customFormat="false" ht="15" hidden="false" customHeight="true" outlineLevel="0" collapsed="false">
      <c r="A16" s="23" t="n">
        <v>6</v>
      </c>
      <c r="B16" s="87" t="s">
        <v>2192</v>
      </c>
      <c r="C16" s="130" t="s">
        <v>2193</v>
      </c>
      <c r="D16" s="73" t="s">
        <v>2194</v>
      </c>
      <c r="F16" s="8" t="s">
        <v>6</v>
      </c>
      <c r="G16" s="8" t="s">
        <v>767</v>
      </c>
      <c r="H16" s="62" t="s">
        <v>328</v>
      </c>
      <c r="I16" s="62" t="s">
        <v>329</v>
      </c>
      <c r="J16" s="62" t="s">
        <v>273</v>
      </c>
      <c r="K16" s="62" t="s">
        <v>331</v>
      </c>
      <c r="L16" s="62" t="s">
        <v>332</v>
      </c>
      <c r="M16" s="62" t="s">
        <v>333</v>
      </c>
    </row>
    <row r="17" customFormat="false" ht="15" hidden="false" customHeight="false" outlineLevel="0" collapsed="false">
      <c r="A17" s="23"/>
      <c r="B17" s="87"/>
      <c r="C17" s="82" t="s">
        <v>2195</v>
      </c>
      <c r="D17" s="131" t="s">
        <v>1618</v>
      </c>
      <c r="F17" s="23" t="n">
        <v>1</v>
      </c>
      <c r="G17" s="61" t="s">
        <v>1065</v>
      </c>
      <c r="H17" s="73" t="s">
        <v>2196</v>
      </c>
      <c r="I17" s="73" t="s">
        <v>2197</v>
      </c>
      <c r="J17" s="73" t="s">
        <v>2198</v>
      </c>
      <c r="K17" s="73" t="s">
        <v>2199</v>
      </c>
      <c r="L17" s="73" t="s">
        <v>2200</v>
      </c>
      <c r="M17" s="73" t="s">
        <v>2201</v>
      </c>
    </row>
    <row r="18" customFormat="false" ht="15" hidden="false" customHeight="true" outlineLevel="0" collapsed="false">
      <c r="A18" s="23" t="n">
        <v>7</v>
      </c>
      <c r="B18" s="87" t="s">
        <v>2202</v>
      </c>
      <c r="C18" s="82" t="s">
        <v>2203</v>
      </c>
      <c r="D18" s="23" t="s">
        <v>2204</v>
      </c>
      <c r="F18" s="23" t="n">
        <v>2</v>
      </c>
      <c r="G18" s="61" t="s">
        <v>778</v>
      </c>
      <c r="H18" s="73" t="s">
        <v>902</v>
      </c>
      <c r="I18" s="73" t="s">
        <v>902</v>
      </c>
      <c r="J18" s="73" t="s">
        <v>732</v>
      </c>
      <c r="K18" s="73" t="s">
        <v>903</v>
      </c>
      <c r="L18" s="73" t="s">
        <v>1379</v>
      </c>
      <c r="M18" s="73" t="s">
        <v>1379</v>
      </c>
    </row>
    <row r="19" customFormat="false" ht="15" hidden="false" customHeight="false" outlineLevel="0" collapsed="false">
      <c r="A19" s="23"/>
      <c r="B19" s="87"/>
      <c r="C19" s="82" t="s">
        <v>2205</v>
      </c>
      <c r="D19" s="23" t="s">
        <v>1851</v>
      </c>
      <c r="F19" s="23" t="n">
        <v>3</v>
      </c>
      <c r="G19" s="61" t="s">
        <v>1998</v>
      </c>
      <c r="H19" s="73" t="s">
        <v>745</v>
      </c>
      <c r="I19" s="73" t="s">
        <v>745</v>
      </c>
      <c r="J19" s="73" t="s">
        <v>745</v>
      </c>
      <c r="K19" s="73" t="s">
        <v>745</v>
      </c>
      <c r="L19" s="73" t="s">
        <v>745</v>
      </c>
      <c r="M19" s="73" t="s">
        <v>745</v>
      </c>
    </row>
    <row r="20" customFormat="false" ht="15" hidden="false" customHeight="true" outlineLevel="0" collapsed="false">
      <c r="A20" s="23" t="n">
        <v>8</v>
      </c>
      <c r="B20" s="87" t="s">
        <v>2206</v>
      </c>
      <c r="C20" s="130" t="s">
        <v>2207</v>
      </c>
      <c r="D20" s="73" t="s">
        <v>2208</v>
      </c>
      <c r="F20" s="23" t="n">
        <v>4</v>
      </c>
      <c r="G20" s="61" t="s">
        <v>2209</v>
      </c>
      <c r="H20" s="73" t="s">
        <v>858</v>
      </c>
      <c r="I20" s="73" t="s">
        <v>858</v>
      </c>
      <c r="J20" s="73" t="s">
        <v>858</v>
      </c>
      <c r="K20" s="73" t="s">
        <v>858</v>
      </c>
      <c r="L20" s="73" t="s">
        <v>858</v>
      </c>
      <c r="M20" s="73" t="s">
        <v>858</v>
      </c>
    </row>
    <row r="21" customFormat="false" ht="15" hidden="false" customHeight="false" outlineLevel="0" collapsed="false">
      <c r="A21" s="23"/>
      <c r="B21" s="87"/>
      <c r="C21" s="82" t="s">
        <v>2210</v>
      </c>
      <c r="D21" s="131" t="s">
        <v>2211</v>
      </c>
      <c r="F21" s="23" t="n">
        <v>5</v>
      </c>
      <c r="G21" s="61" t="s">
        <v>38</v>
      </c>
      <c r="H21" s="73" t="s">
        <v>1177</v>
      </c>
      <c r="I21" s="73" t="s">
        <v>1177</v>
      </c>
      <c r="J21" s="73" t="s">
        <v>1177</v>
      </c>
      <c r="K21" s="73" t="s">
        <v>1177</v>
      </c>
      <c r="L21" s="73" t="s">
        <v>1177</v>
      </c>
      <c r="M21" s="73" t="s">
        <v>1177</v>
      </c>
    </row>
    <row r="22" customFormat="false" ht="15" hidden="false" customHeight="true" outlineLevel="0" collapsed="false">
      <c r="A22" s="23" t="n">
        <v>9</v>
      </c>
      <c r="B22" s="87" t="s">
        <v>2212</v>
      </c>
      <c r="C22" s="82" t="s">
        <v>2213</v>
      </c>
      <c r="D22" s="23" t="s">
        <v>2214</v>
      </c>
      <c r="F22" s="23" t="n">
        <v>6</v>
      </c>
      <c r="G22" s="61" t="s">
        <v>981</v>
      </c>
      <c r="H22" s="73" t="s">
        <v>940</v>
      </c>
      <c r="I22" s="73" t="s">
        <v>1435</v>
      </c>
      <c r="J22" s="73" t="s">
        <v>1435</v>
      </c>
      <c r="K22" s="73" t="s">
        <v>1435</v>
      </c>
      <c r="L22" s="73" t="s">
        <v>940</v>
      </c>
      <c r="M22" s="73" t="s">
        <v>1435</v>
      </c>
    </row>
    <row r="23" customFormat="false" ht="15" hidden="false" customHeight="false" outlineLevel="0" collapsed="false">
      <c r="A23" s="23"/>
      <c r="B23" s="87"/>
      <c r="C23" s="82" t="s">
        <v>2215</v>
      </c>
      <c r="D23" s="23" t="s">
        <v>2216</v>
      </c>
      <c r="F23" s="62" t="s">
        <v>39</v>
      </c>
      <c r="G23" s="62"/>
      <c r="H23" s="73" t="s">
        <v>758</v>
      </c>
      <c r="I23" s="73" t="s">
        <v>758</v>
      </c>
      <c r="J23" s="73" t="s">
        <v>758</v>
      </c>
      <c r="K23" s="73" t="s">
        <v>758</v>
      </c>
      <c r="L23" s="73" t="s">
        <v>758</v>
      </c>
      <c r="M23" s="73" t="s">
        <v>758</v>
      </c>
    </row>
    <row r="24" customFormat="false" ht="15" hidden="false" customHeight="true" outlineLevel="0" collapsed="false">
      <c r="A24" s="23" t="n">
        <v>10</v>
      </c>
      <c r="B24" s="87" t="s">
        <v>2217</v>
      </c>
      <c r="C24" s="82" t="s">
        <v>2218</v>
      </c>
      <c r="D24" s="23" t="s">
        <v>2219</v>
      </c>
    </row>
    <row r="25" customFormat="false" ht="15" hidden="false" customHeight="false" outlineLevel="0" collapsed="false">
      <c r="A25" s="23"/>
      <c r="B25" s="87"/>
      <c r="C25" s="82" t="s">
        <v>2220</v>
      </c>
      <c r="D25" s="23" t="s">
        <v>2221</v>
      </c>
      <c r="F25" s="7" t="s">
        <v>2222</v>
      </c>
    </row>
    <row r="26" customFormat="false" ht="15" hidden="false" customHeight="true" outlineLevel="0" collapsed="false">
      <c r="A26" s="23" t="n">
        <v>11</v>
      </c>
      <c r="B26" s="87" t="s">
        <v>2223</v>
      </c>
      <c r="C26" s="82" t="s">
        <v>2224</v>
      </c>
      <c r="D26" s="23" t="s">
        <v>2225</v>
      </c>
      <c r="F26" s="8" t="s">
        <v>6</v>
      </c>
      <c r="G26" s="8" t="s">
        <v>767</v>
      </c>
      <c r="H26" s="62" t="s">
        <v>334</v>
      </c>
      <c r="I26" s="62" t="s">
        <v>335</v>
      </c>
      <c r="J26" s="62" t="s">
        <v>336</v>
      </c>
      <c r="K26" s="62" t="s">
        <v>337</v>
      </c>
    </row>
    <row r="27" customFormat="false" ht="15" hidden="false" customHeight="false" outlineLevel="0" collapsed="false">
      <c r="A27" s="23"/>
      <c r="B27" s="87"/>
      <c r="C27" s="82" t="s">
        <v>2226</v>
      </c>
      <c r="D27" s="23" t="s">
        <v>2227</v>
      </c>
      <c r="F27" s="23" t="n">
        <v>1</v>
      </c>
      <c r="G27" s="61" t="s">
        <v>682</v>
      </c>
      <c r="H27" s="73" t="s">
        <v>2228</v>
      </c>
      <c r="I27" s="73" t="s">
        <v>1547</v>
      </c>
      <c r="J27" s="73" t="s">
        <v>2229</v>
      </c>
      <c r="K27" s="73" t="s">
        <v>2229</v>
      </c>
    </row>
    <row r="28" customFormat="false" ht="15" hidden="false" customHeight="false" outlineLevel="0" collapsed="false">
      <c r="F28" s="23" t="n">
        <v>2</v>
      </c>
      <c r="G28" s="61" t="s">
        <v>778</v>
      </c>
      <c r="H28" s="73" t="s">
        <v>1378</v>
      </c>
      <c r="I28" s="73" t="s">
        <v>1378</v>
      </c>
      <c r="J28" s="73" t="s">
        <v>1452</v>
      </c>
      <c r="K28" s="73" t="s">
        <v>1378</v>
      </c>
    </row>
    <row r="29" customFormat="false" ht="15" hidden="false" customHeight="false" outlineLevel="0" collapsed="false">
      <c r="F29" s="23" t="n">
        <v>3</v>
      </c>
      <c r="G29" s="61" t="s">
        <v>1065</v>
      </c>
      <c r="H29" s="73" t="s">
        <v>858</v>
      </c>
      <c r="I29" s="73" t="s">
        <v>745</v>
      </c>
      <c r="J29" s="73" t="s">
        <v>952</v>
      </c>
      <c r="K29" s="73" t="s">
        <v>1378</v>
      </c>
    </row>
    <row r="30" customFormat="false" ht="15" hidden="false" customHeight="false" outlineLevel="0" collapsed="false">
      <c r="F30" s="23" t="n">
        <v>4</v>
      </c>
      <c r="G30" s="61" t="s">
        <v>12</v>
      </c>
      <c r="H30" s="73" t="s">
        <v>858</v>
      </c>
      <c r="I30" s="73" t="s">
        <v>858</v>
      </c>
      <c r="J30" s="73" t="s">
        <v>858</v>
      </c>
      <c r="K30" s="73" t="s">
        <v>858</v>
      </c>
    </row>
    <row r="31" customFormat="false" ht="15" hidden="false" customHeight="false" outlineLevel="0" collapsed="false">
      <c r="F31" s="23" t="n">
        <v>5</v>
      </c>
      <c r="G31" s="61" t="s">
        <v>786</v>
      </c>
      <c r="H31" s="73" t="s">
        <v>745</v>
      </c>
      <c r="I31" s="73" t="s">
        <v>745</v>
      </c>
      <c r="J31" s="73" t="s">
        <v>745</v>
      </c>
      <c r="K31" s="73" t="s">
        <v>745</v>
      </c>
    </row>
    <row r="32" customFormat="false" ht="15" hidden="false" customHeight="false" outlineLevel="0" collapsed="false">
      <c r="F32" s="23" t="n">
        <v>6</v>
      </c>
      <c r="G32" s="61" t="s">
        <v>14</v>
      </c>
      <c r="H32" s="73" t="s">
        <v>1132</v>
      </c>
      <c r="I32" s="73" t="s">
        <v>1132</v>
      </c>
      <c r="J32" s="73" t="s">
        <v>1132</v>
      </c>
      <c r="K32" s="73" t="s">
        <v>1132</v>
      </c>
    </row>
    <row r="33" customFormat="false" ht="15" hidden="false" customHeight="false" outlineLevel="0" collapsed="false">
      <c r="F33" s="73" t="n">
        <v>7</v>
      </c>
      <c r="G33" s="97" t="s">
        <v>1404</v>
      </c>
      <c r="H33" s="73" t="s">
        <v>1034</v>
      </c>
      <c r="I33" s="73" t="s">
        <v>1034</v>
      </c>
      <c r="J33" s="73" t="s">
        <v>1034</v>
      </c>
      <c r="K33" s="73" t="s">
        <v>1034</v>
      </c>
    </row>
    <row r="34" customFormat="false" ht="15" hidden="false" customHeight="false" outlineLevel="0" collapsed="false">
      <c r="F34" s="62" t="s">
        <v>39</v>
      </c>
      <c r="G34" s="62"/>
      <c r="H34" s="73" t="s">
        <v>758</v>
      </c>
      <c r="I34" s="73" t="s">
        <v>758</v>
      </c>
      <c r="J34" s="73" t="s">
        <v>758</v>
      </c>
      <c r="K34" s="73" t="s">
        <v>758</v>
      </c>
    </row>
  </sheetData>
  <mergeCells count="27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F23:G23"/>
    <mergeCell ref="A24:A25"/>
    <mergeCell ref="B24:B25"/>
    <mergeCell ref="A26:A27"/>
    <mergeCell ref="B26:B27"/>
    <mergeCell ref="F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2.57"/>
    <col collapsed="false" customWidth="true" hidden="false" outlineLevel="0" max="3" min="3" style="0" width="27.85"/>
    <col collapsed="false" customWidth="true" hidden="false" outlineLevel="0" max="4" min="4" style="0" width="29.42"/>
    <col collapsed="false" customWidth="true" hidden="false" outlineLevel="0" max="6" min="6" style="0" width="4.57"/>
    <col collapsed="false" customWidth="true" hidden="false" outlineLevel="0" max="7" min="7" style="0" width="17.85"/>
    <col collapsed="false" customWidth="true" hidden="false" outlineLevel="0" max="8" min="8" style="0" width="11.71"/>
    <col collapsed="false" customWidth="true" hidden="false" outlineLevel="0" max="9" min="9" style="0" width="10.57"/>
    <col collapsed="false" customWidth="true" hidden="false" outlineLevel="0" max="10" min="10" style="0" width="6"/>
    <col collapsed="false" customWidth="true" hidden="false" outlineLevel="0" max="11" min="11" style="0" width="14.71"/>
    <col collapsed="false" customWidth="true" hidden="false" outlineLevel="0" max="12" min="12" style="0" width="18.43"/>
  </cols>
  <sheetData>
    <row r="2" customFormat="false" ht="15" hidden="false" customHeight="false" outlineLevel="0" collapsed="false">
      <c r="A2" s="69" t="s">
        <v>338</v>
      </c>
    </row>
    <row r="4" customFormat="false" ht="15" hidden="false" customHeight="tru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2230</v>
      </c>
      <c r="J4" s="7" t="s">
        <v>2231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s">
        <v>2232</v>
      </c>
      <c r="J5" s="8" t="s">
        <v>6</v>
      </c>
      <c r="K5" s="8" t="s">
        <v>767</v>
      </c>
      <c r="L5" s="62" t="s">
        <v>2233</v>
      </c>
    </row>
    <row r="6" customFormat="false" ht="15" hidden="false" customHeight="true" outlineLevel="0" collapsed="false">
      <c r="A6" s="23" t="n">
        <v>1</v>
      </c>
      <c r="B6" s="87" t="s">
        <v>2234</v>
      </c>
      <c r="C6" s="73" t="s">
        <v>2172</v>
      </c>
      <c r="D6" s="23" t="s">
        <v>2173</v>
      </c>
      <c r="F6" s="23" t="n">
        <v>1</v>
      </c>
      <c r="G6" s="61" t="s">
        <v>682</v>
      </c>
      <c r="H6" s="73" t="s">
        <v>2235</v>
      </c>
      <c r="J6" s="23" t="n">
        <v>1</v>
      </c>
      <c r="K6" s="61" t="s">
        <v>778</v>
      </c>
      <c r="L6" s="73" t="s">
        <v>2236</v>
      </c>
    </row>
    <row r="7" customFormat="false" ht="15" hidden="false" customHeight="false" outlineLevel="0" collapsed="false">
      <c r="A7" s="23"/>
      <c r="B7" s="87"/>
      <c r="C7" s="73" t="s">
        <v>1909</v>
      </c>
      <c r="D7" s="23" t="s">
        <v>1182</v>
      </c>
      <c r="F7" s="23" t="n">
        <v>2</v>
      </c>
      <c r="G7" s="61" t="s">
        <v>778</v>
      </c>
      <c r="H7" s="73" t="s">
        <v>2237</v>
      </c>
      <c r="J7" s="23" t="n">
        <v>2</v>
      </c>
      <c r="K7" s="61" t="s">
        <v>786</v>
      </c>
      <c r="L7" s="73" t="s">
        <v>719</v>
      </c>
    </row>
    <row r="8" customFormat="false" ht="15" hidden="false" customHeight="true" outlineLevel="0" collapsed="false">
      <c r="A8" s="23" t="n">
        <v>2</v>
      </c>
      <c r="B8" s="87" t="s">
        <v>2238</v>
      </c>
      <c r="C8" s="73" t="s">
        <v>2239</v>
      </c>
      <c r="D8" s="23" t="s">
        <v>2240</v>
      </c>
      <c r="F8" s="23" t="n">
        <v>3</v>
      </c>
      <c r="G8" s="61" t="s">
        <v>786</v>
      </c>
      <c r="H8" s="73" t="s">
        <v>719</v>
      </c>
      <c r="J8" s="23" t="n">
        <v>3</v>
      </c>
      <c r="K8" s="61" t="s">
        <v>1998</v>
      </c>
      <c r="L8" s="73" t="s">
        <v>719</v>
      </c>
    </row>
    <row r="9" customFormat="false" ht="15" hidden="false" customHeight="false" outlineLevel="0" collapsed="false">
      <c r="A9" s="23"/>
      <c r="B9" s="87"/>
      <c r="C9" s="73" t="s">
        <v>1608</v>
      </c>
      <c r="D9" s="23" t="s">
        <v>1997</v>
      </c>
      <c r="F9" s="23" t="n">
        <v>4</v>
      </c>
      <c r="G9" s="61" t="s">
        <v>1998</v>
      </c>
      <c r="H9" s="73" t="s">
        <v>719</v>
      </c>
      <c r="J9" s="23" t="n">
        <v>4</v>
      </c>
      <c r="K9" s="61" t="s">
        <v>14</v>
      </c>
      <c r="L9" s="73" t="s">
        <v>1679</v>
      </c>
    </row>
    <row r="10" customFormat="false" ht="15" hidden="false" customHeight="true" outlineLevel="0" collapsed="false">
      <c r="A10" s="23" t="n">
        <v>3</v>
      </c>
      <c r="B10" s="87" t="s">
        <v>2241</v>
      </c>
      <c r="C10" s="73" t="s">
        <v>2242</v>
      </c>
      <c r="D10" s="73" t="s">
        <v>2243</v>
      </c>
      <c r="F10" s="23" t="n">
        <v>5</v>
      </c>
      <c r="G10" s="61" t="s">
        <v>38</v>
      </c>
      <c r="H10" s="73" t="s">
        <v>1177</v>
      </c>
      <c r="J10" s="23" t="n">
        <v>5</v>
      </c>
      <c r="K10" s="61" t="s">
        <v>35</v>
      </c>
      <c r="L10" s="73" t="s">
        <v>1330</v>
      </c>
    </row>
    <row r="11" customFormat="false" ht="15" hidden="false" customHeight="false" outlineLevel="0" collapsed="false">
      <c r="A11" s="23"/>
      <c r="B11" s="87"/>
      <c r="C11" s="73" t="s">
        <v>2244</v>
      </c>
      <c r="D11" s="90" t="s">
        <v>2245</v>
      </c>
      <c r="F11" s="23" t="n">
        <v>6</v>
      </c>
      <c r="G11" s="61" t="s">
        <v>1404</v>
      </c>
      <c r="H11" s="73" t="s">
        <v>2016</v>
      </c>
      <c r="J11" s="23" t="n">
        <v>6</v>
      </c>
      <c r="K11" s="61" t="s">
        <v>1404</v>
      </c>
      <c r="L11" s="73" t="s">
        <v>2246</v>
      </c>
    </row>
    <row r="12" customFormat="false" ht="15" hidden="false" customHeight="true" outlineLevel="0" collapsed="false">
      <c r="A12" s="43" t="n">
        <v>4</v>
      </c>
      <c r="B12" s="87" t="s">
        <v>2247</v>
      </c>
      <c r="C12" s="95" t="s">
        <v>2248</v>
      </c>
      <c r="D12" s="73" t="s">
        <v>2249</v>
      </c>
      <c r="F12" s="62" t="s">
        <v>39</v>
      </c>
      <c r="G12" s="62"/>
      <c r="H12" s="73" t="s">
        <v>758</v>
      </c>
      <c r="J12" s="62" t="s">
        <v>39</v>
      </c>
      <c r="K12" s="62"/>
      <c r="L12" s="73" t="s">
        <v>758</v>
      </c>
    </row>
    <row r="13" customFormat="false" ht="15" hidden="false" customHeight="false" outlineLevel="0" collapsed="false">
      <c r="A13" s="43"/>
      <c r="B13" s="87"/>
      <c r="C13" s="99" t="s">
        <v>2250</v>
      </c>
      <c r="D13" s="90" t="s">
        <v>2251</v>
      </c>
    </row>
    <row r="14" customFormat="false" ht="15" hidden="false" customHeight="true" outlineLevel="0" collapsed="false">
      <c r="A14" s="23" t="n">
        <v>5</v>
      </c>
      <c r="B14" s="87" t="s">
        <v>2252</v>
      </c>
      <c r="C14" s="130" t="s">
        <v>2253</v>
      </c>
      <c r="D14" s="73" t="s">
        <v>2254</v>
      </c>
      <c r="F14" s="7" t="s">
        <v>2255</v>
      </c>
      <c r="J14" s="7" t="s">
        <v>2256</v>
      </c>
    </row>
    <row r="15" customFormat="false" ht="15" hidden="false" customHeight="false" outlineLevel="0" collapsed="false">
      <c r="A15" s="23"/>
      <c r="B15" s="87"/>
      <c r="C15" s="130" t="s">
        <v>1728</v>
      </c>
      <c r="D15" s="73" t="s">
        <v>515</v>
      </c>
      <c r="F15" s="8" t="s">
        <v>6</v>
      </c>
      <c r="G15" s="8" t="s">
        <v>767</v>
      </c>
      <c r="H15" s="62" t="s">
        <v>2257</v>
      </c>
      <c r="J15" s="8" t="s">
        <v>6</v>
      </c>
      <c r="K15" s="8" t="s">
        <v>767</v>
      </c>
      <c r="L15" s="62" t="s">
        <v>2258</v>
      </c>
    </row>
    <row r="16" customFormat="false" ht="15" hidden="false" customHeight="true" outlineLevel="0" collapsed="false">
      <c r="A16" s="23" t="n">
        <v>6</v>
      </c>
      <c r="B16" s="87" t="s">
        <v>2259</v>
      </c>
      <c r="C16" s="130" t="s">
        <v>2260</v>
      </c>
      <c r="D16" s="73" t="s">
        <v>2261</v>
      </c>
      <c r="F16" s="23" t="n">
        <v>1</v>
      </c>
      <c r="G16" s="61" t="s">
        <v>682</v>
      </c>
      <c r="H16" s="73" t="s">
        <v>2262</v>
      </c>
      <c r="J16" s="23" t="n">
        <v>1</v>
      </c>
      <c r="K16" s="61" t="s">
        <v>18</v>
      </c>
      <c r="L16" s="73" t="s">
        <v>732</v>
      </c>
    </row>
    <row r="17" customFormat="false" ht="15" hidden="false" customHeight="false" outlineLevel="0" collapsed="false">
      <c r="A17" s="23"/>
      <c r="B17" s="87"/>
      <c r="C17" s="82" t="s">
        <v>2263</v>
      </c>
      <c r="D17" s="131" t="s">
        <v>2264</v>
      </c>
      <c r="F17" s="23" t="n">
        <v>2</v>
      </c>
      <c r="G17" s="61" t="s">
        <v>786</v>
      </c>
      <c r="H17" s="73" t="s">
        <v>719</v>
      </c>
      <c r="J17" s="23" t="n">
        <v>2</v>
      </c>
      <c r="K17" s="61" t="s">
        <v>19</v>
      </c>
      <c r="L17" s="73" t="s">
        <v>2265</v>
      </c>
    </row>
    <row r="18" customFormat="false" ht="15" hidden="false" customHeight="true" outlineLevel="0" collapsed="false">
      <c r="A18" s="23" t="n">
        <v>7</v>
      </c>
      <c r="B18" s="87" t="s">
        <v>2266</v>
      </c>
      <c r="C18" s="82" t="s">
        <v>2267</v>
      </c>
      <c r="D18" s="23" t="s">
        <v>2268</v>
      </c>
      <c r="F18" s="23" t="n">
        <v>3</v>
      </c>
      <c r="G18" s="61" t="s">
        <v>1998</v>
      </c>
      <c r="H18" s="73" t="s">
        <v>719</v>
      </c>
      <c r="J18" s="23" t="n">
        <v>3</v>
      </c>
      <c r="K18" s="61" t="s">
        <v>786</v>
      </c>
      <c r="L18" s="73" t="s">
        <v>745</v>
      </c>
    </row>
    <row r="19" customFormat="false" ht="15" hidden="false" customHeight="false" outlineLevel="0" collapsed="false">
      <c r="A19" s="23"/>
      <c r="B19" s="87"/>
      <c r="C19" s="82" t="s">
        <v>2269</v>
      </c>
      <c r="D19" s="23" t="s">
        <v>2184</v>
      </c>
      <c r="F19" s="23" t="n">
        <v>4</v>
      </c>
      <c r="G19" s="61" t="s">
        <v>14</v>
      </c>
      <c r="H19" s="73" t="s">
        <v>1679</v>
      </c>
      <c r="J19" s="23" t="n">
        <v>4</v>
      </c>
      <c r="K19" s="61" t="s">
        <v>31</v>
      </c>
      <c r="L19" s="73" t="s">
        <v>1401</v>
      </c>
    </row>
    <row r="20" customFormat="false" ht="15" hidden="false" customHeight="true" outlineLevel="0" collapsed="false">
      <c r="A20" s="23" t="n">
        <v>8</v>
      </c>
      <c r="B20" s="87" t="s">
        <v>2270</v>
      </c>
      <c r="C20" s="130" t="s">
        <v>2271</v>
      </c>
      <c r="D20" s="73" t="s">
        <v>2272</v>
      </c>
      <c r="F20" s="23" t="n">
        <v>5</v>
      </c>
      <c r="G20" s="61" t="s">
        <v>35</v>
      </c>
      <c r="H20" s="73" t="s">
        <v>1330</v>
      </c>
      <c r="J20" s="23" t="n">
        <v>5</v>
      </c>
      <c r="K20" s="61" t="s">
        <v>1404</v>
      </c>
      <c r="L20" s="73" t="s">
        <v>1613</v>
      </c>
    </row>
    <row r="21" customFormat="false" ht="15" hidden="false" customHeight="false" outlineLevel="0" collapsed="false">
      <c r="A21" s="23"/>
      <c r="B21" s="87"/>
      <c r="C21" s="82" t="s">
        <v>2273</v>
      </c>
      <c r="D21" s="131" t="s">
        <v>2274</v>
      </c>
      <c r="F21" s="23" t="n">
        <v>6</v>
      </c>
      <c r="G21" s="61" t="s">
        <v>1404</v>
      </c>
      <c r="H21" s="73" t="s">
        <v>1080</v>
      </c>
      <c r="J21" s="62" t="s">
        <v>39</v>
      </c>
      <c r="K21" s="62"/>
      <c r="L21" s="73" t="s">
        <v>758</v>
      </c>
    </row>
    <row r="22" customFormat="false" ht="15" hidden="false" customHeight="true" outlineLevel="0" collapsed="false">
      <c r="A22" s="23" t="n">
        <v>9</v>
      </c>
      <c r="B22" s="87" t="s">
        <v>2275</v>
      </c>
      <c r="C22" s="82" t="s">
        <v>2276</v>
      </c>
      <c r="D22" s="23" t="s">
        <v>2277</v>
      </c>
      <c r="F22" s="62" t="s">
        <v>39</v>
      </c>
      <c r="G22" s="62"/>
      <c r="H22" s="73" t="s">
        <v>758</v>
      </c>
    </row>
    <row r="23" customFormat="false" ht="15" hidden="false" customHeight="false" outlineLevel="0" collapsed="false">
      <c r="A23" s="23"/>
      <c r="B23" s="87"/>
      <c r="C23" s="82" t="s">
        <v>2278</v>
      </c>
      <c r="D23" s="23" t="s">
        <v>1599</v>
      </c>
    </row>
    <row r="24" customFormat="false" ht="15" hidden="false" customHeight="true" outlineLevel="0" collapsed="false">
      <c r="A24" s="23" t="n">
        <v>10</v>
      </c>
      <c r="B24" s="87" t="s">
        <v>2279</v>
      </c>
      <c r="C24" s="82" t="s">
        <v>2280</v>
      </c>
      <c r="D24" s="23" t="s">
        <v>2281</v>
      </c>
      <c r="F24" s="7" t="s">
        <v>2282</v>
      </c>
    </row>
    <row r="25" customFormat="false" ht="15" hidden="false" customHeight="false" outlineLevel="0" collapsed="false">
      <c r="A25" s="23"/>
      <c r="B25" s="87"/>
      <c r="C25" s="82" t="s">
        <v>2283</v>
      </c>
      <c r="D25" s="23" t="s">
        <v>2284</v>
      </c>
      <c r="F25" s="8" t="s">
        <v>6</v>
      </c>
      <c r="G25" s="8" t="s">
        <v>767</v>
      </c>
      <c r="H25" s="62" t="s">
        <v>343</v>
      </c>
      <c r="I25" s="94" t="s">
        <v>344</v>
      </c>
      <c r="J25" s="56"/>
      <c r="K25" s="132" t="s">
        <v>345</v>
      </c>
      <c r="L25" s="62" t="s">
        <v>346</v>
      </c>
      <c r="M25" s="62" t="s">
        <v>2285</v>
      </c>
      <c r="N25" s="62" t="s">
        <v>2286</v>
      </c>
    </row>
    <row r="26" customFormat="false" ht="15" hidden="false" customHeight="true" outlineLevel="0" collapsed="false">
      <c r="A26" s="23" t="n">
        <v>11</v>
      </c>
      <c r="B26" s="87" t="s">
        <v>2287</v>
      </c>
      <c r="C26" s="82" t="s">
        <v>2288</v>
      </c>
      <c r="D26" s="23" t="s">
        <v>2289</v>
      </c>
      <c r="F26" s="23" t="n">
        <v>1</v>
      </c>
      <c r="G26" s="61" t="s">
        <v>682</v>
      </c>
      <c r="H26" s="73" t="s">
        <v>2290</v>
      </c>
      <c r="I26" s="95" t="s">
        <v>2291</v>
      </c>
      <c r="J26" s="56"/>
      <c r="K26" s="133" t="s">
        <v>858</v>
      </c>
      <c r="L26" s="73" t="s">
        <v>858</v>
      </c>
      <c r="M26" s="73" t="s">
        <v>858</v>
      </c>
      <c r="N26" s="73" t="s">
        <v>1080</v>
      </c>
    </row>
    <row r="27" customFormat="false" ht="15" hidden="false" customHeight="false" outlineLevel="0" collapsed="false">
      <c r="A27" s="23"/>
      <c r="B27" s="87"/>
      <c r="C27" s="82" t="s">
        <v>2292</v>
      </c>
      <c r="D27" s="23" t="s">
        <v>2293</v>
      </c>
      <c r="F27" s="23" t="n">
        <v>2</v>
      </c>
      <c r="G27" s="61" t="s">
        <v>778</v>
      </c>
      <c r="H27" s="73" t="s">
        <v>1452</v>
      </c>
      <c r="I27" s="95" t="s">
        <v>952</v>
      </c>
      <c r="J27" s="56"/>
      <c r="K27" s="133" t="s">
        <v>1547</v>
      </c>
      <c r="L27" s="73" t="s">
        <v>2291</v>
      </c>
      <c r="M27" s="73" t="s">
        <v>2229</v>
      </c>
      <c r="N27" s="73" t="s">
        <v>1378</v>
      </c>
    </row>
    <row r="28" customFormat="false" ht="15" hidden="false" customHeight="true" outlineLevel="0" collapsed="false">
      <c r="A28" s="23" t="n">
        <v>12</v>
      </c>
      <c r="B28" s="87" t="s">
        <v>2294</v>
      </c>
      <c r="C28" s="82" t="s">
        <v>2295</v>
      </c>
      <c r="D28" s="23" t="s">
        <v>2296</v>
      </c>
      <c r="F28" s="23" t="n">
        <v>3</v>
      </c>
      <c r="G28" s="61" t="s">
        <v>1065</v>
      </c>
      <c r="H28" s="73" t="s">
        <v>1378</v>
      </c>
      <c r="I28" s="95" t="s">
        <v>1452</v>
      </c>
      <c r="J28" s="56"/>
      <c r="K28" s="133" t="s">
        <v>903</v>
      </c>
      <c r="L28" s="73" t="s">
        <v>902</v>
      </c>
      <c r="M28" s="73" t="s">
        <v>902</v>
      </c>
      <c r="N28" s="73" t="s">
        <v>1378</v>
      </c>
    </row>
    <row r="29" customFormat="false" ht="15" hidden="false" customHeight="false" outlineLevel="0" collapsed="false">
      <c r="A29" s="23"/>
      <c r="B29" s="87"/>
      <c r="C29" s="82" t="s">
        <v>2297</v>
      </c>
      <c r="D29" s="23" t="s">
        <v>2251</v>
      </c>
      <c r="F29" s="23" t="n">
        <v>4</v>
      </c>
      <c r="G29" s="61" t="s">
        <v>12</v>
      </c>
      <c r="H29" s="73" t="s">
        <v>858</v>
      </c>
      <c r="I29" s="95" t="s">
        <v>858</v>
      </c>
      <c r="J29" s="56"/>
      <c r="K29" s="133" t="s">
        <v>858</v>
      </c>
      <c r="L29" s="73" t="s">
        <v>858</v>
      </c>
      <c r="M29" s="73" t="s">
        <v>858</v>
      </c>
      <c r="N29" s="73" t="s">
        <v>858</v>
      </c>
    </row>
    <row r="30" customFormat="false" ht="15" hidden="false" customHeight="false" outlineLevel="0" collapsed="false">
      <c r="F30" s="23" t="n">
        <v>5</v>
      </c>
      <c r="G30" s="61" t="s">
        <v>786</v>
      </c>
      <c r="H30" s="73" t="s">
        <v>745</v>
      </c>
      <c r="I30" s="95" t="s">
        <v>745</v>
      </c>
      <c r="J30" s="56"/>
      <c r="K30" s="133" t="s">
        <v>745</v>
      </c>
      <c r="L30" s="73" t="s">
        <v>745</v>
      </c>
      <c r="M30" s="73" t="s">
        <v>745</v>
      </c>
      <c r="N30" s="73" t="s">
        <v>745</v>
      </c>
    </row>
    <row r="31" customFormat="false" ht="15" hidden="false" customHeight="false" outlineLevel="0" collapsed="false">
      <c r="F31" s="23" t="n">
        <v>6</v>
      </c>
      <c r="G31" s="61" t="s">
        <v>14</v>
      </c>
      <c r="H31" s="73" t="s">
        <v>1132</v>
      </c>
      <c r="I31" s="95" t="s">
        <v>1132</v>
      </c>
      <c r="J31" s="56"/>
      <c r="K31" s="133" t="s">
        <v>1132</v>
      </c>
      <c r="L31" s="73" t="s">
        <v>1132</v>
      </c>
      <c r="M31" s="73" t="s">
        <v>1132</v>
      </c>
      <c r="N31" s="73" t="s">
        <v>1132</v>
      </c>
    </row>
    <row r="32" customFormat="false" ht="15" hidden="false" customHeight="false" outlineLevel="0" collapsed="false">
      <c r="F32" s="73" t="n">
        <v>7</v>
      </c>
      <c r="G32" s="97" t="s">
        <v>1404</v>
      </c>
      <c r="H32" s="73" t="s">
        <v>1034</v>
      </c>
      <c r="I32" s="95" t="s">
        <v>2073</v>
      </c>
      <c r="J32" s="56"/>
      <c r="K32" s="133" t="s">
        <v>1034</v>
      </c>
      <c r="L32" s="73" t="s">
        <v>2073</v>
      </c>
      <c r="M32" s="73" t="s">
        <v>1034</v>
      </c>
      <c r="N32" s="73" t="s">
        <v>1034</v>
      </c>
    </row>
    <row r="33" customFormat="false" ht="15" hidden="false" customHeight="false" outlineLevel="0" collapsed="false">
      <c r="F33" s="62" t="s">
        <v>39</v>
      </c>
      <c r="G33" s="62"/>
      <c r="H33" s="73" t="s">
        <v>758</v>
      </c>
      <c r="I33" s="95" t="s">
        <v>758</v>
      </c>
      <c r="J33" s="56"/>
      <c r="K33" s="133" t="s">
        <v>758</v>
      </c>
      <c r="L33" s="73" t="s">
        <v>758</v>
      </c>
      <c r="M33" s="73" t="s">
        <v>758</v>
      </c>
      <c r="N33" s="73" t="s">
        <v>758</v>
      </c>
    </row>
    <row r="36" customFormat="false" ht="15" hidden="false" customHeight="false" outlineLevel="0" collapsed="false">
      <c r="F36" s="7" t="s">
        <v>2298</v>
      </c>
    </row>
    <row r="37" customFormat="false" ht="15" hidden="false" customHeight="false" outlineLevel="0" collapsed="false">
      <c r="F37" s="8" t="s">
        <v>6</v>
      </c>
      <c r="G37" s="8" t="s">
        <v>767</v>
      </c>
      <c r="H37" s="62" t="s">
        <v>347</v>
      </c>
      <c r="I37" s="62" t="s">
        <v>348</v>
      </c>
    </row>
    <row r="38" customFormat="false" ht="15" hidden="false" customHeight="false" outlineLevel="0" collapsed="false">
      <c r="F38" s="23" t="n">
        <v>1</v>
      </c>
      <c r="G38" s="61" t="s">
        <v>1065</v>
      </c>
      <c r="H38" s="73" t="s">
        <v>902</v>
      </c>
      <c r="I38" s="73" t="s">
        <v>2000</v>
      </c>
    </row>
    <row r="39" customFormat="false" ht="15" hidden="false" customHeight="false" outlineLevel="0" collapsed="false">
      <c r="F39" s="23" t="n">
        <v>2</v>
      </c>
      <c r="G39" s="61" t="s">
        <v>778</v>
      </c>
      <c r="H39" s="73" t="s">
        <v>2299</v>
      </c>
      <c r="I39" s="73" t="s">
        <v>902</v>
      </c>
    </row>
    <row r="40" customFormat="false" ht="15" hidden="false" customHeight="false" outlineLevel="0" collapsed="false">
      <c r="F40" s="23" t="n">
        <v>3</v>
      </c>
      <c r="G40" s="61" t="s">
        <v>1998</v>
      </c>
      <c r="H40" s="73" t="s">
        <v>745</v>
      </c>
      <c r="I40" s="73" t="s">
        <v>745</v>
      </c>
    </row>
    <row r="41" customFormat="false" ht="15" hidden="false" customHeight="false" outlineLevel="0" collapsed="false">
      <c r="F41" s="23" t="n">
        <v>4</v>
      </c>
      <c r="G41" s="61" t="s">
        <v>2209</v>
      </c>
      <c r="H41" s="73" t="s">
        <v>858</v>
      </c>
      <c r="I41" s="73" t="s">
        <v>858</v>
      </c>
    </row>
    <row r="42" customFormat="false" ht="15" hidden="false" customHeight="false" outlineLevel="0" collapsed="false">
      <c r="F42" s="23" t="n">
        <v>5</v>
      </c>
      <c r="G42" s="61" t="s">
        <v>38</v>
      </c>
      <c r="H42" s="73" t="s">
        <v>1177</v>
      </c>
      <c r="I42" s="73" t="s">
        <v>1177</v>
      </c>
    </row>
    <row r="43" customFormat="false" ht="15" hidden="false" customHeight="false" outlineLevel="0" collapsed="false">
      <c r="F43" s="23" t="n">
        <v>6</v>
      </c>
      <c r="G43" s="61" t="s">
        <v>981</v>
      </c>
      <c r="H43" s="73" t="s">
        <v>858</v>
      </c>
      <c r="I43" s="90" t="s">
        <v>858</v>
      </c>
    </row>
    <row r="44" customFormat="false" ht="15" hidden="false" customHeight="false" outlineLevel="0" collapsed="false">
      <c r="F44" s="73" t="n">
        <v>7</v>
      </c>
      <c r="G44" s="97" t="s">
        <v>1404</v>
      </c>
      <c r="H44" s="95" t="s">
        <v>1080</v>
      </c>
      <c r="I44" s="73" t="s">
        <v>1995</v>
      </c>
    </row>
    <row r="45" customFormat="false" ht="15" hidden="false" customHeight="false" outlineLevel="0" collapsed="false">
      <c r="F45" s="62" t="s">
        <v>39</v>
      </c>
      <c r="G45" s="62"/>
      <c r="H45" s="95" t="s">
        <v>758</v>
      </c>
      <c r="I45" s="73" t="s">
        <v>758</v>
      </c>
    </row>
  </sheetData>
  <mergeCells count="32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J12:K12"/>
    <mergeCell ref="A14:A15"/>
    <mergeCell ref="B14:B15"/>
    <mergeCell ref="A16:A17"/>
    <mergeCell ref="B16:B17"/>
    <mergeCell ref="A18:A19"/>
    <mergeCell ref="B18:B19"/>
    <mergeCell ref="A20:A21"/>
    <mergeCell ref="B20:B21"/>
    <mergeCell ref="J21:K21"/>
    <mergeCell ref="A22:A23"/>
    <mergeCell ref="B22:B23"/>
    <mergeCell ref="F22:G22"/>
    <mergeCell ref="A24:A25"/>
    <mergeCell ref="B24:B25"/>
    <mergeCell ref="A26:A27"/>
    <mergeCell ref="B26:B27"/>
    <mergeCell ref="A28:A29"/>
    <mergeCell ref="B28:B29"/>
    <mergeCell ref="F33:G33"/>
    <mergeCell ref="F45:G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7.72"/>
    <col collapsed="false" customWidth="true" hidden="false" outlineLevel="0" max="4" min="3" style="0" width="26.57"/>
    <col collapsed="false" customWidth="true" hidden="false" outlineLevel="0" max="6" min="6" style="0" width="6.7"/>
    <col collapsed="false" customWidth="true" hidden="false" outlineLevel="0" max="7" min="7" style="0" width="14.71"/>
    <col collapsed="false" customWidth="true" hidden="false" outlineLevel="0" max="8" min="8" style="0" width="13.57"/>
  </cols>
  <sheetData>
    <row r="2" customFormat="false" ht="15" hidden="false" customHeight="false" outlineLevel="0" collapsed="false">
      <c r="A2" s="69" t="s">
        <v>349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2300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8" t="s">
        <v>6</v>
      </c>
      <c r="G5" s="8" t="s">
        <v>767</v>
      </c>
      <c r="H5" s="62" t="s">
        <v>2301</v>
      </c>
    </row>
    <row r="6" customFormat="false" ht="15" hidden="false" customHeight="true" outlineLevel="0" collapsed="false">
      <c r="A6" s="23" t="n">
        <v>1</v>
      </c>
      <c r="B6" s="87" t="s">
        <v>2302</v>
      </c>
      <c r="C6" s="73" t="s">
        <v>2303</v>
      </c>
      <c r="D6" s="23" t="s">
        <v>2304</v>
      </c>
      <c r="F6" s="23" t="n">
        <v>1</v>
      </c>
      <c r="G6" s="61" t="s">
        <v>682</v>
      </c>
      <c r="H6" s="73" t="s">
        <v>2305</v>
      </c>
    </row>
    <row r="7" customFormat="false" ht="15" hidden="false" customHeight="false" outlineLevel="0" collapsed="false">
      <c r="A7" s="23"/>
      <c r="B7" s="87"/>
      <c r="C7" s="73" t="s">
        <v>1518</v>
      </c>
      <c r="D7" s="23" t="s">
        <v>2306</v>
      </c>
      <c r="F7" s="23" t="n">
        <v>2</v>
      </c>
      <c r="G7" s="61" t="s">
        <v>778</v>
      </c>
      <c r="H7" s="73" t="s">
        <v>2237</v>
      </c>
    </row>
    <row r="8" customFormat="false" ht="15" hidden="false" customHeight="true" outlineLevel="0" collapsed="false">
      <c r="A8" s="23" t="n">
        <v>2</v>
      </c>
      <c r="B8" s="87" t="s">
        <v>2307</v>
      </c>
      <c r="C8" s="73" t="s">
        <v>2308</v>
      </c>
      <c r="D8" s="23" t="s">
        <v>2309</v>
      </c>
      <c r="F8" s="23" t="n">
        <v>3</v>
      </c>
      <c r="G8" s="61" t="s">
        <v>786</v>
      </c>
      <c r="H8" s="73" t="s">
        <v>719</v>
      </c>
    </row>
    <row r="9" customFormat="false" ht="15" hidden="false" customHeight="false" outlineLevel="0" collapsed="false">
      <c r="A9" s="23"/>
      <c r="B9" s="87"/>
      <c r="C9" s="73" t="s">
        <v>2310</v>
      </c>
      <c r="D9" s="23" t="s">
        <v>2311</v>
      </c>
      <c r="F9" s="23" t="n">
        <v>4</v>
      </c>
      <c r="G9" s="61" t="s">
        <v>1998</v>
      </c>
      <c r="H9" s="73" t="s">
        <v>719</v>
      </c>
    </row>
    <row r="10" customFormat="false" ht="15" hidden="false" customHeight="true" outlineLevel="0" collapsed="false">
      <c r="A10" s="23" t="n">
        <v>3</v>
      </c>
      <c r="B10" s="87" t="s">
        <v>2312</v>
      </c>
      <c r="C10" s="73" t="s">
        <v>2313</v>
      </c>
      <c r="D10" s="23" t="s">
        <v>2314</v>
      </c>
      <c r="F10" s="23" t="n">
        <v>5</v>
      </c>
      <c r="G10" s="61" t="s">
        <v>38</v>
      </c>
      <c r="H10" s="73" t="s">
        <v>1177</v>
      </c>
    </row>
    <row r="11" customFormat="false" ht="15" hidden="false" customHeight="false" outlineLevel="0" collapsed="false">
      <c r="A11" s="23"/>
      <c r="B11" s="87"/>
      <c r="C11" s="73" t="s">
        <v>2315</v>
      </c>
      <c r="D11" s="23" t="s">
        <v>1116</v>
      </c>
      <c r="F11" s="23" t="n">
        <v>6</v>
      </c>
      <c r="G11" s="61" t="s">
        <v>1404</v>
      </c>
      <c r="H11" s="73" t="s">
        <v>719</v>
      </c>
    </row>
    <row r="12" customFormat="false" ht="15" hidden="false" customHeight="true" outlineLevel="0" collapsed="false">
      <c r="A12" s="23" t="n">
        <v>4</v>
      </c>
      <c r="B12" s="87" t="s">
        <v>2316</v>
      </c>
      <c r="C12" s="73" t="s">
        <v>2317</v>
      </c>
      <c r="D12" s="23" t="s">
        <v>2318</v>
      </c>
      <c r="F12" s="62" t="s">
        <v>39</v>
      </c>
      <c r="G12" s="62"/>
      <c r="H12" s="73" t="s">
        <v>758</v>
      </c>
    </row>
    <row r="13" customFormat="false" ht="15" hidden="false" customHeight="false" outlineLevel="0" collapsed="false">
      <c r="A13" s="23"/>
      <c r="B13" s="87"/>
      <c r="C13" s="73" t="s">
        <v>2319</v>
      </c>
      <c r="D13" s="23" t="s">
        <v>2320</v>
      </c>
    </row>
    <row r="14" customFormat="false" ht="15" hidden="false" customHeight="true" outlineLevel="0" collapsed="false">
      <c r="A14" s="23" t="n">
        <v>5</v>
      </c>
      <c r="B14" s="87" t="s">
        <v>2321</v>
      </c>
      <c r="C14" s="73" t="s">
        <v>2322</v>
      </c>
      <c r="D14" s="23" t="s">
        <v>2323</v>
      </c>
      <c r="F14" s="7" t="s">
        <v>2324</v>
      </c>
    </row>
    <row r="15" customFormat="false" ht="15" hidden="false" customHeight="false" outlineLevel="0" collapsed="false">
      <c r="A15" s="23"/>
      <c r="B15" s="87"/>
      <c r="C15" s="73" t="s">
        <v>2325</v>
      </c>
      <c r="D15" s="23" t="s">
        <v>2326</v>
      </c>
      <c r="F15" s="8" t="s">
        <v>6</v>
      </c>
      <c r="G15" s="8" t="s">
        <v>767</v>
      </c>
      <c r="H15" s="62" t="s">
        <v>2327</v>
      </c>
    </row>
    <row r="16" customFormat="false" ht="15" hidden="false" customHeight="false" outlineLevel="0" collapsed="false">
      <c r="F16" s="23" t="n">
        <v>1</v>
      </c>
      <c r="G16" s="61" t="s">
        <v>682</v>
      </c>
      <c r="H16" s="73" t="s">
        <v>2328</v>
      </c>
    </row>
    <row r="17" customFormat="false" ht="15" hidden="false" customHeight="false" outlineLevel="0" collapsed="false">
      <c r="F17" s="23" t="n">
        <v>2</v>
      </c>
      <c r="G17" s="61" t="s">
        <v>786</v>
      </c>
      <c r="H17" s="73" t="s">
        <v>745</v>
      </c>
    </row>
    <row r="18" customFormat="false" ht="15" hidden="false" customHeight="false" outlineLevel="0" collapsed="false">
      <c r="F18" s="23" t="n">
        <v>3</v>
      </c>
      <c r="G18" s="61" t="s">
        <v>38</v>
      </c>
      <c r="H18" s="73" t="s">
        <v>1177</v>
      </c>
    </row>
    <row r="19" customFormat="false" ht="15" hidden="false" customHeight="false" outlineLevel="0" collapsed="false">
      <c r="F19" s="23" t="n">
        <v>4</v>
      </c>
      <c r="G19" s="61" t="s">
        <v>1404</v>
      </c>
      <c r="H19" s="73" t="s">
        <v>2329</v>
      </c>
    </row>
    <row r="20" customFormat="false" ht="15" hidden="false" customHeight="false" outlineLevel="0" collapsed="false">
      <c r="F20" s="62" t="s">
        <v>39</v>
      </c>
      <c r="G20" s="62"/>
      <c r="H20" s="73" t="s">
        <v>758</v>
      </c>
    </row>
    <row r="22" customFormat="false" ht="15" hidden="false" customHeight="false" outlineLevel="0" collapsed="false">
      <c r="F22" s="7" t="s">
        <v>2330</v>
      </c>
    </row>
    <row r="23" customFormat="false" ht="15" hidden="false" customHeight="false" outlineLevel="0" collapsed="false">
      <c r="F23" s="8" t="s">
        <v>6</v>
      </c>
      <c r="G23" s="8" t="s">
        <v>767</v>
      </c>
      <c r="H23" s="62" t="s">
        <v>2331</v>
      </c>
    </row>
    <row r="24" customFormat="false" ht="15" hidden="false" customHeight="false" outlineLevel="0" collapsed="false">
      <c r="F24" s="23" t="n">
        <v>1</v>
      </c>
      <c r="G24" s="61" t="s">
        <v>778</v>
      </c>
      <c r="H24" s="73" t="s">
        <v>2332</v>
      </c>
    </row>
    <row r="25" customFormat="false" ht="15" hidden="false" customHeight="false" outlineLevel="0" collapsed="false">
      <c r="F25" s="23" t="n">
        <v>2</v>
      </c>
      <c r="G25" s="61" t="s">
        <v>682</v>
      </c>
      <c r="H25" s="73" t="s">
        <v>902</v>
      </c>
    </row>
    <row r="26" customFormat="false" ht="15" hidden="false" customHeight="false" outlineLevel="0" collapsed="false">
      <c r="F26" s="23" t="n">
        <v>3</v>
      </c>
      <c r="G26" s="61" t="s">
        <v>786</v>
      </c>
      <c r="H26" s="73" t="s">
        <v>719</v>
      </c>
    </row>
    <row r="27" customFormat="false" ht="15" hidden="false" customHeight="false" outlineLevel="0" collapsed="false">
      <c r="F27" s="23" t="n">
        <v>4</v>
      </c>
      <c r="G27" s="61" t="s">
        <v>1998</v>
      </c>
      <c r="H27" s="73" t="s">
        <v>719</v>
      </c>
    </row>
    <row r="28" customFormat="false" ht="15" hidden="false" customHeight="false" outlineLevel="0" collapsed="false">
      <c r="F28" s="23" t="n">
        <v>5</v>
      </c>
      <c r="G28" s="61" t="s">
        <v>31</v>
      </c>
      <c r="H28" s="73" t="s">
        <v>1401</v>
      </c>
    </row>
    <row r="29" customFormat="false" ht="15" hidden="false" customHeight="false" outlineLevel="0" collapsed="false">
      <c r="F29" s="23" t="n">
        <v>6</v>
      </c>
      <c r="G29" s="61" t="s">
        <v>1404</v>
      </c>
      <c r="H29" s="73" t="s">
        <v>2016</v>
      </c>
    </row>
    <row r="30" customFormat="false" ht="15" hidden="false" customHeight="false" outlineLevel="0" collapsed="false">
      <c r="F30" s="23" t="n">
        <v>7</v>
      </c>
      <c r="G30" s="61" t="s">
        <v>12</v>
      </c>
      <c r="H30" s="73" t="s">
        <v>2333</v>
      </c>
    </row>
    <row r="31" customFormat="false" ht="15" hidden="false" customHeight="false" outlineLevel="0" collapsed="false">
      <c r="F31" s="62" t="s">
        <v>39</v>
      </c>
      <c r="G31" s="62"/>
      <c r="H31" s="73" t="s">
        <v>758</v>
      </c>
    </row>
    <row r="33" customFormat="false" ht="15" hidden="false" customHeight="false" outlineLevel="0" collapsed="false">
      <c r="F33" s="7" t="s">
        <v>2334</v>
      </c>
    </row>
    <row r="34" customFormat="false" ht="15" hidden="false" customHeight="false" outlineLevel="0" collapsed="false">
      <c r="F34" s="8" t="s">
        <v>6</v>
      </c>
      <c r="G34" s="8" t="s">
        <v>767</v>
      </c>
      <c r="H34" s="62" t="s">
        <v>2335</v>
      </c>
    </row>
    <row r="35" customFormat="false" ht="15" hidden="false" customHeight="false" outlineLevel="0" collapsed="false">
      <c r="F35" s="23" t="n">
        <v>1</v>
      </c>
      <c r="G35" s="61" t="s">
        <v>18</v>
      </c>
      <c r="H35" s="73" t="s">
        <v>2336</v>
      </c>
    </row>
    <row r="36" customFormat="false" ht="15" hidden="false" customHeight="false" outlineLevel="0" collapsed="false">
      <c r="F36" s="23" t="n">
        <v>2</v>
      </c>
      <c r="G36" s="61" t="s">
        <v>19</v>
      </c>
      <c r="H36" s="73" t="s">
        <v>2337</v>
      </c>
    </row>
    <row r="37" customFormat="false" ht="15" hidden="false" customHeight="false" outlineLevel="0" collapsed="false">
      <c r="F37" s="23" t="n">
        <v>3</v>
      </c>
      <c r="G37" s="61" t="s">
        <v>786</v>
      </c>
      <c r="H37" s="73" t="s">
        <v>1694</v>
      </c>
    </row>
    <row r="38" customFormat="false" ht="15" hidden="false" customHeight="false" outlineLevel="0" collapsed="false">
      <c r="F38" s="23" t="n">
        <v>4</v>
      </c>
      <c r="G38" s="61" t="s">
        <v>12</v>
      </c>
      <c r="H38" s="73" t="s">
        <v>1789</v>
      </c>
    </row>
    <row r="39" customFormat="false" ht="15" hidden="false" customHeight="false" outlineLevel="0" collapsed="false">
      <c r="F39" s="23" t="n">
        <v>5</v>
      </c>
      <c r="G39" s="61" t="s">
        <v>31</v>
      </c>
      <c r="H39" s="73" t="s">
        <v>1401</v>
      </c>
    </row>
    <row r="40" customFormat="false" ht="15" hidden="false" customHeight="false" outlineLevel="0" collapsed="false">
      <c r="F40" s="23" t="n">
        <v>6</v>
      </c>
      <c r="G40" s="61" t="s">
        <v>1404</v>
      </c>
      <c r="H40" s="73" t="s">
        <v>940</v>
      </c>
    </row>
    <row r="41" customFormat="false" ht="15" hidden="false" customHeight="false" outlineLevel="0" collapsed="false">
      <c r="F41" s="62" t="s">
        <v>39</v>
      </c>
      <c r="G41" s="62"/>
      <c r="H41" s="73" t="s">
        <v>758</v>
      </c>
    </row>
    <row r="43" customFormat="false" ht="15" hidden="false" customHeight="false" outlineLevel="0" collapsed="false">
      <c r="F43" s="7" t="s">
        <v>2338</v>
      </c>
    </row>
    <row r="44" customFormat="false" ht="15" hidden="false" customHeight="false" outlineLevel="0" collapsed="false">
      <c r="F44" s="8" t="s">
        <v>6</v>
      </c>
      <c r="G44" s="8" t="s">
        <v>767</v>
      </c>
      <c r="H44" s="62" t="s">
        <v>2339</v>
      </c>
    </row>
    <row r="45" customFormat="false" ht="15" hidden="false" customHeight="false" outlineLevel="0" collapsed="false">
      <c r="F45" s="23" t="n">
        <v>1</v>
      </c>
      <c r="G45" s="61" t="s">
        <v>18</v>
      </c>
      <c r="H45" s="73" t="s">
        <v>1679</v>
      </c>
    </row>
    <row r="46" customFormat="false" ht="15" hidden="false" customHeight="false" outlineLevel="0" collapsed="false">
      <c r="F46" s="23" t="n">
        <v>2</v>
      </c>
      <c r="G46" s="61" t="s">
        <v>19</v>
      </c>
      <c r="H46" s="73" t="s">
        <v>775</v>
      </c>
    </row>
    <row r="47" customFormat="false" ht="15" hidden="false" customHeight="false" outlineLevel="0" collapsed="false">
      <c r="F47" s="23" t="n">
        <v>3</v>
      </c>
      <c r="G47" s="61" t="s">
        <v>786</v>
      </c>
      <c r="H47" s="73" t="s">
        <v>1694</v>
      </c>
    </row>
    <row r="48" customFormat="false" ht="15" hidden="false" customHeight="false" outlineLevel="0" collapsed="false">
      <c r="F48" s="23" t="n">
        <v>4</v>
      </c>
      <c r="G48" s="61" t="s">
        <v>12</v>
      </c>
      <c r="H48" s="73" t="s">
        <v>1789</v>
      </c>
    </row>
    <row r="49" customFormat="false" ht="15" hidden="false" customHeight="false" outlineLevel="0" collapsed="false">
      <c r="F49" s="23" t="n">
        <v>5</v>
      </c>
      <c r="G49" s="61" t="s">
        <v>31</v>
      </c>
      <c r="H49" s="73" t="s">
        <v>1401</v>
      </c>
    </row>
    <row r="50" customFormat="false" ht="15" hidden="false" customHeight="false" outlineLevel="0" collapsed="false">
      <c r="F50" s="23" t="n">
        <v>6</v>
      </c>
      <c r="G50" s="61" t="s">
        <v>1404</v>
      </c>
      <c r="H50" s="73" t="s">
        <v>940</v>
      </c>
    </row>
    <row r="51" customFormat="false" ht="15" hidden="false" customHeight="false" outlineLevel="0" collapsed="false">
      <c r="F51" s="62" t="s">
        <v>39</v>
      </c>
      <c r="G51" s="62"/>
      <c r="H51" s="73" t="s">
        <v>758</v>
      </c>
    </row>
  </sheetData>
  <mergeCells count="17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F20:G20"/>
    <mergeCell ref="F31:G31"/>
    <mergeCell ref="F41:G41"/>
    <mergeCell ref="F51:G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36.7"/>
    <col collapsed="false" customWidth="true" hidden="false" outlineLevel="0" max="3" min="3" style="0" width="28.86"/>
    <col collapsed="false" customWidth="true" hidden="false" outlineLevel="0" max="4" min="4" style="0" width="24.72"/>
    <col collapsed="false" customWidth="true" hidden="false" outlineLevel="0" max="6" min="6" style="0" width="6.14"/>
    <col collapsed="false" customWidth="true" hidden="false" outlineLevel="0" max="7" min="7" style="0" width="14.71"/>
    <col collapsed="false" customWidth="true" hidden="false" outlineLevel="0" max="8" min="8" style="0" width="9.14"/>
  </cols>
  <sheetData>
    <row r="2" customFormat="false" ht="15" hidden="false" customHeight="false" outlineLevel="0" collapsed="false">
      <c r="A2" s="69" t="s">
        <v>355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622</v>
      </c>
    </row>
    <row r="5" customFormat="false" ht="15" hidden="false" customHeight="false" outlineLevel="0" collapsed="false">
      <c r="A5" s="8"/>
      <c r="B5" s="8"/>
      <c r="C5" s="8" t="s">
        <v>2340</v>
      </c>
      <c r="D5" s="8" t="s">
        <v>766</v>
      </c>
      <c r="F5" s="8" t="s">
        <v>6</v>
      </c>
      <c r="G5" s="8" t="s">
        <v>767</v>
      </c>
      <c r="H5" s="62" t="s">
        <v>2341</v>
      </c>
      <c r="I5" s="62" t="s">
        <v>357</v>
      </c>
      <c r="J5" s="62" t="s">
        <v>2342</v>
      </c>
      <c r="K5" s="62" t="s">
        <v>2343</v>
      </c>
      <c r="L5" s="62" t="s">
        <v>359</v>
      </c>
    </row>
    <row r="6" customFormat="false" ht="15" hidden="false" customHeight="true" outlineLevel="0" collapsed="false">
      <c r="A6" s="23" t="n">
        <v>1</v>
      </c>
      <c r="B6" s="87" t="s">
        <v>2344</v>
      </c>
      <c r="C6" s="73" t="s">
        <v>2345</v>
      </c>
      <c r="D6" s="23" t="s">
        <v>2346</v>
      </c>
      <c r="F6" s="23" t="n">
        <v>1</v>
      </c>
      <c r="G6" s="61" t="s">
        <v>19</v>
      </c>
      <c r="H6" s="73" t="s">
        <v>1246</v>
      </c>
      <c r="I6" s="73" t="s">
        <v>903</v>
      </c>
      <c r="J6" s="73" t="s">
        <v>732</v>
      </c>
      <c r="K6" s="73" t="s">
        <v>1378</v>
      </c>
      <c r="L6" s="73" t="s">
        <v>1452</v>
      </c>
    </row>
    <row r="7" customFormat="false" ht="15" hidden="false" customHeight="false" outlineLevel="0" collapsed="false">
      <c r="A7" s="23"/>
      <c r="B7" s="87"/>
      <c r="C7" s="73" t="s">
        <v>2347</v>
      </c>
      <c r="D7" s="23" t="s">
        <v>2348</v>
      </c>
      <c r="F7" s="23" t="n">
        <v>2</v>
      </c>
      <c r="G7" s="61" t="s">
        <v>18</v>
      </c>
      <c r="H7" s="73" t="s">
        <v>2349</v>
      </c>
      <c r="I7" s="73" t="s">
        <v>2350</v>
      </c>
      <c r="J7" s="73" t="s">
        <v>2351</v>
      </c>
      <c r="K7" s="73" t="s">
        <v>2352</v>
      </c>
      <c r="L7" s="73" t="s">
        <v>2353</v>
      </c>
    </row>
    <row r="8" customFormat="false" ht="15" hidden="false" customHeight="true" outlineLevel="0" collapsed="false">
      <c r="A8" s="23" t="n">
        <v>2</v>
      </c>
      <c r="B8" s="87" t="s">
        <v>2354</v>
      </c>
      <c r="C8" s="73" t="s">
        <v>2355</v>
      </c>
      <c r="D8" s="23" t="s">
        <v>2356</v>
      </c>
      <c r="F8" s="23" t="n">
        <v>3</v>
      </c>
      <c r="G8" s="61" t="s">
        <v>9</v>
      </c>
      <c r="H8" s="73" t="s">
        <v>1435</v>
      </c>
      <c r="I8" s="73" t="s">
        <v>1435</v>
      </c>
      <c r="J8" s="73" t="s">
        <v>1435</v>
      </c>
      <c r="K8" s="73" t="s">
        <v>1435</v>
      </c>
      <c r="L8" s="73" t="s">
        <v>1435</v>
      </c>
    </row>
    <row r="9" customFormat="false" ht="15" hidden="false" customHeight="false" outlineLevel="0" collapsed="false">
      <c r="A9" s="23"/>
      <c r="B9" s="87"/>
      <c r="C9" s="73" t="s">
        <v>2357</v>
      </c>
      <c r="D9" s="23" t="s">
        <v>721</v>
      </c>
      <c r="F9" s="23" t="n">
        <v>4</v>
      </c>
      <c r="G9" s="61" t="s">
        <v>31</v>
      </c>
      <c r="H9" s="73" t="s">
        <v>2358</v>
      </c>
      <c r="I9" s="73" t="s">
        <v>2358</v>
      </c>
      <c r="J9" s="73" t="s">
        <v>2358</v>
      </c>
      <c r="K9" s="73" t="s">
        <v>2358</v>
      </c>
      <c r="L9" s="73" t="s">
        <v>2358</v>
      </c>
    </row>
    <row r="10" customFormat="false" ht="15" hidden="false" customHeight="true" outlineLevel="0" collapsed="false">
      <c r="A10" s="23" t="n">
        <v>3</v>
      </c>
      <c r="B10" s="87" t="s">
        <v>2359</v>
      </c>
      <c r="C10" s="73" t="s">
        <v>2360</v>
      </c>
      <c r="D10" s="23" t="s">
        <v>2361</v>
      </c>
      <c r="F10" s="23" t="n">
        <v>5</v>
      </c>
      <c r="G10" s="61" t="s">
        <v>1404</v>
      </c>
      <c r="H10" s="73" t="s">
        <v>1034</v>
      </c>
      <c r="I10" s="73" t="s">
        <v>1034</v>
      </c>
      <c r="J10" s="73" t="s">
        <v>1034</v>
      </c>
      <c r="K10" s="73" t="s">
        <v>1435</v>
      </c>
      <c r="L10" s="73" t="s">
        <v>1435</v>
      </c>
    </row>
    <row r="11" customFormat="false" ht="15" hidden="false" customHeight="false" outlineLevel="0" collapsed="false">
      <c r="A11" s="23"/>
      <c r="B11" s="87"/>
      <c r="C11" s="73" t="s">
        <v>2362</v>
      </c>
      <c r="D11" s="23" t="s">
        <v>2363</v>
      </c>
      <c r="F11" s="23" t="n">
        <v>6</v>
      </c>
      <c r="G11" s="61" t="s">
        <v>12</v>
      </c>
      <c r="H11" s="73" t="s">
        <v>1773</v>
      </c>
      <c r="I11" s="73" t="s">
        <v>1773</v>
      </c>
      <c r="J11" s="73" t="s">
        <v>1773</v>
      </c>
      <c r="K11" s="73" t="s">
        <v>1773</v>
      </c>
      <c r="L11" s="73" t="s">
        <v>1773</v>
      </c>
    </row>
    <row r="12" customFormat="false" ht="15" hidden="false" customHeight="true" outlineLevel="0" collapsed="false">
      <c r="A12" s="23" t="n">
        <v>4</v>
      </c>
      <c r="B12" s="87" t="s">
        <v>2364</v>
      </c>
      <c r="C12" s="73" t="s">
        <v>2365</v>
      </c>
      <c r="D12" s="23" t="s">
        <v>2366</v>
      </c>
      <c r="F12" s="62" t="s">
        <v>39</v>
      </c>
      <c r="G12" s="62"/>
      <c r="H12" s="73" t="s">
        <v>758</v>
      </c>
      <c r="I12" s="73" t="s">
        <v>758</v>
      </c>
      <c r="J12" s="73" t="s">
        <v>758</v>
      </c>
      <c r="K12" s="73" t="s">
        <v>758</v>
      </c>
      <c r="L12" s="73" t="s">
        <v>758</v>
      </c>
    </row>
    <row r="13" customFormat="false" ht="15" hidden="false" customHeight="false" outlineLevel="0" collapsed="false">
      <c r="A13" s="23"/>
      <c r="B13" s="87"/>
      <c r="C13" s="73" t="s">
        <v>1115</v>
      </c>
      <c r="D13" s="23" t="s">
        <v>2367</v>
      </c>
    </row>
    <row r="14" customFormat="false" ht="15" hidden="false" customHeight="true" outlineLevel="0" collapsed="false">
      <c r="A14" s="23" t="n">
        <v>5</v>
      </c>
      <c r="B14" s="87" t="s">
        <v>2368</v>
      </c>
      <c r="C14" s="73" t="s">
        <v>2369</v>
      </c>
      <c r="D14" s="23" t="s">
        <v>2370</v>
      </c>
      <c r="F14" s="7" t="s">
        <v>622</v>
      </c>
    </row>
    <row r="15" customFormat="false" ht="15" hidden="false" customHeight="false" outlineLevel="0" collapsed="false">
      <c r="A15" s="23"/>
      <c r="B15" s="87"/>
      <c r="C15" s="73" t="s">
        <v>2371</v>
      </c>
      <c r="D15" s="23" t="s">
        <v>2372</v>
      </c>
      <c r="F15" s="8" t="s">
        <v>6</v>
      </c>
      <c r="G15" s="8" t="s">
        <v>767</v>
      </c>
      <c r="H15" s="62" t="s">
        <v>2373</v>
      </c>
      <c r="I15" s="62" t="s">
        <v>362</v>
      </c>
    </row>
    <row r="16" customFormat="false" ht="15" hidden="false" customHeight="true" outlineLevel="0" collapsed="false">
      <c r="A16" s="23" t="n">
        <v>6</v>
      </c>
      <c r="B16" s="87" t="s">
        <v>2374</v>
      </c>
      <c r="C16" s="73" t="s">
        <v>2375</v>
      </c>
      <c r="D16" s="23" t="s">
        <v>2376</v>
      </c>
      <c r="F16" s="23" t="n">
        <v>1</v>
      </c>
      <c r="G16" s="61" t="s">
        <v>682</v>
      </c>
      <c r="H16" s="73" t="s">
        <v>2377</v>
      </c>
      <c r="I16" s="73" t="s">
        <v>2378</v>
      </c>
    </row>
    <row r="17" customFormat="false" ht="15" hidden="false" customHeight="false" outlineLevel="0" collapsed="false">
      <c r="A17" s="23"/>
      <c r="B17" s="87"/>
      <c r="C17" s="73" t="s">
        <v>2379</v>
      </c>
      <c r="D17" s="23" t="s">
        <v>2380</v>
      </c>
      <c r="F17" s="23" t="n">
        <v>2</v>
      </c>
      <c r="G17" s="61" t="s">
        <v>778</v>
      </c>
      <c r="H17" s="73" t="s">
        <v>1379</v>
      </c>
      <c r="I17" s="73" t="s">
        <v>1452</v>
      </c>
    </row>
    <row r="18" customFormat="false" ht="15" hidden="false" customHeight="true" outlineLevel="0" collapsed="false">
      <c r="A18" s="23" t="n">
        <v>7</v>
      </c>
      <c r="B18" s="87" t="s">
        <v>2381</v>
      </c>
      <c r="C18" s="73" t="s">
        <v>2382</v>
      </c>
      <c r="D18" s="23" t="s">
        <v>2383</v>
      </c>
      <c r="F18" s="23" t="n">
        <v>3</v>
      </c>
      <c r="G18" s="61" t="s">
        <v>1065</v>
      </c>
      <c r="H18" s="73"/>
      <c r="I18" s="73" t="s">
        <v>745</v>
      </c>
    </row>
    <row r="19" customFormat="false" ht="15" hidden="false" customHeight="false" outlineLevel="0" collapsed="false">
      <c r="A19" s="23"/>
      <c r="B19" s="87"/>
      <c r="C19" s="73" t="s">
        <v>2384</v>
      </c>
      <c r="D19" s="23" t="s">
        <v>2072</v>
      </c>
      <c r="F19" s="23" t="n">
        <v>4</v>
      </c>
      <c r="G19" s="61" t="s">
        <v>1998</v>
      </c>
      <c r="H19" s="73" t="s">
        <v>719</v>
      </c>
      <c r="I19" s="73" t="s">
        <v>719</v>
      </c>
    </row>
    <row r="20" customFormat="false" ht="15" hidden="false" customHeight="false" outlineLevel="0" collapsed="false">
      <c r="F20" s="23" t="n">
        <v>5</v>
      </c>
      <c r="G20" s="61" t="s">
        <v>9</v>
      </c>
      <c r="H20" s="73" t="s">
        <v>719</v>
      </c>
      <c r="I20" s="73" t="s">
        <v>719</v>
      </c>
    </row>
    <row r="21" customFormat="false" ht="15" hidden="false" customHeight="false" outlineLevel="0" collapsed="false">
      <c r="F21" s="23" t="n">
        <v>6</v>
      </c>
      <c r="G21" s="61" t="s">
        <v>38</v>
      </c>
      <c r="H21" s="73" t="s">
        <v>1177</v>
      </c>
      <c r="I21" s="73" t="s">
        <v>1177</v>
      </c>
    </row>
    <row r="22" customFormat="false" ht="15" hidden="false" customHeight="false" outlineLevel="0" collapsed="false">
      <c r="F22" s="23" t="n">
        <v>7</v>
      </c>
      <c r="G22" s="61" t="s">
        <v>1404</v>
      </c>
      <c r="H22" s="73" t="s">
        <v>1080</v>
      </c>
      <c r="I22" s="73" t="s">
        <v>1593</v>
      </c>
    </row>
    <row r="23" customFormat="false" ht="15" hidden="false" customHeight="false" outlineLevel="0" collapsed="false">
      <c r="F23" s="62" t="s">
        <v>39</v>
      </c>
      <c r="G23" s="62"/>
      <c r="H23" s="73" t="s">
        <v>758</v>
      </c>
      <c r="I23" s="73" t="s">
        <v>758</v>
      </c>
    </row>
  </sheetData>
  <mergeCells count="18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F12:G12"/>
    <mergeCell ref="A14:A15"/>
    <mergeCell ref="B14:B15"/>
    <mergeCell ref="A16:A17"/>
    <mergeCell ref="B16:B17"/>
    <mergeCell ref="A18:A19"/>
    <mergeCell ref="B18:B19"/>
    <mergeCell ref="F23:G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30.86"/>
    <col collapsed="false" customWidth="true" hidden="false" outlineLevel="0" max="3" min="3" style="0" width="31.14"/>
    <col collapsed="false" customWidth="true" hidden="false" outlineLevel="0" max="4" min="4" style="0" width="32.29"/>
    <col collapsed="false" customWidth="true" hidden="false" outlineLevel="0" max="6" min="6" style="0" width="5.57"/>
    <col collapsed="false" customWidth="true" hidden="false" outlineLevel="0" max="7" min="7" style="0" width="13.71"/>
    <col collapsed="false" customWidth="true" hidden="false" outlineLevel="0" max="8" min="8" style="0" width="10.57"/>
    <col collapsed="false" customWidth="true" hidden="false" outlineLevel="0" max="10" min="10" style="0" width="5"/>
    <col collapsed="false" customWidth="true" hidden="false" outlineLevel="0" max="11" min="11" style="0" width="14.71"/>
    <col collapsed="false" customWidth="true" hidden="false" outlineLevel="0" max="12" min="12" style="0" width="10.57"/>
  </cols>
  <sheetData>
    <row r="2" customFormat="false" ht="15" hidden="false" customHeight="false" outlineLevel="0" collapsed="false">
      <c r="A2" s="69" t="s">
        <v>363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7" t="s">
        <v>2385</v>
      </c>
      <c r="J4" s="7" t="s">
        <v>2386</v>
      </c>
    </row>
    <row r="5" customFormat="false" ht="15" hidden="false" customHeight="false" outlineLevel="0" collapsed="false">
      <c r="A5" s="8"/>
      <c r="B5" s="8"/>
      <c r="C5" s="8" t="s">
        <v>2340</v>
      </c>
      <c r="D5" s="8" t="s">
        <v>766</v>
      </c>
      <c r="F5" s="8" t="s">
        <v>6</v>
      </c>
      <c r="G5" s="8" t="s">
        <v>767</v>
      </c>
      <c r="H5" s="62" t="s">
        <v>2387</v>
      </c>
      <c r="J5" s="8" t="s">
        <v>6</v>
      </c>
      <c r="K5" s="8" t="s">
        <v>767</v>
      </c>
      <c r="L5" s="62" t="s">
        <v>2388</v>
      </c>
    </row>
    <row r="6" customFormat="false" ht="15" hidden="false" customHeight="true" outlineLevel="0" collapsed="false">
      <c r="A6" s="23" t="n">
        <v>1</v>
      </c>
      <c r="B6" s="87" t="s">
        <v>2389</v>
      </c>
      <c r="C6" s="73" t="s">
        <v>2390</v>
      </c>
      <c r="D6" s="23" t="s">
        <v>2391</v>
      </c>
      <c r="F6" s="23" t="n">
        <v>1</v>
      </c>
      <c r="G6" s="61" t="s">
        <v>778</v>
      </c>
      <c r="H6" s="73" t="s">
        <v>2392</v>
      </c>
      <c r="J6" s="23" t="n">
        <v>1</v>
      </c>
      <c r="K6" s="61" t="s">
        <v>682</v>
      </c>
      <c r="L6" s="73" t="s">
        <v>2393</v>
      </c>
    </row>
    <row r="7" customFormat="false" ht="15" hidden="false" customHeight="false" outlineLevel="0" collapsed="false">
      <c r="A7" s="23"/>
      <c r="B7" s="87"/>
      <c r="C7" s="73" t="s">
        <v>2394</v>
      </c>
      <c r="D7" s="23" t="s">
        <v>2395</v>
      </c>
      <c r="F7" s="23" t="n">
        <v>2</v>
      </c>
      <c r="G7" s="61" t="s">
        <v>682</v>
      </c>
      <c r="H7" s="73" t="s">
        <v>2396</v>
      </c>
      <c r="J7" s="23" t="n">
        <v>2</v>
      </c>
      <c r="K7" s="61" t="s">
        <v>9</v>
      </c>
      <c r="L7" s="73" t="s">
        <v>1233</v>
      </c>
    </row>
    <row r="8" customFormat="false" ht="15" hidden="false" customHeight="true" outlineLevel="0" collapsed="false">
      <c r="A8" s="23" t="n">
        <v>2</v>
      </c>
      <c r="B8" s="87" t="s">
        <v>2397</v>
      </c>
      <c r="C8" s="73" t="s">
        <v>2398</v>
      </c>
      <c r="D8" s="23" t="s">
        <v>2399</v>
      </c>
      <c r="F8" s="23" t="n">
        <v>3</v>
      </c>
      <c r="G8" s="61" t="s">
        <v>9</v>
      </c>
      <c r="H8" s="73" t="s">
        <v>2400</v>
      </c>
      <c r="J8" s="23" t="n">
        <v>3</v>
      </c>
      <c r="K8" s="61" t="s">
        <v>38</v>
      </c>
      <c r="L8" s="73" t="s">
        <v>2401</v>
      </c>
    </row>
    <row r="9" customFormat="false" ht="15" hidden="false" customHeight="false" outlineLevel="0" collapsed="false">
      <c r="A9" s="23"/>
      <c r="B9" s="87"/>
      <c r="C9" s="73" t="s">
        <v>2402</v>
      </c>
      <c r="D9" s="23" t="s">
        <v>2403</v>
      </c>
      <c r="F9" s="23" t="n">
        <v>4</v>
      </c>
      <c r="G9" s="61" t="s">
        <v>1998</v>
      </c>
      <c r="H9" s="73" t="s">
        <v>2400</v>
      </c>
      <c r="J9" s="23" t="n">
        <v>4</v>
      </c>
      <c r="K9" s="61" t="s">
        <v>1404</v>
      </c>
      <c r="L9" s="73" t="s">
        <v>2404</v>
      </c>
    </row>
    <row r="10" customFormat="false" ht="15" hidden="false" customHeight="true" outlineLevel="0" collapsed="false">
      <c r="A10" s="23" t="n">
        <v>3</v>
      </c>
      <c r="B10" s="87" t="s">
        <v>2405</v>
      </c>
      <c r="C10" s="73" t="s">
        <v>2406</v>
      </c>
      <c r="D10" s="23" t="s">
        <v>2407</v>
      </c>
      <c r="F10" s="23" t="n">
        <v>5</v>
      </c>
      <c r="G10" s="61" t="s">
        <v>38</v>
      </c>
      <c r="H10" s="73" t="s">
        <v>2401</v>
      </c>
      <c r="J10" s="62" t="s">
        <v>39</v>
      </c>
      <c r="K10" s="62"/>
      <c r="L10" s="73" t="s">
        <v>1236</v>
      </c>
    </row>
    <row r="11" customFormat="false" ht="15" hidden="false" customHeight="false" outlineLevel="0" collapsed="false">
      <c r="A11" s="23"/>
      <c r="B11" s="87"/>
      <c r="C11" s="73" t="s">
        <v>2408</v>
      </c>
      <c r="D11" s="23" t="s">
        <v>2409</v>
      </c>
      <c r="F11" s="23" t="n">
        <v>6</v>
      </c>
      <c r="G11" s="61" t="s">
        <v>1404</v>
      </c>
      <c r="H11" s="73" t="s">
        <v>2400</v>
      </c>
    </row>
    <row r="12" customFormat="false" ht="15" hidden="false" customHeight="true" outlineLevel="0" collapsed="false">
      <c r="A12" s="23" t="n">
        <v>4</v>
      </c>
      <c r="B12" s="87" t="s">
        <v>2410</v>
      </c>
      <c r="C12" s="73" t="s">
        <v>2411</v>
      </c>
      <c r="D12" s="23" t="s">
        <v>2412</v>
      </c>
      <c r="F12" s="62" t="s">
        <v>39</v>
      </c>
      <c r="G12" s="62"/>
      <c r="H12" s="73" t="s">
        <v>1236</v>
      </c>
    </row>
    <row r="13" customFormat="false" ht="15" hidden="false" customHeight="false" outlineLevel="0" collapsed="false">
      <c r="A13" s="23"/>
      <c r="B13" s="87"/>
      <c r="C13" s="73" t="s">
        <v>2413</v>
      </c>
      <c r="D13" s="23" t="s">
        <v>2414</v>
      </c>
    </row>
    <row r="14" customFormat="false" ht="15" hidden="false" customHeight="false" outlineLevel="0" collapsed="false">
      <c r="F14" s="7" t="s">
        <v>2415</v>
      </c>
      <c r="J14" s="7" t="s">
        <v>2416</v>
      </c>
    </row>
    <row r="15" customFormat="false" ht="15" hidden="false" customHeight="false" outlineLevel="0" collapsed="false">
      <c r="F15" s="8" t="s">
        <v>6</v>
      </c>
      <c r="G15" s="8" t="s">
        <v>767</v>
      </c>
      <c r="H15" s="62" t="s">
        <v>2388</v>
      </c>
      <c r="J15" s="8" t="s">
        <v>6</v>
      </c>
      <c r="K15" s="8" t="s">
        <v>767</v>
      </c>
      <c r="L15" s="62" t="s">
        <v>367</v>
      </c>
    </row>
    <row r="16" customFormat="false" ht="15" hidden="false" customHeight="false" outlineLevel="0" collapsed="false">
      <c r="F16" s="23" t="n">
        <v>1</v>
      </c>
      <c r="G16" s="61" t="s">
        <v>2417</v>
      </c>
      <c r="H16" s="73" t="s">
        <v>2418</v>
      </c>
      <c r="J16" s="23" t="n">
        <v>1</v>
      </c>
      <c r="K16" s="61" t="s">
        <v>19</v>
      </c>
      <c r="L16" s="73" t="s">
        <v>1379</v>
      </c>
    </row>
    <row r="17" customFormat="false" ht="15" hidden="false" customHeight="false" outlineLevel="0" collapsed="false">
      <c r="F17" s="23" t="n">
        <v>2</v>
      </c>
      <c r="G17" s="61" t="s">
        <v>1691</v>
      </c>
      <c r="H17" s="73" t="s">
        <v>2419</v>
      </c>
      <c r="J17" s="23" t="n">
        <v>2</v>
      </c>
      <c r="K17" s="61" t="s">
        <v>18</v>
      </c>
      <c r="L17" s="73" t="s">
        <v>2420</v>
      </c>
    </row>
    <row r="18" customFormat="false" ht="15" hidden="false" customHeight="false" outlineLevel="0" collapsed="false">
      <c r="F18" s="23" t="n">
        <v>3</v>
      </c>
      <c r="G18" s="61" t="s">
        <v>9</v>
      </c>
      <c r="H18" s="73" t="s">
        <v>2421</v>
      </c>
      <c r="J18" s="23" t="n">
        <v>3</v>
      </c>
      <c r="K18" s="61" t="s">
        <v>10</v>
      </c>
      <c r="L18" s="73" t="s">
        <v>1773</v>
      </c>
    </row>
    <row r="19" customFormat="false" ht="15" hidden="false" customHeight="false" outlineLevel="0" collapsed="false">
      <c r="F19" s="23" t="n">
        <v>4</v>
      </c>
      <c r="G19" s="61" t="s">
        <v>12</v>
      </c>
      <c r="H19" s="73" t="s">
        <v>2422</v>
      </c>
      <c r="J19" s="23" t="n">
        <v>4</v>
      </c>
      <c r="K19" s="61" t="s">
        <v>27</v>
      </c>
      <c r="L19" s="73" t="s">
        <v>2423</v>
      </c>
    </row>
    <row r="20" customFormat="false" ht="15" hidden="false" customHeight="false" outlineLevel="0" collapsed="false">
      <c r="F20" s="23" t="n">
        <v>5</v>
      </c>
      <c r="G20" s="61" t="s">
        <v>31</v>
      </c>
      <c r="H20" s="73" t="s">
        <v>2424</v>
      </c>
      <c r="J20" s="23" t="n">
        <v>5</v>
      </c>
      <c r="K20" s="61" t="s">
        <v>1404</v>
      </c>
      <c r="L20" s="73" t="s">
        <v>1034</v>
      </c>
    </row>
    <row r="21" customFormat="false" ht="15" hidden="false" customHeight="false" outlineLevel="0" collapsed="false">
      <c r="F21" s="23" t="n">
        <v>6</v>
      </c>
      <c r="G21" s="61" t="s">
        <v>1404</v>
      </c>
      <c r="H21" s="73" t="s">
        <v>2425</v>
      </c>
      <c r="J21" s="62" t="s">
        <v>39</v>
      </c>
      <c r="K21" s="62"/>
      <c r="L21" s="73" t="s">
        <v>1236</v>
      </c>
    </row>
    <row r="22" customFormat="false" ht="15" hidden="false" customHeight="false" outlineLevel="0" collapsed="false">
      <c r="F22" s="62" t="s">
        <v>39</v>
      </c>
      <c r="G22" s="62"/>
      <c r="H22" s="73" t="s">
        <v>1236</v>
      </c>
    </row>
    <row r="25" customFormat="false" ht="15" hidden="false" customHeight="false" outlineLevel="0" collapsed="false">
      <c r="A25" s="8" t="s">
        <v>6</v>
      </c>
      <c r="B25" s="8" t="s">
        <v>425</v>
      </c>
      <c r="C25" s="8" t="s">
        <v>679</v>
      </c>
      <c r="D25" s="8" t="s">
        <v>680</v>
      </c>
      <c r="E25" s="8" t="s">
        <v>700</v>
      </c>
      <c r="F25" s="8" t="s">
        <v>612</v>
      </c>
      <c r="G25" s="8" t="s">
        <v>2426</v>
      </c>
      <c r="H25" s="8" t="s">
        <v>699</v>
      </c>
      <c r="I25" s="8" t="s">
        <v>609</v>
      </c>
    </row>
    <row r="26" customFormat="false" ht="15" hidden="false" customHeight="false" outlineLevel="0" collapsed="false">
      <c r="A26" s="8"/>
      <c r="B26" s="8"/>
      <c r="C26" s="8" t="s">
        <v>2340</v>
      </c>
      <c r="D26" s="8" t="s">
        <v>766</v>
      </c>
      <c r="E26" s="8"/>
      <c r="F26" s="8"/>
      <c r="G26" s="8"/>
      <c r="H26" s="8"/>
      <c r="I26" s="8"/>
    </row>
    <row r="27" customFormat="false" ht="15" hidden="false" customHeight="true" outlineLevel="0" collapsed="false">
      <c r="A27" s="23" t="n">
        <v>1</v>
      </c>
      <c r="B27" s="87" t="s">
        <v>2389</v>
      </c>
      <c r="C27" s="73" t="s">
        <v>2390</v>
      </c>
      <c r="D27" s="23" t="s">
        <v>2391</v>
      </c>
      <c r="E27" s="87" t="n">
        <v>3.959605</v>
      </c>
      <c r="F27" s="87" t="n">
        <v>5.1</v>
      </c>
      <c r="G27" s="87" t="n">
        <v>7464.05</v>
      </c>
      <c r="H27" s="87" t="n">
        <v>-29</v>
      </c>
      <c r="I27" s="87" t="n">
        <v>207</v>
      </c>
    </row>
    <row r="28" customFormat="false" ht="15" hidden="false" customHeight="false" outlineLevel="0" collapsed="false">
      <c r="A28" s="23"/>
      <c r="B28" s="87"/>
      <c r="C28" s="73" t="s">
        <v>2394</v>
      </c>
      <c r="D28" s="23" t="s">
        <v>2395</v>
      </c>
      <c r="E28" s="87"/>
      <c r="F28" s="87"/>
      <c r="G28" s="87"/>
      <c r="H28" s="87"/>
      <c r="I28" s="87"/>
    </row>
    <row r="29" customFormat="false" ht="15" hidden="false" customHeight="true" outlineLevel="0" collapsed="false">
      <c r="A29" s="23" t="n">
        <v>2</v>
      </c>
      <c r="B29" s="87" t="s">
        <v>2397</v>
      </c>
      <c r="C29" s="73" t="s">
        <v>2398</v>
      </c>
      <c r="D29" s="23" t="s">
        <v>2399</v>
      </c>
      <c r="E29" s="87" t="n">
        <v>4.150855</v>
      </c>
      <c r="F29" s="87" t="n">
        <v>4.7</v>
      </c>
      <c r="G29" s="87" t="n">
        <v>5906.08</v>
      </c>
      <c r="H29" s="87" t="n">
        <v>-23</v>
      </c>
      <c r="I29" s="87" t="n">
        <v>212</v>
      </c>
    </row>
    <row r="30" customFormat="false" ht="15" hidden="false" customHeight="false" outlineLevel="0" collapsed="false">
      <c r="A30" s="23"/>
      <c r="B30" s="87"/>
      <c r="C30" s="73" t="s">
        <v>2402</v>
      </c>
      <c r="D30" s="23" t="s">
        <v>2403</v>
      </c>
      <c r="E30" s="87"/>
      <c r="F30" s="87"/>
      <c r="G30" s="87"/>
      <c r="H30" s="87"/>
      <c r="I30" s="87"/>
    </row>
    <row r="31" customFormat="false" ht="15" hidden="false" customHeight="true" outlineLevel="0" collapsed="false">
      <c r="A31" s="23" t="n">
        <v>3</v>
      </c>
      <c r="B31" s="87" t="s">
        <v>2405</v>
      </c>
      <c r="C31" s="73" t="s">
        <v>2406</v>
      </c>
      <c r="D31" s="23" t="s">
        <v>2407</v>
      </c>
      <c r="E31" s="87" t="n">
        <v>3.48519</v>
      </c>
      <c r="F31" s="87" t="n">
        <v>9.5</v>
      </c>
      <c r="G31" s="87" t="n">
        <v>8276.61</v>
      </c>
      <c r="H31" s="87" t="n">
        <v>-30</v>
      </c>
      <c r="I31" s="87" t="n">
        <v>187</v>
      </c>
    </row>
    <row r="32" customFormat="false" ht="15" hidden="false" customHeight="false" outlineLevel="0" collapsed="false">
      <c r="A32" s="23"/>
      <c r="B32" s="87"/>
      <c r="C32" s="73" t="s">
        <v>2408</v>
      </c>
      <c r="D32" s="23" t="s">
        <v>2409</v>
      </c>
      <c r="E32" s="87"/>
      <c r="F32" s="87"/>
      <c r="G32" s="87"/>
      <c r="H32" s="87"/>
      <c r="I32" s="87"/>
    </row>
  </sheetData>
  <mergeCells count="42">
    <mergeCell ref="A4:A5"/>
    <mergeCell ref="B4:B5"/>
    <mergeCell ref="A6:A7"/>
    <mergeCell ref="B6:B7"/>
    <mergeCell ref="A8:A9"/>
    <mergeCell ref="B8:B9"/>
    <mergeCell ref="A10:A11"/>
    <mergeCell ref="B10:B11"/>
    <mergeCell ref="J10:K10"/>
    <mergeCell ref="A12:A13"/>
    <mergeCell ref="B12:B13"/>
    <mergeCell ref="F12:G12"/>
    <mergeCell ref="J21:K21"/>
    <mergeCell ref="F22:G22"/>
    <mergeCell ref="A25:A26"/>
    <mergeCell ref="B25:B26"/>
    <mergeCell ref="E25:E26"/>
    <mergeCell ref="F25:F26"/>
    <mergeCell ref="G25:G26"/>
    <mergeCell ref="H25:H26"/>
    <mergeCell ref="I25:I26"/>
    <mergeCell ref="A27:A28"/>
    <mergeCell ref="B27:B28"/>
    <mergeCell ref="E27:E28"/>
    <mergeCell ref="F27:F28"/>
    <mergeCell ref="G27:G28"/>
    <mergeCell ref="H27:H28"/>
    <mergeCell ref="I27:I28"/>
    <mergeCell ref="A29:A30"/>
    <mergeCell ref="B29:B30"/>
    <mergeCell ref="E29:E30"/>
    <mergeCell ref="F29:F30"/>
    <mergeCell ref="G29:G30"/>
    <mergeCell ref="H29:H30"/>
    <mergeCell ref="I29:I30"/>
    <mergeCell ref="A31:A32"/>
    <mergeCell ref="B31:B32"/>
    <mergeCell ref="E31:E32"/>
    <mergeCell ref="F31:F32"/>
    <mergeCell ref="G31:G32"/>
    <mergeCell ref="H31:H32"/>
    <mergeCell ref="I31:I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32.43"/>
    <col collapsed="false" customWidth="true" hidden="false" outlineLevel="0" max="3" min="3" style="0" width="30.14"/>
    <col collapsed="false" customWidth="true" hidden="false" outlineLevel="0" max="4" min="4" style="0" width="27"/>
    <col collapsed="false" customWidth="true" hidden="false" outlineLevel="0" max="6" min="6" style="0" width="6.43"/>
    <col collapsed="false" customWidth="true" hidden="false" outlineLevel="0" max="7" min="7" style="0" width="14.71"/>
    <col collapsed="false" customWidth="true" hidden="false" outlineLevel="0" max="8" min="8" style="0" width="10.57"/>
    <col collapsed="false" customWidth="true" hidden="false" outlineLevel="0" max="10" min="10" style="0" width="6.57"/>
    <col collapsed="false" customWidth="true" hidden="false" outlineLevel="0" max="11" min="11" style="0" width="13.71"/>
    <col collapsed="false" customWidth="true" hidden="false" outlineLevel="0" max="12" min="12" style="0" width="10.57"/>
    <col collapsed="false" customWidth="true" hidden="false" outlineLevel="0" max="14" min="14" style="0" width="5.43"/>
    <col collapsed="false" customWidth="true" hidden="false" outlineLevel="0" max="15" min="15" style="0" width="13.71"/>
    <col collapsed="false" customWidth="true" hidden="false" outlineLevel="0" max="16" min="16" style="0" width="10.57"/>
  </cols>
  <sheetData>
    <row r="2" customFormat="false" ht="15" hidden="false" customHeight="false" outlineLevel="0" collapsed="false">
      <c r="A2" s="69" t="s">
        <v>369</v>
      </c>
      <c r="F2" s="7" t="s">
        <v>2427</v>
      </c>
      <c r="J2" s="7" t="s">
        <v>2428</v>
      </c>
      <c r="N2" s="7" t="s">
        <v>2429</v>
      </c>
    </row>
    <row r="3" customFormat="false" ht="15" hidden="false" customHeight="false" outlineLevel="0" collapsed="false">
      <c r="F3" s="8" t="s">
        <v>6</v>
      </c>
      <c r="G3" s="8" t="s">
        <v>767</v>
      </c>
      <c r="H3" s="62" t="s">
        <v>370</v>
      </c>
      <c r="J3" s="8" t="s">
        <v>6</v>
      </c>
      <c r="K3" s="8" t="s">
        <v>767</v>
      </c>
      <c r="L3" s="62" t="s">
        <v>371</v>
      </c>
      <c r="N3" s="8" t="s">
        <v>6</v>
      </c>
      <c r="O3" s="8" t="s">
        <v>767</v>
      </c>
      <c r="P3" s="62" t="s">
        <v>372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23" t="n">
        <v>1</v>
      </c>
      <c r="G4" s="61" t="s">
        <v>18</v>
      </c>
      <c r="H4" s="73" t="s">
        <v>2430</v>
      </c>
      <c r="J4" s="23" t="n">
        <v>1</v>
      </c>
      <c r="K4" s="61" t="s">
        <v>19</v>
      </c>
      <c r="L4" s="73" t="s">
        <v>1739</v>
      </c>
      <c r="N4" s="23" t="n">
        <v>1</v>
      </c>
      <c r="O4" s="61" t="s">
        <v>682</v>
      </c>
      <c r="P4" s="73" t="s">
        <v>2431</v>
      </c>
    </row>
    <row r="5" customFormat="false" ht="15" hidden="false" customHeight="false" outlineLevel="0" collapsed="false">
      <c r="A5" s="8"/>
      <c r="B5" s="8"/>
      <c r="C5" s="8" t="s">
        <v>765</v>
      </c>
      <c r="D5" s="8" t="s">
        <v>766</v>
      </c>
      <c r="F5" s="23" t="n">
        <v>2</v>
      </c>
      <c r="G5" s="61" t="s">
        <v>19</v>
      </c>
      <c r="H5" s="73" t="s">
        <v>2420</v>
      </c>
      <c r="J5" s="23" t="n">
        <v>2</v>
      </c>
      <c r="K5" s="61" t="s">
        <v>18</v>
      </c>
      <c r="L5" s="73" t="s">
        <v>2432</v>
      </c>
      <c r="N5" s="23" t="n">
        <v>2</v>
      </c>
      <c r="O5" s="61" t="s">
        <v>786</v>
      </c>
      <c r="P5" s="73" t="s">
        <v>719</v>
      </c>
    </row>
    <row r="6" customFormat="false" ht="15" hidden="false" customHeight="true" outlineLevel="0" collapsed="false">
      <c r="A6" s="23" t="n">
        <v>1</v>
      </c>
      <c r="B6" s="87" t="s">
        <v>2433</v>
      </c>
      <c r="C6" s="73" t="s">
        <v>2434</v>
      </c>
      <c r="D6" s="23" t="s">
        <v>2435</v>
      </c>
      <c r="F6" s="23" t="n">
        <v>3</v>
      </c>
      <c r="G6" s="61" t="s">
        <v>786</v>
      </c>
      <c r="H6" s="73" t="s">
        <v>1435</v>
      </c>
      <c r="J6" s="23" t="n">
        <v>3</v>
      </c>
      <c r="K6" s="61" t="s">
        <v>786</v>
      </c>
      <c r="L6" s="73" t="s">
        <v>2436</v>
      </c>
      <c r="N6" s="23" t="n">
        <v>3</v>
      </c>
      <c r="O6" s="61" t="s">
        <v>12</v>
      </c>
      <c r="P6" s="73" t="s">
        <v>2437</v>
      </c>
    </row>
    <row r="7" customFormat="false" ht="15" hidden="false" customHeight="false" outlineLevel="0" collapsed="false">
      <c r="A7" s="23"/>
      <c r="B7" s="87"/>
      <c r="C7" s="73" t="s">
        <v>2438</v>
      </c>
      <c r="D7" s="23" t="s">
        <v>519</v>
      </c>
      <c r="F7" s="23" t="n">
        <v>4</v>
      </c>
      <c r="G7" s="61" t="s">
        <v>12</v>
      </c>
      <c r="H7" s="73" t="s">
        <v>1773</v>
      </c>
      <c r="J7" s="23" t="n">
        <v>4</v>
      </c>
      <c r="K7" s="61" t="s">
        <v>12</v>
      </c>
      <c r="L7" s="73" t="s">
        <v>2439</v>
      </c>
      <c r="N7" s="23" t="n">
        <v>4</v>
      </c>
      <c r="O7" s="61" t="s">
        <v>33</v>
      </c>
      <c r="P7" s="73" t="s">
        <v>2440</v>
      </c>
    </row>
    <row r="8" customFormat="false" ht="15" hidden="false" customHeight="true" outlineLevel="0" collapsed="false">
      <c r="A8" s="23" t="n">
        <v>2</v>
      </c>
      <c r="B8" s="87" t="s">
        <v>2441</v>
      </c>
      <c r="C8" s="73" t="s">
        <v>2442</v>
      </c>
      <c r="D8" s="23" t="s">
        <v>2443</v>
      </c>
      <c r="F8" s="23" t="n">
        <v>5</v>
      </c>
      <c r="G8" s="61" t="s">
        <v>33</v>
      </c>
      <c r="H8" s="73" t="s">
        <v>2444</v>
      </c>
      <c r="J8" s="23" t="n">
        <v>5</v>
      </c>
      <c r="K8" s="61" t="s">
        <v>33</v>
      </c>
      <c r="L8" s="73" t="s">
        <v>2440</v>
      </c>
      <c r="N8" s="23" t="n">
        <v>5</v>
      </c>
      <c r="O8" s="61" t="s">
        <v>1404</v>
      </c>
      <c r="P8" s="73" t="s">
        <v>2445</v>
      </c>
    </row>
    <row r="9" customFormat="false" ht="15" hidden="false" customHeight="false" outlineLevel="0" collapsed="false">
      <c r="A9" s="23"/>
      <c r="B9" s="87"/>
      <c r="C9" s="73" t="s">
        <v>2446</v>
      </c>
      <c r="D9" s="23" t="s">
        <v>2447</v>
      </c>
      <c r="F9" s="23" t="n">
        <v>6</v>
      </c>
      <c r="G9" s="61" t="s">
        <v>1404</v>
      </c>
      <c r="H9" s="73" t="s">
        <v>1034</v>
      </c>
      <c r="J9" s="23" t="n">
        <v>6</v>
      </c>
      <c r="K9" s="61" t="s">
        <v>1404</v>
      </c>
      <c r="L9" s="73" t="s">
        <v>2445</v>
      </c>
      <c r="N9" s="62" t="s">
        <v>39</v>
      </c>
      <c r="O9" s="62"/>
      <c r="P9" s="73" t="s">
        <v>732</v>
      </c>
    </row>
    <row r="10" customFormat="false" ht="15" hidden="false" customHeight="true" outlineLevel="0" collapsed="false">
      <c r="A10" s="23" t="n">
        <v>3</v>
      </c>
      <c r="B10" s="87" t="s">
        <v>2448</v>
      </c>
      <c r="C10" s="73" t="s">
        <v>2449</v>
      </c>
      <c r="D10" s="23" t="s">
        <v>2450</v>
      </c>
      <c r="F10" s="62" t="s">
        <v>39</v>
      </c>
      <c r="G10" s="62"/>
      <c r="H10" s="73" t="s">
        <v>1236</v>
      </c>
      <c r="J10" s="62" t="s">
        <v>39</v>
      </c>
      <c r="K10" s="62"/>
      <c r="L10" s="73" t="s">
        <v>732</v>
      </c>
    </row>
    <row r="11" customFormat="false" ht="15" hidden="false" customHeight="false" outlineLevel="0" collapsed="false">
      <c r="A11" s="23"/>
      <c r="B11" s="87"/>
      <c r="C11" s="73" t="s">
        <v>1334</v>
      </c>
      <c r="D11" s="23" t="s">
        <v>2451</v>
      </c>
    </row>
    <row r="12" customFormat="false" ht="15" hidden="false" customHeight="true" outlineLevel="0" collapsed="false">
      <c r="A12" s="23" t="n">
        <v>4</v>
      </c>
      <c r="B12" s="87" t="s">
        <v>2452</v>
      </c>
      <c r="C12" s="73"/>
      <c r="D12" s="23"/>
      <c r="F12" s="7" t="s">
        <v>2453</v>
      </c>
    </row>
    <row r="13" customFormat="false" ht="15" hidden="false" customHeight="false" outlineLevel="0" collapsed="false">
      <c r="A13" s="23"/>
      <c r="B13" s="87"/>
      <c r="C13" s="73"/>
      <c r="D13" s="23"/>
      <c r="F13" s="8" t="s">
        <v>6</v>
      </c>
      <c r="G13" s="8" t="s">
        <v>767</v>
      </c>
      <c r="H13" s="62" t="s">
        <v>2454</v>
      </c>
    </row>
    <row r="14" customFormat="false" ht="15" hidden="false" customHeight="false" outlineLevel="0" collapsed="false">
      <c r="F14" s="23" t="n">
        <v>1</v>
      </c>
      <c r="G14" s="61" t="s">
        <v>2455</v>
      </c>
      <c r="H14" s="73" t="s">
        <v>2456</v>
      </c>
    </row>
    <row r="15" customFormat="false" ht="15" hidden="false" customHeight="false" outlineLevel="0" collapsed="false">
      <c r="F15" s="23" t="n">
        <v>2</v>
      </c>
      <c r="G15" s="61" t="s">
        <v>2457</v>
      </c>
      <c r="H15" s="73" t="s">
        <v>2458</v>
      </c>
    </row>
    <row r="16" customFormat="false" ht="15" hidden="false" customHeight="false" outlineLevel="0" collapsed="false">
      <c r="F16" s="62" t="s">
        <v>39</v>
      </c>
      <c r="G16" s="62"/>
      <c r="H16" s="73" t="s">
        <v>1378</v>
      </c>
    </row>
    <row r="18" customFormat="false" ht="15" hidden="false" customHeight="false" outlineLevel="0" collapsed="false">
      <c r="A18" s="8" t="s">
        <v>6</v>
      </c>
      <c r="B18" s="8" t="s">
        <v>425</v>
      </c>
      <c r="C18" s="8" t="s">
        <v>2459</v>
      </c>
    </row>
    <row r="19" customFormat="false" ht="15" hidden="false" customHeight="false" outlineLevel="0" collapsed="false">
      <c r="A19" s="8"/>
      <c r="B19" s="8"/>
      <c r="C19" s="8"/>
    </row>
    <row r="20" customFormat="false" ht="15" hidden="false" customHeight="true" outlineLevel="0" collapsed="false">
      <c r="A20" s="23" t="n">
        <v>1</v>
      </c>
      <c r="B20" s="87" t="s">
        <v>2433</v>
      </c>
      <c r="C20" s="32" t="n">
        <v>4.03492</v>
      </c>
    </row>
    <row r="21" customFormat="false" ht="15" hidden="false" customHeight="false" outlineLevel="0" collapsed="false">
      <c r="A21" s="23"/>
      <c r="B21" s="87"/>
      <c r="C21" s="32"/>
    </row>
    <row r="22" customFormat="false" ht="15" hidden="false" customHeight="true" outlineLevel="0" collapsed="false">
      <c r="A22" s="23" t="n">
        <v>2</v>
      </c>
      <c r="B22" s="87" t="s">
        <v>2441</v>
      </c>
      <c r="C22" s="32" t="n">
        <v>4.09775</v>
      </c>
    </row>
    <row r="23" customFormat="false" ht="15" hidden="false" customHeight="false" outlineLevel="0" collapsed="false">
      <c r="A23" s="23"/>
      <c r="B23" s="87"/>
      <c r="C23" s="32"/>
    </row>
    <row r="24" customFormat="false" ht="15" hidden="false" customHeight="true" outlineLevel="0" collapsed="false">
      <c r="A24" s="23" t="n">
        <v>3</v>
      </c>
      <c r="B24" s="87" t="s">
        <v>2448</v>
      </c>
      <c r="C24" s="32" t="n">
        <v>4.11204</v>
      </c>
    </row>
    <row r="25" customFormat="false" ht="15" hidden="false" customHeight="false" outlineLevel="0" collapsed="false">
      <c r="A25" s="23"/>
      <c r="B25" s="87"/>
      <c r="C25" s="32"/>
    </row>
  </sheetData>
  <mergeCells count="26">
    <mergeCell ref="A4:A5"/>
    <mergeCell ref="B4:B5"/>
    <mergeCell ref="A6:A7"/>
    <mergeCell ref="B6:B7"/>
    <mergeCell ref="A8:A9"/>
    <mergeCell ref="B8:B9"/>
    <mergeCell ref="N9:O9"/>
    <mergeCell ref="A10:A11"/>
    <mergeCell ref="B10:B11"/>
    <mergeCell ref="F10:G10"/>
    <mergeCell ref="J10:K10"/>
    <mergeCell ref="A12:A13"/>
    <mergeCell ref="B12:B13"/>
    <mergeCell ref="F16:G16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7.72"/>
    <col collapsed="false" customWidth="true" hidden="false" outlineLevel="0" max="3" min="3" style="0" width="34.57"/>
    <col collapsed="false" customWidth="true" hidden="false" outlineLevel="0" max="4" min="4" style="0" width="35.43"/>
    <col collapsed="false" customWidth="true" hidden="false" outlineLevel="0" max="6" min="6" style="0" width="3.57"/>
    <col collapsed="false" customWidth="true" hidden="false" outlineLevel="0" max="7" min="7" style="0" width="18"/>
    <col collapsed="false" customWidth="true" hidden="false" outlineLevel="0" max="8" min="8" style="0" width="17.85"/>
    <col collapsed="false" customWidth="true" hidden="false" outlineLevel="0" max="9" min="9" style="0" width="18.28"/>
  </cols>
  <sheetData>
    <row r="2" customFormat="false" ht="15" hidden="false" customHeight="false" outlineLevel="0" collapsed="false">
      <c r="A2" s="69" t="s">
        <v>496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66"/>
      <c r="G4" s="66"/>
      <c r="H4" s="66"/>
      <c r="I4" s="66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67"/>
      <c r="G5" s="64"/>
      <c r="H5" s="67"/>
      <c r="I5" s="67"/>
    </row>
    <row r="6" customFormat="false" ht="15" hidden="false" customHeight="false" outlineLevel="0" collapsed="false">
      <c r="A6" s="23" t="n">
        <v>1</v>
      </c>
      <c r="B6" s="61" t="s">
        <v>497</v>
      </c>
      <c r="C6" s="23" t="s">
        <v>498</v>
      </c>
      <c r="D6" s="23" t="s">
        <v>499</v>
      </c>
      <c r="F6" s="67"/>
      <c r="G6" s="64"/>
      <c r="H6" s="67"/>
      <c r="I6" s="67"/>
    </row>
    <row r="7" customFormat="false" ht="15" hidden="false" customHeight="false" outlineLevel="0" collapsed="false">
      <c r="A7" s="23"/>
      <c r="B7" s="61"/>
      <c r="C7" s="23" t="s">
        <v>500</v>
      </c>
      <c r="D7" s="23" t="s">
        <v>501</v>
      </c>
      <c r="F7" s="67"/>
      <c r="G7" s="64"/>
      <c r="H7" s="67"/>
      <c r="I7" s="67"/>
    </row>
    <row r="8" customFormat="false" ht="15" hidden="false" customHeight="false" outlineLevel="0" collapsed="false">
      <c r="A8" s="23" t="n">
        <v>2</v>
      </c>
      <c r="B8" s="61" t="s">
        <v>502</v>
      </c>
      <c r="C8" s="23" t="s">
        <v>503</v>
      </c>
      <c r="D8" s="23" t="s">
        <v>504</v>
      </c>
      <c r="F8" s="6"/>
      <c r="G8" s="6"/>
      <c r="H8" s="67"/>
      <c r="I8" s="67"/>
    </row>
    <row r="9" customFormat="false" ht="15" hidden="false" customHeight="false" outlineLevel="0" collapsed="false">
      <c r="A9" s="23"/>
      <c r="B9" s="61"/>
      <c r="C9" s="23" t="s">
        <v>505</v>
      </c>
      <c r="D9" s="23" t="s">
        <v>506</v>
      </c>
    </row>
    <row r="10" customFormat="false" ht="15" hidden="false" customHeight="false" outlineLevel="0" collapsed="false">
      <c r="A10" s="23" t="n">
        <v>3</v>
      </c>
      <c r="B10" s="61" t="s">
        <v>507</v>
      </c>
      <c r="C10" s="23" t="s">
        <v>508</v>
      </c>
      <c r="D10" s="23" t="s">
        <v>509</v>
      </c>
    </row>
    <row r="11" customFormat="false" ht="15" hidden="false" customHeight="false" outlineLevel="0" collapsed="false">
      <c r="A11" s="23"/>
      <c r="B11" s="61"/>
      <c r="C11" s="23" t="s">
        <v>510</v>
      </c>
      <c r="D11" s="23" t="s">
        <v>440</v>
      </c>
    </row>
    <row r="12" customFormat="false" ht="15" hidden="false" customHeight="false" outlineLevel="0" collapsed="false">
      <c r="A12" s="23" t="n">
        <v>4</v>
      </c>
      <c r="B12" s="61" t="s">
        <v>511</v>
      </c>
      <c r="C12" s="23" t="s">
        <v>512</v>
      </c>
      <c r="D12" s="23" t="s">
        <v>513</v>
      </c>
    </row>
    <row r="13" customFormat="false" ht="15" hidden="false" customHeight="false" outlineLevel="0" collapsed="false">
      <c r="A13" s="23"/>
      <c r="B13" s="61"/>
      <c r="C13" s="23" t="s">
        <v>514</v>
      </c>
      <c r="D13" s="23" t="s">
        <v>515</v>
      </c>
    </row>
    <row r="14" customFormat="false" ht="15" hidden="false" customHeight="false" outlineLevel="0" collapsed="false">
      <c r="A14" s="23" t="n">
        <v>5</v>
      </c>
      <c r="B14" s="61" t="s">
        <v>516</v>
      </c>
      <c r="C14" s="70" t="s">
        <v>517</v>
      </c>
      <c r="D14" s="70" t="s">
        <v>518</v>
      </c>
    </row>
    <row r="15" customFormat="false" ht="15" hidden="false" customHeight="false" outlineLevel="0" collapsed="false">
      <c r="A15" s="23"/>
      <c r="B15" s="61"/>
      <c r="C15" s="70" t="s">
        <v>519</v>
      </c>
      <c r="D15" s="70" t="s">
        <v>520</v>
      </c>
    </row>
    <row r="17" customFormat="false" ht="15" hidden="false" customHeight="false" outlineLevel="0" collapsed="false">
      <c r="A17" s="8" t="s">
        <v>6</v>
      </c>
      <c r="B17" s="8" t="s">
        <v>425</v>
      </c>
      <c r="C17" s="8" t="s">
        <v>426</v>
      </c>
      <c r="D17" s="8" t="s">
        <v>427</v>
      </c>
      <c r="F17" s="8" t="s">
        <v>6</v>
      </c>
      <c r="G17" s="8" t="s">
        <v>397</v>
      </c>
      <c r="H17" s="8" t="s">
        <v>428</v>
      </c>
      <c r="I17" s="8" t="s">
        <v>429</v>
      </c>
    </row>
    <row r="18" customFormat="false" ht="15" hidden="false" customHeight="false" outlineLevel="0" collapsed="false">
      <c r="A18" s="8"/>
      <c r="B18" s="8"/>
      <c r="C18" s="8" t="s">
        <v>432</v>
      </c>
      <c r="D18" s="8" t="s">
        <v>433</v>
      </c>
      <c r="F18" s="23" t="n">
        <v>1</v>
      </c>
      <c r="G18" s="59" t="s">
        <v>399</v>
      </c>
      <c r="H18" s="63" t="n">
        <v>0.94</v>
      </c>
      <c r="I18" s="23" t="s">
        <v>79</v>
      </c>
    </row>
    <row r="19" customFormat="false" ht="15" hidden="false" customHeight="false" outlineLevel="0" collapsed="false">
      <c r="A19" s="23" t="n">
        <v>1</v>
      </c>
      <c r="B19" s="61" t="s">
        <v>521</v>
      </c>
      <c r="C19" s="23" t="s">
        <v>522</v>
      </c>
      <c r="D19" s="23" t="s">
        <v>523</v>
      </c>
      <c r="F19" s="23" t="n">
        <v>2</v>
      </c>
      <c r="G19" s="59" t="s">
        <v>401</v>
      </c>
      <c r="H19" s="23" t="s">
        <v>79</v>
      </c>
      <c r="I19" s="63" t="n">
        <v>0.92</v>
      </c>
    </row>
    <row r="20" customFormat="false" ht="15" hidden="false" customHeight="false" outlineLevel="0" collapsed="false">
      <c r="A20" s="23"/>
      <c r="B20" s="61"/>
      <c r="C20" s="23" t="s">
        <v>505</v>
      </c>
      <c r="D20" s="23" t="s">
        <v>524</v>
      </c>
      <c r="F20" s="23" t="n">
        <v>3</v>
      </c>
      <c r="G20" s="59" t="s">
        <v>525</v>
      </c>
      <c r="H20" s="63" t="n">
        <v>0.06</v>
      </c>
      <c r="I20" s="63" t="n">
        <v>0.08</v>
      </c>
    </row>
    <row r="21" customFormat="false" ht="15" hidden="false" customHeight="false" outlineLevel="0" collapsed="false">
      <c r="A21" s="23" t="n">
        <v>2</v>
      </c>
      <c r="B21" s="61" t="s">
        <v>526</v>
      </c>
      <c r="C21" s="23" t="s">
        <v>527</v>
      </c>
      <c r="D21" s="23" t="s">
        <v>528</v>
      </c>
      <c r="F21" s="62" t="s">
        <v>39</v>
      </c>
      <c r="G21" s="62"/>
      <c r="H21" s="63" t="n">
        <v>1</v>
      </c>
      <c r="I21" s="63" t="n">
        <v>1</v>
      </c>
    </row>
    <row r="22" customFormat="false" ht="15" hidden="false" customHeight="false" outlineLevel="0" collapsed="false">
      <c r="A22" s="23"/>
      <c r="B22" s="61"/>
      <c r="C22" s="23" t="s">
        <v>529</v>
      </c>
      <c r="D22" s="23" t="s">
        <v>530</v>
      </c>
    </row>
  </sheetData>
  <mergeCells count="20">
    <mergeCell ref="A4:A5"/>
    <mergeCell ref="B4:B5"/>
    <mergeCell ref="A6:A7"/>
    <mergeCell ref="B6:B7"/>
    <mergeCell ref="A8:A9"/>
    <mergeCell ref="B8:B9"/>
    <mergeCell ref="F8:G8"/>
    <mergeCell ref="A10:A11"/>
    <mergeCell ref="B10:B11"/>
    <mergeCell ref="A12:A13"/>
    <mergeCell ref="B12:B13"/>
    <mergeCell ref="A14:A15"/>
    <mergeCell ref="B14:B15"/>
    <mergeCell ref="A17:A18"/>
    <mergeCell ref="B17:B18"/>
    <mergeCell ref="A19:A20"/>
    <mergeCell ref="B19:B20"/>
    <mergeCell ref="A21:A22"/>
    <mergeCell ref="B21:B22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28.86"/>
    <col collapsed="false" customWidth="true" hidden="false" outlineLevel="0" max="3" min="3" style="0" width="31.43"/>
    <col collapsed="false" customWidth="true" hidden="false" outlineLevel="0" max="4" min="4" style="0" width="26.42"/>
    <col collapsed="false" customWidth="true" hidden="false" outlineLevel="0" max="6" min="6" style="0" width="5.14"/>
    <col collapsed="false" customWidth="true" hidden="false" outlineLevel="0" max="7" min="7" style="0" width="14.71"/>
    <col collapsed="false" customWidth="true" hidden="false" outlineLevel="0" max="8" min="8" style="0" width="16.85"/>
    <col collapsed="false" customWidth="true" hidden="false" outlineLevel="0" max="10" min="10" style="0" width="5"/>
    <col collapsed="false" customWidth="true" hidden="false" outlineLevel="0" max="11" min="11" style="0" width="14.71"/>
    <col collapsed="false" customWidth="true" hidden="false" outlineLevel="0" max="12" min="12" style="0" width="14.43"/>
    <col collapsed="false" customWidth="true" hidden="false" outlineLevel="0" max="14" min="14" style="0" width="5.85"/>
    <col collapsed="false" customWidth="true" hidden="false" outlineLevel="0" max="15" min="15" style="0" width="13.71"/>
    <col collapsed="false" customWidth="true" hidden="false" outlineLevel="0" max="16" min="16" style="0" width="13.85"/>
    <col collapsed="false" customWidth="true" hidden="false" outlineLevel="0" max="18" min="18" style="0" width="4"/>
    <col collapsed="false" customWidth="true" hidden="false" outlineLevel="0" max="19" min="19" style="0" width="13.71"/>
    <col collapsed="false" customWidth="true" hidden="false" outlineLevel="0" max="20" min="20" style="0" width="11.43"/>
  </cols>
  <sheetData>
    <row r="2" customFormat="false" ht="15" hidden="false" customHeight="false" outlineLevel="0" collapsed="false">
      <c r="A2" s="69" t="s">
        <v>373</v>
      </c>
    </row>
    <row r="3" customFormat="false" ht="15" hidden="false" customHeight="false" outlineLevel="0" collapsed="false">
      <c r="F3" s="7" t="s">
        <v>2460</v>
      </c>
      <c r="J3" s="7" t="s">
        <v>2461</v>
      </c>
      <c r="N3" s="7" t="s">
        <v>2462</v>
      </c>
      <c r="R3" s="7" t="s">
        <v>2463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12" t="s">
        <v>767</v>
      </c>
      <c r="H4" s="62" t="s">
        <v>2464</v>
      </c>
      <c r="I4" s="6"/>
      <c r="J4" s="8" t="s">
        <v>6</v>
      </c>
      <c r="K4" s="12" t="s">
        <v>767</v>
      </c>
      <c r="L4" s="62" t="s">
        <v>2465</v>
      </c>
      <c r="N4" s="8" t="s">
        <v>6</v>
      </c>
      <c r="O4" s="12" t="s">
        <v>767</v>
      </c>
      <c r="P4" s="62" t="s">
        <v>2466</v>
      </c>
      <c r="R4" s="8" t="s">
        <v>6</v>
      </c>
      <c r="S4" s="12" t="s">
        <v>767</v>
      </c>
      <c r="T4" s="62" t="s">
        <v>382</v>
      </c>
    </row>
    <row r="5" customFormat="false" ht="15" hidden="false" customHeight="false" outlineLevel="0" collapsed="false">
      <c r="A5" s="8"/>
      <c r="B5" s="8"/>
      <c r="C5" s="8" t="s">
        <v>2467</v>
      </c>
      <c r="D5" s="8" t="s">
        <v>2468</v>
      </c>
      <c r="F5" s="23" t="n">
        <v>1</v>
      </c>
      <c r="G5" s="103" t="s">
        <v>778</v>
      </c>
      <c r="H5" s="73" t="s">
        <v>1378</v>
      </c>
      <c r="I5" s="96"/>
      <c r="J5" s="23" t="n">
        <v>1</v>
      </c>
      <c r="K5" s="103" t="s">
        <v>682</v>
      </c>
      <c r="L5" s="73" t="s">
        <v>2236</v>
      </c>
      <c r="N5" s="23" t="n">
        <v>1</v>
      </c>
      <c r="O5" s="103" t="s">
        <v>18</v>
      </c>
      <c r="P5" s="73" t="s">
        <v>2469</v>
      </c>
      <c r="R5" s="23" t="n">
        <v>1</v>
      </c>
      <c r="S5" s="103" t="s">
        <v>778</v>
      </c>
      <c r="T5" s="73" t="s">
        <v>2470</v>
      </c>
    </row>
    <row r="6" customFormat="false" ht="15" hidden="false" customHeight="true" outlineLevel="0" collapsed="false">
      <c r="A6" s="23" t="n">
        <v>1</v>
      </c>
      <c r="B6" s="87" t="s">
        <v>2471</v>
      </c>
      <c r="C6" s="73" t="s">
        <v>2472</v>
      </c>
      <c r="D6" s="23" t="s">
        <v>2473</v>
      </c>
      <c r="F6" s="23" t="n">
        <v>2</v>
      </c>
      <c r="G6" s="103" t="s">
        <v>682</v>
      </c>
      <c r="H6" s="73" t="s">
        <v>2474</v>
      </c>
      <c r="I6" s="96"/>
      <c r="J6" s="23" t="n">
        <v>2</v>
      </c>
      <c r="K6" s="103" t="s">
        <v>9</v>
      </c>
      <c r="L6" s="73" t="s">
        <v>745</v>
      </c>
      <c r="N6" s="23" t="n">
        <v>2</v>
      </c>
      <c r="O6" s="103" t="s">
        <v>19</v>
      </c>
      <c r="P6" s="73" t="s">
        <v>1379</v>
      </c>
      <c r="R6" s="23" t="n">
        <v>2</v>
      </c>
      <c r="S6" s="103" t="s">
        <v>1065</v>
      </c>
      <c r="T6" s="73" t="s">
        <v>2475</v>
      </c>
    </row>
    <row r="7" customFormat="false" ht="15" hidden="false" customHeight="false" outlineLevel="0" collapsed="false">
      <c r="A7" s="23"/>
      <c r="B7" s="87"/>
      <c r="C7" s="73" t="s">
        <v>2476</v>
      </c>
      <c r="D7" s="23" t="s">
        <v>2297</v>
      </c>
      <c r="F7" s="23" t="n">
        <v>3</v>
      </c>
      <c r="G7" s="103" t="s">
        <v>9</v>
      </c>
      <c r="H7" s="73" t="s">
        <v>719</v>
      </c>
      <c r="I7" s="96"/>
      <c r="J7" s="23" t="n">
        <v>3</v>
      </c>
      <c r="K7" s="103" t="s">
        <v>33</v>
      </c>
      <c r="L7" s="73" t="s">
        <v>1693</v>
      </c>
      <c r="N7" s="23" t="n">
        <v>3</v>
      </c>
      <c r="O7" s="103" t="s">
        <v>9</v>
      </c>
      <c r="P7" s="73" t="s">
        <v>1435</v>
      </c>
      <c r="R7" s="23" t="n">
        <v>3</v>
      </c>
      <c r="S7" s="103" t="s">
        <v>9</v>
      </c>
      <c r="T7" s="73" t="s">
        <v>719</v>
      </c>
    </row>
    <row r="8" customFormat="false" ht="15" hidden="false" customHeight="true" outlineLevel="0" collapsed="false">
      <c r="A8" s="23" t="n">
        <v>2</v>
      </c>
      <c r="B8" s="87" t="s">
        <v>2477</v>
      </c>
      <c r="C8" s="73" t="s">
        <v>2478</v>
      </c>
      <c r="D8" s="23" t="s">
        <v>2479</v>
      </c>
      <c r="F8" s="23" t="n">
        <v>4</v>
      </c>
      <c r="G8" s="103" t="s">
        <v>1998</v>
      </c>
      <c r="H8" s="73" t="s">
        <v>719</v>
      </c>
      <c r="I8" s="96"/>
      <c r="J8" s="23" t="n">
        <v>4</v>
      </c>
      <c r="K8" s="103" t="s">
        <v>1404</v>
      </c>
      <c r="L8" s="73" t="s">
        <v>940</v>
      </c>
      <c r="N8" s="23" t="n">
        <v>4</v>
      </c>
      <c r="O8" s="103" t="s">
        <v>12</v>
      </c>
      <c r="P8" s="73" t="s">
        <v>1773</v>
      </c>
      <c r="R8" s="23" t="n">
        <v>4</v>
      </c>
      <c r="S8" s="103" t="s">
        <v>14</v>
      </c>
      <c r="T8" s="73" t="s">
        <v>2480</v>
      </c>
    </row>
    <row r="9" customFormat="false" ht="15" hidden="false" customHeight="false" outlineLevel="0" collapsed="false">
      <c r="A9" s="23"/>
      <c r="B9" s="87"/>
      <c r="C9" s="73" t="s">
        <v>2481</v>
      </c>
      <c r="D9" s="23" t="s">
        <v>2482</v>
      </c>
      <c r="F9" s="23" t="n">
        <v>5</v>
      </c>
      <c r="G9" s="103" t="s">
        <v>30</v>
      </c>
      <c r="H9" s="73" t="s">
        <v>1323</v>
      </c>
      <c r="I9" s="96"/>
      <c r="J9" s="23" t="n">
        <v>5</v>
      </c>
      <c r="K9" s="103" t="s">
        <v>12</v>
      </c>
      <c r="L9" s="73" t="s">
        <v>2483</v>
      </c>
      <c r="N9" s="23" t="n">
        <v>5</v>
      </c>
      <c r="O9" s="103" t="s">
        <v>33</v>
      </c>
      <c r="P9" s="73" t="s">
        <v>1693</v>
      </c>
      <c r="R9" s="23" t="n">
        <v>5</v>
      </c>
      <c r="S9" s="103" t="s">
        <v>1404</v>
      </c>
      <c r="T9" s="73" t="s">
        <v>792</v>
      </c>
    </row>
    <row r="10" customFormat="false" ht="15" hidden="false" customHeight="true" outlineLevel="0" collapsed="false">
      <c r="A10" s="23" t="n">
        <v>3</v>
      </c>
      <c r="B10" s="87" t="s">
        <v>2484</v>
      </c>
      <c r="C10" s="73" t="s">
        <v>2485</v>
      </c>
      <c r="D10" s="23" t="s">
        <v>2486</v>
      </c>
      <c r="F10" s="23" t="n">
        <v>6</v>
      </c>
      <c r="G10" s="103" t="s">
        <v>32</v>
      </c>
      <c r="H10" s="73" t="s">
        <v>1641</v>
      </c>
      <c r="I10" s="96"/>
      <c r="J10" s="62" t="s">
        <v>39</v>
      </c>
      <c r="K10" s="62"/>
      <c r="L10" s="73" t="s">
        <v>758</v>
      </c>
      <c r="N10" s="23" t="n">
        <v>6</v>
      </c>
      <c r="O10" s="103" t="s">
        <v>1404</v>
      </c>
      <c r="P10" s="73" t="s">
        <v>940</v>
      </c>
      <c r="R10" s="62" t="s">
        <v>39</v>
      </c>
      <c r="S10" s="62"/>
      <c r="T10" s="73" t="s">
        <v>732</v>
      </c>
    </row>
    <row r="11" customFormat="false" ht="15" hidden="false" customHeight="false" outlineLevel="0" collapsed="false">
      <c r="A11" s="23"/>
      <c r="B11" s="87"/>
      <c r="C11" s="73" t="s">
        <v>2487</v>
      </c>
      <c r="D11" s="23" t="s">
        <v>2488</v>
      </c>
      <c r="F11" s="23" t="n">
        <v>7</v>
      </c>
      <c r="G11" s="103" t="s">
        <v>36</v>
      </c>
      <c r="H11" s="73" t="s">
        <v>1645</v>
      </c>
      <c r="I11" s="96"/>
      <c r="N11" s="62" t="s">
        <v>39</v>
      </c>
      <c r="O11" s="62"/>
      <c r="P11" s="73" t="s">
        <v>758</v>
      </c>
    </row>
    <row r="12" customFormat="false" ht="15" hidden="false" customHeight="true" outlineLevel="0" collapsed="false">
      <c r="A12" s="23" t="n">
        <v>4</v>
      </c>
      <c r="B12" s="87" t="s">
        <v>2489</v>
      </c>
      <c r="C12" s="73" t="s">
        <v>2490</v>
      </c>
      <c r="D12" s="23" t="s">
        <v>2491</v>
      </c>
      <c r="F12" s="23" t="n">
        <v>8</v>
      </c>
      <c r="G12" s="103" t="s">
        <v>1404</v>
      </c>
      <c r="H12" s="73" t="s">
        <v>1995</v>
      </c>
    </row>
    <row r="13" customFormat="false" ht="15" hidden="false" customHeight="false" outlineLevel="0" collapsed="false">
      <c r="A13" s="23"/>
      <c r="B13" s="87"/>
      <c r="C13" s="73" t="s">
        <v>2492</v>
      </c>
      <c r="D13" s="23" t="s">
        <v>2409</v>
      </c>
      <c r="F13" s="62" t="s">
        <v>39</v>
      </c>
      <c r="G13" s="62"/>
      <c r="H13" s="73" t="s">
        <v>758</v>
      </c>
    </row>
    <row r="14" customFormat="false" ht="15" hidden="false" customHeight="true" outlineLevel="0" collapsed="false">
      <c r="A14" s="23" t="n">
        <v>5</v>
      </c>
      <c r="B14" s="87" t="s">
        <v>2493</v>
      </c>
      <c r="C14" s="73" t="s">
        <v>2494</v>
      </c>
      <c r="D14" s="23" t="s">
        <v>2495</v>
      </c>
    </row>
    <row r="15" customFormat="false" ht="15" hidden="false" customHeight="false" outlineLevel="0" collapsed="false">
      <c r="A15" s="23"/>
      <c r="B15" s="87"/>
      <c r="C15" s="73" t="s">
        <v>2496</v>
      </c>
      <c r="D15" s="23" t="s">
        <v>2497</v>
      </c>
      <c r="F15" s="7" t="s">
        <v>2498</v>
      </c>
      <c r="J15" s="7" t="s">
        <v>2499</v>
      </c>
      <c r="N15" s="7" t="s">
        <v>2500</v>
      </c>
      <c r="R15" s="7" t="s">
        <v>2501</v>
      </c>
    </row>
    <row r="16" customFormat="false" ht="15" hidden="false" customHeight="true" outlineLevel="0" collapsed="false">
      <c r="A16" s="23" t="n">
        <v>6</v>
      </c>
      <c r="B16" s="87" t="s">
        <v>2502</v>
      </c>
      <c r="C16" s="73" t="s">
        <v>2503</v>
      </c>
      <c r="D16" s="23" t="s">
        <v>2504</v>
      </c>
      <c r="F16" s="8" t="s">
        <v>6</v>
      </c>
      <c r="G16" s="12" t="s">
        <v>767</v>
      </c>
      <c r="H16" s="62" t="s">
        <v>2505</v>
      </c>
      <c r="J16" s="8" t="s">
        <v>6</v>
      </c>
      <c r="K16" s="12" t="s">
        <v>767</v>
      </c>
      <c r="L16" s="62" t="s">
        <v>2506</v>
      </c>
      <c r="N16" s="8" t="s">
        <v>6</v>
      </c>
      <c r="O16" s="12" t="s">
        <v>767</v>
      </c>
      <c r="P16" s="62" t="s">
        <v>379</v>
      </c>
      <c r="R16" s="8" t="s">
        <v>6</v>
      </c>
      <c r="S16" s="12" t="s">
        <v>767</v>
      </c>
      <c r="T16" s="62" t="s">
        <v>380</v>
      </c>
    </row>
    <row r="17" customFormat="false" ht="15" hidden="false" customHeight="false" outlineLevel="0" collapsed="false">
      <c r="A17" s="23"/>
      <c r="B17" s="87"/>
      <c r="C17" s="73" t="s">
        <v>2507</v>
      </c>
      <c r="D17" s="23" t="s">
        <v>2508</v>
      </c>
      <c r="F17" s="23" t="n">
        <v>1</v>
      </c>
      <c r="G17" s="103" t="s">
        <v>18</v>
      </c>
      <c r="H17" s="73" t="s">
        <v>902</v>
      </c>
      <c r="J17" s="23" t="n">
        <v>1</v>
      </c>
      <c r="K17" s="103" t="s">
        <v>18</v>
      </c>
      <c r="L17" s="73" t="s">
        <v>2509</v>
      </c>
      <c r="N17" s="23" t="n">
        <v>1</v>
      </c>
      <c r="O17" s="103" t="s">
        <v>778</v>
      </c>
      <c r="P17" s="73" t="s">
        <v>1435</v>
      </c>
      <c r="R17" s="23" t="n">
        <v>1</v>
      </c>
      <c r="S17" s="103" t="s">
        <v>778</v>
      </c>
      <c r="T17" s="73" t="s">
        <v>745</v>
      </c>
    </row>
    <row r="18" customFormat="false" ht="15" hidden="false" customHeight="true" outlineLevel="0" collapsed="false">
      <c r="A18" s="23" t="n">
        <v>7</v>
      </c>
      <c r="B18" s="87" t="s">
        <v>2510</v>
      </c>
      <c r="C18" s="73" t="s">
        <v>2511</v>
      </c>
      <c r="D18" s="23" t="s">
        <v>2512</v>
      </c>
      <c r="F18" s="23" t="n">
        <v>2</v>
      </c>
      <c r="G18" s="103" t="s">
        <v>19</v>
      </c>
      <c r="H18" s="73" t="s">
        <v>2513</v>
      </c>
      <c r="J18" s="23" t="n">
        <v>2</v>
      </c>
      <c r="K18" s="103" t="s">
        <v>19</v>
      </c>
      <c r="L18" s="73" t="s">
        <v>775</v>
      </c>
      <c r="N18" s="23" t="n">
        <v>2</v>
      </c>
      <c r="O18" s="103" t="s">
        <v>682</v>
      </c>
      <c r="P18" s="73" t="s">
        <v>2514</v>
      </c>
      <c r="R18" s="23" t="n">
        <v>2</v>
      </c>
      <c r="S18" s="103" t="s">
        <v>682</v>
      </c>
      <c r="T18" s="73" t="s">
        <v>2515</v>
      </c>
    </row>
    <row r="19" customFormat="false" ht="15" hidden="false" customHeight="false" outlineLevel="0" collapsed="false">
      <c r="A19" s="23"/>
      <c r="B19" s="87"/>
      <c r="C19" s="73" t="s">
        <v>2516</v>
      </c>
      <c r="D19" s="23" t="s">
        <v>2517</v>
      </c>
      <c r="F19" s="23" t="n">
        <v>3</v>
      </c>
      <c r="G19" s="103" t="s">
        <v>9</v>
      </c>
      <c r="H19" s="73" t="s">
        <v>1435</v>
      </c>
      <c r="J19" s="23" t="n">
        <v>3</v>
      </c>
      <c r="K19" s="103" t="s">
        <v>9</v>
      </c>
      <c r="L19" s="73" t="s">
        <v>1435</v>
      </c>
      <c r="N19" s="23" t="n">
        <v>3</v>
      </c>
      <c r="O19" s="103" t="s">
        <v>9</v>
      </c>
      <c r="P19" s="73" t="s">
        <v>719</v>
      </c>
      <c r="R19" s="23" t="n">
        <v>3</v>
      </c>
      <c r="S19" s="103" t="s">
        <v>9</v>
      </c>
      <c r="T19" s="73" t="s">
        <v>719</v>
      </c>
    </row>
    <row r="20" customFormat="false" ht="15" hidden="false" customHeight="true" outlineLevel="0" collapsed="false">
      <c r="A20" s="23" t="n">
        <v>8</v>
      </c>
      <c r="B20" s="87" t="s">
        <v>2518</v>
      </c>
      <c r="C20" s="73" t="s">
        <v>2519</v>
      </c>
      <c r="D20" s="23" t="s">
        <v>2520</v>
      </c>
      <c r="F20" s="23" t="n">
        <v>4</v>
      </c>
      <c r="G20" s="103" t="s">
        <v>12</v>
      </c>
      <c r="H20" s="73" t="s">
        <v>1773</v>
      </c>
      <c r="J20" s="23" t="n">
        <v>4</v>
      </c>
      <c r="K20" s="103" t="s">
        <v>12</v>
      </c>
      <c r="L20" s="73" t="s">
        <v>1773</v>
      </c>
      <c r="N20" s="23" t="n">
        <v>4</v>
      </c>
      <c r="O20" s="103" t="s">
        <v>12</v>
      </c>
      <c r="P20" s="73" t="s">
        <v>2437</v>
      </c>
      <c r="R20" s="23" t="n">
        <v>4</v>
      </c>
      <c r="S20" s="103" t="s">
        <v>12</v>
      </c>
      <c r="T20" s="73" t="s">
        <v>2437</v>
      </c>
    </row>
    <row r="21" customFormat="false" ht="15" hidden="false" customHeight="false" outlineLevel="0" collapsed="false">
      <c r="A21" s="23"/>
      <c r="B21" s="87"/>
      <c r="C21" s="73" t="s">
        <v>2521</v>
      </c>
      <c r="D21" s="23" t="s">
        <v>1755</v>
      </c>
      <c r="F21" s="23" t="n">
        <v>5</v>
      </c>
      <c r="G21" s="103" t="s">
        <v>31</v>
      </c>
      <c r="H21" s="73" t="s">
        <v>2358</v>
      </c>
      <c r="J21" s="23" t="n">
        <v>5</v>
      </c>
      <c r="K21" s="103" t="s">
        <v>31</v>
      </c>
      <c r="L21" s="73" t="s">
        <v>2358</v>
      </c>
      <c r="N21" s="23" t="n">
        <v>5</v>
      </c>
      <c r="O21" s="103" t="s">
        <v>33</v>
      </c>
      <c r="P21" s="73" t="s">
        <v>2440</v>
      </c>
      <c r="R21" s="23" t="n">
        <v>5</v>
      </c>
      <c r="S21" s="103" t="s">
        <v>33</v>
      </c>
      <c r="T21" s="73" t="s">
        <v>2440</v>
      </c>
    </row>
    <row r="22" customFormat="false" ht="15" hidden="false" customHeight="false" outlineLevel="0" collapsed="false">
      <c r="F22" s="23" t="n">
        <v>6</v>
      </c>
      <c r="G22" s="103" t="s">
        <v>1404</v>
      </c>
      <c r="H22" s="73" t="s">
        <v>1694</v>
      </c>
      <c r="J22" s="23" t="n">
        <v>6</v>
      </c>
      <c r="K22" s="103" t="s">
        <v>1404</v>
      </c>
      <c r="L22" s="73" t="s">
        <v>1034</v>
      </c>
      <c r="N22" s="23" t="n">
        <v>6</v>
      </c>
      <c r="O22" s="103" t="s">
        <v>1404</v>
      </c>
      <c r="P22" s="73" t="s">
        <v>792</v>
      </c>
      <c r="R22" s="23" t="n">
        <v>6</v>
      </c>
      <c r="S22" s="103" t="s">
        <v>1404</v>
      </c>
      <c r="T22" s="73" t="s">
        <v>2522</v>
      </c>
    </row>
    <row r="23" customFormat="false" ht="15" hidden="false" customHeight="false" outlineLevel="0" collapsed="false">
      <c r="F23" s="62" t="s">
        <v>39</v>
      </c>
      <c r="G23" s="62"/>
      <c r="H23" s="73" t="s">
        <v>758</v>
      </c>
      <c r="J23" s="62" t="s">
        <v>39</v>
      </c>
      <c r="K23" s="62"/>
      <c r="L23" s="73" t="s">
        <v>758</v>
      </c>
      <c r="N23" s="62" t="s">
        <v>39</v>
      </c>
      <c r="O23" s="62"/>
      <c r="P23" s="73" t="s">
        <v>732</v>
      </c>
      <c r="R23" s="62" t="s">
        <v>39</v>
      </c>
      <c r="S23" s="62"/>
      <c r="T23" s="73" t="s">
        <v>732</v>
      </c>
    </row>
    <row r="25" customFormat="false" ht="15" hidden="false" customHeight="false" outlineLevel="0" collapsed="false">
      <c r="F25" s="7" t="s">
        <v>2501</v>
      </c>
      <c r="J25" s="7" t="s">
        <v>2523</v>
      </c>
      <c r="N25" s="7" t="s">
        <v>2463</v>
      </c>
    </row>
    <row r="26" customFormat="false" ht="15" hidden="false" customHeight="false" outlineLevel="0" collapsed="false">
      <c r="F26" s="8" t="s">
        <v>6</v>
      </c>
      <c r="G26" s="12" t="s">
        <v>767</v>
      </c>
      <c r="H26" s="62" t="s">
        <v>379</v>
      </c>
      <c r="J26" s="8" t="s">
        <v>6</v>
      </c>
      <c r="K26" s="12" t="s">
        <v>767</v>
      </c>
      <c r="L26" s="62" t="s">
        <v>379</v>
      </c>
      <c r="N26" s="8" t="s">
        <v>6</v>
      </c>
      <c r="O26" s="12" t="s">
        <v>767</v>
      </c>
      <c r="P26" s="62" t="s">
        <v>382</v>
      </c>
    </row>
    <row r="27" customFormat="false" ht="15" hidden="false" customHeight="false" outlineLevel="0" collapsed="false">
      <c r="F27" s="23" t="n">
        <v>1</v>
      </c>
      <c r="G27" s="103" t="s">
        <v>778</v>
      </c>
      <c r="H27" s="73" t="s">
        <v>745</v>
      </c>
      <c r="J27" s="23" t="n">
        <v>1</v>
      </c>
      <c r="K27" s="103" t="s">
        <v>19</v>
      </c>
      <c r="L27" s="73" t="s">
        <v>745</v>
      </c>
      <c r="N27" s="23" t="n">
        <v>1</v>
      </c>
      <c r="O27" s="103" t="s">
        <v>778</v>
      </c>
      <c r="P27" s="73" t="s">
        <v>2470</v>
      </c>
    </row>
    <row r="28" customFormat="false" ht="15" hidden="false" customHeight="false" outlineLevel="0" collapsed="false">
      <c r="F28" s="23" t="n">
        <v>2</v>
      </c>
      <c r="G28" s="103" t="s">
        <v>682</v>
      </c>
      <c r="H28" s="73" t="s">
        <v>2515</v>
      </c>
      <c r="J28" s="23" t="n">
        <v>2</v>
      </c>
      <c r="K28" s="103" t="s">
        <v>18</v>
      </c>
      <c r="L28" s="73" t="s">
        <v>1452</v>
      </c>
      <c r="N28" s="23" t="n">
        <v>2</v>
      </c>
      <c r="O28" s="103" t="s">
        <v>1065</v>
      </c>
      <c r="P28" s="73" t="s">
        <v>2475</v>
      </c>
    </row>
    <row r="29" customFormat="false" ht="15" hidden="false" customHeight="false" outlineLevel="0" collapsed="false">
      <c r="F29" s="23" t="n">
        <v>3</v>
      </c>
      <c r="G29" s="103" t="s">
        <v>9</v>
      </c>
      <c r="H29" s="73" t="s">
        <v>719</v>
      </c>
      <c r="J29" s="23" t="n">
        <v>3</v>
      </c>
      <c r="K29" s="103" t="s">
        <v>786</v>
      </c>
      <c r="L29" s="73" t="s">
        <v>2436</v>
      </c>
      <c r="N29" s="23" t="n">
        <v>3</v>
      </c>
      <c r="O29" s="103" t="s">
        <v>9</v>
      </c>
      <c r="P29" s="73" t="s">
        <v>719</v>
      </c>
    </row>
    <row r="30" customFormat="false" ht="15" hidden="false" customHeight="false" outlineLevel="0" collapsed="false">
      <c r="F30" s="23" t="n">
        <v>4</v>
      </c>
      <c r="G30" s="103" t="s">
        <v>12</v>
      </c>
      <c r="H30" s="73" t="s">
        <v>2437</v>
      </c>
      <c r="J30" s="23" t="n">
        <v>4</v>
      </c>
      <c r="K30" s="103" t="s">
        <v>12</v>
      </c>
      <c r="L30" s="73" t="s">
        <v>2439</v>
      </c>
      <c r="N30" s="23" t="n">
        <v>4</v>
      </c>
      <c r="O30" s="103" t="s">
        <v>14</v>
      </c>
      <c r="P30" s="73" t="s">
        <v>2480</v>
      </c>
    </row>
    <row r="31" customFormat="false" ht="15" hidden="false" customHeight="false" outlineLevel="0" collapsed="false">
      <c r="F31" s="23" t="n">
        <v>5</v>
      </c>
      <c r="G31" s="103" t="s">
        <v>33</v>
      </c>
      <c r="H31" s="73" t="s">
        <v>2440</v>
      </c>
      <c r="J31" s="23" t="n">
        <v>5</v>
      </c>
      <c r="K31" s="103" t="s">
        <v>33</v>
      </c>
      <c r="L31" s="73" t="s">
        <v>2440</v>
      </c>
      <c r="N31" s="23" t="n">
        <v>5</v>
      </c>
      <c r="O31" s="103" t="s">
        <v>1404</v>
      </c>
      <c r="P31" s="73" t="s">
        <v>792</v>
      </c>
    </row>
    <row r="32" customFormat="false" ht="15" hidden="false" customHeight="false" outlineLevel="0" collapsed="false">
      <c r="F32" s="23" t="n">
        <v>6</v>
      </c>
      <c r="G32" s="103" t="s">
        <v>1404</v>
      </c>
      <c r="H32" s="73" t="s">
        <v>2522</v>
      </c>
      <c r="J32" s="23" t="n">
        <v>6</v>
      </c>
      <c r="K32" s="103" t="s">
        <v>1404</v>
      </c>
      <c r="L32" s="73" t="s">
        <v>2524</v>
      </c>
      <c r="N32" s="62" t="s">
        <v>39</v>
      </c>
      <c r="O32" s="62"/>
      <c r="P32" s="73" t="s">
        <v>732</v>
      </c>
    </row>
    <row r="33" customFormat="false" ht="15" hidden="false" customHeight="false" outlineLevel="0" collapsed="false">
      <c r="F33" s="62" t="s">
        <v>39</v>
      </c>
      <c r="G33" s="62"/>
      <c r="H33" s="73" t="s">
        <v>732</v>
      </c>
      <c r="J33" s="62" t="s">
        <v>39</v>
      </c>
      <c r="K33" s="62"/>
      <c r="L33" s="73" t="s">
        <v>732</v>
      </c>
    </row>
    <row r="35" customFormat="false" ht="15" hidden="false" customHeight="false" outlineLevel="0" collapsed="false">
      <c r="F35" s="7" t="s">
        <v>2525</v>
      </c>
    </row>
    <row r="36" customFormat="false" ht="15" hidden="false" customHeight="false" outlineLevel="0" collapsed="false">
      <c r="F36" s="8" t="s">
        <v>6</v>
      </c>
      <c r="G36" s="12" t="s">
        <v>767</v>
      </c>
      <c r="H36" s="62" t="s">
        <v>385</v>
      </c>
    </row>
    <row r="37" customFormat="false" ht="15" hidden="false" customHeight="false" outlineLevel="0" collapsed="false">
      <c r="F37" s="23" t="n">
        <v>1</v>
      </c>
      <c r="G37" s="103" t="s">
        <v>19</v>
      </c>
      <c r="H37" s="73"/>
    </row>
    <row r="38" customFormat="false" ht="15" hidden="false" customHeight="false" outlineLevel="0" collapsed="false">
      <c r="F38" s="23" t="n">
        <v>2</v>
      </c>
      <c r="G38" s="103" t="s">
        <v>18</v>
      </c>
      <c r="H38" s="73"/>
    </row>
    <row r="39" customFormat="false" ht="15" hidden="false" customHeight="false" outlineLevel="0" collapsed="false">
      <c r="F39" s="23" t="n">
        <v>3</v>
      </c>
      <c r="G39" s="103" t="s">
        <v>9</v>
      </c>
      <c r="H39" s="73"/>
    </row>
    <row r="40" customFormat="false" ht="15" hidden="false" customHeight="false" outlineLevel="0" collapsed="false">
      <c r="F40" s="23" t="n">
        <v>4</v>
      </c>
      <c r="G40" s="103" t="s">
        <v>31</v>
      </c>
      <c r="H40" s="73"/>
    </row>
    <row r="41" customFormat="false" ht="15" hidden="false" customHeight="false" outlineLevel="0" collapsed="false">
      <c r="F41" s="23" t="n">
        <v>5</v>
      </c>
      <c r="G41" s="103" t="s">
        <v>12</v>
      </c>
      <c r="H41" s="73"/>
    </row>
    <row r="42" customFormat="false" ht="15" hidden="false" customHeight="false" outlineLevel="0" collapsed="false">
      <c r="F42" s="23" t="n">
        <v>6</v>
      </c>
      <c r="G42" s="103" t="s">
        <v>1404</v>
      </c>
      <c r="H42" s="73"/>
    </row>
    <row r="43" customFormat="false" ht="15" hidden="false" customHeight="false" outlineLevel="0" collapsed="false">
      <c r="F43" s="62" t="s">
        <v>39</v>
      </c>
      <c r="G43" s="62"/>
      <c r="H43" s="73" t="s">
        <v>732</v>
      </c>
    </row>
  </sheetData>
  <mergeCells count="30">
    <mergeCell ref="A4:A5"/>
    <mergeCell ref="B4:B5"/>
    <mergeCell ref="A6:A7"/>
    <mergeCell ref="B6:B7"/>
    <mergeCell ref="A8:A9"/>
    <mergeCell ref="B8:B9"/>
    <mergeCell ref="A10:A11"/>
    <mergeCell ref="B10:B11"/>
    <mergeCell ref="J10:K10"/>
    <mergeCell ref="R10:S10"/>
    <mergeCell ref="N11:O11"/>
    <mergeCell ref="A12:A13"/>
    <mergeCell ref="B12:B13"/>
    <mergeCell ref="F13:G13"/>
    <mergeCell ref="A14:A15"/>
    <mergeCell ref="B14:B15"/>
    <mergeCell ref="A16:A17"/>
    <mergeCell ref="B16:B17"/>
    <mergeCell ref="A18:A19"/>
    <mergeCell ref="B18:B19"/>
    <mergeCell ref="A20:A21"/>
    <mergeCell ref="B20:B21"/>
    <mergeCell ref="F23:G23"/>
    <mergeCell ref="J23:K23"/>
    <mergeCell ref="N23:O23"/>
    <mergeCell ref="R23:S23"/>
    <mergeCell ref="N32:O32"/>
    <mergeCell ref="F33:G33"/>
    <mergeCell ref="J33:K33"/>
    <mergeCell ref="F43:G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3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33"/>
    <col collapsed="false" customWidth="true" hidden="false" outlineLevel="0" max="3" min="3" style="0" width="33.57"/>
    <col collapsed="false" customWidth="true" hidden="false" outlineLevel="0" max="4" min="4" style="0" width="29"/>
    <col collapsed="false" customWidth="true" hidden="false" outlineLevel="0" max="6" min="6" style="0" width="4.28"/>
    <col collapsed="false" customWidth="true" hidden="false" outlineLevel="0" max="7" min="7" style="0" width="13.71"/>
    <col collapsed="false" customWidth="true" hidden="false" outlineLevel="0" max="8" min="8" style="0" width="14.43"/>
    <col collapsed="false" customWidth="true" hidden="false" outlineLevel="0" max="11" min="11" style="0" width="5.14"/>
    <col collapsed="false" customWidth="true" hidden="false" outlineLevel="0" max="12" min="12" style="0" width="13.71"/>
    <col collapsed="false" customWidth="true" hidden="false" outlineLevel="0" max="13" min="13" style="0" width="11.43"/>
    <col collapsed="false" customWidth="true" hidden="false" outlineLevel="0" max="15" min="14" style="0" width="10.71"/>
  </cols>
  <sheetData>
    <row r="2" customFormat="false" ht="15" hidden="false" customHeight="false" outlineLevel="0" collapsed="false">
      <c r="A2" s="69" t="s">
        <v>383</v>
      </c>
    </row>
    <row r="3" customFormat="false" ht="15" hidden="false" customHeight="false" outlineLevel="0" collapsed="false">
      <c r="F3" s="7" t="s">
        <v>2526</v>
      </c>
      <c r="K3" s="7" t="s">
        <v>2527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679</v>
      </c>
      <c r="D4" s="8" t="s">
        <v>680</v>
      </c>
      <c r="F4" s="8" t="s">
        <v>6</v>
      </c>
      <c r="G4" s="12" t="s">
        <v>767</v>
      </c>
      <c r="H4" s="62" t="s">
        <v>385</v>
      </c>
      <c r="I4" s="62" t="s">
        <v>386</v>
      </c>
      <c r="K4" s="8" t="s">
        <v>6</v>
      </c>
      <c r="L4" s="12" t="s">
        <v>767</v>
      </c>
      <c r="M4" s="62" t="s">
        <v>389</v>
      </c>
      <c r="N4" s="62" t="s">
        <v>390</v>
      </c>
      <c r="O4" s="62" t="s">
        <v>391</v>
      </c>
    </row>
    <row r="5" customFormat="false" ht="15" hidden="false" customHeight="false" outlineLevel="0" collapsed="false">
      <c r="A5" s="8"/>
      <c r="B5" s="8"/>
      <c r="C5" s="8" t="s">
        <v>2467</v>
      </c>
      <c r="D5" s="8" t="s">
        <v>2468</v>
      </c>
      <c r="F5" s="23" t="n">
        <v>1</v>
      </c>
      <c r="G5" s="103" t="s">
        <v>19</v>
      </c>
      <c r="H5" s="73" t="s">
        <v>1378</v>
      </c>
      <c r="I5" s="73" t="s">
        <v>775</v>
      </c>
      <c r="K5" s="23" t="n">
        <v>1</v>
      </c>
      <c r="L5" s="103" t="s">
        <v>778</v>
      </c>
      <c r="M5" s="73" t="s">
        <v>952</v>
      </c>
      <c r="N5" s="73" t="s">
        <v>1378</v>
      </c>
      <c r="O5" s="73" t="s">
        <v>2024</v>
      </c>
    </row>
    <row r="6" customFormat="false" ht="15" hidden="false" customHeight="true" outlineLevel="0" collapsed="false">
      <c r="A6" s="23" t="n">
        <v>1</v>
      </c>
      <c r="B6" s="87" t="s">
        <v>2528</v>
      </c>
      <c r="C6" s="73" t="s">
        <v>2529</v>
      </c>
      <c r="D6" s="23" t="s">
        <v>2530</v>
      </c>
      <c r="F6" s="23" t="n">
        <v>2</v>
      </c>
      <c r="G6" s="103" t="s">
        <v>18</v>
      </c>
      <c r="H6" s="73" t="s">
        <v>1740</v>
      </c>
      <c r="I6" s="73" t="s">
        <v>2531</v>
      </c>
      <c r="K6" s="23" t="n">
        <v>2</v>
      </c>
      <c r="L6" s="103" t="s">
        <v>682</v>
      </c>
      <c r="M6" s="73" t="s">
        <v>2532</v>
      </c>
      <c r="N6" s="73" t="s">
        <v>2533</v>
      </c>
      <c r="O6" s="73" t="s">
        <v>2534</v>
      </c>
    </row>
    <row r="7" customFormat="false" ht="15" hidden="false" customHeight="false" outlineLevel="0" collapsed="false">
      <c r="A7" s="23"/>
      <c r="B7" s="87"/>
      <c r="C7" s="73" t="s">
        <v>2535</v>
      </c>
      <c r="D7" s="23" t="s">
        <v>1146</v>
      </c>
      <c r="F7" s="23" t="n">
        <v>3</v>
      </c>
      <c r="G7" s="103" t="s">
        <v>9</v>
      </c>
      <c r="H7" s="73" t="s">
        <v>2436</v>
      </c>
      <c r="I7" s="73" t="s">
        <v>1435</v>
      </c>
      <c r="K7" s="23" t="n">
        <v>3</v>
      </c>
      <c r="L7" s="103" t="s">
        <v>9</v>
      </c>
      <c r="M7" s="73" t="s">
        <v>745</v>
      </c>
      <c r="N7" s="73" t="s">
        <v>745</v>
      </c>
      <c r="O7" s="73" t="s">
        <v>745</v>
      </c>
    </row>
    <row r="8" customFormat="false" ht="15" hidden="false" customHeight="true" outlineLevel="0" collapsed="false">
      <c r="A8" s="23" t="n">
        <v>2</v>
      </c>
      <c r="B8" s="87" t="s">
        <v>2536</v>
      </c>
      <c r="C8" s="73" t="s">
        <v>2537</v>
      </c>
      <c r="D8" s="23" t="s">
        <v>2538</v>
      </c>
      <c r="F8" s="23" t="n">
        <v>4</v>
      </c>
      <c r="G8" s="103" t="s">
        <v>31</v>
      </c>
      <c r="H8" s="73" t="s">
        <v>2539</v>
      </c>
      <c r="I8" s="73" t="s">
        <v>2358</v>
      </c>
      <c r="K8" s="23" t="n">
        <v>4</v>
      </c>
      <c r="L8" s="103" t="s">
        <v>12</v>
      </c>
      <c r="M8" s="73" t="s">
        <v>2483</v>
      </c>
      <c r="N8" s="73" t="s">
        <v>2483</v>
      </c>
      <c r="O8" s="73" t="s">
        <v>2483</v>
      </c>
    </row>
    <row r="9" customFormat="false" ht="15" hidden="false" customHeight="false" outlineLevel="0" collapsed="false">
      <c r="A9" s="23"/>
      <c r="B9" s="87"/>
      <c r="C9" s="73" t="s">
        <v>2496</v>
      </c>
      <c r="D9" s="23" t="s">
        <v>2540</v>
      </c>
      <c r="F9" s="23" t="n">
        <v>5</v>
      </c>
      <c r="G9" s="103" t="s">
        <v>1404</v>
      </c>
      <c r="H9" s="73" t="s">
        <v>2524</v>
      </c>
      <c r="I9" s="73" t="s">
        <v>2073</v>
      </c>
      <c r="K9" s="23" t="n">
        <v>5</v>
      </c>
      <c r="L9" s="103" t="s">
        <v>31</v>
      </c>
      <c r="M9" s="73" t="s">
        <v>2358</v>
      </c>
      <c r="N9" s="73" t="s">
        <v>2358</v>
      </c>
      <c r="O9" s="73" t="s">
        <v>2358</v>
      </c>
    </row>
    <row r="10" customFormat="false" ht="15" hidden="false" customHeight="true" outlineLevel="0" collapsed="false">
      <c r="A10" s="23" t="n">
        <v>3</v>
      </c>
      <c r="B10" s="87" t="s">
        <v>2541</v>
      </c>
      <c r="C10" s="73" t="s">
        <v>2542</v>
      </c>
      <c r="D10" s="23" t="s">
        <v>2543</v>
      </c>
      <c r="F10" s="23" t="n">
        <v>6</v>
      </c>
      <c r="G10" s="103" t="s">
        <v>12</v>
      </c>
      <c r="H10" s="73" t="s">
        <v>2439</v>
      </c>
      <c r="I10" s="73" t="s">
        <v>1773</v>
      </c>
      <c r="K10" s="23" t="n">
        <v>6</v>
      </c>
      <c r="L10" s="103" t="s">
        <v>1404</v>
      </c>
      <c r="M10" s="73" t="s">
        <v>1034</v>
      </c>
      <c r="N10" s="73" t="s">
        <v>2073</v>
      </c>
      <c r="O10" s="73" t="s">
        <v>1034</v>
      </c>
    </row>
    <row r="11" customFormat="false" ht="15" hidden="false" customHeight="false" outlineLevel="0" collapsed="false">
      <c r="A11" s="23"/>
      <c r="B11" s="87"/>
      <c r="C11" s="73" t="s">
        <v>478</v>
      </c>
      <c r="D11" s="23" t="s">
        <v>2544</v>
      </c>
      <c r="F11" s="62" t="s">
        <v>39</v>
      </c>
      <c r="G11" s="62"/>
      <c r="H11" s="73" t="s">
        <v>732</v>
      </c>
      <c r="I11" s="73" t="s">
        <v>758</v>
      </c>
      <c r="K11" s="62" t="s">
        <v>39</v>
      </c>
      <c r="L11" s="62"/>
      <c r="M11" s="73" t="s">
        <v>758</v>
      </c>
      <c r="N11" s="73" t="s">
        <v>758</v>
      </c>
      <c r="O11" s="73" t="s">
        <v>758</v>
      </c>
    </row>
    <row r="12" customFormat="false" ht="15" hidden="false" customHeight="true" outlineLevel="0" collapsed="false">
      <c r="A12" s="23" t="n">
        <v>4</v>
      </c>
      <c r="B12" s="87" t="s">
        <v>2545</v>
      </c>
      <c r="C12" s="73" t="s">
        <v>2546</v>
      </c>
      <c r="D12" s="23" t="s">
        <v>2547</v>
      </c>
    </row>
    <row r="13" customFormat="false" ht="15" hidden="false" customHeight="false" outlineLevel="0" collapsed="false">
      <c r="A13" s="23"/>
      <c r="B13" s="87"/>
      <c r="C13" s="73" t="s">
        <v>2548</v>
      </c>
      <c r="D13" s="23" t="s">
        <v>2549</v>
      </c>
      <c r="F13" s="7" t="s">
        <v>2550</v>
      </c>
      <c r="K13" s="7" t="s">
        <v>2551</v>
      </c>
    </row>
    <row r="14" customFormat="false" ht="15" hidden="false" customHeight="true" outlineLevel="0" collapsed="false">
      <c r="A14" s="23" t="n">
        <v>5</v>
      </c>
      <c r="B14" s="87" t="s">
        <v>2552</v>
      </c>
      <c r="C14" s="73" t="s">
        <v>2553</v>
      </c>
      <c r="D14" s="23" t="s">
        <v>1716</v>
      </c>
      <c r="F14" s="8" t="s">
        <v>6</v>
      </c>
      <c r="G14" s="12" t="s">
        <v>767</v>
      </c>
      <c r="H14" s="62" t="s">
        <v>384</v>
      </c>
      <c r="K14" s="8" t="s">
        <v>6</v>
      </c>
      <c r="L14" s="12" t="s">
        <v>767</v>
      </c>
      <c r="M14" s="62" t="s">
        <v>2554</v>
      </c>
    </row>
    <row r="15" customFormat="false" ht="15" hidden="false" customHeight="false" outlineLevel="0" collapsed="false">
      <c r="A15" s="23"/>
      <c r="B15" s="87"/>
      <c r="C15" s="73" t="s">
        <v>1608</v>
      </c>
      <c r="D15" s="23" t="s">
        <v>2555</v>
      </c>
      <c r="F15" s="23" t="n">
        <v>1</v>
      </c>
      <c r="G15" s="103" t="s">
        <v>778</v>
      </c>
      <c r="H15" s="73" t="s">
        <v>1452</v>
      </c>
      <c r="K15" s="23" t="n">
        <v>1</v>
      </c>
      <c r="L15" s="103" t="s">
        <v>19</v>
      </c>
      <c r="M15" s="73" t="s">
        <v>745</v>
      </c>
    </row>
    <row r="16" customFormat="false" ht="15" hidden="false" customHeight="true" outlineLevel="0" collapsed="false">
      <c r="A16" s="23" t="n">
        <v>6</v>
      </c>
      <c r="B16" s="87" t="s">
        <v>2556</v>
      </c>
      <c r="C16" s="73" t="s">
        <v>2557</v>
      </c>
      <c r="D16" s="23" t="s">
        <v>2558</v>
      </c>
      <c r="F16" s="23" t="n">
        <v>2</v>
      </c>
      <c r="G16" s="103" t="s">
        <v>1065</v>
      </c>
      <c r="H16" s="73" t="s">
        <v>2559</v>
      </c>
      <c r="K16" s="23" t="n">
        <v>2</v>
      </c>
      <c r="L16" s="103" t="s">
        <v>18</v>
      </c>
      <c r="M16" s="73" t="s">
        <v>1452</v>
      </c>
    </row>
    <row r="17" customFormat="false" ht="15" hidden="false" customHeight="false" outlineLevel="0" collapsed="false">
      <c r="A17" s="23"/>
      <c r="B17" s="87"/>
      <c r="C17" s="73" t="s">
        <v>2560</v>
      </c>
      <c r="D17" s="23" t="s">
        <v>2561</v>
      </c>
      <c r="F17" s="23" t="n">
        <v>3</v>
      </c>
      <c r="G17" s="103" t="s">
        <v>9</v>
      </c>
      <c r="H17" s="73" t="s">
        <v>745</v>
      </c>
      <c r="K17" s="23" t="n">
        <v>3</v>
      </c>
      <c r="L17" s="103" t="s">
        <v>786</v>
      </c>
      <c r="M17" s="73" t="s">
        <v>2562</v>
      </c>
    </row>
    <row r="18" customFormat="false" ht="15" hidden="false" customHeight="true" outlineLevel="0" collapsed="false">
      <c r="A18" s="23" t="n">
        <v>7</v>
      </c>
      <c r="B18" s="87" t="s">
        <v>2563</v>
      </c>
      <c r="C18" s="73" t="s">
        <v>2564</v>
      </c>
      <c r="D18" s="23" t="s">
        <v>2565</v>
      </c>
      <c r="F18" s="23" t="n">
        <v>4</v>
      </c>
      <c r="G18" s="103" t="s">
        <v>14</v>
      </c>
      <c r="H18" s="73" t="s">
        <v>1132</v>
      </c>
      <c r="K18" s="23" t="n">
        <v>4</v>
      </c>
      <c r="L18" s="103" t="s">
        <v>12</v>
      </c>
      <c r="M18" s="73" t="s">
        <v>2439</v>
      </c>
    </row>
    <row r="19" customFormat="false" ht="15" hidden="false" customHeight="false" outlineLevel="0" collapsed="false">
      <c r="A19" s="23"/>
      <c r="B19" s="87"/>
      <c r="C19" s="73" t="s">
        <v>2566</v>
      </c>
      <c r="D19" s="23" t="s">
        <v>536</v>
      </c>
      <c r="F19" s="23" t="n">
        <v>5</v>
      </c>
      <c r="G19" s="103" t="s">
        <v>1404</v>
      </c>
      <c r="H19" s="73" t="s">
        <v>940</v>
      </c>
      <c r="K19" s="23" t="n">
        <v>5</v>
      </c>
      <c r="L19" s="103" t="s">
        <v>33</v>
      </c>
      <c r="M19" s="73" t="s">
        <v>2440</v>
      </c>
    </row>
    <row r="20" customFormat="false" ht="15" hidden="false" customHeight="true" outlineLevel="0" collapsed="false">
      <c r="A20" s="23" t="n">
        <v>8</v>
      </c>
      <c r="B20" s="87" t="s">
        <v>2567</v>
      </c>
      <c r="C20" s="73" t="s">
        <v>2568</v>
      </c>
      <c r="D20" s="23" t="s">
        <v>2569</v>
      </c>
      <c r="F20" s="62" t="s">
        <v>39</v>
      </c>
      <c r="G20" s="62"/>
      <c r="H20" s="73" t="s">
        <v>758</v>
      </c>
      <c r="K20" s="23" t="n">
        <v>6</v>
      </c>
      <c r="L20" s="103" t="s">
        <v>1404</v>
      </c>
      <c r="M20" s="73" t="s">
        <v>2524</v>
      </c>
    </row>
    <row r="21" customFormat="false" ht="15" hidden="false" customHeight="false" outlineLevel="0" collapsed="false">
      <c r="A21" s="23"/>
      <c r="B21" s="87"/>
      <c r="C21" s="73" t="s">
        <v>2570</v>
      </c>
      <c r="D21" s="23" t="s">
        <v>2571</v>
      </c>
      <c r="K21" s="62" t="s">
        <v>39</v>
      </c>
      <c r="L21" s="62"/>
      <c r="M21" s="73" t="s">
        <v>732</v>
      </c>
    </row>
    <row r="22" customFormat="false" ht="15" hidden="false" customHeight="true" outlineLevel="0" collapsed="false">
      <c r="A22" s="23" t="n">
        <v>9</v>
      </c>
      <c r="B22" s="87" t="s">
        <v>2572</v>
      </c>
      <c r="C22" s="73" t="s">
        <v>2573</v>
      </c>
      <c r="D22" s="23" t="s">
        <v>2574</v>
      </c>
    </row>
    <row r="23" customFormat="false" ht="15" hidden="false" customHeight="false" outlineLevel="0" collapsed="false">
      <c r="A23" s="23"/>
      <c r="B23" s="87"/>
      <c r="C23" s="73" t="s">
        <v>1770</v>
      </c>
      <c r="D23" s="23" t="s">
        <v>621</v>
      </c>
      <c r="F23" s="7" t="s">
        <v>2575</v>
      </c>
      <c r="K23" s="7" t="s">
        <v>2576</v>
      </c>
    </row>
    <row r="24" customFormat="false" ht="15" hidden="false" customHeight="false" outlineLevel="0" collapsed="false">
      <c r="F24" s="8" t="s">
        <v>6</v>
      </c>
      <c r="G24" s="12" t="s">
        <v>767</v>
      </c>
      <c r="H24" s="62" t="s">
        <v>2464</v>
      </c>
      <c r="K24" s="8" t="s">
        <v>6</v>
      </c>
      <c r="L24" s="12" t="s">
        <v>767</v>
      </c>
      <c r="M24" s="62" t="s">
        <v>2577</v>
      </c>
    </row>
    <row r="25" customFormat="false" ht="15" hidden="false" customHeight="false" outlineLevel="0" collapsed="false">
      <c r="F25" s="23" t="n">
        <v>1</v>
      </c>
      <c r="G25" s="103" t="s">
        <v>778</v>
      </c>
      <c r="H25" s="73" t="s">
        <v>1452</v>
      </c>
      <c r="K25" s="23" t="n">
        <v>1</v>
      </c>
      <c r="L25" s="103" t="s">
        <v>18</v>
      </c>
      <c r="M25" s="73" t="s">
        <v>2578</v>
      </c>
    </row>
    <row r="26" customFormat="false" ht="15" hidden="false" customHeight="false" outlineLevel="0" collapsed="false">
      <c r="F26" s="23" t="n">
        <v>2</v>
      </c>
      <c r="G26" s="103" t="s">
        <v>682</v>
      </c>
      <c r="H26" s="73" t="s">
        <v>2579</v>
      </c>
      <c r="K26" s="23" t="n">
        <v>2</v>
      </c>
      <c r="L26" s="103" t="s">
        <v>19</v>
      </c>
      <c r="M26" s="73" t="s">
        <v>1379</v>
      </c>
    </row>
    <row r="27" customFormat="false" ht="15" hidden="false" customHeight="false" outlineLevel="0" collapsed="false">
      <c r="F27" s="23" t="n">
        <v>3</v>
      </c>
      <c r="G27" s="103" t="s">
        <v>9</v>
      </c>
      <c r="H27" s="73" t="s">
        <v>719</v>
      </c>
      <c r="K27" s="23" t="n">
        <v>3</v>
      </c>
      <c r="L27" s="103" t="s">
        <v>9</v>
      </c>
      <c r="M27" s="73" t="s">
        <v>1694</v>
      </c>
    </row>
    <row r="28" customFormat="false" ht="15" hidden="false" customHeight="false" outlineLevel="0" collapsed="false">
      <c r="F28" s="23" t="n">
        <v>4</v>
      </c>
      <c r="G28" s="103" t="s">
        <v>1998</v>
      </c>
      <c r="H28" s="73" t="s">
        <v>719</v>
      </c>
      <c r="K28" s="23" t="n">
        <v>4</v>
      </c>
      <c r="L28" s="103" t="s">
        <v>12</v>
      </c>
      <c r="M28" s="73" t="s">
        <v>1789</v>
      </c>
    </row>
    <row r="29" customFormat="false" ht="15" hidden="false" customHeight="false" outlineLevel="0" collapsed="false">
      <c r="F29" s="23" t="n">
        <v>5</v>
      </c>
      <c r="G29" s="103" t="s">
        <v>30</v>
      </c>
      <c r="H29" s="73" t="s">
        <v>1323</v>
      </c>
      <c r="K29" s="23" t="n">
        <v>5</v>
      </c>
      <c r="L29" s="103" t="s">
        <v>33</v>
      </c>
      <c r="M29" s="73" t="s">
        <v>1693</v>
      </c>
    </row>
    <row r="30" customFormat="false" ht="15" hidden="false" customHeight="false" outlineLevel="0" collapsed="false">
      <c r="F30" s="23" t="n">
        <v>6</v>
      </c>
      <c r="G30" s="103" t="s">
        <v>32</v>
      </c>
      <c r="H30" s="73" t="s">
        <v>1327</v>
      </c>
      <c r="K30" s="23" t="n">
        <v>6</v>
      </c>
      <c r="L30" s="103" t="s">
        <v>1404</v>
      </c>
      <c r="M30" s="73" t="s">
        <v>2018</v>
      </c>
    </row>
    <row r="31" customFormat="false" ht="15" hidden="false" customHeight="false" outlineLevel="0" collapsed="false">
      <c r="F31" s="23" t="n">
        <v>7</v>
      </c>
      <c r="G31" s="103" t="s">
        <v>36</v>
      </c>
      <c r="H31" s="73" t="s">
        <v>1330</v>
      </c>
      <c r="K31" s="62" t="s">
        <v>39</v>
      </c>
      <c r="L31" s="62"/>
      <c r="M31" s="73" t="s">
        <v>758</v>
      </c>
    </row>
    <row r="32" customFormat="false" ht="15" hidden="false" customHeight="false" outlineLevel="0" collapsed="false">
      <c r="F32" s="23" t="n">
        <v>8</v>
      </c>
      <c r="G32" s="103" t="s">
        <v>1404</v>
      </c>
      <c r="H32" s="73" t="s">
        <v>719</v>
      </c>
    </row>
    <row r="33" customFormat="false" ht="15" hidden="false" customHeight="false" outlineLevel="0" collapsed="false">
      <c r="F33" s="62" t="s">
        <v>39</v>
      </c>
      <c r="G33" s="62"/>
      <c r="H33" s="73" t="s">
        <v>758</v>
      </c>
    </row>
  </sheetData>
  <mergeCells count="26">
    <mergeCell ref="A4:A5"/>
    <mergeCell ref="B4:B5"/>
    <mergeCell ref="A6:A7"/>
    <mergeCell ref="B6:B7"/>
    <mergeCell ref="A8:A9"/>
    <mergeCell ref="B8:B9"/>
    <mergeCell ref="A10:A11"/>
    <mergeCell ref="B10:B11"/>
    <mergeCell ref="F11:G11"/>
    <mergeCell ref="K11:L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F20:G20"/>
    <mergeCell ref="K21:L21"/>
    <mergeCell ref="A22:A23"/>
    <mergeCell ref="B22:B23"/>
    <mergeCell ref="K31:L31"/>
    <mergeCell ref="F33:G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4" activeCellId="0" sqref="A4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27.42"/>
    <col collapsed="false" customWidth="true" hidden="false" outlineLevel="0" max="3" min="3" style="0" width="27.57"/>
    <col collapsed="false" customWidth="true" hidden="false" outlineLevel="0" max="4" min="4" style="0" width="27.42"/>
  </cols>
  <sheetData>
    <row r="2" customFormat="false" ht="15" hidden="false" customHeight="false" outlineLevel="0" collapsed="false">
      <c r="A2" s="69" t="s">
        <v>531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</row>
    <row r="6" customFormat="false" ht="15" hidden="false" customHeight="false" outlineLevel="0" collapsed="false">
      <c r="A6" s="23" t="n">
        <v>1</v>
      </c>
      <c r="B6" s="61" t="s">
        <v>59</v>
      </c>
      <c r="C6" s="23" t="s">
        <v>532</v>
      </c>
      <c r="D6" s="23" t="s">
        <v>518</v>
      </c>
    </row>
    <row r="7" customFormat="false" ht="15" hidden="false" customHeight="false" outlineLevel="0" collapsed="false">
      <c r="A7" s="23"/>
      <c r="B7" s="61"/>
      <c r="C7" s="23" t="s">
        <v>533</v>
      </c>
      <c r="D7" s="23" t="s">
        <v>534</v>
      </c>
    </row>
    <row r="8" customFormat="false" ht="15" hidden="false" customHeight="false" outlineLevel="0" collapsed="false">
      <c r="A8" s="23" t="n">
        <v>2</v>
      </c>
      <c r="B8" s="61" t="s">
        <v>61</v>
      </c>
      <c r="C8" s="23" t="s">
        <v>535</v>
      </c>
      <c r="D8" s="23" t="s">
        <v>439</v>
      </c>
    </row>
    <row r="9" customFormat="false" ht="15" hidden="false" customHeight="false" outlineLevel="0" collapsed="false">
      <c r="A9" s="23"/>
      <c r="B9" s="61"/>
      <c r="C9" s="23" t="s">
        <v>536</v>
      </c>
      <c r="D9" s="23" t="s">
        <v>537</v>
      </c>
    </row>
    <row r="10" customFormat="false" ht="15" hidden="false" customHeight="false" outlineLevel="0" collapsed="false">
      <c r="A10" s="23" t="n">
        <v>3</v>
      </c>
      <c r="B10" s="61" t="s">
        <v>60</v>
      </c>
      <c r="C10" s="23" t="s">
        <v>538</v>
      </c>
      <c r="D10" s="23" t="s">
        <v>539</v>
      </c>
    </row>
    <row r="11" customFormat="false" ht="15" hidden="false" customHeight="false" outlineLevel="0" collapsed="false">
      <c r="A11" s="23"/>
      <c r="B11" s="61"/>
      <c r="C11" s="23" t="s">
        <v>540</v>
      </c>
      <c r="D11" s="23" t="s">
        <v>541</v>
      </c>
    </row>
    <row r="12" customFormat="false" ht="15" hidden="false" customHeight="false" outlineLevel="0" collapsed="false">
      <c r="A12" s="23" t="n">
        <v>4</v>
      </c>
      <c r="B12" s="61" t="s">
        <v>62</v>
      </c>
      <c r="C12" s="23" t="s">
        <v>542</v>
      </c>
      <c r="D12" s="23" t="s">
        <v>543</v>
      </c>
    </row>
    <row r="13" customFormat="false" ht="15" hidden="false" customHeight="false" outlineLevel="0" collapsed="false">
      <c r="A13" s="23"/>
      <c r="B13" s="61"/>
      <c r="C13" s="23" t="s">
        <v>544</v>
      </c>
      <c r="D13" s="23" t="s">
        <v>545</v>
      </c>
    </row>
  </sheetData>
  <mergeCells count="10"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44.71"/>
    <col collapsed="false" customWidth="true" hidden="false" outlineLevel="0" max="3" min="3" style="0" width="34.43"/>
    <col collapsed="false" customWidth="true" hidden="false" outlineLevel="0" max="4" min="4" style="0" width="35.7"/>
    <col collapsed="false" customWidth="true" hidden="false" outlineLevel="0" max="6" min="6" style="0" width="3.57"/>
    <col collapsed="false" customWidth="true" hidden="false" outlineLevel="0" max="7" min="7" style="0" width="24.72"/>
    <col collapsed="false" customWidth="true" hidden="false" outlineLevel="0" max="9" min="9" style="0" width="9.14"/>
  </cols>
  <sheetData>
    <row r="2" customFormat="false" ht="15" hidden="false" customHeight="false" outlineLevel="0" collapsed="false">
      <c r="A2" s="69" t="s">
        <v>546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" t="s">
        <v>547</v>
      </c>
      <c r="I4" s="8"/>
      <c r="J4" s="8" t="s">
        <v>548</v>
      </c>
      <c r="K4" s="8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399</v>
      </c>
      <c r="H5" s="60" t="n">
        <v>0.955</v>
      </c>
      <c r="I5" s="60" t="n">
        <v>0.945</v>
      </c>
      <c r="J5" s="23" t="s">
        <v>79</v>
      </c>
      <c r="K5" s="23" t="s">
        <v>79</v>
      </c>
    </row>
    <row r="6" customFormat="false" ht="15" hidden="false" customHeight="false" outlineLevel="0" collapsed="false">
      <c r="A6" s="23" t="n">
        <v>1</v>
      </c>
      <c r="B6" s="61" t="s">
        <v>549</v>
      </c>
      <c r="C6" s="23" t="s">
        <v>550</v>
      </c>
      <c r="D6" s="23" t="s">
        <v>551</v>
      </c>
      <c r="F6" s="23" t="n">
        <v>2</v>
      </c>
      <c r="G6" s="59" t="s">
        <v>401</v>
      </c>
      <c r="H6" s="23" t="s">
        <v>79</v>
      </c>
      <c r="I6" s="23" t="s">
        <v>79</v>
      </c>
      <c r="J6" s="60" t="n">
        <v>0.945</v>
      </c>
      <c r="K6" s="63" t="n">
        <v>0.93</v>
      </c>
    </row>
    <row r="7" customFormat="false" ht="15" hidden="false" customHeight="false" outlineLevel="0" collapsed="false">
      <c r="A7" s="23"/>
      <c r="B7" s="61"/>
      <c r="C7" s="23" t="s">
        <v>552</v>
      </c>
      <c r="D7" s="23" t="s">
        <v>553</v>
      </c>
      <c r="F7" s="23" t="n">
        <v>3</v>
      </c>
      <c r="G7" s="59" t="s">
        <v>554</v>
      </c>
      <c r="H7" s="60" t="n">
        <v>0.045</v>
      </c>
      <c r="I7" s="60" t="n">
        <v>0.055</v>
      </c>
      <c r="J7" s="63" t="n">
        <v>0.06</v>
      </c>
      <c r="K7" s="63" t="n">
        <v>0.07</v>
      </c>
    </row>
    <row r="8" customFormat="false" ht="15" hidden="false" customHeight="false" outlineLevel="0" collapsed="false">
      <c r="A8" s="23" t="n">
        <v>2</v>
      </c>
      <c r="B8" s="61" t="s">
        <v>555</v>
      </c>
      <c r="C8" s="23" t="s">
        <v>556</v>
      </c>
      <c r="D8" s="23" t="s">
        <v>557</v>
      </c>
      <c r="F8" s="62" t="s">
        <v>39</v>
      </c>
      <c r="G8" s="62"/>
      <c r="H8" s="63" t="n">
        <v>1</v>
      </c>
      <c r="I8" s="63" t="n">
        <v>1</v>
      </c>
      <c r="J8" s="63" t="n">
        <v>1</v>
      </c>
      <c r="K8" s="63" t="n">
        <v>1</v>
      </c>
    </row>
    <row r="9" customFormat="false" ht="15" hidden="false" customHeight="false" outlineLevel="0" collapsed="false">
      <c r="A9" s="23"/>
      <c r="B9" s="61"/>
      <c r="C9" s="23" t="s">
        <v>558</v>
      </c>
      <c r="D9" s="23" t="s">
        <v>559</v>
      </c>
    </row>
    <row r="10" customFormat="false" ht="15" hidden="false" customHeight="false" outlineLevel="0" collapsed="false">
      <c r="A10" s="23" t="n">
        <v>3</v>
      </c>
      <c r="B10" s="61" t="s">
        <v>560</v>
      </c>
      <c r="C10" s="23" t="s">
        <v>561</v>
      </c>
      <c r="D10" s="23" t="s">
        <v>562</v>
      </c>
    </row>
    <row r="11" customFormat="false" ht="15" hidden="false" customHeight="false" outlineLevel="0" collapsed="false">
      <c r="A11" s="23"/>
      <c r="B11" s="61"/>
      <c r="C11" s="23" t="s">
        <v>563</v>
      </c>
      <c r="D11" s="23" t="s">
        <v>564</v>
      </c>
    </row>
    <row r="12" customFormat="false" ht="15" hidden="false" customHeight="false" outlineLevel="0" collapsed="false">
      <c r="A12" s="23" t="n">
        <v>4</v>
      </c>
      <c r="B12" s="61" t="s">
        <v>565</v>
      </c>
      <c r="C12" s="23" t="s">
        <v>566</v>
      </c>
      <c r="D12" s="23" t="s">
        <v>567</v>
      </c>
    </row>
    <row r="13" customFormat="false" ht="15" hidden="false" customHeight="false" outlineLevel="0" collapsed="false">
      <c r="A13" s="23"/>
      <c r="B13" s="61"/>
      <c r="C13" s="23" t="s">
        <v>568</v>
      </c>
      <c r="D13" s="23" t="s">
        <v>569</v>
      </c>
    </row>
  </sheetData>
  <mergeCells count="13">
    <mergeCell ref="A4:A5"/>
    <mergeCell ref="B4:B5"/>
    <mergeCell ref="H4:I4"/>
    <mergeCell ref="J4:K4"/>
    <mergeCell ref="A6:A7"/>
    <mergeCell ref="B6:B7"/>
    <mergeCell ref="A8:A9"/>
    <mergeCell ref="B8:B9"/>
    <mergeCell ref="F8:G8"/>
    <mergeCell ref="A10:A11"/>
    <mergeCell ref="B10:B11"/>
    <mergeCell ref="A12:A13"/>
    <mergeCell ref="B12:B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42.28"/>
    <col collapsed="false" customWidth="true" hidden="false" outlineLevel="0" max="3" min="3" style="0" width="34.71"/>
    <col collapsed="false" customWidth="true" hidden="false" outlineLevel="0" max="4" min="4" style="0" width="35.43"/>
    <col collapsed="false" customWidth="true" hidden="false" outlineLevel="0" max="6" min="6" style="0" width="3.57"/>
    <col collapsed="false" customWidth="true" hidden="false" outlineLevel="0" max="7" min="7" style="0" width="22.71"/>
  </cols>
  <sheetData>
    <row r="2" customFormat="false" ht="15" hidden="false" customHeight="false" outlineLevel="0" collapsed="false">
      <c r="A2" s="69" t="s">
        <v>570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8" t="s">
        <v>571</v>
      </c>
      <c r="I4" s="8"/>
      <c r="J4" s="8"/>
      <c r="K4" s="8" t="s">
        <v>572</v>
      </c>
      <c r="L4" s="8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573</v>
      </c>
      <c r="H5" s="63" t="n">
        <v>0.96</v>
      </c>
      <c r="I5" s="63" t="n">
        <v>0.95</v>
      </c>
      <c r="J5" s="60" t="n">
        <v>0.935</v>
      </c>
      <c r="K5" s="23" t="s">
        <v>79</v>
      </c>
      <c r="L5" s="70" t="s">
        <v>79</v>
      </c>
    </row>
    <row r="6" customFormat="false" ht="15" hidden="false" customHeight="false" outlineLevel="0" collapsed="false">
      <c r="A6" s="23" t="n">
        <v>1</v>
      </c>
      <c r="B6" s="61" t="s">
        <v>574</v>
      </c>
      <c r="C6" s="23" t="s">
        <v>575</v>
      </c>
      <c r="D6" s="23" t="s">
        <v>576</v>
      </c>
      <c r="F6" s="23" t="n">
        <v>2</v>
      </c>
      <c r="G6" s="59" t="s">
        <v>577</v>
      </c>
      <c r="H6" s="23" t="s">
        <v>79</v>
      </c>
      <c r="I6" s="23" t="s">
        <v>79</v>
      </c>
      <c r="J6" s="23" t="s">
        <v>79</v>
      </c>
      <c r="K6" s="63" t="n">
        <v>0.94</v>
      </c>
      <c r="L6" s="63" t="n">
        <v>0.93</v>
      </c>
    </row>
    <row r="7" customFormat="false" ht="15" hidden="false" customHeight="false" outlineLevel="0" collapsed="false">
      <c r="A7" s="23"/>
      <c r="B7" s="61"/>
      <c r="C7" s="23" t="s">
        <v>578</v>
      </c>
      <c r="D7" s="23" t="s">
        <v>579</v>
      </c>
      <c r="F7" s="23" t="n">
        <v>3</v>
      </c>
      <c r="G7" s="59" t="s">
        <v>580</v>
      </c>
      <c r="H7" s="63" t="n">
        <v>0.04</v>
      </c>
      <c r="I7" s="63" t="n">
        <v>0.05</v>
      </c>
      <c r="J7" s="60" t="n">
        <v>0.065</v>
      </c>
      <c r="K7" s="63" t="n">
        <v>0.06</v>
      </c>
      <c r="L7" s="63" t="n">
        <v>0.07</v>
      </c>
    </row>
    <row r="8" customFormat="false" ht="15" hidden="false" customHeight="false" outlineLevel="0" collapsed="false">
      <c r="A8" s="23" t="n">
        <v>2</v>
      </c>
      <c r="B8" s="61" t="s">
        <v>581</v>
      </c>
      <c r="C8" s="23" t="s">
        <v>582</v>
      </c>
      <c r="D8" s="23" t="s">
        <v>583</v>
      </c>
      <c r="F8" s="23" t="n">
        <v>4</v>
      </c>
      <c r="G8" s="59" t="s">
        <v>23</v>
      </c>
      <c r="H8" s="23" t="s">
        <v>79</v>
      </c>
      <c r="I8" s="23" t="s">
        <v>79</v>
      </c>
      <c r="J8" s="23" t="s">
        <v>79</v>
      </c>
      <c r="K8" s="23" t="s">
        <v>79</v>
      </c>
      <c r="L8" s="70" t="s">
        <v>79</v>
      </c>
    </row>
    <row r="9" customFormat="false" ht="15" hidden="false" customHeight="false" outlineLevel="0" collapsed="false">
      <c r="A9" s="23"/>
      <c r="B9" s="61"/>
      <c r="C9" s="23" t="s">
        <v>578</v>
      </c>
      <c r="D9" s="23" t="s">
        <v>584</v>
      </c>
      <c r="F9" s="8" t="s">
        <v>39</v>
      </c>
      <c r="G9" s="8"/>
      <c r="H9" s="63" t="n">
        <v>1</v>
      </c>
      <c r="I9" s="63" t="n">
        <v>1</v>
      </c>
      <c r="J9" s="63" t="n">
        <v>1</v>
      </c>
      <c r="K9" s="71" t="n">
        <v>1</v>
      </c>
      <c r="L9" s="63" t="n">
        <v>1</v>
      </c>
    </row>
    <row r="10" customFormat="false" ht="15" hidden="false" customHeight="false" outlineLevel="0" collapsed="false">
      <c r="A10" s="23" t="n">
        <v>3</v>
      </c>
      <c r="B10" s="61" t="s">
        <v>585</v>
      </c>
      <c r="C10" s="23" t="s">
        <v>586</v>
      </c>
      <c r="D10" s="23" t="s">
        <v>587</v>
      </c>
      <c r="F10" s="72"/>
      <c r="G10" s="72"/>
      <c r="H10" s="67"/>
      <c r="I10" s="67"/>
      <c r="J10" s="67"/>
      <c r="K10" s="67"/>
    </row>
    <row r="11" customFormat="false" ht="15" hidden="false" customHeight="false" outlineLevel="0" collapsed="false">
      <c r="A11" s="23"/>
      <c r="B11" s="61"/>
      <c r="C11" s="23" t="s">
        <v>588</v>
      </c>
      <c r="D11" s="23" t="s">
        <v>589</v>
      </c>
    </row>
    <row r="12" customFormat="false" ht="15" hidden="false" customHeight="false" outlineLevel="0" collapsed="false">
      <c r="A12" s="23" t="n">
        <v>4</v>
      </c>
      <c r="B12" s="61" t="s">
        <v>590</v>
      </c>
      <c r="C12" s="23" t="s">
        <v>591</v>
      </c>
      <c r="D12" s="23" t="s">
        <v>592</v>
      </c>
    </row>
    <row r="13" customFormat="false" ht="15" hidden="false" customHeight="false" outlineLevel="0" collapsed="false">
      <c r="A13" s="23"/>
      <c r="B13" s="61"/>
      <c r="C13" s="23" t="s">
        <v>593</v>
      </c>
      <c r="D13" s="23" t="s">
        <v>594</v>
      </c>
    </row>
    <row r="14" customFormat="false" ht="15" hidden="false" customHeight="false" outlineLevel="0" collapsed="false">
      <c r="A14" s="23" t="n">
        <v>5</v>
      </c>
      <c r="B14" s="61" t="s">
        <v>595</v>
      </c>
      <c r="C14" s="23" t="s">
        <v>596</v>
      </c>
      <c r="D14" s="23" t="s">
        <v>597</v>
      </c>
    </row>
    <row r="15" customFormat="false" ht="15" hidden="false" customHeight="false" outlineLevel="0" collapsed="false">
      <c r="A15" s="23"/>
      <c r="B15" s="61"/>
      <c r="C15" s="23" t="s">
        <v>598</v>
      </c>
      <c r="D15" s="23" t="s">
        <v>501</v>
      </c>
    </row>
    <row r="17" customFormat="false" ht="15" hidden="false" customHeight="false" outlineLevel="0" collapsed="false">
      <c r="A17" s="0" t="s">
        <v>599</v>
      </c>
    </row>
    <row r="18" customFormat="false" ht="15" hidden="false" customHeight="false" outlineLevel="0" collapsed="false">
      <c r="B18" s="61" t="s">
        <v>600</v>
      </c>
      <c r="C18" s="70" t="s">
        <v>601</v>
      </c>
      <c r="D18" s="70" t="s">
        <v>602</v>
      </c>
    </row>
    <row r="19" customFormat="false" ht="15" hidden="false" customHeight="false" outlineLevel="0" collapsed="false">
      <c r="B19" s="61"/>
      <c r="C19" s="70" t="s">
        <v>603</v>
      </c>
      <c r="D19" s="73" t="s">
        <v>604</v>
      </c>
    </row>
    <row r="20" customFormat="false" ht="15" hidden="false" customHeight="false" outlineLevel="0" collapsed="false">
      <c r="B20" s="56" t="s">
        <v>605</v>
      </c>
      <c r="C20" s="61" t="s">
        <v>606</v>
      </c>
    </row>
    <row r="21" customFormat="false" ht="15" hidden="false" customHeight="false" outlineLevel="0" collapsed="false">
      <c r="B21" s="56" t="s">
        <v>607</v>
      </c>
      <c r="C21" s="74" t="s">
        <v>608</v>
      </c>
    </row>
    <row r="23" customFormat="false" ht="15" hidden="false" customHeight="false" outlineLevel="0" collapsed="false">
      <c r="B23" s="56" t="s">
        <v>609</v>
      </c>
      <c r="C23" s="61" t="s">
        <v>606</v>
      </c>
    </row>
    <row r="24" customFormat="false" ht="15" hidden="false" customHeight="false" outlineLevel="0" collapsed="false">
      <c r="B24" s="56" t="s">
        <v>610</v>
      </c>
      <c r="C24" s="61" t="s">
        <v>611</v>
      </c>
    </row>
    <row r="26" customFormat="false" ht="15" hidden="false" customHeight="false" outlineLevel="0" collapsed="false">
      <c r="B26" s="56" t="s">
        <v>612</v>
      </c>
      <c r="C26" s="56" t="s">
        <v>606</v>
      </c>
    </row>
    <row r="27" customFormat="false" ht="15" hidden="false" customHeight="false" outlineLevel="0" collapsed="false">
      <c r="B27" s="56" t="s">
        <v>613</v>
      </c>
      <c r="C27" s="75" t="n">
        <v>0.116</v>
      </c>
    </row>
  </sheetData>
  <mergeCells count="16">
    <mergeCell ref="A4:A5"/>
    <mergeCell ref="B4:B5"/>
    <mergeCell ref="H4:J4"/>
    <mergeCell ref="K4:L4"/>
    <mergeCell ref="A6:A7"/>
    <mergeCell ref="B6:B7"/>
    <mergeCell ref="A8:A9"/>
    <mergeCell ref="B8:B9"/>
    <mergeCell ref="F9:G9"/>
    <mergeCell ref="A10:A11"/>
    <mergeCell ref="B10:B11"/>
    <mergeCell ref="A12:A13"/>
    <mergeCell ref="B12:B13"/>
    <mergeCell ref="A14:A15"/>
    <mergeCell ref="B14:B15"/>
    <mergeCell ref="B18:B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30.86"/>
    <col collapsed="false" customWidth="true" hidden="false" outlineLevel="0" max="3" min="3" style="0" width="34.43"/>
    <col collapsed="false" customWidth="true" hidden="false" outlineLevel="0" max="4" min="4" style="0" width="35.7"/>
    <col collapsed="false" customWidth="true" hidden="false" outlineLevel="0" max="6" min="6" style="0" width="16.57"/>
    <col collapsed="false" customWidth="true" hidden="false" outlineLevel="0" max="8" min="7" style="0" width="14.28"/>
  </cols>
  <sheetData>
    <row r="2" customFormat="false" ht="15" hidden="false" customHeight="false" outlineLevel="0" collapsed="false">
      <c r="A2" s="58" t="s">
        <v>77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7" t="s">
        <v>614</v>
      </c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56" t="s">
        <v>615</v>
      </c>
      <c r="G5" s="76" t="n">
        <v>0.9091</v>
      </c>
    </row>
    <row r="6" customFormat="false" ht="15" hidden="false" customHeight="false" outlineLevel="0" collapsed="false">
      <c r="A6" s="23" t="n">
        <v>1</v>
      </c>
      <c r="B6" s="61" t="s">
        <v>616</v>
      </c>
      <c r="C6" s="23" t="s">
        <v>617</v>
      </c>
      <c r="D6" s="23" t="s">
        <v>79</v>
      </c>
      <c r="F6" s="56" t="s">
        <v>9</v>
      </c>
      <c r="G6" s="76" t="n">
        <v>0.0909</v>
      </c>
    </row>
    <row r="7" customFormat="false" ht="15" hidden="false" customHeight="false" outlineLevel="0" collapsed="false">
      <c r="A7" s="23"/>
      <c r="B7" s="61"/>
      <c r="C7" s="23" t="s">
        <v>618</v>
      </c>
      <c r="D7" s="23" t="s">
        <v>79</v>
      </c>
      <c r="F7" s="73" t="s">
        <v>39</v>
      </c>
      <c r="G7" s="77" t="n">
        <v>1</v>
      </c>
    </row>
    <row r="8" customFormat="false" ht="15" hidden="false" customHeight="false" outlineLevel="0" collapsed="false">
      <c r="A8" s="23" t="n">
        <v>2</v>
      </c>
      <c r="B8" s="61" t="s">
        <v>619</v>
      </c>
      <c r="C8" s="23" t="s">
        <v>620</v>
      </c>
      <c r="D8" s="23" t="s">
        <v>79</v>
      </c>
    </row>
    <row r="9" customFormat="false" ht="15" hidden="false" customHeight="false" outlineLevel="0" collapsed="false">
      <c r="A9" s="23"/>
      <c r="B9" s="61"/>
      <c r="C9" s="23" t="s">
        <v>621</v>
      </c>
      <c r="D9" s="23" t="s">
        <v>79</v>
      </c>
      <c r="F9" s="62" t="s">
        <v>622</v>
      </c>
      <c r="G9" s="62" t="s">
        <v>623</v>
      </c>
      <c r="H9" s="62" t="s">
        <v>624</v>
      </c>
    </row>
    <row r="10" customFormat="false" ht="15" hidden="false" customHeight="false" outlineLevel="0" collapsed="false">
      <c r="F10" s="56" t="s">
        <v>614</v>
      </c>
      <c r="G10" s="77" t="n">
        <v>0.92</v>
      </c>
      <c r="H10" s="77" t="n">
        <v>0.91</v>
      </c>
    </row>
    <row r="11" customFormat="false" ht="15" hidden="false" customHeight="false" outlineLevel="0" collapsed="false">
      <c r="F11" s="56" t="s">
        <v>580</v>
      </c>
      <c r="G11" s="77" t="n">
        <v>0.08</v>
      </c>
      <c r="H11" s="77" t="n">
        <v>0.09</v>
      </c>
    </row>
    <row r="12" customFormat="false" ht="15" hidden="false" customHeight="false" outlineLevel="0" collapsed="false">
      <c r="F12" s="73" t="s">
        <v>39</v>
      </c>
      <c r="G12" s="77" t="n">
        <v>1</v>
      </c>
      <c r="H12" s="77" t="n">
        <v>1</v>
      </c>
    </row>
  </sheetData>
  <mergeCells count="6">
    <mergeCell ref="A4:A5"/>
    <mergeCell ref="B4:B5"/>
    <mergeCell ref="A6:A7"/>
    <mergeCell ref="B6:B7"/>
    <mergeCell ref="A8:A9"/>
    <mergeCell ref="B8:B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40.57"/>
    <col collapsed="false" customWidth="true" hidden="false" outlineLevel="0" max="3" min="3" style="0" width="34.43"/>
    <col collapsed="false" customWidth="true" hidden="false" outlineLevel="0" max="4" min="4" style="0" width="35.7"/>
    <col collapsed="false" customWidth="true" hidden="false" outlineLevel="0" max="6" min="6" style="0" width="3.57"/>
    <col collapsed="false" customWidth="true" hidden="false" outlineLevel="0" max="7" min="7" style="0" width="18.85"/>
    <col collapsed="false" customWidth="true" hidden="false" outlineLevel="0" max="10" min="8" style="0" width="11.14"/>
  </cols>
  <sheetData>
    <row r="2" customFormat="false" ht="15" hidden="false" customHeight="false" outlineLevel="0" collapsed="false">
      <c r="A2" s="69" t="s">
        <v>625</v>
      </c>
    </row>
    <row r="3" customFormat="false" ht="15" hidden="false" customHeight="false" outlineLevel="0" collapsed="false">
      <c r="G3" s="7" t="s">
        <v>626</v>
      </c>
    </row>
    <row r="4" customFormat="false" ht="15" hidden="false" customHeight="false" outlineLevel="0" collapsed="false">
      <c r="A4" s="8" t="s">
        <v>6</v>
      </c>
      <c r="B4" s="8" t="s">
        <v>425</v>
      </c>
      <c r="C4" s="8" t="s">
        <v>426</v>
      </c>
      <c r="D4" s="8" t="s">
        <v>427</v>
      </c>
      <c r="F4" s="8" t="s">
        <v>6</v>
      </c>
      <c r="G4" s="8" t="s">
        <v>397</v>
      </c>
      <c r="H4" s="78" t="s">
        <v>627</v>
      </c>
      <c r="I4" s="78" t="s">
        <v>628</v>
      </c>
      <c r="J4" s="79"/>
      <c r="K4" s="66"/>
      <c r="L4" s="66"/>
    </row>
    <row r="5" customFormat="false" ht="15" hidden="false" customHeight="false" outlineLevel="0" collapsed="false">
      <c r="A5" s="8"/>
      <c r="B5" s="8"/>
      <c r="C5" s="8" t="s">
        <v>432</v>
      </c>
      <c r="D5" s="8" t="s">
        <v>433</v>
      </c>
      <c r="F5" s="23" t="n">
        <v>1</v>
      </c>
      <c r="G5" s="59" t="s">
        <v>577</v>
      </c>
      <c r="H5" s="63" t="n">
        <v>0.94</v>
      </c>
      <c r="I5" s="63" t="n">
        <v>0.95</v>
      </c>
      <c r="J5" s="67"/>
      <c r="K5" s="67"/>
      <c r="L5" s="67"/>
    </row>
    <row r="6" customFormat="false" ht="15" hidden="false" customHeight="false" outlineLevel="0" collapsed="false">
      <c r="A6" s="23" t="n">
        <v>1</v>
      </c>
      <c r="B6" s="61" t="s">
        <v>629</v>
      </c>
      <c r="C6" s="23" t="s">
        <v>630</v>
      </c>
      <c r="D6" s="23" t="s">
        <v>631</v>
      </c>
      <c r="F6" s="23" t="n">
        <v>2</v>
      </c>
      <c r="G6" s="59" t="s">
        <v>632</v>
      </c>
      <c r="H6" s="63" t="n">
        <v>0.06</v>
      </c>
      <c r="I6" s="63" t="n">
        <v>0.05</v>
      </c>
      <c r="J6" s="67"/>
      <c r="K6" s="67"/>
      <c r="L6" s="67"/>
    </row>
    <row r="7" customFormat="false" ht="15" hidden="false" customHeight="false" outlineLevel="0" collapsed="false">
      <c r="A7" s="23"/>
      <c r="B7" s="61"/>
      <c r="C7" s="23" t="s">
        <v>633</v>
      </c>
      <c r="D7" s="23" t="s">
        <v>634</v>
      </c>
      <c r="F7" s="8" t="s">
        <v>39</v>
      </c>
      <c r="G7" s="8"/>
      <c r="H7" s="63" t="n">
        <v>1</v>
      </c>
      <c r="I7" s="63" t="n">
        <v>1</v>
      </c>
      <c r="J7" s="67"/>
      <c r="K7" s="67"/>
      <c r="L7" s="67"/>
    </row>
    <row r="8" customFormat="false" ht="15" hidden="false" customHeight="false" outlineLevel="0" collapsed="false">
      <c r="A8" s="23" t="n">
        <v>2</v>
      </c>
      <c r="B8" s="61" t="s">
        <v>581</v>
      </c>
      <c r="C8" s="23" t="s">
        <v>635</v>
      </c>
      <c r="D8" s="23" t="s">
        <v>636</v>
      </c>
      <c r="F8" s="67"/>
      <c r="G8" s="64"/>
      <c r="H8" s="67"/>
      <c r="I8" s="67"/>
      <c r="J8" s="67"/>
      <c r="K8" s="67"/>
      <c r="L8" s="67"/>
    </row>
    <row r="9" customFormat="false" ht="15" hidden="false" customHeight="false" outlineLevel="0" collapsed="false">
      <c r="A9" s="23"/>
      <c r="B9" s="61"/>
      <c r="C9" s="23" t="s">
        <v>637</v>
      </c>
      <c r="D9" s="23" t="s">
        <v>638</v>
      </c>
      <c r="F9" s="79"/>
      <c r="G9" s="79" t="s">
        <v>639</v>
      </c>
      <c r="H9" s="67"/>
      <c r="I9" s="67"/>
      <c r="J9" s="67"/>
      <c r="K9" s="67"/>
      <c r="L9" s="67"/>
    </row>
    <row r="10" customFormat="false" ht="15" hidden="false" customHeight="false" outlineLevel="0" collapsed="false">
      <c r="A10" s="23" t="n">
        <v>3</v>
      </c>
      <c r="B10" s="61" t="s">
        <v>585</v>
      </c>
      <c r="C10" s="23" t="s">
        <v>640</v>
      </c>
      <c r="D10" s="23" t="s">
        <v>641</v>
      </c>
      <c r="F10" s="8" t="s">
        <v>6</v>
      </c>
      <c r="G10" s="8" t="s">
        <v>397</v>
      </c>
      <c r="H10" s="78" t="s">
        <v>642</v>
      </c>
      <c r="I10" s="78" t="s">
        <v>643</v>
      </c>
      <c r="J10" s="59" t="s">
        <v>644</v>
      </c>
    </row>
    <row r="11" customFormat="false" ht="15" hidden="false" customHeight="false" outlineLevel="0" collapsed="false">
      <c r="A11" s="23"/>
      <c r="B11" s="61"/>
      <c r="C11" s="23" t="s">
        <v>645</v>
      </c>
      <c r="D11" s="23" t="s">
        <v>646</v>
      </c>
      <c r="F11" s="23" t="n">
        <v>1</v>
      </c>
      <c r="G11" s="59" t="s">
        <v>577</v>
      </c>
      <c r="H11" s="63" t="n">
        <v>0.92</v>
      </c>
      <c r="I11" s="63" t="n">
        <v>0.9</v>
      </c>
      <c r="J11" s="63" t="n">
        <v>0.92</v>
      </c>
    </row>
    <row r="12" customFormat="false" ht="15" hidden="false" customHeight="false" outlineLevel="0" collapsed="false">
      <c r="A12" s="23" t="n">
        <v>4</v>
      </c>
      <c r="B12" s="61" t="s">
        <v>590</v>
      </c>
      <c r="C12" s="23" t="s">
        <v>647</v>
      </c>
      <c r="D12" s="23" t="s">
        <v>648</v>
      </c>
      <c r="F12" s="23" t="n">
        <v>2</v>
      </c>
      <c r="G12" s="59" t="s">
        <v>21</v>
      </c>
      <c r="H12" s="63" t="n">
        <v>0.08</v>
      </c>
      <c r="I12" s="63" t="n">
        <v>0.1</v>
      </c>
      <c r="J12" s="23" t="s">
        <v>79</v>
      </c>
    </row>
    <row r="13" customFormat="false" ht="15" hidden="false" customHeight="false" outlineLevel="0" collapsed="false">
      <c r="A13" s="23"/>
      <c r="B13" s="61"/>
      <c r="C13" s="23" t="s">
        <v>649</v>
      </c>
      <c r="D13" s="23" t="s">
        <v>650</v>
      </c>
      <c r="F13" s="73" t="n">
        <v>3</v>
      </c>
      <c r="G13" s="78" t="s">
        <v>651</v>
      </c>
      <c r="H13" s="23" t="s">
        <v>79</v>
      </c>
      <c r="I13" s="23" t="s">
        <v>79</v>
      </c>
      <c r="J13" s="63" t="n">
        <v>0.08</v>
      </c>
    </row>
    <row r="14" customFormat="false" ht="15" hidden="false" customHeight="false" outlineLevel="0" collapsed="false">
      <c r="A14" s="23" t="n">
        <v>5</v>
      </c>
      <c r="B14" s="61" t="s">
        <v>595</v>
      </c>
      <c r="C14" s="23" t="s">
        <v>652</v>
      </c>
      <c r="D14" s="23" t="s">
        <v>653</v>
      </c>
      <c r="F14" s="56"/>
      <c r="G14" s="59" t="s">
        <v>39</v>
      </c>
      <c r="H14" s="63" t="n">
        <v>1</v>
      </c>
      <c r="I14" s="63" t="n">
        <v>1</v>
      </c>
      <c r="J14" s="63" t="n">
        <v>1</v>
      </c>
    </row>
    <row r="15" customFormat="false" ht="15" hidden="false" customHeight="false" outlineLevel="0" collapsed="false">
      <c r="A15" s="23"/>
      <c r="B15" s="61"/>
      <c r="C15" s="23" t="s">
        <v>654</v>
      </c>
      <c r="D15" s="23" t="s">
        <v>655</v>
      </c>
    </row>
    <row r="17" customFormat="false" ht="15" hidden="false" customHeight="false" outlineLevel="0" collapsed="false">
      <c r="A17" s="0" t="s">
        <v>656</v>
      </c>
    </row>
    <row r="18" customFormat="false" ht="15" hidden="false" customHeight="false" outlineLevel="0" collapsed="false">
      <c r="B18" s="7" t="s">
        <v>657</v>
      </c>
    </row>
    <row r="19" customFormat="false" ht="15" hidden="false" customHeight="false" outlineLevel="0" collapsed="false">
      <c r="B19" s="0" t="s">
        <v>658</v>
      </c>
      <c r="C19" s="0" t="s">
        <v>659</v>
      </c>
    </row>
    <row r="20" customFormat="false" ht="15" hidden="false" customHeight="false" outlineLevel="0" collapsed="false">
      <c r="B20" s="0" t="s">
        <v>660</v>
      </c>
      <c r="C20" s="69" t="s">
        <v>661</v>
      </c>
    </row>
    <row r="21" customFormat="false" ht="15" hidden="false" customHeight="false" outlineLevel="0" collapsed="false">
      <c r="B21" s="0" t="s">
        <v>662</v>
      </c>
      <c r="C21" s="0" t="s">
        <v>663</v>
      </c>
    </row>
    <row r="23" customFormat="false" ht="15" hidden="false" customHeight="false" outlineLevel="0" collapsed="false">
      <c r="A23" s="0" t="s">
        <v>664</v>
      </c>
    </row>
    <row r="24" customFormat="false" ht="15" hidden="false" customHeight="false" outlineLevel="0" collapsed="false">
      <c r="B24" s="7" t="s">
        <v>657</v>
      </c>
    </row>
    <row r="25" customFormat="false" ht="15" hidden="false" customHeight="false" outlineLevel="0" collapsed="false">
      <c r="A25" s="7" t="s">
        <v>665</v>
      </c>
      <c r="B25" s="0" t="s">
        <v>660</v>
      </c>
      <c r="C25" s="0" t="s">
        <v>666</v>
      </c>
    </row>
    <row r="26" customFormat="false" ht="15" hidden="false" customHeight="false" outlineLevel="0" collapsed="false">
      <c r="B26" s="0" t="s">
        <v>667</v>
      </c>
      <c r="C26" s="0" t="s">
        <v>668</v>
      </c>
    </row>
    <row r="27" customFormat="false" ht="15" hidden="false" customHeight="false" outlineLevel="0" collapsed="false">
      <c r="B27" s="0" t="s">
        <v>669</v>
      </c>
      <c r="C27" s="0" t="s">
        <v>670</v>
      </c>
    </row>
    <row r="28" customFormat="false" ht="15" hidden="false" customHeight="false" outlineLevel="0" collapsed="false">
      <c r="B28" s="0" t="s">
        <v>671</v>
      </c>
      <c r="C28" s="80" t="n">
        <v>1.4246</v>
      </c>
    </row>
    <row r="29" customFormat="false" ht="15" hidden="false" customHeight="false" outlineLevel="0" collapsed="false">
      <c r="B29" s="0" t="s">
        <v>672</v>
      </c>
      <c r="C29" s="0" t="s">
        <v>673</v>
      </c>
    </row>
    <row r="31" customFormat="false" ht="15" hidden="false" customHeight="false" outlineLevel="0" collapsed="false">
      <c r="A31" s="7" t="s">
        <v>674</v>
      </c>
      <c r="B31" s="7" t="s">
        <v>657</v>
      </c>
    </row>
    <row r="32" customFormat="false" ht="15" hidden="false" customHeight="false" outlineLevel="0" collapsed="false">
      <c r="B32" s="0" t="s">
        <v>660</v>
      </c>
      <c r="C32" s="0" t="s">
        <v>666</v>
      </c>
    </row>
    <row r="33" customFormat="false" ht="15" hidden="false" customHeight="false" outlineLevel="0" collapsed="false">
      <c r="B33" s="0" t="s">
        <v>667</v>
      </c>
      <c r="C33" s="0" t="s">
        <v>675</v>
      </c>
    </row>
    <row r="34" customFormat="false" ht="15" hidden="false" customHeight="false" outlineLevel="0" collapsed="false">
      <c r="B34" s="0" t="s">
        <v>676</v>
      </c>
      <c r="C34" s="0" t="s">
        <v>677</v>
      </c>
    </row>
    <row r="35" customFormat="false" ht="15" hidden="false" customHeight="false" outlineLevel="0" collapsed="false">
      <c r="B35" s="0" t="s">
        <v>671</v>
      </c>
      <c r="C35" s="80" t="n">
        <v>1.33584</v>
      </c>
    </row>
    <row r="36" customFormat="false" ht="15" hidden="false" customHeight="false" outlineLevel="0" collapsed="false">
      <c r="B36" s="0" t="s">
        <v>672</v>
      </c>
      <c r="C36" s="0" t="s">
        <v>678</v>
      </c>
    </row>
  </sheetData>
  <mergeCells count="14">
    <mergeCell ref="A4:A5"/>
    <mergeCell ref="B4:B5"/>
    <mergeCell ref="K4:L4"/>
    <mergeCell ref="A6:A7"/>
    <mergeCell ref="B6:B7"/>
    <mergeCell ref="F7:G7"/>
    <mergeCell ref="A8:A9"/>
    <mergeCell ref="B8:B9"/>
    <mergeCell ref="A10:A11"/>
    <mergeCell ref="B10:B11"/>
    <mergeCell ref="A12:A13"/>
    <mergeCell ref="B12:B13"/>
    <mergeCell ref="A14:A15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F50B0BC1DD5442AB3F3D5F7163D7B9" ma:contentTypeVersion="7" ma:contentTypeDescription="Create a new document." ma:contentTypeScope="" ma:versionID="61277f756b3e7c81d72a1145d0584e93">
  <xsd:schema xmlns:xsd="http://www.w3.org/2001/XMLSchema" xmlns:xs="http://www.w3.org/2001/XMLSchema" xmlns:p="http://schemas.microsoft.com/office/2006/metadata/properties" xmlns:ns2="f5573cf1-b5c3-4a7b-a5c9-a48d98cba5be" targetNamespace="http://schemas.microsoft.com/office/2006/metadata/properties" ma:root="true" ma:fieldsID="30fca98de2bfa848b6154ed4d897a900" ns2:_="">
    <xsd:import namespace="f5573cf1-b5c3-4a7b-a5c9-a48d98cba5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73cf1-b5c3-4a7b-a5c9-a48d98cba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FD59F1-97BE-41AF-8E7C-8E1082AEFF49}"/>
</file>

<file path=customXml/itemProps2.xml><?xml version="1.0" encoding="utf-8"?>
<ds:datastoreItem xmlns:ds="http://schemas.openxmlformats.org/officeDocument/2006/customXml" ds:itemID="{EA249733-A10D-46F8-BDD5-CCC499C57A53}"/>
</file>

<file path=customXml/itemProps3.xml><?xml version="1.0" encoding="utf-8"?>
<ds:datastoreItem xmlns:ds="http://schemas.openxmlformats.org/officeDocument/2006/customXml" ds:itemID="{146480EC-552B-4DF7-8DD5-A596D744764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2020-09-21T12:57:28Z</dcterms:created>
  <dc:creator>Fiqih Tarmidzi</dc:creator>
  <dc:description/>
  <dc:language>en-US</dc:language>
  <cp:lastModifiedBy/>
  <dcterms:modified xsi:type="dcterms:W3CDTF">2020-11-16T10:05:29Z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0x01010051F50B0BC1DD5442AB3F3D5F7163D7B9</vt:lpwstr>
  </property>
</Properties>
</file>