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9093287f54e6a8/lube/"/>
    </mc:Choice>
  </mc:AlternateContent>
  <xr:revisionPtr revIDLastSave="363" documentId="8_{53910447-00FC-4C52-BB89-8999BB929061}" xr6:coauthVersionLast="45" xr6:coauthVersionMax="45" xr10:uidLastSave="{DE9ABAC9-8259-45BC-BB67-BB819995E1A7}"/>
  <bookViews>
    <workbookView xWindow="-120" yWindow="-120" windowWidth="20730" windowHeight="11160" activeTab="1" xr2:uid="{075CF717-3F84-42C8-B832-2C439C2D79BE}"/>
  </bookViews>
  <sheets>
    <sheet name="Sheet3" sheetId="3" r:id="rId1"/>
    <sheet name="diesel odx" sheetId="4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" i="4" l="1"/>
  <c r="AI4" i="4"/>
  <c r="AJ5" i="4"/>
  <c r="AI5" i="4"/>
  <c r="AH4" i="4" l="1"/>
  <c r="AG4" i="4"/>
  <c r="AF4" i="4" l="1"/>
  <c r="AE4" i="4"/>
  <c r="AD4" i="4" l="1"/>
  <c r="AC4" i="4"/>
  <c r="AB6" i="4"/>
  <c r="AB5" i="4"/>
  <c r="AA5" i="4"/>
  <c r="AA6" i="4"/>
  <c r="Z6" i="4" l="1"/>
  <c r="Z5" i="4"/>
  <c r="W4" i="4" l="1"/>
  <c r="V4" i="4"/>
  <c r="U4" i="4" l="1"/>
  <c r="T4" i="4"/>
  <c r="S4" i="4" l="1"/>
  <c r="R4" i="4"/>
  <c r="Q4" i="4"/>
  <c r="P4" i="4"/>
  <c r="N4" i="4" l="1"/>
  <c r="O4" i="4"/>
  <c r="M4" i="4" l="1"/>
  <c r="L4" i="4"/>
  <c r="K4" i="4"/>
  <c r="J4" i="4"/>
  <c r="I4" i="4"/>
  <c r="G11" i="4" l="1"/>
  <c r="G10" i="4"/>
  <c r="H10" i="4" s="1"/>
  <c r="H4" i="4" s="1"/>
  <c r="F4" i="4"/>
  <c r="G4" i="4" l="1"/>
  <c r="D10" i="4"/>
  <c r="E10" i="4" s="1"/>
  <c r="D8" i="4"/>
  <c r="E8" i="4" s="1"/>
  <c r="C4" i="4"/>
  <c r="E4" i="4" l="1"/>
  <c r="D4" i="4"/>
  <c r="Q70" i="3"/>
  <c r="R70" i="3"/>
  <c r="S70" i="3"/>
  <c r="Q71" i="3"/>
  <c r="Q73" i="3" s="1"/>
  <c r="Q75" i="3" s="1"/>
  <c r="Q76" i="3" s="1"/>
  <c r="Q79" i="3" s="1"/>
  <c r="Q80" i="3" s="1"/>
  <c r="Q81" i="3" s="1"/>
  <c r="Q82" i="3" s="1"/>
  <c r="Q83" i="3" s="1"/>
  <c r="R71" i="3"/>
  <c r="R73" i="3" s="1"/>
  <c r="S71" i="3"/>
  <c r="S72" i="3"/>
  <c r="Q74" i="3"/>
  <c r="Q77" i="3" s="1"/>
  <c r="Q78" i="3" s="1"/>
  <c r="R74" i="3"/>
  <c r="S74" i="3" s="1"/>
  <c r="R75" i="3" l="1"/>
  <c r="S73" i="3"/>
  <c r="R77" i="3"/>
  <c r="D66" i="3"/>
  <c r="C66" i="3"/>
  <c r="C37" i="3"/>
  <c r="D37" i="3"/>
  <c r="C40" i="3"/>
  <c r="D40" i="3"/>
  <c r="C67" i="3"/>
  <c r="D67" i="3"/>
  <c r="D51" i="3"/>
  <c r="C51" i="3"/>
  <c r="C68" i="3"/>
  <c r="D41" i="3"/>
  <c r="C41" i="3"/>
  <c r="D39" i="3"/>
  <c r="D23" i="3"/>
  <c r="C23" i="3"/>
  <c r="D52" i="3"/>
  <c r="C52" i="3"/>
  <c r="C22" i="3"/>
  <c r="D22" i="3"/>
  <c r="C39" i="3"/>
  <c r="U14" i="3"/>
  <c r="U17" i="3"/>
  <c r="U20" i="3"/>
  <c r="Q17" i="3"/>
  <c r="Q14" i="3"/>
  <c r="C21" i="3"/>
  <c r="H43" i="2"/>
  <c r="G43" i="2"/>
  <c r="G37" i="2"/>
  <c r="D65" i="3"/>
  <c r="D21" i="3"/>
  <c r="M22" i="2"/>
  <c r="M27" i="2"/>
  <c r="T17" i="2"/>
  <c r="R17" i="2"/>
  <c r="G26" i="2"/>
  <c r="F26" i="2"/>
  <c r="G25" i="2"/>
  <c r="F25" i="2"/>
  <c r="E26" i="2"/>
  <c r="D26" i="2"/>
  <c r="E25" i="2"/>
  <c r="D25" i="2"/>
  <c r="K26" i="2"/>
  <c r="J26" i="2"/>
  <c r="K25" i="2"/>
  <c r="J25" i="2"/>
  <c r="I26" i="2"/>
  <c r="H26" i="2"/>
  <c r="I25" i="2"/>
  <c r="H25" i="2"/>
  <c r="X6" i="2"/>
  <c r="Y6" i="2"/>
  <c r="X8" i="2"/>
  <c r="Y8" i="2"/>
  <c r="X9" i="2"/>
  <c r="Y9" i="2"/>
  <c r="Y13" i="2"/>
  <c r="Y14" i="2"/>
  <c r="Y15" i="2"/>
  <c r="Y16" i="2"/>
  <c r="Y17" i="2"/>
  <c r="D20" i="3"/>
  <c r="D64" i="3"/>
  <c r="C64" i="3"/>
  <c r="C20" i="3"/>
  <c r="D18" i="3"/>
  <c r="D36" i="3"/>
  <c r="D62" i="3"/>
  <c r="D49" i="3"/>
  <c r="D63" i="3"/>
  <c r="D50" i="3"/>
  <c r="D19" i="3"/>
  <c r="C50" i="3"/>
  <c r="C63" i="3"/>
  <c r="C19" i="3"/>
  <c r="C62" i="3"/>
  <c r="C49" i="3"/>
  <c r="C36" i="3"/>
  <c r="C18" i="3"/>
  <c r="C71" i="3"/>
  <c r="C35" i="3"/>
  <c r="C72" i="3"/>
  <c r="BB16" i="2"/>
  <c r="BB15" i="2"/>
  <c r="BB14" i="2"/>
  <c r="BB13" i="2"/>
  <c r="BB9" i="2"/>
  <c r="BB8" i="2"/>
  <c r="AZ16" i="2"/>
  <c r="AZ9" i="2"/>
  <c r="AZ13" i="2"/>
  <c r="AZ14" i="2"/>
  <c r="AZ15" i="2"/>
  <c r="AZ8" i="2"/>
  <c r="AE7" i="2"/>
  <c r="AE8" i="2"/>
  <c r="AE9" i="2"/>
  <c r="AE10" i="2"/>
  <c r="AE11" i="2"/>
  <c r="AE13" i="2"/>
  <c r="AE14" i="2"/>
  <c r="AE15" i="2"/>
  <c r="AE16" i="2"/>
  <c r="AE6" i="2"/>
  <c r="AP16" i="2"/>
  <c r="AP15" i="2"/>
  <c r="AP14" i="2"/>
  <c r="AP13" i="2"/>
  <c r="AO9" i="2"/>
  <c r="AP9" i="2"/>
  <c r="AO6" i="2"/>
  <c r="AP6" i="2"/>
  <c r="AO8" i="2"/>
  <c r="AP8" i="2"/>
  <c r="AP17" i="2"/>
  <c r="AN16" i="2"/>
  <c r="AN15" i="2"/>
  <c r="AN14" i="2"/>
  <c r="AN13" i="2"/>
  <c r="AM6" i="2"/>
  <c r="AN6" i="2"/>
  <c r="AM8" i="2"/>
  <c r="AN8" i="2"/>
  <c r="AM9" i="2"/>
  <c r="AN9" i="2"/>
  <c r="AN17" i="2"/>
  <c r="AK6" i="2"/>
  <c r="AL6" i="2"/>
  <c r="AL16" i="2"/>
  <c r="AL15" i="2"/>
  <c r="AL14" i="2"/>
  <c r="AL13" i="2"/>
  <c r="AM7" i="2"/>
  <c r="AO7" i="2"/>
  <c r="AK8" i="2"/>
  <c r="AL8" i="2"/>
  <c r="AK9" i="2"/>
  <c r="AL9" i="2"/>
  <c r="AC16" i="2"/>
  <c r="AC15" i="2"/>
  <c r="AC14" i="2"/>
  <c r="AC13" i="2"/>
  <c r="AB9" i="2"/>
  <c r="AC9" i="2"/>
  <c r="AB8" i="2"/>
  <c r="AC8" i="2"/>
  <c r="AB6" i="2"/>
  <c r="AC6" i="2"/>
  <c r="AC17" i="2"/>
  <c r="AA16" i="2"/>
  <c r="AA15" i="2"/>
  <c r="AA14" i="2"/>
  <c r="AA13" i="2"/>
  <c r="Z9" i="2"/>
  <c r="AA9" i="2"/>
  <c r="Z8" i="2"/>
  <c r="AA8" i="2"/>
  <c r="Z6" i="2"/>
  <c r="AA6" i="2"/>
  <c r="AA17" i="2"/>
  <c r="N7" i="2"/>
  <c r="L7" i="2"/>
  <c r="L8" i="2"/>
  <c r="L9" i="2"/>
  <c r="O7" i="2"/>
  <c r="P7" i="2"/>
  <c r="Q7" i="2"/>
  <c r="O16" i="2"/>
  <c r="N9" i="2"/>
  <c r="O9" i="2"/>
  <c r="N8" i="2"/>
  <c r="O8" i="2"/>
  <c r="P8" i="2"/>
  <c r="Q8" i="2"/>
  <c r="P9" i="2"/>
  <c r="M14" i="2"/>
  <c r="M13" i="2"/>
  <c r="M8" i="2"/>
  <c r="M9" i="2"/>
  <c r="Q16" i="2"/>
  <c r="E10" i="2"/>
  <c r="F10" i="2"/>
  <c r="J10" i="2"/>
  <c r="D9" i="2"/>
  <c r="D8" i="2"/>
  <c r="D7" i="2"/>
  <c r="F7" i="2"/>
  <c r="J7" i="2"/>
  <c r="H16" i="2"/>
  <c r="E13" i="2"/>
  <c r="H13" i="2"/>
  <c r="E14" i="2"/>
  <c r="H14" i="2"/>
  <c r="E15" i="2"/>
  <c r="H15" i="2"/>
  <c r="F13" i="2"/>
  <c r="J13" i="2"/>
  <c r="F14" i="2"/>
  <c r="J14" i="2"/>
  <c r="F15" i="2"/>
  <c r="J15" i="2"/>
  <c r="AL17" i="2"/>
  <c r="O13" i="2"/>
  <c r="Q14" i="2"/>
  <c r="M15" i="2"/>
  <c r="Q9" i="2"/>
  <c r="Q13" i="2"/>
  <c r="Q15" i="2"/>
  <c r="Q17" i="2"/>
  <c r="M16" i="2"/>
  <c r="M7" i="2"/>
  <c r="O14" i="2"/>
  <c r="O15" i="2"/>
  <c r="E8" i="2"/>
  <c r="E7" i="2"/>
  <c r="E9" i="2"/>
  <c r="H10" i="2"/>
  <c r="H7" i="2"/>
  <c r="F9" i="2"/>
  <c r="J9" i="2"/>
  <c r="F8" i="2"/>
  <c r="M17" i="2"/>
  <c r="O17" i="2"/>
  <c r="G13" i="2"/>
  <c r="J8" i="2"/>
  <c r="H9" i="2"/>
  <c r="G9" i="2"/>
  <c r="G15" i="2"/>
  <c r="G14" i="2"/>
  <c r="H8" i="2"/>
  <c r="I13" i="2"/>
  <c r="G8" i="2"/>
  <c r="G16" i="2"/>
  <c r="G7" i="2"/>
  <c r="K16" i="2"/>
  <c r="K8" i="2"/>
  <c r="K7" i="2"/>
  <c r="K15" i="2"/>
  <c r="K14" i="2"/>
  <c r="K13" i="2"/>
  <c r="K9" i="2"/>
  <c r="I8" i="2"/>
  <c r="I15" i="2"/>
  <c r="I14" i="2"/>
  <c r="I16" i="2"/>
  <c r="I9" i="2"/>
  <c r="I7" i="2"/>
  <c r="S77" i="3" l="1"/>
  <c r="R78" i="3"/>
  <c r="S78" i="3" s="1"/>
  <c r="R76" i="3"/>
  <c r="S75" i="3"/>
  <c r="R79" i="3" l="1"/>
  <c r="S76" i="3"/>
  <c r="R80" i="3" l="1"/>
  <c r="S79" i="3"/>
  <c r="R81" i="3" l="1"/>
  <c r="S80" i="3"/>
  <c r="S81" i="3" l="1"/>
  <c r="R82" i="3"/>
  <c r="S82" i="3" l="1"/>
  <c r="R83" i="3"/>
  <c r="S83" i="3" s="1"/>
</calcChain>
</file>

<file path=xl/sharedStrings.xml><?xml version="1.0" encoding="utf-8"?>
<sst xmlns="http://schemas.openxmlformats.org/spreadsheetml/2006/main" count="353" uniqueCount="199">
  <si>
    <t>SAE 10W30 0</t>
  </si>
  <si>
    <t>SAE 10W30 1</t>
  </si>
  <si>
    <t>SAE 10W30 2</t>
  </si>
  <si>
    <t>SAE 10W30 3</t>
  </si>
  <si>
    <t>SAE 10W30 5</t>
  </si>
  <si>
    <t>SAE 10W30 6</t>
  </si>
  <si>
    <t>SAE 10W30 7</t>
  </si>
  <si>
    <t>S4</t>
  </si>
  <si>
    <t>S6</t>
  </si>
  <si>
    <t>BOGS 4/6</t>
  </si>
  <si>
    <t>x</t>
  </si>
  <si>
    <t>FC9250</t>
  </si>
  <si>
    <t>WN2018</t>
  </si>
  <si>
    <t>WN9014</t>
  </si>
  <si>
    <t>mass</t>
  </si>
  <si>
    <t>VM HV</t>
  </si>
  <si>
    <t>S8</t>
  </si>
  <si>
    <t>SAE 10W40 7</t>
  </si>
  <si>
    <t>SAE 10W40 5</t>
  </si>
  <si>
    <t>SAE 10W40 6</t>
  </si>
  <si>
    <t>BOGS 6/8</t>
  </si>
  <si>
    <t>SAE 5W30 x</t>
  </si>
  <si>
    <t>SAE 5W30 y</t>
  </si>
  <si>
    <t>SAE 5W30 z</t>
  </si>
  <si>
    <t>SAE 10W40 C8</t>
  </si>
  <si>
    <t>GL135/triester</t>
  </si>
  <si>
    <t>SAE 0W20 1</t>
  </si>
  <si>
    <t>VI</t>
  </si>
  <si>
    <t>SAE 0W20 2</t>
  </si>
  <si>
    <t>KV 100</t>
  </si>
  <si>
    <t>KV 40</t>
  </si>
  <si>
    <t>HTHS</t>
  </si>
  <si>
    <t>CCS</t>
  </si>
  <si>
    <t>4B - friction</t>
  </si>
  <si>
    <t>4B - scar</t>
  </si>
  <si>
    <t>10W40</t>
  </si>
  <si>
    <t>10W30</t>
  </si>
  <si>
    <t>5W30</t>
  </si>
  <si>
    <t>0W20 - LCGC</t>
  </si>
  <si>
    <t>SAE 10W30 R2</t>
  </si>
  <si>
    <t>SAE 10W40 R2</t>
  </si>
  <si>
    <t>SAE 5W30 R2</t>
  </si>
  <si>
    <t>5W40</t>
  </si>
  <si>
    <t>SAE 5W40 R2</t>
  </si>
  <si>
    <t>SAE 10W30 SN</t>
  </si>
  <si>
    <t>SAE 10W40 SN</t>
  </si>
  <si>
    <t>SAE 5W30 SN</t>
  </si>
  <si>
    <t>SAE 5W40 SN</t>
  </si>
  <si>
    <t>SAE 10W30 SN 2</t>
  </si>
  <si>
    <t>SAE 5W40 SN 2</t>
  </si>
  <si>
    <t>SAE 5W30 SN 2</t>
  </si>
  <si>
    <t>SAE 10W40 SN 2</t>
  </si>
  <si>
    <t>Noack</t>
  </si>
  <si>
    <t>SST</t>
  </si>
  <si>
    <t>Target</t>
  </si>
  <si>
    <t>2.6-2.9</t>
  </si>
  <si>
    <t>7.5-8</t>
  </si>
  <si>
    <t>2.9-3.1</t>
  </si>
  <si>
    <t>Motul</t>
  </si>
  <si>
    <t>Motul TRD</t>
  </si>
  <si>
    <t>Q8-oil</t>
  </si>
  <si>
    <t>Klondike full synth</t>
  </si>
  <si>
    <t>kloindike mid sap</t>
  </si>
  <si>
    <t>XTEN Diesel</t>
  </si>
  <si>
    <t>Ravenol</t>
  </si>
  <si>
    <t>Klondike</t>
  </si>
  <si>
    <t>Q8</t>
  </si>
  <si>
    <t>Xten</t>
  </si>
  <si>
    <t>S2</t>
  </si>
  <si>
    <t>S3</t>
  </si>
  <si>
    <t>SAE 10W30 SN2</t>
  </si>
  <si>
    <t>FC9270</t>
  </si>
  <si>
    <t>mass (x)</t>
  </si>
  <si>
    <t>VM</t>
  </si>
  <si>
    <t>KV40</t>
  </si>
  <si>
    <t>KV100</t>
  </si>
  <si>
    <t>5w40</t>
  </si>
  <si>
    <t>SAE 10W30 SN 3A</t>
  </si>
  <si>
    <t>SAE 10W30 SN 3B</t>
  </si>
  <si>
    <t>Q8 oil</t>
  </si>
  <si>
    <t>GL 135</t>
  </si>
  <si>
    <t>5W30 SN III</t>
  </si>
  <si>
    <t>10W40 SN III</t>
  </si>
  <si>
    <t>SAE 5W40 SN 3</t>
  </si>
  <si>
    <t>SAE 5W40 SN 4a</t>
  </si>
  <si>
    <t>SAE 5W30 SN 3</t>
  </si>
  <si>
    <t>SAE 5W40 SN 4b</t>
  </si>
  <si>
    <t>Discrepancy</t>
  </si>
  <si>
    <t>visc tube d</t>
  </si>
  <si>
    <t>5W40 SN4a</t>
  </si>
  <si>
    <t>Motul SE LE10W40</t>
  </si>
  <si>
    <t>real</t>
  </si>
  <si>
    <t>~122</t>
  </si>
  <si>
    <t>SAE 5W40 SN 4A</t>
  </si>
  <si>
    <t>SAE 5W40 SN 4B</t>
  </si>
  <si>
    <t>10W30-1</t>
  </si>
  <si>
    <t>10W30-2</t>
  </si>
  <si>
    <t>10W40-1</t>
  </si>
  <si>
    <t>10W40-2</t>
  </si>
  <si>
    <t>SAE 10W40 X</t>
  </si>
  <si>
    <t>XTEN 10W40</t>
  </si>
  <si>
    <t>XTEN10W30</t>
  </si>
  <si>
    <t>SAE 5W30 SN 2 (BARIA)</t>
  </si>
  <si>
    <t>SAE 10W30 SN 3B (BARIA)</t>
  </si>
  <si>
    <t>SAE 5W40 SN 4b (BARIA)</t>
  </si>
  <si>
    <t>visco D</t>
  </si>
  <si>
    <t>coeff</t>
  </si>
  <si>
    <t>SAE 10W40 X (BARIA)</t>
  </si>
  <si>
    <t>SAE 10W40 SN true</t>
  </si>
  <si>
    <t>SAE 10W40 SN rapid</t>
  </si>
  <si>
    <t>SAE 10W40 SN X</t>
  </si>
  <si>
    <t>10W40F4</t>
  </si>
  <si>
    <t>10W40F3</t>
  </si>
  <si>
    <t>10W30F4</t>
  </si>
  <si>
    <t>10W30-F3</t>
  </si>
  <si>
    <t>0W20-B</t>
  </si>
  <si>
    <t>0W20-A</t>
  </si>
  <si>
    <t>5W30B</t>
  </si>
  <si>
    <t>5W30A</t>
  </si>
  <si>
    <t>10W40B</t>
  </si>
  <si>
    <t>10W40A</t>
  </si>
  <si>
    <t>10W40 F2</t>
  </si>
  <si>
    <t>5W40 F2</t>
  </si>
  <si>
    <t>10W30F2</t>
  </si>
  <si>
    <t>5W30F2</t>
  </si>
  <si>
    <t>t</t>
  </si>
  <si>
    <t>coef</t>
  </si>
  <si>
    <t>visko</t>
  </si>
  <si>
    <t>S-PAMA samples</t>
  </si>
  <si>
    <t>Triester</t>
  </si>
  <si>
    <t>CV1103</t>
  </si>
  <si>
    <t>SPAMA52</t>
  </si>
  <si>
    <t>VM-HV</t>
  </si>
  <si>
    <t>5W40 API CK-4</t>
  </si>
  <si>
    <t>F540-2</t>
  </si>
  <si>
    <t>F540-1</t>
  </si>
  <si>
    <t>F540-3</t>
  </si>
  <si>
    <t>F540-5</t>
  </si>
  <si>
    <t>GL 0831</t>
  </si>
  <si>
    <t>Note</t>
  </si>
  <si>
    <t>- From F540-1 to F540-3, SPAMA is preferred</t>
  </si>
  <si>
    <t>- F540-5 tests S6 oil</t>
  </si>
  <si>
    <t>- F540-6 tests S4 ester oil with high noack</t>
  </si>
  <si>
    <t>- F540-7 tests S4 ester oil with low noack</t>
  </si>
  <si>
    <t>F540-6</t>
  </si>
  <si>
    <t>Priolube/palmester 3970</t>
  </si>
  <si>
    <t>F540-7</t>
  </si>
  <si>
    <t>F540-8</t>
  </si>
  <si>
    <t>F540-9</t>
  </si>
  <si>
    <t>F540-10</t>
  </si>
  <si>
    <t>F540-11</t>
  </si>
  <si>
    <t>F540-12</t>
  </si>
  <si>
    <t>F540-13</t>
  </si>
  <si>
    <t>F540-14</t>
  </si>
  <si>
    <t>F540-15</t>
  </si>
  <si>
    <t>F540-16</t>
  </si>
  <si>
    <t>F540-17</t>
  </si>
  <si>
    <t xml:space="preserve">- F540-9 - 16 shows that KV 40 can't be lower than 80. need to lowee down. </t>
  </si>
  <si>
    <t>- 16 can't achieve low KV 40, even with 7.5% S6 and 5% triester, 5% 4 cSt ester</t>
  </si>
  <si>
    <t>F540-18</t>
  </si>
  <si>
    <t>T45</t>
  </si>
  <si>
    <t>T410</t>
  </si>
  <si>
    <t>T65</t>
  </si>
  <si>
    <t>T610</t>
  </si>
  <si>
    <t>T85</t>
  </si>
  <si>
    <t>F540-19</t>
  </si>
  <si>
    <t>F540-20</t>
  </si>
  <si>
    <t>SPAMA</t>
  </si>
  <si>
    <t>T810</t>
  </si>
  <si>
    <t>F540-21</t>
  </si>
  <si>
    <t>H45</t>
  </si>
  <si>
    <t>H410</t>
  </si>
  <si>
    <t>H65</t>
  </si>
  <si>
    <t>H610</t>
  </si>
  <si>
    <t>H85</t>
  </si>
  <si>
    <t>H810</t>
  </si>
  <si>
    <t>SPAMA 52</t>
  </si>
  <si>
    <t>F540-22</t>
  </si>
  <si>
    <t>F540-23</t>
  </si>
  <si>
    <t>F540-24</t>
  </si>
  <si>
    <t>F540-25</t>
  </si>
  <si>
    <t>F540-26</t>
  </si>
  <si>
    <t>F540-27</t>
  </si>
  <si>
    <t>F540-28</t>
  </si>
  <si>
    <t>F540-29</t>
  </si>
  <si>
    <t>F540-30</t>
  </si>
  <si>
    <t>F540-31</t>
  </si>
  <si>
    <t>Target viscometric</t>
  </si>
  <si>
    <t>5W30 - Diesel</t>
  </si>
  <si>
    <t>170+</t>
  </si>
  <si>
    <t>5W40 - Diesel</t>
  </si>
  <si>
    <t>15W40 - diesel</t>
  </si>
  <si>
    <t>base oil</t>
  </si>
  <si>
    <t>ester</t>
  </si>
  <si>
    <t>additive</t>
  </si>
  <si>
    <t>F540-32</t>
  </si>
  <si>
    <t>F540-33</t>
  </si>
  <si>
    <t>F540-34</t>
  </si>
  <si>
    <t>F540-35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</si>
</sst>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/>
    <xf numFmtId="0" fontId="0" fillId="2" borderId="0" xfId="0" applyFill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4" fillId="0" borderId="0" xfId="0" applyFont="1" applyFill="1" applyAlignme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7171296296296298"/>
          <c:w val="0.88386351706036748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EFEK s8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Sheet2!$J$23:$K$23</c:f>
              <c:numCache>
                <c:formatCode>General</c:formatCode>
                <c:ptCount val="2"/>
                <c:pt idx="0">
                  <c:v>75.55</c:v>
                </c:pt>
                <c:pt idx="1">
                  <c:v>65.55</c:v>
                </c:pt>
              </c:numCache>
            </c:numRef>
          </c:xVal>
          <c:yVal>
            <c:numRef>
              <c:f>Sheet2!$J$25:$K$25</c:f>
              <c:numCache>
                <c:formatCode>0.00</c:formatCode>
                <c:ptCount val="2"/>
                <c:pt idx="0" formatCode="General">
                  <c:v>99.12</c:v>
                </c:pt>
                <c:pt idx="1">
                  <c:v>94.793333333333337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74-43B0-AD93-52B880AB8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788367"/>
        <c:axId val="1219020927"/>
      </c:scatterChart>
      <c:valAx>
        <c:axId val="122678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20927"/>
        <c:crosses val="autoZero"/>
        <c:crossBetween val="midCat"/>
      </c:valAx>
      <c:valAx>
        <c:axId val="1219020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8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409014</xdr:colOff>
      <xdr:row>21</xdr:row>
      <xdr:rowOff>68355</xdr:rowOff>
    </xdr:from>
    <xdr:to>
      <xdr:col>24</xdr:col>
      <xdr:colOff>140073</xdr:colOff>
      <xdr:row>35</xdr:row>
      <xdr:rowOff>144555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0533C8-3AE9-4768-A437-6F946FA60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FA406-7B85-4105-AB4F-9FB3E5FABB2E}">
  <dimension ref="A3:W83"/>
  <sheetViews>
    <sheetView topLeftCell="A31" zoomScale="85" zoomScaleNormal="85" workbookViewId="0">
      <selection activeCell="P75" sqref="P75"/>
    </sheetView>
  </sheetViews>
  <sheetFormatPr defaultRowHeight="15" x14ac:dyDescent="0.25"/>
  <cols>
    <col min="1" max="1" width="12.28515625" customWidth="1"/>
    <col min="2" max="2" width="17.7109375" customWidth="1"/>
    <col min="10" max="10" width="11.140625" customWidth="1"/>
    <col min="11" max="11" width="13.28515625" customWidth="1"/>
    <col min="12" max="12" width="17.140625" customWidth="1"/>
    <col min="16" max="16" width="23.42578125" customWidth="1"/>
    <col min="17" max="17" width="17.140625" customWidth="1"/>
  </cols>
  <sheetData>
    <row r="3" spans="2:21" x14ac:dyDescent="0.25">
      <c r="Q3" t="s">
        <v>68</v>
      </c>
      <c r="R3" t="s">
        <v>69</v>
      </c>
      <c r="S3" t="s">
        <v>7</v>
      </c>
      <c r="T3" t="s">
        <v>8</v>
      </c>
      <c r="U3" t="s">
        <v>16</v>
      </c>
    </row>
    <row r="4" spans="2:21" x14ac:dyDescent="0.25">
      <c r="C4" t="s">
        <v>30</v>
      </c>
      <c r="D4" t="s">
        <v>29</v>
      </c>
      <c r="E4" t="s">
        <v>27</v>
      </c>
      <c r="F4" t="s">
        <v>31</v>
      </c>
      <c r="G4" t="s">
        <v>32</v>
      </c>
      <c r="H4" t="s">
        <v>52</v>
      </c>
      <c r="I4" t="s">
        <v>53</v>
      </c>
      <c r="J4" t="s">
        <v>33</v>
      </c>
      <c r="K4" t="s">
        <v>34</v>
      </c>
      <c r="P4" t="s">
        <v>30</v>
      </c>
      <c r="Q4">
        <v>7.117</v>
      </c>
      <c r="R4">
        <v>13.47</v>
      </c>
      <c r="S4">
        <v>19.62</v>
      </c>
      <c r="T4">
        <v>33.32</v>
      </c>
      <c r="U4">
        <v>43.89</v>
      </c>
    </row>
    <row r="5" spans="2:21" x14ac:dyDescent="0.25">
      <c r="B5" s="32" t="s">
        <v>36</v>
      </c>
      <c r="C5" s="32"/>
      <c r="D5" s="32"/>
      <c r="E5" s="32"/>
      <c r="F5" s="32"/>
      <c r="G5" s="32"/>
      <c r="H5" s="32"/>
      <c r="I5" s="32"/>
      <c r="J5" s="32"/>
      <c r="K5" s="32"/>
      <c r="P5" t="s">
        <v>29</v>
      </c>
      <c r="Q5">
        <v>2.1739999999999999</v>
      </c>
      <c r="R5">
        <v>3.3149999999999999</v>
      </c>
      <c r="S5">
        <v>4.2469999999999999</v>
      </c>
      <c r="T5">
        <v>6</v>
      </c>
      <c r="U5">
        <v>7.234</v>
      </c>
    </row>
    <row r="6" spans="2:21" x14ac:dyDescent="0.25">
      <c r="B6" s="5" t="s">
        <v>54</v>
      </c>
      <c r="C6" s="4">
        <v>65</v>
      </c>
      <c r="D6" s="4">
        <v>10.5</v>
      </c>
      <c r="E6" s="4">
        <v>151</v>
      </c>
      <c r="F6" s="4" t="s">
        <v>57</v>
      </c>
      <c r="G6" s="4"/>
      <c r="H6" s="7" t="s">
        <v>56</v>
      </c>
      <c r="I6" s="7"/>
      <c r="J6" s="4"/>
      <c r="K6" s="4"/>
      <c r="P6" t="s">
        <v>27</v>
      </c>
      <c r="Q6">
        <v>109</v>
      </c>
      <c r="R6">
        <v>117</v>
      </c>
      <c r="S6">
        <v>123</v>
      </c>
      <c r="T6">
        <v>127</v>
      </c>
      <c r="U6">
        <v>127</v>
      </c>
    </row>
    <row r="7" spans="2:21" x14ac:dyDescent="0.25">
      <c r="B7" t="s">
        <v>58</v>
      </c>
      <c r="C7">
        <v>72.8</v>
      </c>
      <c r="D7">
        <v>10.8</v>
      </c>
      <c r="E7">
        <v>141</v>
      </c>
      <c r="P7" t="s">
        <v>52</v>
      </c>
      <c r="S7">
        <v>14.5</v>
      </c>
      <c r="T7">
        <v>8</v>
      </c>
      <c r="U7">
        <v>4.0999999999999996</v>
      </c>
    </row>
    <row r="8" spans="2:21" x14ac:dyDescent="0.25">
      <c r="B8" t="s">
        <v>66</v>
      </c>
      <c r="C8">
        <v>68.5</v>
      </c>
      <c r="D8">
        <v>10.7</v>
      </c>
      <c r="E8">
        <v>145</v>
      </c>
    </row>
    <row r="9" spans="2:21" x14ac:dyDescent="0.25">
      <c r="B9" t="s">
        <v>65</v>
      </c>
      <c r="C9">
        <v>63.5</v>
      </c>
      <c r="D9">
        <v>10.5</v>
      </c>
      <c r="E9">
        <v>142</v>
      </c>
    </row>
    <row r="10" spans="2:21" x14ac:dyDescent="0.25">
      <c r="B10" t="s">
        <v>67</v>
      </c>
      <c r="C10">
        <v>79.28</v>
      </c>
      <c r="D10">
        <v>12.26</v>
      </c>
      <c r="E10">
        <v>151</v>
      </c>
    </row>
    <row r="11" spans="2:21" x14ac:dyDescent="0.25">
      <c r="B11" s="1" t="s">
        <v>0</v>
      </c>
      <c r="C11">
        <v>41.57</v>
      </c>
      <c r="D11">
        <v>6.83</v>
      </c>
      <c r="E11">
        <v>121</v>
      </c>
      <c r="P11" t="s">
        <v>89</v>
      </c>
      <c r="T11" t="s">
        <v>90</v>
      </c>
    </row>
    <row r="12" spans="2:21" x14ac:dyDescent="0.25">
      <c r="B12" s="1" t="s">
        <v>1</v>
      </c>
      <c r="C12" s="2">
        <v>49.57</v>
      </c>
      <c r="D12">
        <v>7.71</v>
      </c>
      <c r="E12">
        <v>122</v>
      </c>
      <c r="P12" t="s">
        <v>87</v>
      </c>
      <c r="T12" t="s">
        <v>87</v>
      </c>
    </row>
    <row r="13" spans="2:21" x14ac:dyDescent="0.25">
      <c r="B13" s="1" t="s">
        <v>2</v>
      </c>
      <c r="C13">
        <v>44.48</v>
      </c>
      <c r="D13">
        <v>7.48</v>
      </c>
      <c r="E13">
        <v>134</v>
      </c>
      <c r="O13" t="s">
        <v>88</v>
      </c>
      <c r="P13" t="s">
        <v>74</v>
      </c>
      <c r="S13" t="s">
        <v>88</v>
      </c>
      <c r="T13" t="s">
        <v>74</v>
      </c>
    </row>
    <row r="14" spans="2:21" x14ac:dyDescent="0.25">
      <c r="B14" s="1" t="s">
        <v>3</v>
      </c>
      <c r="C14">
        <v>47.73</v>
      </c>
      <c r="D14">
        <v>8.68</v>
      </c>
      <c r="E14">
        <v>162</v>
      </c>
      <c r="O14">
        <v>1.5</v>
      </c>
      <c r="P14">
        <v>78.239999999999995</v>
      </c>
      <c r="Q14">
        <f>AVERAGE(P14:P16)</f>
        <v>78.293333333333337</v>
      </c>
      <c r="S14">
        <v>1.5</v>
      </c>
      <c r="U14">
        <f>102/0.5208</f>
        <v>195.85253456221196</v>
      </c>
    </row>
    <row r="15" spans="2:21" x14ac:dyDescent="0.25">
      <c r="B15" s="1" t="s">
        <v>4</v>
      </c>
      <c r="C15">
        <v>52.03</v>
      </c>
      <c r="D15">
        <v>9.9</v>
      </c>
      <c r="E15">
        <v>180</v>
      </c>
      <c r="P15">
        <v>78.23</v>
      </c>
    </row>
    <row r="16" spans="2:21" x14ac:dyDescent="0.25">
      <c r="B16" s="1" t="s">
        <v>5</v>
      </c>
      <c r="C16" s="2">
        <v>67.25</v>
      </c>
      <c r="D16">
        <v>9.39</v>
      </c>
      <c r="E16">
        <v>118</v>
      </c>
      <c r="P16">
        <v>78.41</v>
      </c>
    </row>
    <row r="17" spans="1:21" x14ac:dyDescent="0.25">
      <c r="B17" s="1" t="s">
        <v>6</v>
      </c>
      <c r="C17">
        <v>56.44</v>
      </c>
      <c r="D17">
        <v>10.51</v>
      </c>
      <c r="E17">
        <v>179</v>
      </c>
      <c r="O17">
        <v>2</v>
      </c>
      <c r="P17">
        <v>81.67</v>
      </c>
      <c r="Q17">
        <f>AVERAGE(P17:P19)</f>
        <v>81.583333333333329</v>
      </c>
      <c r="S17">
        <v>2</v>
      </c>
      <c r="U17">
        <f>104/0.9524</f>
        <v>109.19781604367913</v>
      </c>
    </row>
    <row r="18" spans="1:21" x14ac:dyDescent="0.25">
      <c r="B18" s="1" t="s">
        <v>39</v>
      </c>
      <c r="C18">
        <f>AVERAGE(73.41,73.6,73.73)</f>
        <v>73.58</v>
      </c>
      <c r="D18" s="3">
        <f>AVERAGE(11.44,11.42,11.48)</f>
        <v>11.446666666666667</v>
      </c>
      <c r="E18">
        <v>149</v>
      </c>
      <c r="P18">
        <v>81.66</v>
      </c>
    </row>
    <row r="19" spans="1:21" x14ac:dyDescent="0.25">
      <c r="B19" s="1" t="s">
        <v>44</v>
      </c>
      <c r="C19" s="3">
        <f>AVERAGE(71.16,70.97)</f>
        <v>71.064999999999998</v>
      </c>
      <c r="D19">
        <f>AVERAGE(12.67,12.01)</f>
        <v>12.34</v>
      </c>
      <c r="E19">
        <v>173</v>
      </c>
      <c r="P19">
        <v>81.42</v>
      </c>
    </row>
    <row r="20" spans="1:21" x14ac:dyDescent="0.25">
      <c r="B20" s="1" t="s">
        <v>48</v>
      </c>
      <c r="C20" s="3">
        <f>AVERAGE(70.77,70.34,70.58)</f>
        <v>70.563333333333333</v>
      </c>
      <c r="D20" s="3">
        <f>AVERAGE(12.42,12.48,12.31)</f>
        <v>12.403333333333334</v>
      </c>
      <c r="E20">
        <v>176</v>
      </c>
      <c r="O20">
        <v>1</v>
      </c>
      <c r="P20">
        <v>83.3</v>
      </c>
      <c r="S20">
        <v>2.5</v>
      </c>
      <c r="T20" t="s">
        <v>92</v>
      </c>
      <c r="U20">
        <f>122/2.335</f>
        <v>52.248394004282659</v>
      </c>
    </row>
    <row r="21" spans="1:21" x14ac:dyDescent="0.25">
      <c r="B21" s="1" t="s">
        <v>77</v>
      </c>
      <c r="C21" s="3">
        <f>AVERAGE(78.08,77.62,77.34)</f>
        <v>77.679999999999993</v>
      </c>
      <c r="D21" s="3">
        <f>AVERAGE(10.85,10.92,11.03)</f>
        <v>10.933333333333332</v>
      </c>
      <c r="E21">
        <v>129</v>
      </c>
      <c r="P21">
        <v>83</v>
      </c>
    </row>
    <row r="22" spans="1:21" x14ac:dyDescent="0.25">
      <c r="A22" t="s">
        <v>101</v>
      </c>
      <c r="B22" s="9" t="s">
        <v>78</v>
      </c>
      <c r="C22" s="3">
        <f>AVERAGE(67.49,66.99)</f>
        <v>67.239999999999995</v>
      </c>
      <c r="D22" s="3">
        <f>AVERAGE(11.17,11.2,11.2)</f>
        <v>11.189999999999998</v>
      </c>
      <c r="E22">
        <v>163</v>
      </c>
    </row>
    <row r="23" spans="1:21" x14ac:dyDescent="0.25">
      <c r="B23" s="9" t="s">
        <v>103</v>
      </c>
      <c r="C23" s="3">
        <f>AVERAGE(67.15,67.15,67.14)</f>
        <v>67.146666666666661</v>
      </c>
      <c r="D23" s="3">
        <f>AVERAGE(11.15,11.16,11.13)</f>
        <v>11.146666666666668</v>
      </c>
      <c r="E23">
        <v>159</v>
      </c>
      <c r="S23" t="s">
        <v>91</v>
      </c>
      <c r="T23">
        <v>102.1</v>
      </c>
    </row>
    <row r="24" spans="1:21" x14ac:dyDescent="0.25">
      <c r="B24" s="1"/>
      <c r="C24" s="3"/>
    </row>
    <row r="25" spans="1:21" x14ac:dyDescent="0.25">
      <c r="B25" s="1"/>
      <c r="C25" s="3"/>
      <c r="Q25" s="1"/>
      <c r="R25" s="3"/>
      <c r="S25" s="3"/>
    </row>
    <row r="26" spans="1:21" x14ac:dyDescent="0.25">
      <c r="B26" s="32" t="s">
        <v>35</v>
      </c>
      <c r="C26" s="32"/>
      <c r="D26" s="32"/>
      <c r="E26" s="32"/>
      <c r="F26" s="32"/>
      <c r="G26" s="32"/>
      <c r="H26" s="32"/>
      <c r="I26" s="32"/>
      <c r="J26" s="32"/>
      <c r="K26" s="32"/>
      <c r="Q26" s="1"/>
      <c r="R26" s="3"/>
      <c r="S26" s="3"/>
    </row>
    <row r="27" spans="1:21" x14ac:dyDescent="0.25">
      <c r="B27" s="5" t="s">
        <v>54</v>
      </c>
      <c r="C27" s="3">
        <v>90</v>
      </c>
      <c r="D27" s="3">
        <v>14.5</v>
      </c>
      <c r="E27" s="6">
        <v>168</v>
      </c>
      <c r="F27" s="4" t="s">
        <v>57</v>
      </c>
      <c r="G27" s="4"/>
      <c r="H27" s="7" t="s">
        <v>56</v>
      </c>
      <c r="I27" s="7"/>
      <c r="J27" s="4"/>
      <c r="K27" s="4"/>
      <c r="Q27" s="1"/>
      <c r="R27" s="3"/>
      <c r="S27" s="3"/>
    </row>
    <row r="28" spans="1:21" x14ac:dyDescent="0.25">
      <c r="B28" t="s">
        <v>64</v>
      </c>
      <c r="C28">
        <v>97.6</v>
      </c>
      <c r="D28">
        <v>15.2</v>
      </c>
      <c r="E28">
        <v>165</v>
      </c>
      <c r="P28" s="1"/>
      <c r="Q28" s="1"/>
      <c r="R28" s="3"/>
      <c r="S28" s="3"/>
    </row>
    <row r="29" spans="1:21" x14ac:dyDescent="0.25">
      <c r="B29" t="s">
        <v>65</v>
      </c>
      <c r="C29">
        <v>94.6</v>
      </c>
      <c r="D29">
        <v>14.8</v>
      </c>
      <c r="E29">
        <v>160</v>
      </c>
      <c r="P29" s="1"/>
    </row>
    <row r="30" spans="1:21" x14ac:dyDescent="0.25">
      <c r="B30" t="s">
        <v>66</v>
      </c>
      <c r="C30">
        <v>98.5</v>
      </c>
      <c r="D30">
        <v>14.5</v>
      </c>
      <c r="E30">
        <v>152</v>
      </c>
      <c r="L30" t="s">
        <v>105</v>
      </c>
      <c r="M30" t="s">
        <v>106</v>
      </c>
      <c r="P30" s="1"/>
      <c r="Q30" s="3"/>
      <c r="R30" s="3"/>
    </row>
    <row r="31" spans="1:21" x14ac:dyDescent="0.25">
      <c r="B31" t="s">
        <v>67</v>
      </c>
      <c r="C31">
        <v>95.97</v>
      </c>
      <c r="D31">
        <v>14.53</v>
      </c>
      <c r="E31">
        <v>157</v>
      </c>
      <c r="L31">
        <v>0.6</v>
      </c>
      <c r="M31">
        <v>1.14E-2</v>
      </c>
      <c r="P31" s="1"/>
    </row>
    <row r="32" spans="1:21" x14ac:dyDescent="0.25">
      <c r="B32" s="1" t="s">
        <v>18</v>
      </c>
      <c r="C32">
        <v>70.489999999999995</v>
      </c>
      <c r="D32">
        <v>11.75</v>
      </c>
      <c r="E32">
        <v>163</v>
      </c>
      <c r="L32">
        <v>0.8</v>
      </c>
      <c r="M32">
        <v>3.2770000000000001E-2</v>
      </c>
      <c r="P32" s="1"/>
      <c r="R32" s="3"/>
    </row>
    <row r="33" spans="1:17" x14ac:dyDescent="0.25">
      <c r="B33" s="1" t="s">
        <v>19</v>
      </c>
      <c r="C33">
        <v>75.150000000000006</v>
      </c>
      <c r="D33">
        <v>14.02</v>
      </c>
      <c r="E33">
        <v>194</v>
      </c>
      <c r="L33">
        <v>1</v>
      </c>
      <c r="M33">
        <v>6.3450000000000006E-2</v>
      </c>
      <c r="P33" s="1"/>
      <c r="Q33" s="3"/>
    </row>
    <row r="34" spans="1:17" x14ac:dyDescent="0.25">
      <c r="B34" s="1" t="s">
        <v>17</v>
      </c>
      <c r="C34">
        <v>97.14</v>
      </c>
      <c r="D34">
        <v>16.440000000000001</v>
      </c>
      <c r="E34">
        <v>183</v>
      </c>
      <c r="L34">
        <v>1.2</v>
      </c>
      <c r="M34">
        <v>0.14280000000000001</v>
      </c>
      <c r="P34" s="1"/>
      <c r="Q34" s="3"/>
    </row>
    <row r="35" spans="1:17" x14ac:dyDescent="0.25">
      <c r="B35" s="1" t="s">
        <v>24</v>
      </c>
      <c r="C35" s="3">
        <f>AVERAGE(81.01,81.01,80.64,80.49)</f>
        <v>80.787500000000009</v>
      </c>
      <c r="D35">
        <v>13.08</v>
      </c>
      <c r="E35">
        <v>163</v>
      </c>
      <c r="L35">
        <v>1.5</v>
      </c>
      <c r="M35">
        <v>0.52080000000000004</v>
      </c>
      <c r="P35" s="1"/>
      <c r="Q35" s="3"/>
    </row>
    <row r="36" spans="1:17" x14ac:dyDescent="0.25">
      <c r="B36" s="1" t="s">
        <v>40</v>
      </c>
      <c r="C36" s="3">
        <f>AVERAGE(97.16,97.86,97.88)</f>
        <v>97.633333333333326</v>
      </c>
      <c r="D36">
        <f>AVERAGE(14.47,14.39,14.34)</f>
        <v>14.4</v>
      </c>
      <c r="E36">
        <v>152</v>
      </c>
      <c r="L36">
        <v>2</v>
      </c>
      <c r="M36">
        <v>0.95240000000000002</v>
      </c>
      <c r="P36" s="1"/>
      <c r="Q36" s="3"/>
    </row>
    <row r="37" spans="1:17" x14ac:dyDescent="0.25">
      <c r="B37" s="1" t="s">
        <v>109</v>
      </c>
      <c r="C37">
        <f>AVERAGE(99.33,98.91)</f>
        <v>99.12</v>
      </c>
      <c r="D37">
        <f>AVERAGE(14.32,14.34)</f>
        <v>14.33</v>
      </c>
      <c r="E37">
        <v>148</v>
      </c>
      <c r="L37">
        <v>2.5</v>
      </c>
      <c r="M37">
        <v>2.335</v>
      </c>
      <c r="P37" s="1"/>
      <c r="Q37" s="3"/>
    </row>
    <row r="38" spans="1:17" x14ac:dyDescent="0.25">
      <c r="B38" s="1" t="s">
        <v>108</v>
      </c>
      <c r="C38">
        <v>81.02</v>
      </c>
      <c r="P38" s="1"/>
      <c r="Q38" s="3"/>
    </row>
    <row r="39" spans="1:17" x14ac:dyDescent="0.25">
      <c r="B39" s="11" t="s">
        <v>51</v>
      </c>
      <c r="C39" s="3">
        <f>AVERAGE(94.92,94.54,94.92)</f>
        <v>94.793333333333337</v>
      </c>
      <c r="D39" s="3">
        <f>AVERAGE(14.33,14.27,14.26)</f>
        <v>14.286666666666667</v>
      </c>
      <c r="E39">
        <v>155</v>
      </c>
      <c r="P39" s="1"/>
      <c r="Q39" s="3"/>
    </row>
    <row r="40" spans="1:17" x14ac:dyDescent="0.25">
      <c r="A40" t="s">
        <v>100</v>
      </c>
      <c r="B40" s="9" t="s">
        <v>99</v>
      </c>
      <c r="C40" s="3">
        <f>AVERAGE(84.9)</f>
        <v>84.9</v>
      </c>
      <c r="D40" s="3">
        <f>AVERAGE(14.78,14.77,14.77)</f>
        <v>14.773333333333332</v>
      </c>
      <c r="P40" s="1"/>
      <c r="Q40" s="3"/>
    </row>
    <row r="41" spans="1:17" x14ac:dyDescent="0.25">
      <c r="B41" s="9" t="s">
        <v>107</v>
      </c>
      <c r="C41" s="3">
        <f>AVERAGE(84.24,84.2,84.16)</f>
        <v>84.2</v>
      </c>
      <c r="D41" s="3">
        <f>AVERAGE(14.86,14.83,14.87)</f>
        <v>14.853333333333332</v>
      </c>
      <c r="E41">
        <v>186</v>
      </c>
      <c r="P41" s="1"/>
      <c r="Q41" s="3"/>
    </row>
    <row r="42" spans="1:17" x14ac:dyDescent="0.25">
      <c r="B42" s="32" t="s">
        <v>37</v>
      </c>
      <c r="C42" s="32"/>
      <c r="D42" s="32"/>
      <c r="E42" s="32"/>
      <c r="F42" s="32"/>
      <c r="G42" s="32"/>
      <c r="H42" s="32"/>
      <c r="I42" s="32"/>
      <c r="J42" s="32"/>
      <c r="K42" s="32"/>
      <c r="P42" s="1"/>
      <c r="Q42" s="3"/>
    </row>
    <row r="43" spans="1:17" x14ac:dyDescent="0.25">
      <c r="B43" s="5" t="s">
        <v>54</v>
      </c>
      <c r="C43" s="8">
        <v>55</v>
      </c>
      <c r="D43" s="8">
        <v>10.3</v>
      </c>
      <c r="E43" s="4">
        <v>180</v>
      </c>
      <c r="F43" s="4" t="s">
        <v>57</v>
      </c>
      <c r="G43" s="4"/>
      <c r="H43" s="7" t="s">
        <v>56</v>
      </c>
      <c r="I43" s="7"/>
      <c r="J43" s="4"/>
      <c r="K43" s="4"/>
      <c r="P43" s="1"/>
    </row>
    <row r="44" spans="1:17" x14ac:dyDescent="0.25">
      <c r="B44" t="s">
        <v>59</v>
      </c>
      <c r="C44">
        <v>62.6</v>
      </c>
      <c r="D44">
        <v>10.7</v>
      </c>
      <c r="E44">
        <v>162</v>
      </c>
    </row>
    <row r="45" spans="1:17" x14ac:dyDescent="0.25">
      <c r="B45" t="s">
        <v>79</v>
      </c>
      <c r="C45">
        <v>69.7</v>
      </c>
      <c r="D45">
        <v>12.1</v>
      </c>
      <c r="E45">
        <v>173</v>
      </c>
    </row>
    <row r="46" spans="1:17" x14ac:dyDescent="0.25">
      <c r="B46" s="1" t="s">
        <v>21</v>
      </c>
      <c r="C46">
        <v>60.95</v>
      </c>
      <c r="D46">
        <v>10.17</v>
      </c>
      <c r="E46">
        <v>155</v>
      </c>
    </row>
    <row r="47" spans="1:17" x14ac:dyDescent="0.25">
      <c r="B47" s="1" t="s">
        <v>22</v>
      </c>
      <c r="C47">
        <v>65.92</v>
      </c>
      <c r="D47">
        <v>11.34</v>
      </c>
      <c r="E47">
        <v>167</v>
      </c>
    </row>
    <row r="48" spans="1:17" x14ac:dyDescent="0.25">
      <c r="B48" s="1" t="s">
        <v>23</v>
      </c>
      <c r="C48">
        <v>66.260000000000005</v>
      </c>
      <c r="D48">
        <v>11</v>
      </c>
      <c r="E48">
        <v>159</v>
      </c>
    </row>
    <row r="49" spans="2:23" x14ac:dyDescent="0.25">
      <c r="B49" s="1" t="s">
        <v>41</v>
      </c>
      <c r="C49" s="3">
        <f>AVERAGE(64.3,64.66,64.34)</f>
        <v>64.433333333333323</v>
      </c>
      <c r="D49" s="3">
        <f>AVERAGE(10.12,10.11,10.17)</f>
        <v>10.133333333333333</v>
      </c>
      <c r="E49">
        <v>143</v>
      </c>
    </row>
    <row r="50" spans="2:23" x14ac:dyDescent="0.25">
      <c r="B50" s="1" t="s">
        <v>46</v>
      </c>
      <c r="C50">
        <f>AVERAGE(59.5,59.49)</f>
        <v>59.495000000000005</v>
      </c>
      <c r="D50">
        <f>AVERAGE(9.14,9.99)</f>
        <v>9.5650000000000013</v>
      </c>
      <c r="E50">
        <v>144</v>
      </c>
    </row>
    <row r="51" spans="2:23" x14ac:dyDescent="0.25">
      <c r="B51" s="10" t="s">
        <v>50</v>
      </c>
      <c r="C51" s="3">
        <f>AVERAGE(67.6,67.41)</f>
        <v>67.504999999999995</v>
      </c>
      <c r="D51" s="3">
        <f>AVERAGE(10.77,10.74,10.8)</f>
        <v>10.770000000000001</v>
      </c>
      <c r="E51">
        <v>155</v>
      </c>
      <c r="U51" s="2"/>
      <c r="V51" s="2"/>
    </row>
    <row r="52" spans="2:23" x14ac:dyDescent="0.25">
      <c r="B52" s="10" t="s">
        <v>102</v>
      </c>
      <c r="C52" s="3">
        <f>AVERAGE(66.31,66.3,66.3)</f>
        <v>66.303333333333342</v>
      </c>
      <c r="D52" s="3">
        <f>AVERAGE(10.07,10.06,10.07)</f>
        <v>10.066666666666668</v>
      </c>
      <c r="E52">
        <v>137</v>
      </c>
      <c r="T52" s="2"/>
      <c r="W52" s="2"/>
    </row>
    <row r="53" spans="2:23" x14ac:dyDescent="0.25">
      <c r="B53" s="12" t="s">
        <v>85</v>
      </c>
      <c r="C53" s="3">
        <v>68.73</v>
      </c>
      <c r="D53" s="3"/>
      <c r="T53" s="2"/>
      <c r="W53" s="2"/>
    </row>
    <row r="54" spans="2:23" x14ac:dyDescent="0.25">
      <c r="B54" s="32" t="s">
        <v>42</v>
      </c>
      <c r="C54" s="32"/>
      <c r="D54" s="32"/>
      <c r="E54" s="32"/>
      <c r="F54" s="32"/>
      <c r="G54" s="32"/>
      <c r="H54" s="32"/>
      <c r="I54" s="32"/>
      <c r="J54" s="32"/>
      <c r="K54" s="32"/>
    </row>
    <row r="55" spans="2:23" x14ac:dyDescent="0.25">
      <c r="B55" s="5" t="s">
        <v>54</v>
      </c>
      <c r="C55" s="4"/>
      <c r="D55" s="4"/>
      <c r="E55" s="4"/>
      <c r="F55" s="4"/>
      <c r="G55" s="4"/>
      <c r="H55" s="7"/>
      <c r="I55" s="7"/>
      <c r="J55" s="4"/>
      <c r="K55" s="4"/>
    </row>
    <row r="56" spans="2:23" x14ac:dyDescent="0.25">
      <c r="B56" t="s">
        <v>58</v>
      </c>
      <c r="C56">
        <v>81.099999999999994</v>
      </c>
      <c r="D56">
        <v>14.2</v>
      </c>
      <c r="E56">
        <v>181</v>
      </c>
      <c r="F56" s="4"/>
      <c r="G56" s="4"/>
      <c r="H56" s="7"/>
      <c r="I56" s="7"/>
      <c r="J56" s="4"/>
      <c r="K56" s="4"/>
    </row>
    <row r="57" spans="2:23" x14ac:dyDescent="0.25">
      <c r="B57" t="s">
        <v>59</v>
      </c>
      <c r="C57">
        <v>89.9</v>
      </c>
      <c r="D57">
        <v>14.2</v>
      </c>
      <c r="E57">
        <v>164</v>
      </c>
    </row>
    <row r="58" spans="2:23" x14ac:dyDescent="0.25">
      <c r="B58" t="s">
        <v>60</v>
      </c>
      <c r="C58">
        <v>86.2</v>
      </c>
      <c r="D58">
        <v>14.3</v>
      </c>
      <c r="E58">
        <v>172</v>
      </c>
    </row>
    <row r="59" spans="2:23" x14ac:dyDescent="0.25">
      <c r="B59" t="s">
        <v>61</v>
      </c>
      <c r="C59">
        <v>77</v>
      </c>
      <c r="D59">
        <v>13.1</v>
      </c>
      <c r="E59">
        <v>173</v>
      </c>
      <c r="L59" s="1"/>
      <c r="M59" s="3"/>
      <c r="N59" s="3"/>
    </row>
    <row r="60" spans="2:23" x14ac:dyDescent="0.25">
      <c r="B60" s="1" t="s">
        <v>62</v>
      </c>
      <c r="C60" s="3">
        <v>82.8</v>
      </c>
      <c r="D60" s="3">
        <v>14</v>
      </c>
      <c r="E60">
        <v>175</v>
      </c>
      <c r="L60" s="1"/>
      <c r="M60" s="3"/>
      <c r="N60" s="3"/>
    </row>
    <row r="61" spans="2:23" x14ac:dyDescent="0.25">
      <c r="B61" s="1" t="s">
        <v>63</v>
      </c>
      <c r="C61" s="3">
        <v>81.28</v>
      </c>
      <c r="D61" s="3">
        <v>13.28</v>
      </c>
      <c r="E61">
        <v>166</v>
      </c>
      <c r="L61" s="1"/>
      <c r="M61" s="3"/>
      <c r="N61" s="3"/>
    </row>
    <row r="62" spans="2:23" x14ac:dyDescent="0.25">
      <c r="B62" s="1" t="s">
        <v>43</v>
      </c>
      <c r="C62" s="3">
        <f>AVERAGE(76.79,77.3,76.99)</f>
        <v>77.026666666666657</v>
      </c>
      <c r="D62" s="3">
        <f>AVERAGE(11.88,12.04,11.85)</f>
        <v>11.923333333333334</v>
      </c>
      <c r="E62">
        <v>150</v>
      </c>
      <c r="L62" s="1"/>
    </row>
    <row r="63" spans="2:23" x14ac:dyDescent="0.25">
      <c r="B63" s="1" t="s">
        <v>47</v>
      </c>
      <c r="C63">
        <f>AVERAGE(75.43, 76.79)</f>
        <v>76.110000000000014</v>
      </c>
      <c r="D63">
        <f>AVERAGE(12.67,12.01)</f>
        <v>12.34</v>
      </c>
      <c r="E63">
        <v>160</v>
      </c>
    </row>
    <row r="64" spans="2:23" x14ac:dyDescent="0.25">
      <c r="B64" s="1" t="s">
        <v>49</v>
      </c>
      <c r="C64" s="3">
        <f>AVERAGE(77.11,76.8,76.9)</f>
        <v>76.936666666666667</v>
      </c>
      <c r="D64" s="3">
        <f>AVERAGE(12.95,12.76,12.94)</f>
        <v>12.883333333333333</v>
      </c>
      <c r="E64">
        <v>169</v>
      </c>
    </row>
    <row r="65" spans="2:19" x14ac:dyDescent="0.25">
      <c r="B65" s="1" t="s">
        <v>83</v>
      </c>
      <c r="C65" s="3"/>
      <c r="D65" s="3">
        <f>AVERAGE(12.51,12.33,12.33)</f>
        <v>12.39</v>
      </c>
    </row>
    <row r="66" spans="2:19" x14ac:dyDescent="0.25">
      <c r="B66" s="1" t="s">
        <v>84</v>
      </c>
      <c r="C66" s="3">
        <f>AVERAGE(79.72,79.71)</f>
        <v>79.715000000000003</v>
      </c>
      <c r="D66" s="3">
        <f>AVERAGE(12.98,13,13.17)</f>
        <v>13.049999999999999</v>
      </c>
      <c r="E66">
        <v>168</v>
      </c>
    </row>
    <row r="67" spans="2:19" x14ac:dyDescent="0.25">
      <c r="B67" s="9" t="s">
        <v>86</v>
      </c>
      <c r="C67" s="3">
        <f>AVERAGE(80.56, 80.34, 80.52)</f>
        <v>80.473333333333343</v>
      </c>
      <c r="D67" s="3">
        <f>AVERAGE(16.02,16.02,16.03)</f>
        <v>16.023333333333333</v>
      </c>
      <c r="E67">
        <v>170</v>
      </c>
      <c r="L67" s="1"/>
      <c r="M67" s="3"/>
      <c r="N67" s="3"/>
    </row>
    <row r="68" spans="2:19" x14ac:dyDescent="0.25">
      <c r="B68" s="9" t="s">
        <v>104</v>
      </c>
      <c r="C68" s="3">
        <f>AVERAGE(80.31,80.3)</f>
        <v>80.305000000000007</v>
      </c>
      <c r="D68" s="3">
        <v>15.46</v>
      </c>
      <c r="E68">
        <v>205</v>
      </c>
      <c r="L68" s="1" t="s">
        <v>128</v>
      </c>
      <c r="M68" s="3"/>
      <c r="N68" s="3"/>
    </row>
    <row r="69" spans="2:19" x14ac:dyDescent="0.25">
      <c r="B69" s="32" t="s">
        <v>38</v>
      </c>
      <c r="C69" s="32"/>
      <c r="D69" s="32"/>
      <c r="E69" s="32"/>
      <c r="F69" s="32"/>
      <c r="G69" s="32"/>
      <c r="H69" s="32"/>
      <c r="I69" s="32"/>
      <c r="J69" s="32"/>
      <c r="K69" s="32"/>
      <c r="Q69" t="s">
        <v>127</v>
      </c>
      <c r="R69" t="s">
        <v>126</v>
      </c>
      <c r="S69" t="s">
        <v>125</v>
      </c>
    </row>
    <row r="70" spans="2:19" x14ac:dyDescent="0.25">
      <c r="B70" s="5" t="s">
        <v>54</v>
      </c>
      <c r="C70">
        <v>40</v>
      </c>
      <c r="D70">
        <v>8</v>
      </c>
      <c r="E70">
        <v>178</v>
      </c>
      <c r="F70" t="s">
        <v>55</v>
      </c>
      <c r="G70" t="s">
        <v>56</v>
      </c>
      <c r="L70" t="s">
        <v>105</v>
      </c>
      <c r="M70" t="s">
        <v>106</v>
      </c>
      <c r="O70" t="s">
        <v>124</v>
      </c>
      <c r="P70">
        <v>59.11</v>
      </c>
      <c r="Q70">
        <f>L74</f>
        <v>1.2</v>
      </c>
      <c r="R70">
        <f>M74</f>
        <v>0.14280000000000001</v>
      </c>
      <c r="S70">
        <f>$P$70/M74</f>
        <v>413.93557422969184</v>
      </c>
    </row>
    <row r="71" spans="2:19" x14ac:dyDescent="0.25">
      <c r="B71" s="1" t="s">
        <v>26</v>
      </c>
      <c r="C71" s="3">
        <f>AVERAGE(67.53,67.62,68.37,68.37)</f>
        <v>67.972499999999997</v>
      </c>
      <c r="D71">
        <v>9.33</v>
      </c>
      <c r="E71">
        <v>115</v>
      </c>
      <c r="L71">
        <v>0.6</v>
      </c>
      <c r="M71">
        <v>1.14E-2</v>
      </c>
      <c r="O71" t="s">
        <v>123</v>
      </c>
      <c r="P71">
        <v>56.8</v>
      </c>
      <c r="Q71">
        <f>Q70</f>
        <v>1.2</v>
      </c>
      <c r="R71">
        <f>R70</f>
        <v>0.14280000000000001</v>
      </c>
      <c r="S71">
        <f t="shared" ref="S71:S83" si="0">P71/R71</f>
        <v>397.75910364145653</v>
      </c>
    </row>
    <row r="72" spans="2:19" x14ac:dyDescent="0.25">
      <c r="B72" s="1" t="s">
        <v>28</v>
      </c>
      <c r="C72" s="3">
        <f>AVERAGE(55.57,55.57,55.92,55.72)</f>
        <v>55.695</v>
      </c>
      <c r="D72">
        <v>10.52</v>
      </c>
      <c r="E72">
        <v>182</v>
      </c>
      <c r="L72">
        <v>0.8</v>
      </c>
      <c r="M72">
        <v>3.2770000000000001E-2</v>
      </c>
      <c r="O72" s="13" t="s">
        <v>122</v>
      </c>
      <c r="P72" s="13">
        <v>64.42</v>
      </c>
      <c r="Q72" s="13">
        <v>1.2</v>
      </c>
      <c r="R72" s="13">
        <v>0.14280000000000001</v>
      </c>
      <c r="S72" s="13">
        <f t="shared" si="0"/>
        <v>451.1204481792717</v>
      </c>
    </row>
    <row r="73" spans="2:19" x14ac:dyDescent="0.25">
      <c r="L73">
        <v>1</v>
      </c>
      <c r="M73">
        <v>6.3450000000000006E-2</v>
      </c>
      <c r="O73" t="s">
        <v>121</v>
      </c>
      <c r="P73">
        <v>66.489999999999995</v>
      </c>
      <c r="Q73">
        <f t="shared" ref="Q73:R75" si="1">Q71</f>
        <v>1.2</v>
      </c>
      <c r="R73">
        <f t="shared" si="1"/>
        <v>0.14280000000000001</v>
      </c>
      <c r="S73">
        <f t="shared" si="0"/>
        <v>465.61624649859937</v>
      </c>
    </row>
    <row r="74" spans="2:19" x14ac:dyDescent="0.25">
      <c r="L74">
        <v>1.2</v>
      </c>
      <c r="M74">
        <v>0.14280000000000001</v>
      </c>
      <c r="O74" s="13" t="s">
        <v>120</v>
      </c>
      <c r="P74" s="13">
        <v>70.17</v>
      </c>
      <c r="Q74" s="13">
        <f t="shared" si="1"/>
        <v>1.2</v>
      </c>
      <c r="R74" s="13">
        <f t="shared" si="1"/>
        <v>0.14280000000000001</v>
      </c>
      <c r="S74" s="13">
        <f t="shared" si="0"/>
        <v>491.38655462184869</v>
      </c>
    </row>
    <row r="75" spans="2:19" x14ac:dyDescent="0.25">
      <c r="L75">
        <v>1.5</v>
      </c>
      <c r="M75">
        <v>0.52080000000000004</v>
      </c>
      <c r="O75" t="s">
        <v>119</v>
      </c>
      <c r="P75">
        <v>73.61</v>
      </c>
      <c r="Q75">
        <f t="shared" si="1"/>
        <v>1.2</v>
      </c>
      <c r="R75">
        <f t="shared" si="1"/>
        <v>0.14280000000000001</v>
      </c>
      <c r="S75">
        <f t="shared" si="0"/>
        <v>515.47619047619048</v>
      </c>
    </row>
    <row r="76" spans="2:19" x14ac:dyDescent="0.25">
      <c r="L76">
        <v>2</v>
      </c>
      <c r="M76">
        <v>0.95240000000000002</v>
      </c>
      <c r="O76" t="s">
        <v>118</v>
      </c>
      <c r="P76">
        <v>60.23</v>
      </c>
      <c r="Q76">
        <f>Q75</f>
        <v>1.2</v>
      </c>
      <c r="R76">
        <f>R75</f>
        <v>0.14280000000000001</v>
      </c>
      <c r="S76">
        <f t="shared" si="0"/>
        <v>421.77871148459377</v>
      </c>
    </row>
    <row r="77" spans="2:19" x14ac:dyDescent="0.25">
      <c r="L77">
        <v>2.5</v>
      </c>
      <c r="M77">
        <v>2.335</v>
      </c>
      <c r="O77" s="13" t="s">
        <v>117</v>
      </c>
      <c r="P77" s="13"/>
      <c r="Q77" s="13">
        <f>Q74</f>
        <v>1.2</v>
      </c>
      <c r="R77" s="13">
        <f>R74</f>
        <v>0.14280000000000001</v>
      </c>
      <c r="S77" s="13">
        <f t="shared" si="0"/>
        <v>0</v>
      </c>
    </row>
    <row r="78" spans="2:19" x14ac:dyDescent="0.25">
      <c r="O78" s="13" t="s">
        <v>116</v>
      </c>
      <c r="P78" s="13"/>
      <c r="Q78" s="13">
        <f>Q77</f>
        <v>1.2</v>
      </c>
      <c r="R78" s="13">
        <f>R77</f>
        <v>0.14280000000000001</v>
      </c>
      <c r="S78" s="13">
        <f t="shared" si="0"/>
        <v>0</v>
      </c>
    </row>
    <row r="79" spans="2:19" x14ac:dyDescent="0.25">
      <c r="O79" t="s">
        <v>115</v>
      </c>
      <c r="P79">
        <v>52.48</v>
      </c>
      <c r="Q79">
        <f>Q76</f>
        <v>1.2</v>
      </c>
      <c r="R79">
        <f>R76</f>
        <v>0.14280000000000001</v>
      </c>
      <c r="S79">
        <f t="shared" si="0"/>
        <v>367.50700280112039</v>
      </c>
    </row>
    <row r="80" spans="2:19" x14ac:dyDescent="0.25">
      <c r="O80" t="s">
        <v>114</v>
      </c>
      <c r="P80">
        <v>56.7</v>
      </c>
      <c r="Q80">
        <f t="shared" ref="Q80:R83" si="2">Q79</f>
        <v>1.2</v>
      </c>
      <c r="R80">
        <f t="shared" si="2"/>
        <v>0.14280000000000001</v>
      </c>
      <c r="S80">
        <f t="shared" si="0"/>
        <v>397.05882352941177</v>
      </c>
    </row>
    <row r="81" spans="15:19" x14ac:dyDescent="0.25">
      <c r="O81" t="s">
        <v>113</v>
      </c>
      <c r="P81">
        <v>58.08</v>
      </c>
      <c r="Q81">
        <f t="shared" si="2"/>
        <v>1.2</v>
      </c>
      <c r="R81">
        <f t="shared" si="2"/>
        <v>0.14280000000000001</v>
      </c>
      <c r="S81">
        <f t="shared" si="0"/>
        <v>406.72268907563023</v>
      </c>
    </row>
    <row r="82" spans="15:19" x14ac:dyDescent="0.25">
      <c r="O82" t="s">
        <v>112</v>
      </c>
      <c r="P82">
        <v>68.06</v>
      </c>
      <c r="Q82">
        <f t="shared" si="2"/>
        <v>1.2</v>
      </c>
      <c r="R82">
        <f t="shared" si="2"/>
        <v>0.14280000000000001</v>
      </c>
      <c r="S82">
        <f t="shared" si="0"/>
        <v>476.61064425770309</v>
      </c>
    </row>
    <row r="83" spans="15:19" x14ac:dyDescent="0.25">
      <c r="O83" t="s">
        <v>111</v>
      </c>
      <c r="P83">
        <v>70.17</v>
      </c>
      <c r="Q83">
        <f t="shared" si="2"/>
        <v>1.2</v>
      </c>
      <c r="R83">
        <f t="shared" si="2"/>
        <v>0.14280000000000001</v>
      </c>
      <c r="S83">
        <f t="shared" si="0"/>
        <v>491.38655462184869</v>
      </c>
    </row>
  </sheetData>
  <mergeCells count="5">
    <mergeCell ref="B5:K5"/>
    <mergeCell ref="B42:K42"/>
    <mergeCell ref="B69:K69"/>
    <mergeCell ref="B54:K54"/>
    <mergeCell ref="B26:K26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9A4-3092-4E20-BA04-F6F7BC4B55C7}">
  <dimension ref="A2:AJ32"/>
  <sheetViews>
    <sheetView tabSelected="1" topLeftCell="U1" zoomScale="115" zoomScaleNormal="115" workbookViewId="0">
      <selection activeCell="AH1" sqref="C1:AH1048576"/>
    </sheetView>
  </sheetViews>
  <sheetFormatPr defaultRowHeight="15" x14ac:dyDescent="0.25"/>
  <cols>
    <col min="2" max="2" width="13.7109375" customWidth="1"/>
    <col min="3" max="18" width="9.140625" customWidth="1"/>
    <col min="19" max="19" width="15.28515625" customWidth="1"/>
    <col min="20" max="21" width="18.28515625" customWidth="1"/>
    <col min="22" max="22" width="9.140625" customWidth="1"/>
    <col min="23" max="23" width="11.28515625" customWidth="1"/>
    <col min="24" max="24" width="15.5703125" customWidth="1"/>
    <col min="25" max="25" width="10.28515625" customWidth="1"/>
    <col min="26" max="26" width="8.140625" customWidth="1"/>
    <col min="27" max="30" width="9.140625" customWidth="1"/>
  </cols>
  <sheetData>
    <row r="2" spans="1:36" x14ac:dyDescent="0.25">
      <c r="B2" t="s">
        <v>133</v>
      </c>
    </row>
    <row r="3" spans="1:36" x14ac:dyDescent="0.25">
      <c r="C3" s="2" t="s">
        <v>135</v>
      </c>
      <c r="D3" s="2" t="s">
        <v>134</v>
      </c>
      <c r="E3" t="s">
        <v>136</v>
      </c>
      <c r="F3" t="s">
        <v>137</v>
      </c>
      <c r="G3" t="s">
        <v>144</v>
      </c>
      <c r="H3" t="s">
        <v>146</v>
      </c>
      <c r="I3" t="s">
        <v>147</v>
      </c>
      <c r="J3" t="s">
        <v>148</v>
      </c>
      <c r="K3" t="s">
        <v>149</v>
      </c>
      <c r="L3" t="s">
        <v>150</v>
      </c>
      <c r="M3" s="2" t="s">
        <v>151</v>
      </c>
      <c r="N3" t="s">
        <v>152</v>
      </c>
      <c r="O3" t="s">
        <v>153</v>
      </c>
      <c r="P3" t="s">
        <v>154</v>
      </c>
      <c r="Q3" t="s">
        <v>155</v>
      </c>
      <c r="R3" t="s">
        <v>156</v>
      </c>
      <c r="S3" t="s">
        <v>159</v>
      </c>
      <c r="T3" t="s">
        <v>165</v>
      </c>
      <c r="U3" t="s">
        <v>166</v>
      </c>
      <c r="V3" t="s">
        <v>169</v>
      </c>
      <c r="W3" t="s">
        <v>177</v>
      </c>
      <c r="X3" t="s">
        <v>178</v>
      </c>
      <c r="Y3" t="s">
        <v>179</v>
      </c>
      <c r="Z3" t="s">
        <v>180</v>
      </c>
      <c r="AA3" t="s">
        <v>181</v>
      </c>
      <c r="AB3" t="s">
        <v>182</v>
      </c>
      <c r="AC3" t="s">
        <v>183</v>
      </c>
      <c r="AD3" s="2" t="s">
        <v>184</v>
      </c>
      <c r="AE3" t="s">
        <v>185</v>
      </c>
      <c r="AF3" t="s">
        <v>186</v>
      </c>
      <c r="AG3" t="s">
        <v>195</v>
      </c>
      <c r="AH3" t="s">
        <v>196</v>
      </c>
      <c r="AI3" t="s">
        <v>197</v>
      </c>
      <c r="AJ3" t="s">
        <v>198</v>
      </c>
    </row>
    <row r="4" spans="1:36" x14ac:dyDescent="0.25">
      <c r="A4" s="33" t="s">
        <v>192</v>
      </c>
      <c r="B4" t="s">
        <v>16</v>
      </c>
      <c r="C4" s="2">
        <f>100-SUM(C8:C11)</f>
        <v>65.7</v>
      </c>
      <c r="D4" s="2">
        <f>100-SUM(D8:D12)</f>
        <v>68.7</v>
      </c>
      <c r="E4">
        <f>100-SUM(E8:E12)</f>
        <v>68.7</v>
      </c>
      <c r="F4">
        <f t="shared" ref="F4:R4" si="0">100-SUM(F5:F12)</f>
        <v>60.7</v>
      </c>
      <c r="G4">
        <f t="shared" si="0"/>
        <v>63.2</v>
      </c>
      <c r="H4">
        <f t="shared" si="0"/>
        <v>63.2</v>
      </c>
      <c r="I4">
        <f t="shared" si="0"/>
        <v>65.7</v>
      </c>
      <c r="J4">
        <f t="shared" si="0"/>
        <v>68.7</v>
      </c>
      <c r="K4">
        <f t="shared" si="0"/>
        <v>62.7</v>
      </c>
      <c r="L4">
        <f t="shared" si="0"/>
        <v>68.7</v>
      </c>
      <c r="M4" s="2">
        <f t="shared" si="0"/>
        <v>64.2</v>
      </c>
      <c r="N4" s="25">
        <f>100-SUM(N5:N12)</f>
        <v>68.7</v>
      </c>
      <c r="O4" s="25">
        <f t="shared" si="0"/>
        <v>67.7</v>
      </c>
      <c r="P4" s="25">
        <f t="shared" si="0"/>
        <v>62.7</v>
      </c>
      <c r="Q4" s="25">
        <f t="shared" si="0"/>
        <v>58.2</v>
      </c>
      <c r="R4" s="25">
        <f t="shared" si="0"/>
        <v>50.7</v>
      </c>
      <c r="S4" s="25">
        <f t="shared" ref="S4:V4" si="1">100-SUM(S5:S12)</f>
        <v>35.700000000000003</v>
      </c>
      <c r="T4" s="25">
        <f t="shared" si="1"/>
        <v>25.700000000000003</v>
      </c>
      <c r="U4" s="25">
        <f t="shared" si="1"/>
        <v>35.700000000000003</v>
      </c>
      <c r="V4" s="25">
        <f t="shared" si="1"/>
        <v>20.700000000000003</v>
      </c>
      <c r="W4" s="25">
        <f t="shared" ref="W4" si="2">100-SUM(W5:W12)</f>
        <v>15.700000000000003</v>
      </c>
      <c r="AC4" s="25">
        <f t="shared" ref="AC4:AD4" si="3">100-SUM(AC5:AC12)</f>
        <v>57.7</v>
      </c>
      <c r="AD4" s="2">
        <f t="shared" si="3"/>
        <v>52.7</v>
      </c>
      <c r="AE4" s="25">
        <f>100-SUM(AE5:AE12)</f>
        <v>10.700000000000003</v>
      </c>
      <c r="AF4" s="25">
        <f>100-SUM(AF5:AF12)</f>
        <v>10.700000000000003</v>
      </c>
      <c r="AG4" s="25">
        <f>100-SUM(AG5:AG12)</f>
        <v>20.700000000000003</v>
      </c>
      <c r="AH4" s="25">
        <f>100-SUM(AH5:AH12)</f>
        <v>15.700000000000003</v>
      </c>
      <c r="AI4" s="25">
        <f>100-SUM(AI5:AI12)</f>
        <v>15.700000000000003</v>
      </c>
      <c r="AJ4" s="25">
        <f>100-SUM(AJ5:AJ12)</f>
        <v>7.3666666666666742</v>
      </c>
    </row>
    <row r="5" spans="1:36" x14ac:dyDescent="0.25">
      <c r="A5" s="33"/>
      <c r="B5" t="s">
        <v>8</v>
      </c>
      <c r="C5" s="2"/>
      <c r="D5" s="2"/>
      <c r="F5">
        <v>5</v>
      </c>
      <c r="K5">
        <v>5</v>
      </c>
      <c r="M5" s="2">
        <v>5</v>
      </c>
      <c r="P5">
        <v>5</v>
      </c>
      <c r="Q5">
        <v>7.5</v>
      </c>
      <c r="R5">
        <v>15</v>
      </c>
      <c r="S5">
        <v>30</v>
      </c>
      <c r="T5">
        <v>40</v>
      </c>
      <c r="U5">
        <v>30</v>
      </c>
      <c r="V5">
        <v>45</v>
      </c>
      <c r="W5">
        <v>50</v>
      </c>
      <c r="X5">
        <v>65.7</v>
      </c>
      <c r="Y5">
        <v>65.7</v>
      </c>
      <c r="Z5">
        <f>69.7*0.4</f>
        <v>27.880000000000003</v>
      </c>
      <c r="AA5">
        <f>(100-SUM(AA7:AA11))*0.4</f>
        <v>26.28</v>
      </c>
      <c r="AB5">
        <f>(100-SUM(AB7:AB11))*0.4</f>
        <v>26.28</v>
      </c>
      <c r="AC5">
        <v>10</v>
      </c>
      <c r="AD5" s="2">
        <v>15</v>
      </c>
      <c r="AE5">
        <v>20</v>
      </c>
      <c r="AF5">
        <v>20</v>
      </c>
      <c r="AG5">
        <v>20</v>
      </c>
      <c r="AH5">
        <v>20</v>
      </c>
      <c r="AI5">
        <f>4/6*AI6</f>
        <v>20</v>
      </c>
      <c r="AJ5">
        <f>4/6*AJ6</f>
        <v>23.333333333333332</v>
      </c>
    </row>
    <row r="6" spans="1:36" x14ac:dyDescent="0.25">
      <c r="A6" s="33"/>
      <c r="B6" t="s">
        <v>7</v>
      </c>
      <c r="C6" s="2"/>
      <c r="D6" s="2"/>
      <c r="M6" s="2"/>
      <c r="Z6">
        <f>69.7*0.6</f>
        <v>41.82</v>
      </c>
      <c r="AA6">
        <f>(100-SUM(AA8:AA12))*0.6</f>
        <v>39.42</v>
      </c>
      <c r="AB6">
        <f>(100-SUM(AB8:AB12))*0.6</f>
        <v>39.42</v>
      </c>
      <c r="AD6" s="2"/>
      <c r="AE6">
        <v>35</v>
      </c>
      <c r="AF6">
        <v>35</v>
      </c>
      <c r="AG6">
        <v>25</v>
      </c>
      <c r="AH6">
        <v>30</v>
      </c>
      <c r="AI6">
        <v>30</v>
      </c>
      <c r="AJ6">
        <v>35</v>
      </c>
    </row>
    <row r="7" spans="1:36" x14ac:dyDescent="0.25">
      <c r="A7" s="33" t="s">
        <v>193</v>
      </c>
      <c r="B7" t="s">
        <v>138</v>
      </c>
      <c r="C7" s="2"/>
      <c r="D7" s="2"/>
      <c r="G7">
        <v>5</v>
      </c>
      <c r="I7">
        <v>2.5</v>
      </c>
      <c r="J7">
        <v>2.5</v>
      </c>
      <c r="L7">
        <v>5</v>
      </c>
      <c r="M7" s="2">
        <v>2.5</v>
      </c>
      <c r="AD7" s="2"/>
    </row>
    <row r="8" spans="1:36" x14ac:dyDescent="0.25">
      <c r="A8" s="33"/>
      <c r="B8" t="s">
        <v>129</v>
      </c>
      <c r="C8" s="2">
        <v>10</v>
      </c>
      <c r="D8" s="2">
        <f>C8</f>
        <v>10</v>
      </c>
      <c r="E8">
        <f>D8</f>
        <v>10</v>
      </c>
      <c r="F8">
        <v>10</v>
      </c>
      <c r="G8">
        <v>7.5</v>
      </c>
      <c r="H8">
        <v>7.5</v>
      </c>
      <c r="I8">
        <v>7.5</v>
      </c>
      <c r="J8">
        <v>7.5</v>
      </c>
      <c r="K8">
        <v>10</v>
      </c>
      <c r="L8">
        <v>5</v>
      </c>
      <c r="M8" s="2">
        <v>7.5</v>
      </c>
      <c r="N8">
        <v>7.5</v>
      </c>
      <c r="O8">
        <v>5</v>
      </c>
      <c r="P8">
        <v>7.5</v>
      </c>
      <c r="Q8">
        <v>5</v>
      </c>
      <c r="R8">
        <v>5</v>
      </c>
      <c r="S8">
        <v>5</v>
      </c>
      <c r="T8">
        <v>5</v>
      </c>
      <c r="V8">
        <v>5</v>
      </c>
      <c r="W8">
        <v>5</v>
      </c>
      <c r="X8">
        <v>5</v>
      </c>
      <c r="Z8">
        <v>10</v>
      </c>
      <c r="AA8">
        <v>10</v>
      </c>
      <c r="AB8">
        <v>5</v>
      </c>
      <c r="AC8">
        <v>10</v>
      </c>
      <c r="AD8" s="2">
        <v>10</v>
      </c>
      <c r="AE8">
        <v>10</v>
      </c>
      <c r="AF8">
        <v>5</v>
      </c>
      <c r="AG8">
        <v>10</v>
      </c>
      <c r="AH8">
        <v>10</v>
      </c>
      <c r="AI8">
        <v>5</v>
      </c>
      <c r="AJ8">
        <v>5</v>
      </c>
    </row>
    <row r="9" spans="1:36" ht="30" x14ac:dyDescent="0.25">
      <c r="A9" s="33"/>
      <c r="B9" s="16" t="s">
        <v>145</v>
      </c>
      <c r="C9" s="2"/>
      <c r="D9" s="2"/>
      <c r="H9">
        <v>5</v>
      </c>
      <c r="M9" s="2"/>
      <c r="N9">
        <v>2.5</v>
      </c>
      <c r="O9">
        <v>5</v>
      </c>
      <c r="P9">
        <v>2.5</v>
      </c>
      <c r="Q9">
        <v>5</v>
      </c>
      <c r="R9">
        <v>5</v>
      </c>
      <c r="S9">
        <v>5</v>
      </c>
      <c r="T9">
        <v>5</v>
      </c>
      <c r="U9">
        <v>10</v>
      </c>
      <c r="V9">
        <v>5</v>
      </c>
      <c r="W9">
        <v>5</v>
      </c>
      <c r="X9">
        <v>5</v>
      </c>
      <c r="Y9">
        <v>10</v>
      </c>
      <c r="AB9">
        <v>5</v>
      </c>
      <c r="AD9" s="2"/>
      <c r="AF9">
        <v>5</v>
      </c>
      <c r="AI9">
        <v>5</v>
      </c>
      <c r="AJ9">
        <v>5</v>
      </c>
    </row>
    <row r="10" spans="1:36" x14ac:dyDescent="0.25">
      <c r="A10" t="s">
        <v>194</v>
      </c>
      <c r="B10" t="s">
        <v>130</v>
      </c>
      <c r="C10" s="2">
        <v>14.3</v>
      </c>
      <c r="D10" s="2">
        <f>C10</f>
        <v>14.3</v>
      </c>
      <c r="E10">
        <f>D10</f>
        <v>14.3</v>
      </c>
      <c r="F10">
        <v>14.3</v>
      </c>
      <c r="G10">
        <f>F10</f>
        <v>14.3</v>
      </c>
      <c r="H10">
        <f>G10</f>
        <v>14.3</v>
      </c>
      <c r="I10">
        <v>14.3</v>
      </c>
      <c r="J10">
        <v>14.3</v>
      </c>
      <c r="K10">
        <v>14.3</v>
      </c>
      <c r="L10">
        <v>14.3</v>
      </c>
      <c r="M10" s="2">
        <v>14.3</v>
      </c>
      <c r="N10">
        <v>14.3</v>
      </c>
      <c r="O10">
        <v>14.3</v>
      </c>
      <c r="P10">
        <v>14.3</v>
      </c>
      <c r="Q10">
        <v>14.3</v>
      </c>
      <c r="R10">
        <v>14.3</v>
      </c>
      <c r="S10">
        <v>14.3</v>
      </c>
      <c r="T10">
        <v>14.3</v>
      </c>
      <c r="U10">
        <v>14.3</v>
      </c>
      <c r="V10">
        <v>14.3</v>
      </c>
      <c r="W10">
        <v>14.3</v>
      </c>
      <c r="X10">
        <v>14.3</v>
      </c>
      <c r="Y10">
        <v>14.3</v>
      </c>
      <c r="Z10">
        <v>14.3</v>
      </c>
      <c r="AA10">
        <v>14.3</v>
      </c>
      <c r="AB10">
        <v>14.3</v>
      </c>
      <c r="AC10">
        <v>14.3</v>
      </c>
      <c r="AD10" s="2">
        <v>14.3</v>
      </c>
      <c r="AE10">
        <v>14.3</v>
      </c>
      <c r="AF10">
        <v>14.3</v>
      </c>
      <c r="AG10">
        <v>14.3</v>
      </c>
      <c r="AH10">
        <v>14.3</v>
      </c>
      <c r="AI10">
        <v>14.3</v>
      </c>
      <c r="AJ10">
        <v>14.3</v>
      </c>
    </row>
    <row r="11" spans="1:36" x14ac:dyDescent="0.25">
      <c r="A11" s="33" t="s">
        <v>73</v>
      </c>
      <c r="B11" t="s">
        <v>131</v>
      </c>
      <c r="C11" s="2">
        <v>10</v>
      </c>
      <c r="D11" s="2"/>
      <c r="E11">
        <v>7</v>
      </c>
      <c r="F11">
        <v>10</v>
      </c>
      <c r="G11">
        <f>C11</f>
        <v>10</v>
      </c>
      <c r="H11">
        <v>10</v>
      </c>
      <c r="I11">
        <v>10</v>
      </c>
      <c r="J11">
        <v>7</v>
      </c>
      <c r="M11" s="2"/>
      <c r="N11">
        <v>7</v>
      </c>
      <c r="O11">
        <v>8</v>
      </c>
      <c r="P11">
        <v>8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6</v>
      </c>
      <c r="AA11">
        <v>10</v>
      </c>
      <c r="AB11">
        <v>10</v>
      </c>
      <c r="AD11" s="2"/>
      <c r="AE11">
        <v>10</v>
      </c>
      <c r="AF11">
        <v>10</v>
      </c>
      <c r="AG11">
        <v>10</v>
      </c>
      <c r="AH11">
        <v>10</v>
      </c>
      <c r="AI11">
        <v>10</v>
      </c>
      <c r="AJ11">
        <v>10</v>
      </c>
    </row>
    <row r="12" spans="1:36" x14ac:dyDescent="0.25">
      <c r="A12" s="33"/>
      <c r="B12" t="s">
        <v>132</v>
      </c>
      <c r="C12" s="2"/>
      <c r="D12" s="2">
        <v>7</v>
      </c>
      <c r="K12">
        <v>8</v>
      </c>
      <c r="L12">
        <v>7</v>
      </c>
      <c r="M12" s="2">
        <v>6.5</v>
      </c>
      <c r="W12" s="20"/>
      <c r="X12" s="18"/>
      <c r="Y12" s="17"/>
      <c r="Z12" s="17"/>
      <c r="AC12">
        <v>8</v>
      </c>
      <c r="AD12" s="2">
        <v>8</v>
      </c>
    </row>
    <row r="13" spans="1:36" x14ac:dyDescent="0.25">
      <c r="B13" s="13" t="s">
        <v>30</v>
      </c>
      <c r="C13" s="2">
        <v>94.16</v>
      </c>
      <c r="D13" s="2">
        <v>95.4</v>
      </c>
      <c r="E13">
        <v>83.8</v>
      </c>
      <c r="F13">
        <v>91.3</v>
      </c>
      <c r="J13">
        <v>81.83</v>
      </c>
      <c r="L13">
        <v>87.62</v>
      </c>
      <c r="M13" s="2">
        <v>92.46</v>
      </c>
      <c r="N13">
        <v>83.3</v>
      </c>
      <c r="O13">
        <v>80.2</v>
      </c>
      <c r="P13">
        <v>81.7</v>
      </c>
      <c r="Q13">
        <v>82.55</v>
      </c>
      <c r="R13">
        <v>83.4</v>
      </c>
      <c r="S13">
        <v>75.5</v>
      </c>
      <c r="T13">
        <v>75.319999999999993</v>
      </c>
      <c r="U13">
        <v>68.47</v>
      </c>
      <c r="V13">
        <v>74.400000000000006</v>
      </c>
      <c r="W13" s="22">
        <v>72.8</v>
      </c>
      <c r="X13" s="23">
        <v>69.959999999999994</v>
      </c>
      <c r="Y13" s="24">
        <v>62</v>
      </c>
      <c r="Z13" s="24">
        <v>53.4</v>
      </c>
      <c r="AA13" s="27">
        <v>61.5</v>
      </c>
      <c r="AB13" s="27">
        <v>55.9</v>
      </c>
      <c r="AC13" s="28">
        <v>96.02</v>
      </c>
      <c r="AD13" s="31">
        <v>93.5</v>
      </c>
      <c r="AE13" s="28">
        <v>63.88</v>
      </c>
      <c r="AF13" s="28">
        <v>56.38</v>
      </c>
      <c r="AG13" s="28">
        <v>70.58</v>
      </c>
      <c r="AH13" s="28">
        <v>67.5</v>
      </c>
    </row>
    <row r="14" spans="1:36" x14ac:dyDescent="0.25">
      <c r="B14" s="13" t="s">
        <v>29</v>
      </c>
      <c r="C14" s="2">
        <v>14.1</v>
      </c>
      <c r="D14" s="2">
        <v>14.53</v>
      </c>
      <c r="E14">
        <v>12.6</v>
      </c>
      <c r="F14">
        <v>13.4</v>
      </c>
      <c r="G14">
        <v>13.15</v>
      </c>
      <c r="H14">
        <v>13.29</v>
      </c>
      <c r="I14">
        <v>13.09</v>
      </c>
      <c r="J14">
        <v>11.67</v>
      </c>
      <c r="K14">
        <v>15.89</v>
      </c>
      <c r="L14">
        <v>13.44</v>
      </c>
      <c r="M14" s="2">
        <v>14.26</v>
      </c>
      <c r="N14">
        <v>12.1</v>
      </c>
      <c r="O14">
        <v>11.9</v>
      </c>
      <c r="P14">
        <v>12.15</v>
      </c>
      <c r="Q14">
        <v>11.09</v>
      </c>
      <c r="R14">
        <v>11.7</v>
      </c>
      <c r="S14">
        <v>11.75</v>
      </c>
      <c r="T14">
        <v>11.32</v>
      </c>
      <c r="U14">
        <v>10.47</v>
      </c>
      <c r="W14" s="22"/>
      <c r="X14" s="23">
        <v>10.78</v>
      </c>
      <c r="Y14" s="24">
        <v>9.91</v>
      </c>
      <c r="Z14" s="24">
        <v>9</v>
      </c>
      <c r="AA14" s="28">
        <v>9.9499999999999993</v>
      </c>
      <c r="AB14" s="28">
        <v>9.74</v>
      </c>
      <c r="AC14" s="28">
        <v>14.74</v>
      </c>
      <c r="AD14" s="31">
        <v>14.94</v>
      </c>
      <c r="AE14" s="28">
        <v>10.6</v>
      </c>
      <c r="AF14" s="28">
        <v>9.9</v>
      </c>
    </row>
    <row r="15" spans="1:36" x14ac:dyDescent="0.25">
      <c r="B15" s="13" t="s">
        <v>27</v>
      </c>
      <c r="C15" s="2">
        <v>154</v>
      </c>
      <c r="D15" s="2">
        <v>158</v>
      </c>
      <c r="E15">
        <v>148</v>
      </c>
      <c r="F15">
        <v>147</v>
      </c>
      <c r="J15">
        <v>135</v>
      </c>
      <c r="L15">
        <v>154</v>
      </c>
      <c r="M15" s="2">
        <v>159</v>
      </c>
      <c r="N15">
        <v>140</v>
      </c>
      <c r="O15">
        <v>142</v>
      </c>
      <c r="P15">
        <v>144</v>
      </c>
      <c r="Q15">
        <v>122</v>
      </c>
      <c r="R15">
        <v>132</v>
      </c>
      <c r="S15">
        <v>150</v>
      </c>
      <c r="T15">
        <v>142</v>
      </c>
      <c r="U15">
        <v>140</v>
      </c>
      <c r="W15" s="22"/>
      <c r="X15" s="23">
        <v>144</v>
      </c>
      <c r="Y15" s="24">
        <v>145</v>
      </c>
      <c r="Z15" s="24">
        <v>149</v>
      </c>
      <c r="AA15" s="28">
        <v>148</v>
      </c>
      <c r="AB15" s="28">
        <v>161</v>
      </c>
      <c r="AC15" s="28">
        <v>160</v>
      </c>
      <c r="AD15" s="31">
        <v>168</v>
      </c>
      <c r="AE15" s="28">
        <v>156</v>
      </c>
      <c r="AF15" s="28">
        <v>163</v>
      </c>
    </row>
    <row r="16" spans="1:36" x14ac:dyDescent="0.25">
      <c r="B16" s="13"/>
      <c r="W16" s="21"/>
      <c r="X16" s="19"/>
      <c r="Y16" s="14"/>
      <c r="Z16" s="14"/>
    </row>
    <row r="17" spans="2:26" x14ac:dyDescent="0.25">
      <c r="B17" s="13"/>
      <c r="W17" s="29"/>
      <c r="X17" s="30"/>
      <c r="Y17" s="27"/>
      <c r="Z17" s="27"/>
    </row>
    <row r="18" spans="2:26" x14ac:dyDescent="0.25">
      <c r="B18" t="s">
        <v>139</v>
      </c>
      <c r="P18" t="s">
        <v>160</v>
      </c>
      <c r="Q18" t="s">
        <v>161</v>
      </c>
      <c r="R18" t="s">
        <v>162</v>
      </c>
      <c r="S18" t="s">
        <v>163</v>
      </c>
      <c r="T18" t="s">
        <v>164</v>
      </c>
      <c r="U18" t="s">
        <v>168</v>
      </c>
      <c r="V18" t="s">
        <v>167</v>
      </c>
    </row>
    <row r="19" spans="2:26" x14ac:dyDescent="0.25">
      <c r="B19" s="15" t="s">
        <v>140</v>
      </c>
      <c r="O19" t="s">
        <v>7</v>
      </c>
      <c r="P19">
        <v>95</v>
      </c>
      <c r="Q19">
        <v>90</v>
      </c>
      <c r="V19">
        <v>0</v>
      </c>
    </row>
    <row r="20" spans="2:26" x14ac:dyDescent="0.25">
      <c r="B20" s="15" t="s">
        <v>141</v>
      </c>
      <c r="O20" t="s">
        <v>8</v>
      </c>
      <c r="R20">
        <v>95</v>
      </c>
      <c r="S20">
        <v>90</v>
      </c>
      <c r="V20">
        <v>0</v>
      </c>
    </row>
    <row r="21" spans="2:26" x14ac:dyDescent="0.25">
      <c r="B21" s="15" t="s">
        <v>142</v>
      </c>
      <c r="O21" t="s">
        <v>16</v>
      </c>
      <c r="T21">
        <v>95</v>
      </c>
      <c r="U21">
        <v>90</v>
      </c>
      <c r="V21">
        <v>0</v>
      </c>
    </row>
    <row r="22" spans="2:26" x14ac:dyDescent="0.25">
      <c r="B22" s="15" t="s">
        <v>143</v>
      </c>
      <c r="O22" t="s">
        <v>176</v>
      </c>
      <c r="P22">
        <v>5</v>
      </c>
      <c r="Q22">
        <v>10</v>
      </c>
      <c r="R22">
        <v>5</v>
      </c>
      <c r="S22">
        <v>10</v>
      </c>
      <c r="T22">
        <v>5</v>
      </c>
      <c r="U22">
        <v>10</v>
      </c>
      <c r="V22">
        <v>100</v>
      </c>
    </row>
    <row r="23" spans="2:26" x14ac:dyDescent="0.25">
      <c r="B23" s="15" t="s">
        <v>157</v>
      </c>
      <c r="O23" t="s">
        <v>75</v>
      </c>
      <c r="P23">
        <v>5.3</v>
      </c>
      <c r="Q23">
        <v>5.8</v>
      </c>
      <c r="R23">
        <v>7</v>
      </c>
      <c r="S23">
        <v>7.5</v>
      </c>
      <c r="T23">
        <v>8.1999999999999993</v>
      </c>
      <c r="U23">
        <v>8.9</v>
      </c>
      <c r="V23">
        <v>150</v>
      </c>
    </row>
    <row r="24" spans="2:26" x14ac:dyDescent="0.25">
      <c r="B24" s="15" t="s">
        <v>158</v>
      </c>
      <c r="O24" t="s">
        <v>74</v>
      </c>
      <c r="V24" s="26">
        <v>1450</v>
      </c>
    </row>
    <row r="26" spans="2:26" x14ac:dyDescent="0.25">
      <c r="B26" t="s">
        <v>187</v>
      </c>
      <c r="P26" t="s">
        <v>170</v>
      </c>
      <c r="Q26" t="s">
        <v>171</v>
      </c>
      <c r="R26" t="s">
        <v>172</v>
      </c>
      <c r="S26" t="s">
        <v>173</v>
      </c>
      <c r="T26" t="s">
        <v>174</v>
      </c>
      <c r="U26" t="s">
        <v>175</v>
      </c>
      <c r="V26" t="s">
        <v>15</v>
      </c>
    </row>
    <row r="27" spans="2:26" ht="30" x14ac:dyDescent="0.25">
      <c r="C27" s="16" t="s">
        <v>188</v>
      </c>
      <c r="D27" s="16" t="s">
        <v>190</v>
      </c>
      <c r="E27" s="16" t="s">
        <v>191</v>
      </c>
      <c r="O27" t="s">
        <v>7</v>
      </c>
      <c r="P27">
        <v>95</v>
      </c>
      <c r="Q27">
        <v>90</v>
      </c>
      <c r="V27">
        <v>0</v>
      </c>
    </row>
    <row r="28" spans="2:26" x14ac:dyDescent="0.25">
      <c r="B28" t="s">
        <v>29</v>
      </c>
      <c r="C28">
        <v>11</v>
      </c>
      <c r="D28">
        <v>14.5</v>
      </c>
      <c r="E28">
        <v>14.5</v>
      </c>
      <c r="O28" t="s">
        <v>8</v>
      </c>
      <c r="R28">
        <v>95</v>
      </c>
      <c r="S28">
        <v>90</v>
      </c>
      <c r="V28">
        <v>0</v>
      </c>
    </row>
    <row r="29" spans="2:26" x14ac:dyDescent="0.25">
      <c r="B29" t="s">
        <v>74</v>
      </c>
      <c r="C29">
        <v>63</v>
      </c>
      <c r="D29">
        <v>90</v>
      </c>
      <c r="E29">
        <v>100</v>
      </c>
      <c r="O29" t="s">
        <v>16</v>
      </c>
      <c r="T29">
        <v>95</v>
      </c>
      <c r="U29">
        <v>90</v>
      </c>
      <c r="V29">
        <v>0</v>
      </c>
    </row>
    <row r="30" spans="2:26" x14ac:dyDescent="0.25">
      <c r="B30" t="s">
        <v>27</v>
      </c>
      <c r="C30" t="s">
        <v>189</v>
      </c>
      <c r="D30" t="s">
        <v>189</v>
      </c>
      <c r="E30">
        <v>150</v>
      </c>
      <c r="O30" t="s">
        <v>15</v>
      </c>
      <c r="P30">
        <v>5</v>
      </c>
      <c r="Q30">
        <v>10</v>
      </c>
      <c r="R30">
        <v>5</v>
      </c>
      <c r="S30">
        <v>10</v>
      </c>
      <c r="T30">
        <v>5</v>
      </c>
      <c r="U30">
        <v>10</v>
      </c>
      <c r="V30">
        <v>100</v>
      </c>
    </row>
    <row r="31" spans="2:26" x14ac:dyDescent="0.25">
      <c r="O31" t="s">
        <v>75</v>
      </c>
    </row>
    <row r="32" spans="2:26" x14ac:dyDescent="0.25">
      <c r="O32" t="s">
        <v>74</v>
      </c>
      <c r="V32" s="26"/>
    </row>
  </sheetData>
  <mergeCells count="3">
    <mergeCell ref="A4:A6"/>
    <mergeCell ref="A7:A9"/>
    <mergeCell ref="A11:A12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65CE-AB84-4FD4-9A0F-7D8D7E98426B}">
  <dimension ref="A4:BK43"/>
  <sheetViews>
    <sheetView zoomScale="85" zoomScaleNormal="85" workbookViewId="0">
      <pane xSplit="3" topLeftCell="D1" activePane="topRight" state="frozen"/>
      <selection activeCell="A3" sqref="A3"/>
      <selection pane="topRight" activeCell="P15" sqref="P15"/>
    </sheetView>
  </sheetViews>
  <sheetFormatPr defaultRowHeight="15" x14ac:dyDescent="0.25"/>
  <cols>
    <col min="4" max="4" width="12.7109375" customWidth="1"/>
    <col min="5" max="5" width="13.85546875" customWidth="1"/>
    <col min="6" max="6" width="14.140625" customWidth="1"/>
    <col min="7" max="7" width="13.7109375" customWidth="1"/>
    <col min="8" max="8" width="15.5703125" customWidth="1"/>
    <col min="9" max="9" width="15.85546875" customWidth="1"/>
    <col min="10" max="10" width="15.42578125" customWidth="1"/>
    <col min="11" max="11" width="16" customWidth="1"/>
    <col min="22" max="23" width="16.28515625" customWidth="1"/>
    <col min="32" max="32" width="16.140625" customWidth="1"/>
    <col min="33" max="36" width="18.85546875" customWidth="1"/>
    <col min="43" max="43" width="13.85546875" customWidth="1"/>
    <col min="44" max="45" width="14.5703125" customWidth="1"/>
    <col min="46" max="46" width="17" customWidth="1"/>
    <col min="47" max="50" width="15" customWidth="1"/>
  </cols>
  <sheetData>
    <row r="4" spans="1:63" x14ac:dyDescent="0.25">
      <c r="B4" t="s">
        <v>9</v>
      </c>
      <c r="C4" t="s">
        <v>20</v>
      </c>
      <c r="D4" s="33" t="s">
        <v>0</v>
      </c>
      <c r="E4" s="33"/>
      <c r="F4" s="33" t="s">
        <v>1</v>
      </c>
      <c r="G4" s="33"/>
      <c r="H4" s="33" t="s">
        <v>2</v>
      </c>
      <c r="I4" s="33"/>
      <c r="J4" s="33" t="s">
        <v>3</v>
      </c>
      <c r="K4" s="33"/>
      <c r="L4" s="33" t="s">
        <v>4</v>
      </c>
      <c r="M4" s="33"/>
      <c r="N4" s="33" t="s">
        <v>5</v>
      </c>
      <c r="O4" s="33"/>
      <c r="P4" s="33" t="s">
        <v>6</v>
      </c>
      <c r="Q4" s="33"/>
      <c r="R4" s="33" t="s">
        <v>44</v>
      </c>
      <c r="S4" s="33"/>
      <c r="T4" s="33" t="s">
        <v>70</v>
      </c>
      <c r="U4" s="33"/>
      <c r="V4" s="1" t="s">
        <v>77</v>
      </c>
      <c r="W4" s="1" t="s">
        <v>78</v>
      </c>
      <c r="X4" s="33" t="s">
        <v>18</v>
      </c>
      <c r="Y4" s="33"/>
      <c r="Z4" s="33" t="s">
        <v>19</v>
      </c>
      <c r="AA4" s="33"/>
      <c r="AB4" s="33" t="s">
        <v>17</v>
      </c>
      <c r="AC4" s="33"/>
      <c r="AD4" s="33" t="s">
        <v>24</v>
      </c>
      <c r="AE4" s="33"/>
      <c r="AF4" s="1" t="s">
        <v>45</v>
      </c>
      <c r="AG4" s="1" t="s">
        <v>51</v>
      </c>
      <c r="AH4" s="1" t="s">
        <v>110</v>
      </c>
      <c r="AI4" s="1"/>
      <c r="AK4" s="33" t="s">
        <v>21</v>
      </c>
      <c r="AL4" s="33"/>
      <c r="AM4" s="33" t="s">
        <v>22</v>
      </c>
      <c r="AN4" s="33"/>
      <c r="AO4" s="33" t="s">
        <v>23</v>
      </c>
      <c r="AP4" s="33"/>
      <c r="AQ4" s="1" t="s">
        <v>46</v>
      </c>
      <c r="AR4" s="1" t="s">
        <v>50</v>
      </c>
      <c r="AS4" s="1" t="s">
        <v>85</v>
      </c>
      <c r="AT4" s="1" t="s">
        <v>47</v>
      </c>
      <c r="AU4" s="1" t="s">
        <v>49</v>
      </c>
      <c r="AV4" s="1" t="s">
        <v>83</v>
      </c>
      <c r="AW4" s="1" t="s">
        <v>93</v>
      </c>
      <c r="AX4" s="1" t="s">
        <v>94</v>
      </c>
      <c r="AY4" s="33" t="s">
        <v>26</v>
      </c>
      <c r="AZ4" s="33"/>
      <c r="BA4" s="33" t="s">
        <v>28</v>
      </c>
      <c r="BB4" s="33"/>
    </row>
    <row r="5" spans="1:63" x14ac:dyDescent="0.25">
      <c r="B5" s="1" t="s">
        <v>10</v>
      </c>
      <c r="C5" s="1" t="s">
        <v>10</v>
      </c>
      <c r="D5" s="1" t="s">
        <v>14</v>
      </c>
      <c r="E5" s="1" t="s">
        <v>10</v>
      </c>
      <c r="F5" s="1" t="s">
        <v>14</v>
      </c>
      <c r="G5" s="1" t="s">
        <v>10</v>
      </c>
      <c r="H5" s="1" t="s">
        <v>14</v>
      </c>
      <c r="I5" s="1" t="s">
        <v>10</v>
      </c>
      <c r="J5" s="1" t="s">
        <v>14</v>
      </c>
      <c r="K5" s="1" t="s">
        <v>10</v>
      </c>
      <c r="L5" s="1" t="s">
        <v>14</v>
      </c>
      <c r="M5" s="1" t="s">
        <v>10</v>
      </c>
      <c r="N5" s="1" t="s">
        <v>14</v>
      </c>
      <c r="O5" s="1" t="s">
        <v>10</v>
      </c>
      <c r="P5" s="1" t="s">
        <v>14</v>
      </c>
      <c r="Q5" s="1" t="s">
        <v>10</v>
      </c>
      <c r="R5" s="1" t="s">
        <v>72</v>
      </c>
      <c r="S5" s="1"/>
      <c r="T5" s="1" t="s">
        <v>14</v>
      </c>
      <c r="U5" s="1" t="s">
        <v>10</v>
      </c>
      <c r="V5" s="1" t="s">
        <v>72</v>
      </c>
      <c r="W5" s="1" t="s">
        <v>72</v>
      </c>
      <c r="X5" s="1" t="s">
        <v>14</v>
      </c>
      <c r="Y5" s="1" t="s">
        <v>10</v>
      </c>
      <c r="Z5" s="1" t="s">
        <v>14</v>
      </c>
      <c r="AA5" s="1" t="s">
        <v>10</v>
      </c>
      <c r="AB5" s="1" t="s">
        <v>14</v>
      </c>
      <c r="AC5" s="1" t="s">
        <v>10</v>
      </c>
      <c r="AD5" s="1" t="s">
        <v>14</v>
      </c>
      <c r="AE5" s="1" t="s">
        <v>10</v>
      </c>
      <c r="AF5" s="1" t="s">
        <v>72</v>
      </c>
      <c r="AG5" s="1" t="s">
        <v>72</v>
      </c>
      <c r="AH5" s="1" t="s">
        <v>72</v>
      </c>
      <c r="AI5" s="1"/>
      <c r="AK5" s="1" t="s">
        <v>14</v>
      </c>
      <c r="AL5" s="1" t="s">
        <v>10</v>
      </c>
      <c r="AM5" s="1" t="s">
        <v>14</v>
      </c>
      <c r="AN5" s="1" t="s">
        <v>10</v>
      </c>
      <c r="AO5" s="1" t="s">
        <v>14</v>
      </c>
      <c r="AP5" s="1" t="s">
        <v>10</v>
      </c>
      <c r="AQ5" s="1" t="s">
        <v>72</v>
      </c>
      <c r="AR5" s="1" t="s">
        <v>72</v>
      </c>
      <c r="AS5" s="1" t="s">
        <v>72</v>
      </c>
      <c r="AT5" s="1" t="s">
        <v>72</v>
      </c>
      <c r="AU5" s="1" t="s">
        <v>72</v>
      </c>
      <c r="AV5" s="1" t="s">
        <v>72</v>
      </c>
      <c r="AW5" s="1" t="s">
        <v>72</v>
      </c>
      <c r="AX5" s="1" t="s">
        <v>72</v>
      </c>
      <c r="AY5" s="1" t="s">
        <v>14</v>
      </c>
      <c r="AZ5" s="1" t="s">
        <v>10</v>
      </c>
      <c r="BA5" s="1" t="s">
        <v>14</v>
      </c>
      <c r="BB5" s="1" t="s">
        <v>10</v>
      </c>
    </row>
    <row r="6" spans="1:63" x14ac:dyDescent="0.25">
      <c r="A6" t="s">
        <v>16</v>
      </c>
      <c r="B6" s="1"/>
      <c r="C6" s="1">
        <v>0.44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>
        <v>38.28</v>
      </c>
      <c r="S6" s="1"/>
      <c r="T6" s="1">
        <v>26.55</v>
      </c>
      <c r="U6" s="1"/>
      <c r="V6" s="1">
        <v>27.55</v>
      </c>
      <c r="W6" s="1">
        <v>27.05</v>
      </c>
      <c r="X6">
        <f>C6*$X$11</f>
        <v>38.28</v>
      </c>
      <c r="Y6">
        <f>X6/SUM($X$11:$X$16)</f>
        <v>0.38280000000000003</v>
      </c>
      <c r="Z6">
        <f>$Z$11*C6</f>
        <v>37.840000000000003</v>
      </c>
      <c r="AA6">
        <f>Z6/SUM($X$11:$X$16)</f>
        <v>0.37840000000000001</v>
      </c>
      <c r="AB6">
        <f>$AB$11*C6</f>
        <v>37.4</v>
      </c>
      <c r="AC6">
        <f>AB6/SUM($X$11:$X$16)</f>
        <v>0.374</v>
      </c>
      <c r="AD6">
        <v>76</v>
      </c>
      <c r="AE6">
        <f>AD6/100</f>
        <v>0.76</v>
      </c>
      <c r="AF6">
        <v>75.55</v>
      </c>
      <c r="AG6">
        <v>65.55</v>
      </c>
      <c r="AH6">
        <v>75.05</v>
      </c>
      <c r="AK6">
        <f>$AK$11*C6</f>
        <v>39.6</v>
      </c>
      <c r="AL6">
        <f>AK6/SUM($AK$11:$AK$16)</f>
        <v>0.39600000000000002</v>
      </c>
      <c r="AM6">
        <f>$AM$11*C6</f>
        <v>39.160000000000004</v>
      </c>
      <c r="AN6">
        <f>AM6/SUM($AK$11:$AK$16)</f>
        <v>0.39160000000000006</v>
      </c>
      <c r="AO6">
        <f>$AO$11*C6</f>
        <v>38.72</v>
      </c>
      <c r="AP6">
        <f>AO6/SUM($AK$11:$AK$16)</f>
        <v>0.38719999999999999</v>
      </c>
      <c r="AQ6">
        <v>39.524999999999999</v>
      </c>
      <c r="AR6">
        <v>59.05</v>
      </c>
      <c r="AS6">
        <v>53.55</v>
      </c>
      <c r="AT6">
        <v>37.78</v>
      </c>
      <c r="AU6">
        <v>55</v>
      </c>
      <c r="AV6">
        <v>60</v>
      </c>
      <c r="AW6">
        <v>60</v>
      </c>
      <c r="AX6">
        <v>60</v>
      </c>
      <c r="BH6" t="s">
        <v>95</v>
      </c>
      <c r="BI6" t="s">
        <v>96</v>
      </c>
      <c r="BJ6" t="s">
        <v>97</v>
      </c>
      <c r="BK6" t="s">
        <v>98</v>
      </c>
    </row>
    <row r="7" spans="1:63" x14ac:dyDescent="0.25">
      <c r="A7" t="s">
        <v>7</v>
      </c>
      <c r="B7">
        <v>0.44</v>
      </c>
      <c r="D7">
        <f>B7*92</f>
        <v>40.479999999999997</v>
      </c>
      <c r="E7">
        <f>D7/SUM(D$7:D$9,D$13:D$15)</f>
        <v>0.40479999999999999</v>
      </c>
      <c r="F7">
        <f>B7*$F$10</f>
        <v>10.119999999999999</v>
      </c>
      <c r="G7">
        <f>F7/SUM($F$7:$F$9,$F$13:$F$16)</f>
        <v>0.40079207920792076</v>
      </c>
      <c r="H7">
        <f>F7</f>
        <v>10.119999999999999</v>
      </c>
      <c r="I7">
        <f>H7/SUM($H$7:$H$9,$H$13:$H$16)</f>
        <v>0.3968627450980392</v>
      </c>
      <c r="J7">
        <f>F7</f>
        <v>10.119999999999999</v>
      </c>
      <c r="K7">
        <f>J7/SUM($J$7:$J$9,$J$13:$J$16)</f>
        <v>0.39300970873786406</v>
      </c>
      <c r="L7">
        <f>B7*$L$10</f>
        <v>38.28</v>
      </c>
      <c r="M7">
        <f>L7/SUM($L$7:$L$9,$L$13:$L$16)</f>
        <v>0.38280000000000003</v>
      </c>
      <c r="N7">
        <f>$N$10*B7</f>
        <v>37.840000000000003</v>
      </c>
      <c r="O7">
        <f>N7/SUM($L$7:$L$9,$L$13:$L$16)</f>
        <v>0.37840000000000001</v>
      </c>
      <c r="P7">
        <f>$P$10*B7</f>
        <v>37.4</v>
      </c>
      <c r="Q7">
        <f>P7/SUM($L$7:$L$9,$L$13:$L$16)</f>
        <v>0.374</v>
      </c>
      <c r="AE7">
        <f t="shared" ref="AE7:AE16" si="0">AD7/100</f>
        <v>0</v>
      </c>
      <c r="AM7">
        <f>$AM$11*C7</f>
        <v>0</v>
      </c>
      <c r="AO7">
        <f>$AO$11*C7</f>
        <v>0</v>
      </c>
      <c r="BG7" t="s">
        <v>16</v>
      </c>
      <c r="BH7">
        <v>59.05</v>
      </c>
      <c r="BI7" s="1">
        <v>27.05</v>
      </c>
      <c r="BK7">
        <v>65.55</v>
      </c>
    </row>
    <row r="8" spans="1:63" x14ac:dyDescent="0.25">
      <c r="A8" t="s">
        <v>8</v>
      </c>
      <c r="B8">
        <v>0.44</v>
      </c>
      <c r="C8">
        <v>0.44</v>
      </c>
      <c r="D8">
        <f>B8*92</f>
        <v>40.479999999999997</v>
      </c>
      <c r="E8">
        <f t="shared" ref="E8:E9" si="1">D8/SUM(D$7:D$9,D$13:D$15)</f>
        <v>0.40479999999999999</v>
      </c>
      <c r="F8">
        <f>B8*$F$10</f>
        <v>10.119999999999999</v>
      </c>
      <c r="G8">
        <f>F8/SUM($F$7:$F$9,$F$13:$F$16)</f>
        <v>0.40079207920792076</v>
      </c>
      <c r="H8">
        <f>F8</f>
        <v>10.119999999999999</v>
      </c>
      <c r="I8">
        <f>H8/SUM($H$7:$H$9,$H$13:$H$16)</f>
        <v>0.3968627450980392</v>
      </c>
      <c r="J8">
        <f t="shared" ref="J8:J15" si="2">F8</f>
        <v>10.119999999999999</v>
      </c>
      <c r="K8">
        <f>J8/SUM($J$7:$J$9,$J$13:$J$16)</f>
        <v>0.39300970873786406</v>
      </c>
      <c r="L8">
        <f t="shared" ref="L8:L9" si="3">B8*$L$10</f>
        <v>38.28</v>
      </c>
      <c r="M8">
        <f t="shared" ref="M8:O9" si="4">L8/SUM($L$7:$L$9,$L$13:$L$16)</f>
        <v>0.38280000000000003</v>
      </c>
      <c r="N8">
        <f t="shared" ref="N8:N9" si="5">$N$10*B8</f>
        <v>37.840000000000003</v>
      </c>
      <c r="O8">
        <f t="shared" si="4"/>
        <v>0.37840000000000001</v>
      </c>
      <c r="P8">
        <f t="shared" ref="P8:P9" si="6">$P$10*B8</f>
        <v>37.4</v>
      </c>
      <c r="Q8">
        <f t="shared" ref="Q8" si="7">P8/SUM($L$7:$L$9,$L$13:$L$16)</f>
        <v>0.374</v>
      </c>
      <c r="R8">
        <v>38.270000000000003</v>
      </c>
      <c r="T8">
        <v>50</v>
      </c>
      <c r="V8">
        <v>50</v>
      </c>
      <c r="W8">
        <v>50</v>
      </c>
      <c r="X8">
        <f t="shared" ref="X8:X9" si="8">C8*$X$11</f>
        <v>38.28</v>
      </c>
      <c r="Y8">
        <f t="shared" ref="Y8:Y16" si="9">X8/SUM($X$11:$X$16)</f>
        <v>0.38280000000000003</v>
      </c>
      <c r="Z8">
        <f>$Z$11*C8</f>
        <v>37.840000000000003</v>
      </c>
      <c r="AA8">
        <f>Z8/SUM($X$11:$X$16)</f>
        <v>0.37840000000000001</v>
      </c>
      <c r="AB8">
        <f>$AB$11*C8</f>
        <v>37.4</v>
      </c>
      <c r="AC8">
        <f>AB8/SUM($X$11:$X$16)</f>
        <v>0.374</v>
      </c>
      <c r="AE8">
        <f t="shared" si="0"/>
        <v>0</v>
      </c>
      <c r="AG8">
        <v>10</v>
      </c>
      <c r="AK8">
        <f>$AK$11*C8</f>
        <v>39.6</v>
      </c>
      <c r="AL8">
        <f>AK8/SUM($X$11:$X$16)</f>
        <v>0.39600000000000002</v>
      </c>
      <c r="AM8">
        <f>$AM$11*C8</f>
        <v>39.160000000000004</v>
      </c>
      <c r="AN8">
        <f>AM8/SUM($X$11:$X$16)</f>
        <v>0.39160000000000006</v>
      </c>
      <c r="AO8">
        <f>$AO$11*C8</f>
        <v>38.72</v>
      </c>
      <c r="AP8">
        <f>AO8/SUM($X$11:$X$16)</f>
        <v>0.38719999999999999</v>
      </c>
      <c r="AQ8">
        <v>39.524999999999999</v>
      </c>
      <c r="AR8">
        <v>20</v>
      </c>
      <c r="AS8">
        <v>25</v>
      </c>
      <c r="AT8">
        <v>37.770000000000003</v>
      </c>
      <c r="AU8">
        <v>20.55</v>
      </c>
      <c r="AV8">
        <v>15.55</v>
      </c>
      <c r="AW8">
        <v>15.05</v>
      </c>
      <c r="AX8">
        <v>14.55</v>
      </c>
      <c r="AY8">
        <v>80</v>
      </c>
      <c r="AZ8">
        <f>AY8/100</f>
        <v>0.8</v>
      </c>
      <c r="BA8">
        <v>79</v>
      </c>
      <c r="BB8">
        <f>BA8/100</f>
        <v>0.79</v>
      </c>
      <c r="BG8" t="s">
        <v>7</v>
      </c>
    </row>
    <row r="9" spans="1:63" x14ac:dyDescent="0.25">
      <c r="A9" t="s">
        <v>25</v>
      </c>
      <c r="B9">
        <v>0.12</v>
      </c>
      <c r="C9">
        <v>0.12</v>
      </c>
      <c r="D9">
        <f>B9*92</f>
        <v>11.04</v>
      </c>
      <c r="E9">
        <f t="shared" si="1"/>
        <v>0.1104</v>
      </c>
      <c r="F9">
        <f>B9*$F$10</f>
        <v>2.76</v>
      </c>
      <c r="G9">
        <f>F9/SUM($F$7:$F$9,$F$13:$F$16)</f>
        <v>0.10930693069306929</v>
      </c>
      <c r="H9">
        <f>F9</f>
        <v>2.76</v>
      </c>
      <c r="I9">
        <f>H9/SUM($H$7:$H$9,$H$13:$H$16)</f>
        <v>0.10823529411764705</v>
      </c>
      <c r="J9">
        <f t="shared" si="2"/>
        <v>2.76</v>
      </c>
      <c r="K9">
        <f>J9/SUM($J$7:$J$9,$J$13:$J$16)</f>
        <v>0.10718446601941747</v>
      </c>
      <c r="L9">
        <f t="shared" si="3"/>
        <v>10.44</v>
      </c>
      <c r="M9">
        <f t="shared" si="4"/>
        <v>0.10439999999999999</v>
      </c>
      <c r="N9">
        <f t="shared" si="5"/>
        <v>10.32</v>
      </c>
      <c r="O9">
        <f t="shared" si="4"/>
        <v>0.1032</v>
      </c>
      <c r="P9">
        <f t="shared" si="6"/>
        <v>10.199999999999999</v>
      </c>
      <c r="Q9">
        <f t="shared" ref="Q9" si="10">P9/SUM($L$7:$L$9,$L$13:$L$16)</f>
        <v>0.10199999999999999</v>
      </c>
      <c r="R9">
        <v>10</v>
      </c>
      <c r="T9">
        <v>10</v>
      </c>
      <c r="V9">
        <v>10</v>
      </c>
      <c r="W9">
        <v>10</v>
      </c>
      <c r="X9">
        <f t="shared" si="8"/>
        <v>10.44</v>
      </c>
      <c r="Y9">
        <f t="shared" si="9"/>
        <v>0.10439999999999999</v>
      </c>
      <c r="Z9">
        <f>$Z$11*C9</f>
        <v>10.32</v>
      </c>
      <c r="AA9">
        <f>Z9/SUM($X$11:$X$16)</f>
        <v>0.1032</v>
      </c>
      <c r="AB9">
        <f>$AB$11*C9</f>
        <v>10.199999999999999</v>
      </c>
      <c r="AC9">
        <f>AB9/SUM($X$11:$X$16)</f>
        <v>0.10199999999999999</v>
      </c>
      <c r="AD9">
        <v>10</v>
      </c>
      <c r="AE9">
        <f t="shared" si="0"/>
        <v>0.1</v>
      </c>
      <c r="AF9">
        <v>10</v>
      </c>
      <c r="AG9">
        <v>10</v>
      </c>
      <c r="AH9">
        <v>10</v>
      </c>
      <c r="AK9">
        <f>$AK$11*C9</f>
        <v>10.799999999999999</v>
      </c>
      <c r="AL9">
        <f>AK9/SUM($X$11:$X$16)</f>
        <v>0.10799999999999998</v>
      </c>
      <c r="AM9">
        <f>$AM$11*C9</f>
        <v>10.68</v>
      </c>
      <c r="AN9">
        <f>AM9/SUM($X$11:$X$16)</f>
        <v>0.10679999999999999</v>
      </c>
      <c r="AO9">
        <f>$AO$11*C9</f>
        <v>10.559999999999999</v>
      </c>
      <c r="AP9">
        <f>AO9/SUM($X$11:$X$16)</f>
        <v>0.10559999999999999</v>
      </c>
      <c r="AQ9">
        <v>10</v>
      </c>
      <c r="AR9">
        <v>10</v>
      </c>
      <c r="AS9">
        <v>10</v>
      </c>
      <c r="AT9">
        <v>10</v>
      </c>
      <c r="AU9">
        <v>10</v>
      </c>
      <c r="AV9">
        <v>10</v>
      </c>
      <c r="AW9">
        <v>10</v>
      </c>
      <c r="AX9">
        <v>10</v>
      </c>
      <c r="AY9">
        <v>10</v>
      </c>
      <c r="AZ9">
        <f t="shared" ref="AZ9:BB15" si="11">AY9/100</f>
        <v>0.1</v>
      </c>
      <c r="BA9">
        <v>10</v>
      </c>
      <c r="BB9">
        <f t="shared" si="11"/>
        <v>0.1</v>
      </c>
      <c r="BG9" t="s">
        <v>8</v>
      </c>
      <c r="BH9">
        <v>20</v>
      </c>
      <c r="BI9">
        <v>50</v>
      </c>
      <c r="BK9">
        <v>10</v>
      </c>
    </row>
    <row r="10" spans="1:63" x14ac:dyDescent="0.25">
      <c r="A10" t="s">
        <v>9</v>
      </c>
      <c r="D10">
        <v>92</v>
      </c>
      <c r="E10">
        <f>D10/SUM($D$10:$D$15)</f>
        <v>0.92</v>
      </c>
      <c r="F10">
        <f>E10*25</f>
        <v>23</v>
      </c>
      <c r="H10">
        <f>E10*25</f>
        <v>23</v>
      </c>
      <c r="J10">
        <f t="shared" si="2"/>
        <v>23</v>
      </c>
      <c r="L10">
        <v>87</v>
      </c>
      <c r="N10">
        <v>86</v>
      </c>
      <c r="P10">
        <v>85</v>
      </c>
      <c r="AE10">
        <f t="shared" si="0"/>
        <v>0</v>
      </c>
      <c r="BG10" t="s">
        <v>25</v>
      </c>
      <c r="BH10">
        <v>10</v>
      </c>
      <c r="BI10">
        <v>10</v>
      </c>
      <c r="BK10">
        <v>10</v>
      </c>
    </row>
    <row r="11" spans="1:63" x14ac:dyDescent="0.25">
      <c r="A11" t="s">
        <v>20</v>
      </c>
      <c r="X11">
        <v>87</v>
      </c>
      <c r="Z11">
        <v>86</v>
      </c>
      <c r="AB11">
        <v>85</v>
      </c>
      <c r="AE11">
        <f t="shared" si="0"/>
        <v>0</v>
      </c>
      <c r="AK11">
        <v>90</v>
      </c>
      <c r="AM11">
        <v>89</v>
      </c>
      <c r="AO11">
        <v>88</v>
      </c>
      <c r="BG11" t="s">
        <v>9</v>
      </c>
    </row>
    <row r="12" spans="1:63" x14ac:dyDescent="0.25">
      <c r="A12" t="s">
        <v>71</v>
      </c>
      <c r="R12">
        <v>7.65</v>
      </c>
      <c r="T12">
        <v>7.65</v>
      </c>
      <c r="V12">
        <v>7.65</v>
      </c>
      <c r="W12">
        <v>7.65</v>
      </c>
      <c r="AF12">
        <v>7.65</v>
      </c>
      <c r="AG12">
        <v>7.65</v>
      </c>
      <c r="AH12">
        <v>7.65</v>
      </c>
      <c r="AQ12">
        <v>7.65</v>
      </c>
      <c r="AR12">
        <v>7.65</v>
      </c>
      <c r="AS12">
        <v>7.65</v>
      </c>
      <c r="AT12">
        <v>7.65</v>
      </c>
      <c r="AU12">
        <v>7.65</v>
      </c>
      <c r="AV12">
        <v>7.65</v>
      </c>
      <c r="AW12">
        <v>7.65</v>
      </c>
      <c r="AX12">
        <v>7.65</v>
      </c>
      <c r="BG12" t="s">
        <v>20</v>
      </c>
    </row>
    <row r="13" spans="1:63" x14ac:dyDescent="0.25">
      <c r="A13" t="s">
        <v>11</v>
      </c>
      <c r="D13">
        <v>7.2</v>
      </c>
      <c r="E13">
        <f t="shared" ref="E13:E15" si="12">D13/SUM($D$10:$D$15)</f>
        <v>7.2000000000000008E-2</v>
      </c>
      <c r="F13">
        <f t="shared" ref="F13:F15" si="13">E13*25</f>
        <v>1.8000000000000003</v>
      </c>
      <c r="G13">
        <f>F13/SUM($F$7:$F$9,$F$13:$F$16)</f>
        <v>7.1287128712871295E-2</v>
      </c>
      <c r="H13">
        <f t="shared" ref="H13:H15" si="14">E13*25</f>
        <v>1.8000000000000003</v>
      </c>
      <c r="I13">
        <f>H13/SUM($H$7:$H$9,$H$13:$H$16)</f>
        <v>7.058823529411766E-2</v>
      </c>
      <c r="J13">
        <f t="shared" si="2"/>
        <v>1.8000000000000003</v>
      </c>
      <c r="K13">
        <f>J13/SUM($J$7:$J$9,$J$13:$J$16)</f>
        <v>6.9902912621359239E-2</v>
      </c>
      <c r="L13">
        <v>7.2</v>
      </c>
      <c r="M13">
        <f>L13/SUM($L$7:$L$9,$L$13:$L$16)</f>
        <v>7.2000000000000008E-2</v>
      </c>
      <c r="N13">
        <v>7.2</v>
      </c>
      <c r="O13">
        <f>N13/SUM($L$7:$L$9,$L$13:$L$16)</f>
        <v>7.2000000000000008E-2</v>
      </c>
      <c r="P13">
        <v>7.2</v>
      </c>
      <c r="Q13">
        <f>P13/SUM($L$7:$L$9,$L$13:$L$16)</f>
        <v>7.2000000000000008E-2</v>
      </c>
      <c r="X13">
        <v>7.2</v>
      </c>
      <c r="Y13">
        <f>X13/SUM($X$11:$X$16)</f>
        <v>7.2000000000000008E-2</v>
      </c>
      <c r="Z13">
        <v>7.2</v>
      </c>
      <c r="AA13">
        <f>Z13/SUM($X$11:$X$16)</f>
        <v>7.2000000000000008E-2</v>
      </c>
      <c r="AB13">
        <v>7.2</v>
      </c>
      <c r="AC13">
        <f>AB13/SUM($X$11:$X$16)</f>
        <v>7.2000000000000008E-2</v>
      </c>
      <c r="AD13">
        <v>7.2</v>
      </c>
      <c r="AE13">
        <f t="shared" si="0"/>
        <v>7.2000000000000008E-2</v>
      </c>
      <c r="AK13">
        <v>7.2</v>
      </c>
      <c r="AL13">
        <f>AK13/SUM($X$11:$X$16)</f>
        <v>7.2000000000000008E-2</v>
      </c>
      <c r="AM13">
        <v>7.2</v>
      </c>
      <c r="AN13">
        <f>AM13/SUM($X$11:$X$16)</f>
        <v>7.2000000000000008E-2</v>
      </c>
      <c r="AO13">
        <v>7.2</v>
      </c>
      <c r="AP13">
        <f>AO13/SUM($X$11:$X$16)</f>
        <v>7.2000000000000008E-2</v>
      </c>
      <c r="AY13">
        <v>7.2</v>
      </c>
      <c r="AZ13">
        <f t="shared" si="11"/>
        <v>7.2000000000000008E-2</v>
      </c>
      <c r="BA13">
        <v>7.2</v>
      </c>
      <c r="BB13">
        <f t="shared" si="11"/>
        <v>7.2000000000000008E-2</v>
      </c>
      <c r="BG13" t="s">
        <v>71</v>
      </c>
      <c r="BH13">
        <v>7.65</v>
      </c>
      <c r="BI13">
        <v>7.65</v>
      </c>
      <c r="BK13">
        <v>7.65</v>
      </c>
    </row>
    <row r="14" spans="1:63" x14ac:dyDescent="0.25">
      <c r="A14" t="s">
        <v>12</v>
      </c>
      <c r="D14">
        <v>0.6</v>
      </c>
      <c r="E14">
        <f t="shared" si="12"/>
        <v>6.0000000000000001E-3</v>
      </c>
      <c r="F14">
        <f t="shared" si="13"/>
        <v>0.15</v>
      </c>
      <c r="G14">
        <f>F14/SUM($F$7:$F$9,$F$13:$F$16)</f>
        <v>5.9405940594059407E-3</v>
      </c>
      <c r="H14">
        <f t="shared" si="14"/>
        <v>0.15</v>
      </c>
      <c r="I14">
        <f>H14/SUM($H$7:$H$9,$H$13:$H$16)</f>
        <v>5.8823529411764705E-3</v>
      </c>
      <c r="J14">
        <f t="shared" si="2"/>
        <v>0.15</v>
      </c>
      <c r="K14">
        <f>J14/SUM($J$7:$J$9,$J$13:$J$16)</f>
        <v>5.8252427184466021E-3</v>
      </c>
      <c r="L14">
        <v>0.6</v>
      </c>
      <c r="M14">
        <f t="shared" ref="M14:O15" si="15">L14/SUM($L$7:$L$9,$L$13:$L$16)</f>
        <v>6.0000000000000001E-3</v>
      </c>
      <c r="N14">
        <v>0.6</v>
      </c>
      <c r="O14">
        <f t="shared" si="15"/>
        <v>6.0000000000000001E-3</v>
      </c>
      <c r="P14">
        <v>0.6</v>
      </c>
      <c r="Q14">
        <f t="shared" ref="Q14" si="16">P14/SUM($L$7:$L$9,$L$13:$L$16)</f>
        <v>6.0000000000000001E-3</v>
      </c>
      <c r="R14">
        <v>0.6</v>
      </c>
      <c r="T14">
        <v>0.6</v>
      </c>
      <c r="V14">
        <v>0.6</v>
      </c>
      <c r="W14">
        <v>0.6</v>
      </c>
      <c r="X14">
        <v>0.6</v>
      </c>
      <c r="Y14">
        <f t="shared" si="9"/>
        <v>6.0000000000000001E-3</v>
      </c>
      <c r="Z14">
        <v>0.6</v>
      </c>
      <c r="AA14">
        <f>Z14/SUM($X$11:$X$16)</f>
        <v>6.0000000000000001E-3</v>
      </c>
      <c r="AB14">
        <v>0.6</v>
      </c>
      <c r="AC14">
        <f>AB14/SUM($X$11:$X$16)</f>
        <v>6.0000000000000001E-3</v>
      </c>
      <c r="AD14">
        <v>0.6</v>
      </c>
      <c r="AE14">
        <f t="shared" si="0"/>
        <v>6.0000000000000001E-3</v>
      </c>
      <c r="AF14">
        <v>0.6</v>
      </c>
      <c r="AG14">
        <v>0.6</v>
      </c>
      <c r="AH14">
        <v>0.6</v>
      </c>
      <c r="AK14">
        <v>0.6</v>
      </c>
      <c r="AL14">
        <f>AK14/SUM($X$11:$X$16)</f>
        <v>6.0000000000000001E-3</v>
      </c>
      <c r="AM14">
        <v>0.6</v>
      </c>
      <c r="AN14">
        <f>AM14/SUM($X$11:$X$16)</f>
        <v>6.0000000000000001E-3</v>
      </c>
      <c r="AO14">
        <v>0.6</v>
      </c>
      <c r="AP14">
        <f>AO14/SUM($X$11:$X$16)</f>
        <v>6.0000000000000001E-3</v>
      </c>
      <c r="AQ14">
        <v>0.6</v>
      </c>
      <c r="AR14">
        <v>0.6</v>
      </c>
      <c r="AS14">
        <v>0.6</v>
      </c>
      <c r="AT14">
        <v>0.6</v>
      </c>
      <c r="AU14">
        <v>0.6</v>
      </c>
      <c r="AV14">
        <v>0.6</v>
      </c>
      <c r="AW14">
        <v>0.6</v>
      </c>
      <c r="AX14">
        <v>0.6</v>
      </c>
      <c r="AY14">
        <v>0.6</v>
      </c>
      <c r="AZ14">
        <f t="shared" si="11"/>
        <v>6.0000000000000001E-3</v>
      </c>
      <c r="BA14">
        <v>0.6</v>
      </c>
      <c r="BB14">
        <f t="shared" si="11"/>
        <v>6.0000000000000001E-3</v>
      </c>
      <c r="BG14" t="s">
        <v>11</v>
      </c>
    </row>
    <row r="15" spans="1:63" x14ac:dyDescent="0.25">
      <c r="A15" t="s">
        <v>13</v>
      </c>
      <c r="D15">
        <v>0.2</v>
      </c>
      <c r="E15">
        <f t="shared" si="12"/>
        <v>2E-3</v>
      </c>
      <c r="F15">
        <f t="shared" si="13"/>
        <v>0.05</v>
      </c>
      <c r="G15">
        <f>F15/SUM($F$7:$F$9,$F$13:$F$16)</f>
        <v>1.9801980198019802E-3</v>
      </c>
      <c r="H15">
        <f t="shared" si="14"/>
        <v>0.05</v>
      </c>
      <c r="I15">
        <f>H15/SUM($H$7:$H$9,$H$13:$H$16)</f>
        <v>1.9607843137254902E-3</v>
      </c>
      <c r="J15">
        <f t="shared" si="2"/>
        <v>0.05</v>
      </c>
      <c r="K15">
        <f>J15/SUM($J$7:$J$9,$J$13:$J$16)</f>
        <v>1.9417475728155341E-3</v>
      </c>
      <c r="L15">
        <v>0.2</v>
      </c>
      <c r="M15">
        <f t="shared" si="15"/>
        <v>2E-3</v>
      </c>
      <c r="N15">
        <v>0.2</v>
      </c>
      <c r="O15">
        <f t="shared" si="15"/>
        <v>2E-3</v>
      </c>
      <c r="P15">
        <v>0.2</v>
      </c>
      <c r="Q15">
        <f t="shared" ref="Q15" si="17">P15/SUM($L$7:$L$9,$L$13:$L$16)</f>
        <v>2E-3</v>
      </c>
      <c r="R15">
        <v>0.2</v>
      </c>
      <c r="T15">
        <v>0.2</v>
      </c>
      <c r="V15">
        <v>0.2</v>
      </c>
      <c r="W15">
        <v>0.2</v>
      </c>
      <c r="X15">
        <v>0.2</v>
      </c>
      <c r="Y15">
        <f t="shared" si="9"/>
        <v>2E-3</v>
      </c>
      <c r="Z15">
        <v>0.2</v>
      </c>
      <c r="AA15">
        <f>Z15/SUM($X$11:$X$16)</f>
        <v>2E-3</v>
      </c>
      <c r="AB15">
        <v>0.2</v>
      </c>
      <c r="AC15">
        <f>AB15/SUM($X$11:$X$16)</f>
        <v>2E-3</v>
      </c>
      <c r="AD15">
        <v>0.2</v>
      </c>
      <c r="AE15">
        <f t="shared" si="0"/>
        <v>2E-3</v>
      </c>
      <c r="AF15">
        <v>0.2</v>
      </c>
      <c r="AG15">
        <v>0.2</v>
      </c>
      <c r="AH15">
        <v>0.2</v>
      </c>
      <c r="AK15">
        <v>0.2</v>
      </c>
      <c r="AL15">
        <f>AK15/SUM($X$11:$X$16)</f>
        <v>2E-3</v>
      </c>
      <c r="AM15">
        <v>0.2</v>
      </c>
      <c r="AN15">
        <f>AM15/SUM($X$11:$X$16)</f>
        <v>2E-3</v>
      </c>
      <c r="AO15">
        <v>0.2</v>
      </c>
      <c r="AP15">
        <f>AO15/SUM($X$11:$X$16)</f>
        <v>2E-3</v>
      </c>
      <c r="AQ15">
        <v>0.2</v>
      </c>
      <c r="AR15">
        <v>0.2</v>
      </c>
      <c r="AS15">
        <v>0.2</v>
      </c>
      <c r="AT15">
        <v>0.2</v>
      </c>
      <c r="AU15">
        <v>0.2</v>
      </c>
      <c r="AV15">
        <v>0.2</v>
      </c>
      <c r="AW15">
        <v>0.2</v>
      </c>
      <c r="AX15">
        <v>0.2</v>
      </c>
      <c r="AY15">
        <v>0.2</v>
      </c>
      <c r="AZ15">
        <f t="shared" si="11"/>
        <v>2E-3</v>
      </c>
      <c r="BA15">
        <v>0.2</v>
      </c>
      <c r="BB15">
        <f t="shared" si="11"/>
        <v>2E-3</v>
      </c>
      <c r="BG15" t="s">
        <v>12</v>
      </c>
      <c r="BH15">
        <v>0.6</v>
      </c>
      <c r="BI15">
        <v>0.6</v>
      </c>
      <c r="BK15">
        <v>0.6</v>
      </c>
    </row>
    <row r="16" spans="1:63" x14ac:dyDescent="0.25">
      <c r="A16" t="s">
        <v>15</v>
      </c>
      <c r="F16">
        <v>0.25</v>
      </c>
      <c r="G16">
        <f>F16/SUM($F$7:$F$9,$F$13:$F$16)</f>
        <v>9.9009900990099011E-3</v>
      </c>
      <c r="H16">
        <f>0.5</f>
        <v>0.5</v>
      </c>
      <c r="I16">
        <f>H16/SUM($H$7:$H$9,$H$13:$H$16)</f>
        <v>1.9607843137254902E-2</v>
      </c>
      <c r="J16">
        <v>0.75</v>
      </c>
      <c r="K16">
        <f>J16/SUM($J$7:$J$9,$J$13:$J$16)</f>
        <v>2.9126213592233011E-2</v>
      </c>
      <c r="L16">
        <v>5</v>
      </c>
      <c r="M16">
        <f>L16/SUM($L$7:$L$9,$L$13:$L$16)</f>
        <v>0.05</v>
      </c>
      <c r="N16">
        <v>6</v>
      </c>
      <c r="O16">
        <f>N16/SUM($L$7:$L$9,$L$13:$L$16)</f>
        <v>0.06</v>
      </c>
      <c r="P16">
        <v>7</v>
      </c>
      <c r="Q16">
        <f>P16/SUM($L$7:$L$9,$L$13:$L$16)</f>
        <v>7.0000000000000007E-2</v>
      </c>
      <c r="R16">
        <v>5</v>
      </c>
      <c r="T16">
        <v>5</v>
      </c>
      <c r="V16">
        <v>4</v>
      </c>
      <c r="W16">
        <v>4.5</v>
      </c>
      <c r="X16">
        <v>5</v>
      </c>
      <c r="Y16">
        <f t="shared" si="9"/>
        <v>0.05</v>
      </c>
      <c r="Z16">
        <v>6</v>
      </c>
      <c r="AA16">
        <f>Z16/SUM($X$11:$X$16)</f>
        <v>0.06</v>
      </c>
      <c r="AB16">
        <v>7</v>
      </c>
      <c r="AC16">
        <f>AB16/SUM($X$11:$X$16)</f>
        <v>7.0000000000000007E-2</v>
      </c>
      <c r="AD16">
        <v>6</v>
      </c>
      <c r="AE16">
        <f t="shared" si="0"/>
        <v>0.06</v>
      </c>
      <c r="AF16">
        <v>6</v>
      </c>
      <c r="AG16">
        <v>6</v>
      </c>
      <c r="AH16">
        <v>6.5</v>
      </c>
      <c r="AK16">
        <v>2</v>
      </c>
      <c r="AL16">
        <f>AK16/SUM($X$11:$X$16)</f>
        <v>0.02</v>
      </c>
      <c r="AM16">
        <v>3</v>
      </c>
      <c r="AN16">
        <f>AM16/SUM($X$11:$X$16)</f>
        <v>0.03</v>
      </c>
      <c r="AO16">
        <v>4</v>
      </c>
      <c r="AP16">
        <f>AO16/SUM($X$11:$X$16)</f>
        <v>0.04</v>
      </c>
      <c r="AQ16">
        <v>2.5</v>
      </c>
      <c r="AR16">
        <v>2.5</v>
      </c>
      <c r="AS16">
        <v>3</v>
      </c>
      <c r="AT16">
        <v>6</v>
      </c>
      <c r="AU16">
        <v>6</v>
      </c>
      <c r="AV16">
        <v>6</v>
      </c>
      <c r="AW16">
        <v>6.5</v>
      </c>
      <c r="AX16">
        <v>7</v>
      </c>
      <c r="AY16">
        <v>2</v>
      </c>
      <c r="AZ16">
        <f>AY16/100</f>
        <v>0.02</v>
      </c>
      <c r="BA16">
        <v>3</v>
      </c>
      <c r="BB16">
        <f>BA16/100</f>
        <v>0.03</v>
      </c>
      <c r="BG16" t="s">
        <v>13</v>
      </c>
      <c r="BH16">
        <v>0.2</v>
      </c>
      <c r="BI16">
        <v>0.2</v>
      </c>
      <c r="BK16">
        <v>0.2</v>
      </c>
    </row>
    <row r="17" spans="3:63" x14ac:dyDescent="0.25">
      <c r="M17">
        <f>SUM(M7:M16)</f>
        <v>1.0000000000000002</v>
      </c>
      <c r="O17">
        <f>SUM(O7:O16)</f>
        <v>1</v>
      </c>
      <c r="Q17">
        <f>SUM(Q7:Q16)</f>
        <v>1</v>
      </c>
      <c r="R17">
        <f>SUM(R6:R16)</f>
        <v>100.00000000000001</v>
      </c>
      <c r="T17">
        <f>SUM(T6:T16)</f>
        <v>100</v>
      </c>
      <c r="Y17">
        <f>SUM(Y6:Y16)</f>
        <v>1.0000000000000002</v>
      </c>
      <c r="AA17">
        <f>SUM(AA6:AA16)</f>
        <v>1</v>
      </c>
      <c r="AC17">
        <f>SUM(AC6:AC16)</f>
        <v>1</v>
      </c>
      <c r="AL17">
        <f>SUM(AL6:AL16)</f>
        <v>1</v>
      </c>
      <c r="AN17">
        <f>SUM(AN6:AN16)</f>
        <v>1.0000000000000002</v>
      </c>
      <c r="AP17">
        <f>SUM(AP6:AP16)</f>
        <v>1</v>
      </c>
      <c r="BG17" t="s">
        <v>15</v>
      </c>
      <c r="BH17">
        <v>2.5</v>
      </c>
      <c r="BI17">
        <v>4.5</v>
      </c>
      <c r="BK17">
        <v>6</v>
      </c>
    </row>
    <row r="21" spans="3:63" x14ac:dyDescent="0.25">
      <c r="D21" s="1" t="s">
        <v>46</v>
      </c>
      <c r="E21" s="1" t="s">
        <v>50</v>
      </c>
      <c r="F21" s="1" t="s">
        <v>47</v>
      </c>
      <c r="G21" s="1" t="s">
        <v>49</v>
      </c>
      <c r="H21" s="1" t="s">
        <v>44</v>
      </c>
      <c r="I21" s="1" t="s">
        <v>48</v>
      </c>
      <c r="J21" s="1" t="s">
        <v>45</v>
      </c>
      <c r="K21" s="1" t="s">
        <v>51</v>
      </c>
      <c r="L21" s="1" t="s">
        <v>76</v>
      </c>
      <c r="M21" t="s">
        <v>35</v>
      </c>
    </row>
    <row r="22" spans="3:63" x14ac:dyDescent="0.25">
      <c r="C22" t="s">
        <v>8</v>
      </c>
      <c r="D22">
        <v>39.524999999999999</v>
      </c>
      <c r="E22">
        <v>20</v>
      </c>
      <c r="F22">
        <v>37.770000000000003</v>
      </c>
      <c r="G22">
        <v>20.55</v>
      </c>
      <c r="H22" s="1">
        <v>38.28</v>
      </c>
      <c r="I22" s="1">
        <v>26.55</v>
      </c>
      <c r="J22" s="1">
        <v>0</v>
      </c>
      <c r="K22" s="1">
        <v>10</v>
      </c>
      <c r="M22">
        <f>K22+K23-M23</f>
        <v>20.549999999999997</v>
      </c>
    </row>
    <row r="23" spans="3:63" x14ac:dyDescent="0.25">
      <c r="C23" t="s">
        <v>16</v>
      </c>
      <c r="D23">
        <v>39.524999999999999</v>
      </c>
      <c r="E23">
        <v>59.05</v>
      </c>
      <c r="F23">
        <v>37.78</v>
      </c>
      <c r="G23">
        <v>55</v>
      </c>
      <c r="H23">
        <v>38.270000000000003</v>
      </c>
      <c r="I23">
        <v>50</v>
      </c>
      <c r="J23">
        <v>75.55</v>
      </c>
      <c r="K23">
        <v>65.55</v>
      </c>
      <c r="M23">
        <v>55</v>
      </c>
    </row>
    <row r="24" spans="3:63" x14ac:dyDescent="0.25">
      <c r="C24" t="s">
        <v>73</v>
      </c>
      <c r="D24">
        <v>2.5</v>
      </c>
      <c r="E24">
        <v>2.5</v>
      </c>
      <c r="F24">
        <v>6</v>
      </c>
      <c r="G24">
        <v>6</v>
      </c>
      <c r="H24">
        <v>5</v>
      </c>
      <c r="I24">
        <v>5</v>
      </c>
      <c r="J24">
        <v>6</v>
      </c>
      <c r="K24">
        <v>6</v>
      </c>
      <c r="P24" s="1"/>
      <c r="Q24" s="1"/>
      <c r="R24" s="1"/>
      <c r="S24" s="1"/>
    </row>
    <row r="25" spans="3:63" x14ac:dyDescent="0.25">
      <c r="C25" t="s">
        <v>74</v>
      </c>
      <c r="D25">
        <f>AVERAGE(59.5,59.49)</f>
        <v>59.495000000000005</v>
      </c>
      <c r="E25" s="3">
        <f>AVERAGE(64.07,64.05,63.9)</f>
        <v>64.006666666666675</v>
      </c>
      <c r="F25">
        <f>AVERAGE(75.43, 76.79)</f>
        <v>76.110000000000014</v>
      </c>
      <c r="G25" s="3">
        <f>AVERAGE(77.11,76.8,76.9)</f>
        <v>76.936666666666667</v>
      </c>
      <c r="H25" s="3">
        <f>AVERAGE(71.16,70.97)</f>
        <v>71.064999999999998</v>
      </c>
      <c r="I25" s="3">
        <f>AVERAGE(70.77,70.34,70.58)</f>
        <v>70.563333333333333</v>
      </c>
      <c r="J25">
        <f>AVERAGE(99.33,98.91)</f>
        <v>99.12</v>
      </c>
      <c r="K25" s="3">
        <f>AVERAGE(94.92,94.54,94.92)</f>
        <v>94.793333333333337</v>
      </c>
      <c r="P25" s="1"/>
      <c r="Q25" s="1"/>
      <c r="R25" s="1"/>
      <c r="S25" s="1"/>
    </row>
    <row r="26" spans="3:63" x14ac:dyDescent="0.25">
      <c r="C26" t="s">
        <v>75</v>
      </c>
      <c r="D26">
        <f>AVERAGE(9.14,9.99)</f>
        <v>9.5650000000000013</v>
      </c>
      <c r="E26" s="3">
        <f>AVERAGE(10.57,10.55,10.55)</f>
        <v>10.556666666666667</v>
      </c>
      <c r="F26">
        <f>AVERAGE(12.67,12.01)</f>
        <v>12.34</v>
      </c>
      <c r="G26" s="3">
        <f>AVERAGE(12.95,12.76,12.94)</f>
        <v>12.883333333333333</v>
      </c>
      <c r="H26">
        <f>AVERAGE(12.67,12.01)</f>
        <v>12.34</v>
      </c>
      <c r="I26" s="3">
        <f>AVERAGE(12.42,12.48,12.31)</f>
        <v>12.403333333333334</v>
      </c>
      <c r="J26">
        <f>AVERAGE(14.32,14.34)</f>
        <v>14.33</v>
      </c>
      <c r="K26" s="3">
        <f>AVERAGE(14.33,14.27,14.26)</f>
        <v>14.286666666666667</v>
      </c>
      <c r="Q26" s="1"/>
      <c r="R26" s="1"/>
      <c r="S26" s="1"/>
    </row>
    <row r="27" spans="3:63" x14ac:dyDescent="0.25">
      <c r="C27" t="s">
        <v>27</v>
      </c>
      <c r="D27">
        <v>144</v>
      </c>
      <c r="E27">
        <v>155</v>
      </c>
      <c r="F27">
        <v>160</v>
      </c>
      <c r="G27">
        <v>169</v>
      </c>
      <c r="H27">
        <v>173</v>
      </c>
      <c r="I27">
        <v>176</v>
      </c>
      <c r="J27">
        <v>148</v>
      </c>
      <c r="K27">
        <v>155</v>
      </c>
      <c r="M27">
        <f>M26/0.4327</f>
        <v>0</v>
      </c>
    </row>
    <row r="28" spans="3:63" x14ac:dyDescent="0.25">
      <c r="H28" s="1"/>
    </row>
    <row r="29" spans="3:63" x14ac:dyDescent="0.25">
      <c r="H29" s="1"/>
      <c r="I29" s="3"/>
      <c r="J29" s="3"/>
    </row>
    <row r="30" spans="3:63" x14ac:dyDescent="0.25">
      <c r="H30" s="1"/>
    </row>
    <row r="31" spans="3:63" x14ac:dyDescent="0.25">
      <c r="H31" s="1"/>
      <c r="I31" s="3"/>
      <c r="J31" s="3"/>
    </row>
    <row r="35" spans="6:8" x14ac:dyDescent="0.25">
      <c r="G35" t="s">
        <v>81</v>
      </c>
      <c r="H35" t="s">
        <v>82</v>
      </c>
    </row>
    <row r="36" spans="6:8" x14ac:dyDescent="0.25">
      <c r="F36" t="s">
        <v>8</v>
      </c>
      <c r="G36">
        <v>25</v>
      </c>
      <c r="H36">
        <v>5.55</v>
      </c>
    </row>
    <row r="37" spans="6:8" x14ac:dyDescent="0.25">
      <c r="F37" t="s">
        <v>16</v>
      </c>
      <c r="G37">
        <f>59.05-5-0.5</f>
        <v>53.55</v>
      </c>
      <c r="H37">
        <v>70</v>
      </c>
    </row>
    <row r="38" spans="6:8" x14ac:dyDescent="0.25">
      <c r="F38" t="s">
        <v>73</v>
      </c>
      <c r="G38">
        <v>3</v>
      </c>
      <c r="H38">
        <v>6</v>
      </c>
    </row>
    <row r="39" spans="6:8" x14ac:dyDescent="0.25">
      <c r="F39" t="s">
        <v>80</v>
      </c>
      <c r="G39">
        <v>10</v>
      </c>
      <c r="H39">
        <v>10</v>
      </c>
    </row>
    <row r="40" spans="6:8" x14ac:dyDescent="0.25">
      <c r="F40" t="s">
        <v>71</v>
      </c>
      <c r="G40">
        <v>7.65</v>
      </c>
      <c r="H40">
        <v>7.65</v>
      </c>
    </row>
    <row r="41" spans="6:8" x14ac:dyDescent="0.25">
      <c r="F41" t="s">
        <v>12</v>
      </c>
      <c r="G41">
        <v>0.6</v>
      </c>
      <c r="H41">
        <v>0.6</v>
      </c>
    </row>
    <row r="42" spans="6:8" x14ac:dyDescent="0.25">
      <c r="F42" t="s">
        <v>13</v>
      </c>
      <c r="G42">
        <v>0.2</v>
      </c>
      <c r="H42">
        <v>0.2</v>
      </c>
    </row>
    <row r="43" spans="6:8" x14ac:dyDescent="0.25">
      <c r="G43">
        <f>SUM(G36:G42)</f>
        <v>100</v>
      </c>
      <c r="H43">
        <f>SUM(H36:H42)</f>
        <v>100</v>
      </c>
    </row>
  </sheetData>
  <mergeCells count="18">
    <mergeCell ref="D4:E4"/>
    <mergeCell ref="F4:G4"/>
    <mergeCell ref="H4:I4"/>
    <mergeCell ref="J4:K4"/>
    <mergeCell ref="BA4:BB4"/>
    <mergeCell ref="L4:M4"/>
    <mergeCell ref="N4:O4"/>
    <mergeCell ref="P4:Q4"/>
    <mergeCell ref="X4:Y4"/>
    <mergeCell ref="Z4:AA4"/>
    <mergeCell ref="AB4:AC4"/>
    <mergeCell ref="AK4:AL4"/>
    <mergeCell ref="AM4:AN4"/>
    <mergeCell ref="AO4:AP4"/>
    <mergeCell ref="AD4:AE4"/>
    <mergeCell ref="AY4:AZ4"/>
    <mergeCell ref="R4:S4"/>
    <mergeCell ref="T4:U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diesel odx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Taifan</dc:creator>
  <cp:lastModifiedBy>William Taifan</cp:lastModifiedBy>
  <dcterms:created xsi:type="dcterms:W3CDTF">2020-08-21T06:23:33Z</dcterms:created>
  <dcterms:modified xsi:type="dcterms:W3CDTF">2020-10-14T06:07:51Z</dcterms:modified>
</cp:coreProperties>
</file>