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hris\Documents\LostInTranslationViewtModel\"/>
    </mc:Choice>
  </mc:AlternateContent>
  <xr:revisionPtr revIDLastSave="0" documentId="13_ncr:1_{CE036C2F-D05F-4F10-8D07-E8EF67C13B31}" xr6:coauthVersionLast="47" xr6:coauthVersionMax="47" xr10:uidLastSave="{00000000-0000-0000-0000-000000000000}"/>
  <bookViews>
    <workbookView xWindow="-108" yWindow="-108" windowWidth="30936" windowHeight="16776" tabRatio="629" activeTab="2" xr2:uid="{00000000-000D-0000-FFFF-FFFF00000000}"/>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3" l="1"/>
  <c r="F20" i="3"/>
  <c r="F21" i="3"/>
  <c r="F22" i="3"/>
  <c r="F23" i="3"/>
  <c r="E19" i="3"/>
  <c r="E20" i="3"/>
  <c r="E21" i="3"/>
  <c r="E22" i="3"/>
  <c r="E30" i="3"/>
  <c r="E29" i="3"/>
  <c r="E28" i="3"/>
  <c r="E27" i="3"/>
  <c r="E26" i="3"/>
  <c r="E25" i="3"/>
  <c r="E24" i="3"/>
  <c r="E23" i="3"/>
  <c r="J79" i="10"/>
  <c r="K79" i="10" s="1"/>
  <c r="K78" i="10"/>
  <c r="L78" i="10" s="1"/>
  <c r="K77" i="10"/>
  <c r="L77" i="10" s="1"/>
  <c r="K76" i="10"/>
  <c r="L76" i="10" s="1"/>
  <c r="K75" i="10"/>
  <c r="L75" i="10" s="1"/>
  <c r="K74" i="10"/>
  <c r="L74" i="10" s="1"/>
  <c r="L60" i="10"/>
  <c r="L59" i="10"/>
  <c r="K52" i="10"/>
  <c r="K51" i="10"/>
  <c r="K50" i="10"/>
  <c r="K49" i="10"/>
  <c r="K48" i="10"/>
  <c r="K47" i="10"/>
  <c r="K46" i="10"/>
  <c r="K45" i="10"/>
  <c r="O44" i="10"/>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K44" i="10"/>
  <c r="K43" i="10"/>
  <c r="H43" i="10"/>
  <c r="K42" i="10"/>
  <c r="H42" i="10"/>
  <c r="J41" i="10"/>
  <c r="K41" i="10" s="1"/>
  <c r="I41" i="10"/>
  <c r="H41" i="10"/>
  <c r="E30" i="10"/>
  <c r="E20" i="10"/>
  <c r="H7" i="10"/>
  <c r="H8" i="10" s="1"/>
  <c r="K6" i="10"/>
  <c r="N6" i="10" s="1"/>
  <c r="N7" i="10" s="1"/>
  <c r="N8" i="10" s="1"/>
  <c r="I6" i="10"/>
  <c r="J6" i="10" s="1"/>
  <c r="P5" i="10"/>
  <c r="O5" i="10"/>
  <c r="M41" i="10" s="1"/>
  <c r="L42" i="10" l="1"/>
  <c r="L41" i="10" s="1"/>
  <c r="N9" i="10"/>
  <c r="H44" i="10"/>
  <c r="I8" i="10"/>
  <c r="H9" i="10"/>
  <c r="P74" i="10"/>
  <c r="O75" i="10"/>
  <c r="K7" i="10"/>
  <c r="L43" i="10"/>
  <c r="L6" i="10"/>
  <c r="M6" i="10" s="1"/>
  <c r="P6" i="10" s="1"/>
  <c r="L44" i="10"/>
  <c r="L79" i="10"/>
  <c r="I7" i="10"/>
  <c r="T74" i="10" l="1"/>
  <c r="U74" i="10" s="1"/>
  <c r="Q74" i="10"/>
  <c r="N74" i="10"/>
  <c r="J7" i="10"/>
  <c r="J8" i="10"/>
  <c r="P75" i="10"/>
  <c r="O76" i="10"/>
  <c r="H45" i="10"/>
  <c r="H10" i="10"/>
  <c r="I9" i="10"/>
  <c r="O6" i="10"/>
  <c r="M42" i="10" s="1"/>
  <c r="P42" i="10" s="1"/>
  <c r="K8" i="10"/>
  <c r="L7" i="10"/>
  <c r="M7" i="10" s="1"/>
  <c r="K9" i="10" l="1"/>
  <c r="L8" i="10"/>
  <c r="T42" i="10"/>
  <c r="P41" i="10"/>
  <c r="Q41" i="10" s="1"/>
  <c r="N42" i="10"/>
  <c r="Q42" i="10"/>
  <c r="T75" i="10"/>
  <c r="U75" i="10" s="1"/>
  <c r="Q75" i="10"/>
  <c r="N75" i="10"/>
  <c r="J9" i="10"/>
  <c r="O7" i="10"/>
  <c r="H46" i="10"/>
  <c r="I10" i="10"/>
  <c r="H11" i="10"/>
  <c r="P7" i="10"/>
  <c r="N10" i="10"/>
  <c r="N11" i="10" s="1"/>
  <c r="L45" i="10"/>
  <c r="O77" i="10"/>
  <c r="P76" i="10"/>
  <c r="M43" i="10" l="1"/>
  <c r="P43" i="10" s="1"/>
  <c r="T76" i="10"/>
  <c r="U76" i="10" s="1"/>
  <c r="Q76" i="10"/>
  <c r="N76" i="10"/>
  <c r="L46" i="10"/>
  <c r="T41" i="10"/>
  <c r="U42" i="10"/>
  <c r="P77" i="10"/>
  <c r="O78" i="10"/>
  <c r="N43" i="10"/>
  <c r="T43" i="10"/>
  <c r="U43" i="10" s="1"/>
  <c r="Q43" i="10"/>
  <c r="N12" i="10"/>
  <c r="M8" i="10"/>
  <c r="P8" i="10" s="1"/>
  <c r="O8" i="10"/>
  <c r="M44" i="10" s="1"/>
  <c r="P44" i="10" s="1"/>
  <c r="H47" i="10"/>
  <c r="I11" i="10"/>
  <c r="H12" i="10"/>
  <c r="J10" i="10"/>
  <c r="K10" i="10"/>
  <c r="L9" i="10"/>
  <c r="M9" i="10" l="1"/>
  <c r="P9" i="10" s="1"/>
  <c r="O9" i="10"/>
  <c r="M45" i="10" s="1"/>
  <c r="P45" i="10" s="1"/>
  <c r="K11" i="10"/>
  <c r="L10" i="10"/>
  <c r="N13" i="10"/>
  <c r="N44" i="10"/>
  <c r="T44" i="10"/>
  <c r="U44" i="10" s="1"/>
  <c r="Q44" i="10"/>
  <c r="H13" i="10"/>
  <c r="I12" i="10"/>
  <c r="H48" i="10"/>
  <c r="T77" i="10"/>
  <c r="U77" i="10" s="1"/>
  <c r="Q77" i="10"/>
  <c r="N77" i="10"/>
  <c r="J11" i="10"/>
  <c r="L47" i="10"/>
  <c r="P78" i="10"/>
  <c r="O79" i="10"/>
  <c r="P79" i="10" s="1"/>
  <c r="N14" i="10" l="1"/>
  <c r="J12" i="10"/>
  <c r="K12" i="10"/>
  <c r="L11" i="10"/>
  <c r="T79" i="10"/>
  <c r="U79" i="10" s="1"/>
  <c r="Q79" i="10"/>
  <c r="N79" i="10"/>
  <c r="M10" i="10"/>
  <c r="P10" i="10" s="1"/>
  <c r="O10" i="10"/>
  <c r="H14" i="10"/>
  <c r="I13" i="10"/>
  <c r="H49" i="10"/>
  <c r="T45" i="10"/>
  <c r="U45" i="10" s="1"/>
  <c r="N45" i="10"/>
  <c r="Q45" i="10"/>
  <c r="T78" i="10"/>
  <c r="U78" i="10" s="1"/>
  <c r="Q78" i="10"/>
  <c r="N78" i="10"/>
  <c r="L48" i="10"/>
  <c r="M11" i="10" l="1"/>
  <c r="P11" i="10" s="1"/>
  <c r="O11" i="10"/>
  <c r="M47" i="10" s="1"/>
  <c r="P47" i="10" s="1"/>
  <c r="H50" i="10"/>
  <c r="H15" i="10"/>
  <c r="I14" i="10"/>
  <c r="M46" i="10"/>
  <c r="P46" i="10" s="1"/>
  <c r="L49" i="10"/>
  <c r="K13" i="10"/>
  <c r="L12" i="10"/>
  <c r="N15" i="10"/>
  <c r="J13" i="10"/>
  <c r="M12" i="10" l="1"/>
  <c r="P12" i="10" s="1"/>
  <c r="O12" i="10"/>
  <c r="L50" i="10"/>
  <c r="T46" i="10"/>
  <c r="U46" i="10" s="1"/>
  <c r="N46" i="10"/>
  <c r="Q46" i="10"/>
  <c r="N16" i="10"/>
  <c r="L13" i="10"/>
  <c r="K14" i="10"/>
  <c r="N47" i="10"/>
  <c r="T47" i="10"/>
  <c r="U47" i="10" s="1"/>
  <c r="Q47" i="10"/>
  <c r="J14" i="10"/>
  <c r="H16" i="10"/>
  <c r="I15" i="10"/>
  <c r="H51" i="10"/>
  <c r="M48" i="10" l="1"/>
  <c r="P48" i="10" s="1"/>
  <c r="L51" i="10"/>
  <c r="K15" i="10"/>
  <c r="L14" i="10"/>
  <c r="N48" i="10"/>
  <c r="T48" i="10"/>
  <c r="U48" i="10" s="1"/>
  <c r="Q48" i="10"/>
  <c r="M13" i="10"/>
  <c r="P13" i="10" s="1"/>
  <c r="O13" i="10"/>
  <c r="M49" i="10" s="1"/>
  <c r="P49" i="10" s="1"/>
  <c r="J15" i="10"/>
  <c r="H17" i="10"/>
  <c r="H52" i="10"/>
  <c r="I16" i="10"/>
  <c r="N17" i="10"/>
  <c r="N18" i="10" s="1"/>
  <c r="L15" i="10" l="1"/>
  <c r="K16" i="10"/>
  <c r="L52" i="10"/>
  <c r="T49" i="10"/>
  <c r="U49" i="10" s="1"/>
  <c r="N49" i="10"/>
  <c r="Q49" i="10"/>
  <c r="J16" i="10"/>
  <c r="H53" i="10"/>
  <c r="I17" i="10"/>
  <c r="H18" i="10"/>
  <c r="M14" i="10"/>
  <c r="P14" i="10" s="1"/>
  <c r="O14" i="10"/>
  <c r="M50" i="10" s="1"/>
  <c r="P50" i="10" s="1"/>
  <c r="T50" i="10" l="1"/>
  <c r="U50" i="10" s="1"/>
  <c r="N50" i="10"/>
  <c r="Q50" i="10"/>
  <c r="H54" i="10"/>
  <c r="H19" i="10"/>
  <c r="I18" i="10"/>
  <c r="M15" i="10"/>
  <c r="P15" i="10" s="1"/>
  <c r="O15" i="10"/>
  <c r="M51" i="10" s="1"/>
  <c r="P51" i="10" s="1"/>
  <c r="J17" i="10"/>
  <c r="L53" i="10"/>
  <c r="L16" i="10"/>
  <c r="K17" i="10"/>
  <c r="N19" i="10"/>
  <c r="N20" i="10" s="1"/>
  <c r="K18" i="10" l="1"/>
  <c r="L17" i="10"/>
  <c r="M16" i="10"/>
  <c r="P16" i="10" s="1"/>
  <c r="O16" i="10"/>
  <c r="M52" i="10" s="1"/>
  <c r="P52" i="10" s="1"/>
  <c r="N51" i="10"/>
  <c r="T51" i="10"/>
  <c r="U51" i="10" s="1"/>
  <c r="Q51" i="10"/>
  <c r="J18" i="10"/>
  <c r="H55" i="10"/>
  <c r="H20" i="10"/>
  <c r="I19" i="10"/>
  <c r="L54" i="10"/>
  <c r="J19" i="10" l="1"/>
  <c r="M17" i="10"/>
  <c r="P17" i="10" s="1"/>
  <c r="O17" i="10"/>
  <c r="M53" i="10" s="1"/>
  <c r="P53" i="10" s="1"/>
  <c r="H56" i="10"/>
  <c r="H21" i="10"/>
  <c r="I20" i="10"/>
  <c r="K19" i="10"/>
  <c r="L18" i="10"/>
  <c r="N52" i="10"/>
  <c r="T52" i="10"/>
  <c r="U52" i="10" s="1"/>
  <c r="Q52" i="10"/>
  <c r="L55" i="10"/>
  <c r="N21" i="10"/>
  <c r="N22" i="10" s="1"/>
  <c r="J20" i="10" l="1"/>
  <c r="L56" i="10"/>
  <c r="K20" i="10"/>
  <c r="L19" i="10"/>
  <c r="H22" i="10"/>
  <c r="I21" i="10"/>
  <c r="H57" i="10"/>
  <c r="N53" i="10"/>
  <c r="T53" i="10"/>
  <c r="U53" i="10" s="1"/>
  <c r="Q53" i="10"/>
  <c r="M18" i="10"/>
  <c r="P18" i="10" s="1"/>
  <c r="O18" i="10"/>
  <c r="M54" i="10" l="1"/>
  <c r="P54" i="10" s="1"/>
  <c r="H23" i="10"/>
  <c r="I22" i="10"/>
  <c r="H58" i="10"/>
  <c r="T54" i="10"/>
  <c r="U54" i="10" s="1"/>
  <c r="N54" i="10"/>
  <c r="Q54" i="10"/>
  <c r="M19" i="10"/>
  <c r="P19" i="10" s="1"/>
  <c r="O19" i="10"/>
  <c r="L20" i="10"/>
  <c r="K21" i="10"/>
  <c r="L57" i="10"/>
  <c r="J21" i="10"/>
  <c r="N23" i="10"/>
  <c r="N24" i="10" s="1"/>
  <c r="L58" i="10" l="1"/>
  <c r="J22" i="10"/>
  <c r="K22" i="10"/>
  <c r="L21" i="10"/>
  <c r="M20" i="10"/>
  <c r="P20" i="10" s="1"/>
  <c r="O20" i="10"/>
  <c r="M56" i="10" s="1"/>
  <c r="P56" i="10" s="1"/>
  <c r="M55" i="10"/>
  <c r="P55" i="10" s="1"/>
  <c r="H24" i="10"/>
  <c r="I23" i="10"/>
  <c r="L22" i="10" l="1"/>
  <c r="K23" i="10"/>
  <c r="I24" i="10"/>
  <c r="H25" i="10"/>
  <c r="M21" i="10"/>
  <c r="P21" i="10" s="1"/>
  <c r="O21" i="10"/>
  <c r="J23" i="10"/>
  <c r="T56" i="10"/>
  <c r="U56" i="10" s="1"/>
  <c r="N56" i="10"/>
  <c r="Q56" i="10"/>
  <c r="T55" i="10"/>
  <c r="U55" i="10" s="1"/>
  <c r="N55" i="10"/>
  <c r="Q55" i="10"/>
  <c r="N25" i="10"/>
  <c r="N26" i="10" s="1"/>
  <c r="M57" i="10" l="1"/>
  <c r="P57" i="10" s="1"/>
  <c r="T57" i="10" s="1"/>
  <c r="U57" i="10" s="1"/>
  <c r="J24" i="10"/>
  <c r="H26" i="10"/>
  <c r="I25" i="10"/>
  <c r="H61" i="10"/>
  <c r="L23" i="10"/>
  <c r="K24" i="10"/>
  <c r="M22" i="10"/>
  <c r="P22" i="10" s="1"/>
  <c r="O22" i="10"/>
  <c r="M58" i="10" l="1"/>
  <c r="P58" i="10" s="1"/>
  <c r="Q57" i="10"/>
  <c r="N57" i="10"/>
  <c r="N58" i="10"/>
  <c r="T58" i="10"/>
  <c r="U58" i="10" s="1"/>
  <c r="Q58" i="10"/>
  <c r="H62" i="10"/>
  <c r="H27" i="10"/>
  <c r="I26" i="10"/>
  <c r="K25" i="10"/>
  <c r="L24" i="10"/>
  <c r="J25" i="10"/>
  <c r="M23" i="10"/>
  <c r="P23" i="10" s="1"/>
  <c r="O23" i="10"/>
  <c r="M59" i="10" s="1"/>
  <c r="P59" i="10" s="1"/>
  <c r="L61" i="10"/>
  <c r="N27" i="10"/>
  <c r="N28" i="10" s="1"/>
  <c r="J26" i="10" l="1"/>
  <c r="H63" i="10"/>
  <c r="H28" i="10"/>
  <c r="I27" i="10"/>
  <c r="L62" i="10"/>
  <c r="K26" i="10"/>
  <c r="L25" i="10"/>
  <c r="Q59" i="10"/>
  <c r="N59" i="10"/>
  <c r="T59" i="10"/>
  <c r="U59" i="10" s="1"/>
  <c r="M24" i="10"/>
  <c r="P24" i="10" s="1"/>
  <c r="O24" i="10"/>
  <c r="M60" i="10" l="1"/>
  <c r="P60" i="10" s="1"/>
  <c r="J27" i="10"/>
  <c r="H64" i="10"/>
  <c r="H29" i="10"/>
  <c r="I28" i="10"/>
  <c r="L63" i="10"/>
  <c r="Q60" i="10"/>
  <c r="N60" i="10"/>
  <c r="T60" i="10"/>
  <c r="U60" i="10" s="1"/>
  <c r="M25" i="10"/>
  <c r="P25" i="10" s="1"/>
  <c r="O25" i="10"/>
  <c r="K27" i="10"/>
  <c r="L26" i="10"/>
  <c r="N29" i="10"/>
  <c r="N30" i="10" s="1"/>
  <c r="M61" i="10" l="1"/>
  <c r="P61" i="10" s="1"/>
  <c r="M26" i="10"/>
  <c r="P26" i="10" s="1"/>
  <c r="O26" i="10"/>
  <c r="J28" i="10"/>
  <c r="H30" i="10"/>
  <c r="H65" i="10"/>
  <c r="I29" i="10"/>
  <c r="L64" i="10"/>
  <c r="K28" i="10"/>
  <c r="L27" i="10"/>
  <c r="N61" i="10"/>
  <c r="T61" i="10"/>
  <c r="U61" i="10" s="1"/>
  <c r="Q61" i="10"/>
  <c r="M62" i="10" l="1"/>
  <c r="P62" i="10" s="1"/>
  <c r="J29" i="10"/>
  <c r="M27" i="10"/>
  <c r="P27" i="10" s="1"/>
  <c r="O27" i="10"/>
  <c r="M63" i="10" s="1"/>
  <c r="P63" i="10" s="1"/>
  <c r="N62" i="10"/>
  <c r="T62" i="10"/>
  <c r="U62" i="10" s="1"/>
  <c r="Q62" i="10"/>
  <c r="L65" i="10"/>
  <c r="H66" i="10"/>
  <c r="H31" i="10"/>
  <c r="I30" i="10"/>
  <c r="K29" i="10"/>
  <c r="L28" i="10"/>
  <c r="N31" i="10"/>
  <c r="N32" i="10" s="1"/>
  <c r="M28" i="10" l="1"/>
  <c r="P28" i="10" s="1"/>
  <c r="O28" i="10"/>
  <c r="J30" i="10"/>
  <c r="I31" i="10"/>
  <c r="H67" i="10"/>
  <c r="H32" i="10"/>
  <c r="N33" i="10"/>
  <c r="N63" i="10"/>
  <c r="T63" i="10"/>
  <c r="U63" i="10" s="1"/>
  <c r="Q63" i="10"/>
  <c r="L29" i="10"/>
  <c r="K30" i="10"/>
  <c r="L66" i="10"/>
  <c r="M64" i="10" l="1"/>
  <c r="P64" i="10" s="1"/>
  <c r="L67" i="10"/>
  <c r="J31" i="10"/>
  <c r="L30" i="10"/>
  <c r="K31" i="10"/>
  <c r="M29" i="10"/>
  <c r="P29" i="10" s="1"/>
  <c r="O29" i="10"/>
  <c r="T64" i="10"/>
  <c r="U64" i="10" s="1"/>
  <c r="N64" i="10"/>
  <c r="Q64" i="10"/>
  <c r="I32" i="10"/>
  <c r="H68" i="10"/>
  <c r="H33" i="10"/>
  <c r="K32" i="10" l="1"/>
  <c r="L31" i="10"/>
  <c r="M30" i="10"/>
  <c r="P30" i="10" s="1"/>
  <c r="O30" i="10"/>
  <c r="M66" i="10" s="1"/>
  <c r="P66" i="10" s="1"/>
  <c r="H69" i="10"/>
  <c r="H34" i="10"/>
  <c r="I33" i="10"/>
  <c r="L68" i="10"/>
  <c r="J32" i="10"/>
  <c r="M65" i="10"/>
  <c r="P65" i="10" s="1"/>
  <c r="N34" i="10"/>
  <c r="N35" i="10" s="1"/>
  <c r="J33" i="10" l="1"/>
  <c r="H70" i="10"/>
  <c r="H35" i="10"/>
  <c r="I34" i="10"/>
  <c r="T65" i="10"/>
  <c r="U65" i="10" s="1"/>
  <c r="N65" i="10"/>
  <c r="Q65" i="10"/>
  <c r="L69" i="10"/>
  <c r="M31" i="10"/>
  <c r="P31" i="10" s="1"/>
  <c r="O31" i="10"/>
  <c r="N36" i="10"/>
  <c r="T66" i="10"/>
  <c r="U66" i="10" s="1"/>
  <c r="N66" i="10"/>
  <c r="Q66" i="10"/>
  <c r="K33" i="10"/>
  <c r="L32" i="10"/>
  <c r="M67" i="10" l="1"/>
  <c r="P67" i="10" s="1"/>
  <c r="J34" i="10"/>
  <c r="H36" i="10"/>
  <c r="I35" i="10"/>
  <c r="H71" i="10"/>
  <c r="L70" i="10"/>
  <c r="T67" i="10"/>
  <c r="U67" i="10" s="1"/>
  <c r="N67" i="10"/>
  <c r="Q67" i="10"/>
  <c r="M32" i="10"/>
  <c r="P32" i="10" s="1"/>
  <c r="O32" i="10"/>
  <c r="M68" i="10" s="1"/>
  <c r="P68" i="10" s="1"/>
  <c r="K34" i="10"/>
  <c r="L33" i="10"/>
  <c r="N68" i="10" l="1"/>
  <c r="T68" i="10"/>
  <c r="U68" i="10" s="1"/>
  <c r="Q68" i="10"/>
  <c r="K35" i="10"/>
  <c r="L34" i="10"/>
  <c r="J35" i="10"/>
  <c r="H37" i="10"/>
  <c r="I36" i="10"/>
  <c r="H72" i="10"/>
  <c r="M33" i="10"/>
  <c r="P33" i="10" s="1"/>
  <c r="O33" i="10"/>
  <c r="L71" i="10"/>
  <c r="N37" i="10"/>
  <c r="M69" i="10" l="1"/>
  <c r="P69" i="10" s="1"/>
  <c r="I37" i="10"/>
  <c r="H73" i="10"/>
  <c r="M34" i="10"/>
  <c r="P34" i="10" s="1"/>
  <c r="O34" i="10"/>
  <c r="M70" i="10" s="1"/>
  <c r="P70" i="10" s="1"/>
  <c r="K36" i="10"/>
  <c r="L35" i="10"/>
  <c r="N69" i="10"/>
  <c r="T69" i="10"/>
  <c r="U69" i="10" s="1"/>
  <c r="Q69" i="10"/>
  <c r="L72" i="10"/>
  <c r="J36" i="10"/>
  <c r="M35" i="10" l="1"/>
  <c r="P35" i="10" s="1"/>
  <c r="O35" i="10"/>
  <c r="M71" i="10" s="1"/>
  <c r="P71" i="10" s="1"/>
  <c r="N70" i="10"/>
  <c r="T70" i="10"/>
  <c r="U70" i="10" s="1"/>
  <c r="Q70" i="10"/>
  <c r="L36" i="10"/>
  <c r="K37" i="10"/>
  <c r="L37" i="10" s="1"/>
  <c r="M37" i="10" s="1"/>
  <c r="L73" i="10"/>
  <c r="J37" i="10"/>
  <c r="P37" i="10" l="1"/>
  <c r="O37" i="10"/>
  <c r="M73" i="10" s="1"/>
  <c r="P73" i="10" s="1"/>
  <c r="M36" i="10"/>
  <c r="P36" i="10" s="1"/>
  <c r="O36" i="10"/>
  <c r="M72" i="10" s="1"/>
  <c r="P72" i="10" s="1"/>
  <c r="N71" i="10"/>
  <c r="T71" i="10"/>
  <c r="U71" i="10" s="1"/>
  <c r="Q71" i="10"/>
  <c r="T72" i="10" l="1"/>
  <c r="U72" i="10" s="1"/>
  <c r="N72" i="10"/>
  <c r="Q72" i="10"/>
  <c r="T73" i="10"/>
  <c r="U73" i="10" s="1"/>
  <c r="N73" i="10"/>
  <c r="Q73" i="10"/>
  <c r="B46" i="1" l="1"/>
  <c r="E42" i="1"/>
  <c r="E43" i="1" s="1"/>
  <c r="E34" i="1"/>
  <c r="E35" i="1" s="1"/>
  <c r="N19" i="8" l="1"/>
  <c r="M19" i="8"/>
  <c r="N18" i="8"/>
  <c r="M18" i="8"/>
  <c r="N15" i="8"/>
  <c r="M15" i="8"/>
  <c r="N14" i="8"/>
  <c r="M14" i="8"/>
  <c r="J8" i="8"/>
  <c r="J7" i="8"/>
  <c r="I4" i="8"/>
  <c r="I3" i="8"/>
  <c r="B52" i="6"/>
  <c r="C52" i="6" s="1"/>
  <c r="C51" i="6"/>
  <c r="C50" i="6"/>
  <c r="C49" i="6"/>
  <c r="C48" i="6"/>
  <c r="C47" i="6"/>
  <c r="C46" i="6"/>
  <c r="C45" i="6"/>
  <c r="C44" i="6"/>
  <c r="C43" i="6"/>
  <c r="C42" i="6"/>
  <c r="C38" i="6"/>
  <c r="C37" i="6"/>
  <c r="C36" i="6"/>
  <c r="C35" i="6"/>
  <c r="C34" i="6"/>
  <c r="C33" i="6"/>
  <c r="C32" i="6"/>
  <c r="C31" i="6"/>
  <c r="C30" i="6"/>
  <c r="C29" i="6"/>
  <c r="B39" i="6"/>
  <c r="C39" i="6" s="1"/>
  <c r="E127" i="1"/>
  <c r="E114" i="1"/>
  <c r="N20" i="8" l="1"/>
  <c r="M16" i="8"/>
  <c r="M17" i="8" s="1"/>
  <c r="N16" i="8"/>
  <c r="F12" i="8" s="1"/>
  <c r="N17" i="8"/>
  <c r="F11" i="8"/>
  <c r="F13" i="8"/>
  <c r="M20" i="8"/>
  <c r="E11" i="8" s="1"/>
  <c r="B128" i="1"/>
  <c r="B115" i="1"/>
  <c r="E12" i="8" l="1"/>
  <c r="E13" i="8"/>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E18" i="3"/>
  <c r="D20" i="3"/>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B105" i="1" l="1"/>
  <c r="B96" i="1"/>
  <c r="C64" i="1" l="1"/>
  <c r="C52" i="1"/>
  <c r="B89" i="1"/>
  <c r="B82" i="1"/>
  <c r="C42" i="1"/>
  <c r="C34" i="1"/>
  <c r="B34" i="1"/>
  <c r="B42" i="1"/>
  <c r="G54" i="3" l="1"/>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H31" i="3"/>
  <c r="H30" i="3"/>
  <c r="H29" i="3"/>
  <c r="H28" i="3"/>
  <c r="H26" i="3"/>
  <c r="H25" i="3"/>
  <c r="H24" i="3"/>
  <c r="H23" i="3"/>
  <c r="H22" i="3"/>
  <c r="H21" i="3"/>
  <c r="H20" i="3"/>
  <c r="J19" i="3"/>
  <c r="J20" i="3" l="1"/>
  <c r="K20" i="3" s="1"/>
  <c r="J18" i="3"/>
  <c r="K18" i="3" s="1"/>
  <c r="K19" i="3"/>
  <c r="H19" i="3"/>
  <c r="H18" i="3" s="1"/>
  <c r="H27" i="3"/>
  <c r="J21" i="3"/>
  <c r="K21" i="3" s="1"/>
  <c r="J22" i="3" l="1"/>
  <c r="K22" i="3" s="1"/>
  <c r="J23" i="3" l="1"/>
  <c r="K23" i="3" s="1"/>
  <c r="J24" i="3" l="1"/>
  <c r="K24" i="3" s="1"/>
  <c r="J25" i="3" l="1"/>
  <c r="K25" i="3" s="1"/>
  <c r="J26" i="3" l="1"/>
  <c r="K26" i="3" s="1"/>
  <c r="J27" i="3" l="1"/>
  <c r="K27" i="3" s="1"/>
  <c r="J28" i="3" l="1"/>
  <c r="K28" i="3" s="1"/>
  <c r="J29" i="3" l="1"/>
  <c r="K29" i="3" s="1"/>
  <c r="J30" i="3" l="1"/>
  <c r="K30" i="3" s="1"/>
  <c r="J31" i="3" l="1"/>
  <c r="K31" i="3" s="1"/>
  <c r="I32" i="3" l="1"/>
  <c r="J32" i="3" s="1"/>
  <c r="K32" i="3" s="1"/>
  <c r="I33" i="3" l="1"/>
  <c r="J33" i="3" s="1"/>
  <c r="K33" i="3" s="1"/>
  <c r="I34" i="3" l="1"/>
  <c r="J34" i="3" s="1"/>
  <c r="K34" i="3" s="1"/>
  <c r="I35" i="3" l="1"/>
  <c r="J35" i="3" s="1"/>
  <c r="K35" i="3" s="1"/>
  <c r="I36" i="3" l="1"/>
  <c r="J36" i="3" s="1"/>
  <c r="K36" i="3" s="1"/>
  <c r="I37" i="3" l="1"/>
  <c r="J37" i="3" s="1"/>
  <c r="K37" i="3" s="1"/>
  <c r="I38" i="3" l="1"/>
  <c r="J38" i="3" s="1"/>
  <c r="K38" i="3" s="1"/>
  <c r="I39" i="3" l="1"/>
  <c r="J39" i="3" s="1"/>
  <c r="K39" i="3" s="1"/>
  <c r="I40" i="3" l="1"/>
  <c r="J40" i="3" s="1"/>
  <c r="K40" i="3" s="1"/>
  <c r="I41" i="3" l="1"/>
  <c r="J41" i="3" s="1"/>
  <c r="K41" i="3" s="1"/>
  <c r="I42" i="3" l="1"/>
  <c r="J42" i="3" s="1"/>
  <c r="K42" i="3" s="1"/>
  <c r="I43" i="3" l="1"/>
  <c r="J43" i="3" s="1"/>
  <c r="K43" i="3" s="1"/>
  <c r="I44" i="3" l="1"/>
  <c r="J44" i="3" s="1"/>
  <c r="K44" i="3" s="1"/>
  <c r="I45" i="3" l="1"/>
  <c r="J45" i="3" s="1"/>
  <c r="K45" i="3" s="1"/>
  <c r="I46" i="3" l="1"/>
  <c r="J46" i="3" s="1"/>
  <c r="K46" i="3" s="1"/>
  <c r="I47" i="3" l="1"/>
  <c r="J47" i="3" s="1"/>
  <c r="K47" i="3" s="1"/>
  <c r="I48" i="3" l="1"/>
  <c r="J48" i="3" s="1"/>
  <c r="K48" i="3" s="1"/>
  <c r="I49" i="3" l="1"/>
  <c r="J49" i="3" s="1"/>
  <c r="K49" i="3" s="1"/>
  <c r="I50" i="3" l="1"/>
  <c r="J50" i="3" s="1"/>
  <c r="K50" i="3" s="1"/>
  <c r="I51" i="3" l="1"/>
  <c r="J51" i="3" s="1"/>
  <c r="K51" i="3" s="1"/>
  <c r="I52" i="3" l="1"/>
  <c r="J52" i="3" s="1"/>
  <c r="K52" i="3" s="1"/>
  <c r="I53" i="3" l="1"/>
  <c r="J53" i="3" s="1"/>
  <c r="K53" i="3" s="1"/>
  <c r="I54" i="3" l="1"/>
  <c r="J54" i="3" s="1"/>
  <c r="K54" i="3" s="1"/>
  <c r="K107" i="1" l="1"/>
  <c r="L107" i="1" s="1"/>
  <c r="K106" i="1"/>
  <c r="J106" i="1"/>
  <c r="K104" i="1"/>
  <c r="L104" i="1" s="1"/>
  <c r="K103" i="1"/>
  <c r="J103" i="1"/>
  <c r="J97" i="1"/>
  <c r="J94" i="1"/>
  <c r="K98" i="1"/>
  <c r="L98" i="1" s="1"/>
  <c r="K97" i="1"/>
  <c r="K95" i="1"/>
  <c r="L95" i="1" s="1"/>
  <c r="K94" i="1"/>
  <c r="L103" i="1" l="1"/>
  <c r="L97" i="1"/>
  <c r="L106" i="1"/>
  <c r="L94" i="1"/>
  <c r="B58" i="1" l="1"/>
  <c r="B64" i="1"/>
  <c r="E62" i="1"/>
  <c r="E63" i="1" s="1"/>
  <c r="B59" i="1"/>
  <c r="E64" i="1" l="1"/>
  <c r="E66" i="1" s="1"/>
  <c r="E67" i="1" s="1"/>
  <c r="B52" i="1"/>
  <c r="B47" i="1" l="1"/>
  <c r="E50" i="1"/>
  <c r="E51" i="1" s="1"/>
  <c r="E52" i="1" l="1"/>
  <c r="E54" i="1" s="1"/>
  <c r="E55" i="1" s="1"/>
  <c r="E17" i="1"/>
  <c r="E18" i="1" s="1"/>
  <c r="E26" i="1" s="1"/>
  <c r="E73" i="1" l="1"/>
  <c r="E126" i="1"/>
  <c r="E25" i="1"/>
  <c r="E113" i="1" l="1"/>
  <c r="E133" i="1"/>
  <c r="E128" i="1"/>
  <c r="E27" i="1"/>
  <c r="E74" i="1" s="1"/>
  <c r="E72" i="1"/>
  <c r="E130" i="1" l="1"/>
  <c r="E134" i="1" s="1"/>
  <c r="E131" i="1" s="1"/>
  <c r="E132" i="1"/>
  <c r="E120" i="1"/>
  <c r="E115" i="1"/>
  <c r="E70" i="1"/>
  <c r="E78" i="1"/>
  <c r="E92" i="1" s="1"/>
  <c r="E117" i="1" l="1"/>
  <c r="E121" i="1" s="1"/>
  <c r="E118" i="1" s="1"/>
  <c r="E119" i="1"/>
  <c r="G94" i="1"/>
  <c r="G98" i="1"/>
  <c r="G95" i="1"/>
  <c r="G97" i="1"/>
  <c r="E82" i="1"/>
  <c r="E80" i="1"/>
  <c r="E79" i="1"/>
  <c r="E81" i="1"/>
  <c r="L79" i="1" l="1"/>
  <c r="K79" i="1"/>
  <c r="I79" i="1"/>
  <c r="J79" i="1"/>
  <c r="I81" i="1"/>
  <c r="L81" i="1"/>
  <c r="K81" i="1"/>
  <c r="J81" i="1"/>
  <c r="J80" i="1"/>
  <c r="I80" i="1"/>
  <c r="K80" i="1"/>
  <c r="L80" i="1"/>
  <c r="J82" i="1"/>
  <c r="L82" i="1"/>
  <c r="I82" i="1"/>
  <c r="K82" i="1"/>
  <c r="E71" i="1" l="1"/>
  <c r="E85" i="1"/>
  <c r="E86" i="1" s="1"/>
  <c r="E87" i="1" l="1"/>
  <c r="K87" i="1" s="1"/>
  <c r="E101" i="1"/>
  <c r="E89" i="1"/>
  <c r="L89" i="1" s="1"/>
  <c r="L86" i="1"/>
  <c r="E88" i="1"/>
  <c r="I88" i="1" s="1"/>
  <c r="J87" i="1" l="1"/>
  <c r="I87" i="1"/>
  <c r="L87" i="1"/>
  <c r="K88" i="1"/>
  <c r="J88" i="1"/>
  <c r="L88" i="1"/>
  <c r="K86" i="1"/>
  <c r="I86" i="1"/>
  <c r="J86" i="1"/>
  <c r="J89" i="1"/>
  <c r="I89" i="1"/>
  <c r="K89" i="1"/>
  <c r="G107" i="1"/>
  <c r="G104" i="1"/>
  <c r="G103" i="1"/>
  <c r="G106" i="1"/>
</calcChain>
</file>

<file path=xl/sharedStrings.xml><?xml version="1.0" encoding="utf-8"?>
<sst xmlns="http://schemas.openxmlformats.org/spreadsheetml/2006/main" count="772" uniqueCount="411">
  <si>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</si>
  <si>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</si>
  <si>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</si>
  <si>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</si>
  <si>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</si>
  <si>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</si>
  <si>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</si>
  <si>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</si>
  <si>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</si>
  <si>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</si>
  <si>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</si>
  <si>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</si>
  <si>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</si>
  <si>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</si>
  <si>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</si>
  <si>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</si>
  <si>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</si>
  <si>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</si>
  <si>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</si>
  <si>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</si>
  <si>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</si>
  <si>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</si>
  <si>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</si>
  <si>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</si>
  <si>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</si>
  <si>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</si>
  <si>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</si>
  <si>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</si>
  <si>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</si>
  <si>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</si>
  <si>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</si>
  <si>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</si>
  <si>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</si>
  <si>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</si>
  <si>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</si>
  <si>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</si>
  <si>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</si>
  <si>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</si>
  <si>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</si>
  <si>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</si>
  <si>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</si>
  <si>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</si>
  <si>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</si>
  <si>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</si>
  <si>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</si>
  <si>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</si>
  <si>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</si>
  <si>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</si>
  <si>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</si>
  <si>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</si>
  <si>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</si>
  <si>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</si>
  <si>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</si>
  <si>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</si>
  <si>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</si>
  <si>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</si>
  <si>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</si>
  <si>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</si>
  <si>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</si>
  <si>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</si>
  <si>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</si>
  <si>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</si>
  <si>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</si>
  <si>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</si>
  <si>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</si>
  <si>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</si>
  <si>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</si>
  <si>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</si>
  <si>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</si>
  <si>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</si>
  <si>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</si>
  <si>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</si>
  <si>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</si>
  <si>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</si>
  <si>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</si>
  <si>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</si>
  <si>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</si>
  <si>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</si>
  <si>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</si>
  <si>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</si>
  <si>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</si>
  <si>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</si>
  <si>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</si>
  <si>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</si>
  <si>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</si>
  <si>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</si>
  <si>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</si>
  <si>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</si>
  <si>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</si>
  <si>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</si>
  <si>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</si>
  <si>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</si>
  <si>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</si>
  <si>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</si>
  <si>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</si>
  <si>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</si>
  <si>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</si>
  <si>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</si>
  <si>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</si>
  <si>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</si>
  <si>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</si>
  <si>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</si>
  <si>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</si>
  <si>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</si>
  <si>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</si>
  <si>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</si>
  <si>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</si>
  <si>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</si>
  <si>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</si>
  <si>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</si>
  <si>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</si>
  <si>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</si>
  <si>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</si>
  <si>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</si>
  <si>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</si>
  <si>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</si>
  <si>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</si>
  <si>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</si>
  <si>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</si>
  <si>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</si>
  <si>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</si>
  <si>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</si>
  <si>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</si>
  <si>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</si>
  <si>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</si>
  <si>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</si>
  <si>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</si>
  <si>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</si>
  <si>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</si>
  <si>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</si>
  <si>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</si>
  <si>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</si>
  <si>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</si>
  <si>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</si>
  <si>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</si>
  <si>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</si>
  <si>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</si>
  <si>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</si>
  <si>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</si>
  <si>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</si>
  <si>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</si>
  <si>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</si>
  <si>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</si>
  <si>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</si>
  <si>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</si>
  <si>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</si>
  <si>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</si>
  <si>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</si>
  <si>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</si>
  <si>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</si>
  <si>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</si>
  <si>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</si>
  <si>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</si>
  <si>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</si>
  <si>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</si>
  <si>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</si>
  <si>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</si>
  <si>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</si>
  <si>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</si>
  <si>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</si>
  <si>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</si>
  <si>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</si>
  <si>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</si>
  <si>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</si>
  <si>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</si>
  <si>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</si>
  <si>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</si>
  <si>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</si>
  <si>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</si>
  <si>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</si>
  <si>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</si>
  <si>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</si>
  <si>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</si>
  <si>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</si>
  <si>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</si>
  <si>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</si>
  <si>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</si>
  <si>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</si>
  <si>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</si>
  <si>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</si>
  <si>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</si>
  <si>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</si>
  <si>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</si>
  <si>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</si>
  <si>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</si>
  <si>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</si>
  <si>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</si>
  <si>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</si>
  <si>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</si>
  <si>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</si>
  <si>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</si>
  <si>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</si>
  <si>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</si>
  <si>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</si>
  <si>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</si>
  <si>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</si>
  <si>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</si>
  <si>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</si>
  <si>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</si>
  <si>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</si>
  <si>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</si>
  <si>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</si>
  <si>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</si>
  <si>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</si>
  <si>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</si>
  <si>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</si>
  <si>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</si>
  <si>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</si>
  <si>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</si>
  <si>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</si>
  <si>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</si>
  <si>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</si>
  <si>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</si>
  <si>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</si>
  <si>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</si>
  <si>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</si>
  <si>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</si>
  <si>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</si>
  <si>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</si>
  <si>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</si>
  <si>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</si>
  <si>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</si>
  <si>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</si>
  <si>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</si>
  <si>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</si>
  <si>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</si>
  <si>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</si>
  <si>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</si>
  <si>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</si>
  <si>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</si>
  <si>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</si>
  <si>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</si>
  <si>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</si>
  <si>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</si>
  <si>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</si>
  <si>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</si>
  <si>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</si>
  <si>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</si>
  <si>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</si>
  <si>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</si>
  <si>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</si>
  <si>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</si>
  <si>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</si>
  <si>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</si>
  <si>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</si>
  <si>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</si>
  <si>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</si>
  <si>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</si>
  <si>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</si>
  <si>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</si>
  <si>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</si>
  <si>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</si>
  <si>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</si>
  <si>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</si>
  <si>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</si>
  <si>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</si>
  <si>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</si>
  <si>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</si>
  <si>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</si>
  <si>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</si>
  <si>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</si>
  <si>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</si>
  <si>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</si>
  <si>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</si>
  <si>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</si>
  <si>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</si>
  <si>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</si>
  <si>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</si>
  <si>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</si>
  <si>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</si>
  <si>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</si>
  <si>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</si>
  <si>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</si>
  <si>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</si>
  <si>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</si>
  <si>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</si>
  <si>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</si>
  <si>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</si>
  <si>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</si>
  <si>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</si>
  <si>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</si>
  <si>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</si>
  <si>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</si>
  <si>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</si>
  <si>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</si>
  <si>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</si>
  <si>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</si>
  <si>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</si>
  <si>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</si>
  <si>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</si>
  <si>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</si>
  <si>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</si>
  <si>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</si>
  <si>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</si>
  <si>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</si>
  <si>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</si>
  <si>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</si>
  <si>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</si>
  <si>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</si>
  <si>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</si>
  <si>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</si>
  <si>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</si>
  <si>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</si>
  <si>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</si>
  <si>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</si>
  <si>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</si>
  <si>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</si>
  <si>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</si>
  <si>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</si>
  <si>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</si>
  <si>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</si>
  <si>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</si>
  <si>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</si>
  <si>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</si>
  <si>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</si>
  <si>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</si>
  <si>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</si>
  <si>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</si>
  <si>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</si>
  <si>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</si>
  <si>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</si>
  <si>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</si>
  <si>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</si>
  <si>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</si>
  <si>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</si>
  <si>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</si>
  <si>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</si>
  <si>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</si>
  <si>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</si>
  <si>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</si>
  <si>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</si>
  <si>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</si>
  <si>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</si>
  <si>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</si>
  <si>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</si>
  <si>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</si>
  <si>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</si>
  <si>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</si>
  <si>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</si>
  <si>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</si>
  <si>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</si>
  <si>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</si>
  <si>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</si>
  <si>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</si>
  <si>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</si>
  <si>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</si>
  <si>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</si>
  <si>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</si>
  <si>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</si>
  <si>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</si>
  <si>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</si>
  <si>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</si>
  <si>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</si>
  <si>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</si>
  <si>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</si>
  <si>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</si>
  <si>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</si>
  <si>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</si>
  <si>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</si>
  <si>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</si>
  <si>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</si>
  <si>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</si>
  <si>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</si>
  <si>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</si>
  <si>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</si>
  <si>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</si>
  <si>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</si>
  <si>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</si>
  <si>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</si>
  <si>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</si>
  <si>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</si>
  <si>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</si>
  <si>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</si>
  <si>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</si>
  <si>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</si>
  <si>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</si>
  <si>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</si>
  <si>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</si>
  <si>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</si>
  <si>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</si>
  <si>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</si>
  <si>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</si>
  <si>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</si>
  <si>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</si>
  <si>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</si>
  <si>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</si>
  <si>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</si>
  <si>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</si>
  <si>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</si>
  <si>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</si>
  <si>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</si>
  <si>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</si>
  <si>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</si>
  <si>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</si>
  <si>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</si>
  <si>
    <t>TRMotorsport  C1</t>
  </si>
  <si>
    <t>Hankook  Ventus R-S4</t>
  </si>
  <si>
    <t>1500|111</t>
  </si>
  <si>
    <t>2000|122</t>
  </si>
  <si>
    <t>2500|130</t>
  </si>
  <si>
    <t>3000|136</t>
  </si>
  <si>
    <t>3500|134</t>
  </si>
  <si>
    <t>4000|136</t>
  </si>
  <si>
    <t>4500|140</t>
  </si>
  <si>
    <t>5000|138</t>
  </si>
  <si>
    <t>5500|136</t>
  </si>
  <si>
    <t>6000|119</t>
  </si>
  <si>
    <t>6500|110</t>
  </si>
  <si>
    <t>0|38</t>
  </si>
  <si>
    <t>500|38</t>
  </si>
  <si>
    <t>1000|76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</si>
</sst>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4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165" fontId="0" fillId="31" borderId="0" xfId="0" applyNumberFormat="1" applyFill="1"/>
    <xf numFmtId="0" fontId="7" fillId="31" borderId="0" xfId="0" applyFont="1" applyFill="1" applyAlignment="1">
      <alignment vertical="center"/>
    </xf>
    <xf numFmtId="0" fontId="0" fillId="31" borderId="0" xfId="0" applyFill="1" applyAlignment="1">
      <alignment vertical="center"/>
    </xf>
    <xf numFmtId="0" fontId="0" fillId="31" borderId="0" xfId="0" applyFill="1" applyAlignment="1">
      <alignment horizontal="center"/>
    </xf>
    <xf numFmtId="0" fontId="28" fillId="31" borderId="0" xfId="0" applyFont="1" applyFill="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Alignment="1">
      <alignment horizontal="right"/>
    </xf>
    <xf numFmtId="0" fontId="5" fillId="31" borderId="0" xfId="0" applyFont="1" applyFill="1"/>
    <xf numFmtId="2" fontId="26" fillId="31" borderId="0" xfId="0" applyNumberFormat="1" applyFont="1" applyFill="1"/>
    <xf numFmtId="0" fontId="0" fillId="33" borderId="0" xfId="0" applyFill="1" applyAlignment="1">
      <alignment horizontal="center"/>
    </xf>
    <xf numFmtId="0" fontId="5" fillId="31" borderId="0" xfId="0" applyFont="1" applyFill="1" applyAlignment="1">
      <alignment horizontal="center"/>
    </xf>
    <xf numFmtId="20" fontId="0" fillId="31" borderId="0" xfId="0" applyNumberFormat="1" applyFill="1"/>
    <xf numFmtId="0" fontId="0" fillId="31" borderId="8" xfId="0" applyFill="1" applyBorder="1"/>
    <xf numFmtId="0" fontId="2" fillId="31" borderId="0" xfId="0" applyFont="1" applyFill="1" applyAlignment="1">
      <alignment horizontal="center"/>
    </xf>
    <xf numFmtId="166" fontId="0" fillId="31" borderId="0" xfId="0" applyNumberFormat="1" applyFill="1"/>
    <xf numFmtId="2" fontId="0" fillId="31" borderId="0" xfId="0" applyNumberFormat="1" applyFill="1" applyAlignment="1">
      <alignment horizontal="center"/>
    </xf>
    <xf numFmtId="1" fontId="0" fillId="31" borderId="0" xfId="0" applyNumberFormat="1" applyFill="1" applyAlignment="1">
      <alignment horizontal="center"/>
    </xf>
    <xf numFmtId="3" fontId="0" fillId="31" borderId="0" xfId="0" applyNumberFormat="1" applyFill="1" applyAlignment="1">
      <alignment horizontal="center"/>
    </xf>
    <xf numFmtId="0" fontId="0" fillId="33" borderId="23"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9" fontId="1" fillId="3" borderId="1" xfId="2" applyFont="1" applyFill="1"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Border="1" applyAlignment="1">
      <alignment horizontal="center" vertical="center"/>
    </xf>
    <xf numFmtId="0" fontId="33" fillId="31" borderId="0" xfId="49" applyFont="1" applyFill="1" applyAlignment="1">
      <alignment horizontal="center"/>
    </xf>
    <xf numFmtId="0" fontId="2" fillId="3" borderId="0" xfId="0" applyFont="1" applyFill="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43"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Font="1" applyFill="1" applyBorder="1" applyAlignment="1">
      <alignment horizontal="right"/>
    </xf>
    <xf numFmtId="9" fontId="0" fillId="29" borderId="1" xfId="2"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Font="1" applyFill="1" applyBorder="1" applyAlignment="1">
      <alignment horizontal="center"/>
    </xf>
    <xf numFmtId="9" fontId="0" fillId="0" borderId="1" xfId="2" applyFont="1" applyFill="1" applyBorder="1" applyAlignment="1">
      <alignment horizontal="center"/>
    </xf>
    <xf numFmtId="9" fontId="0" fillId="29" borderId="1" xfId="2"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3" fillId="31" borderId="0" xfId="0" applyFont="1" applyFill="1" applyAlignment="1">
      <alignment horizontal="center"/>
    </xf>
    <xf numFmtId="165" fontId="35" fillId="31" borderId="0" xfId="0" applyNumberFormat="1" applyFont="1" applyFill="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Alignment="1">
      <alignment horizontal="center"/>
    </xf>
    <xf numFmtId="0" fontId="0" fillId="33" borderId="0" xfId="0" applyFill="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164" fontId="0" fillId="0" borderId="1" xfId="1" applyFont="1" applyBorder="1" applyAlignment="1">
      <alignment horizontal="righ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33" borderId="1" xfId="0" applyNumberForma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164" fontId="6" fillId="6" borderId="1" xfId="1" applyFont="1" applyFill="1" applyBorder="1" applyAlignment="1">
      <alignment horizontal="right" vertical="center"/>
    </xf>
    <xf numFmtId="164"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Alignment="1">
      <alignment horizontal="left" vertical="center"/>
    </xf>
    <xf numFmtId="164"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xf numFmtId="0" fontId="26" fillId="31" borderId="0" xfId="0" applyFont="1" applyFill="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Alignment="1">
      <alignment horizontal="left"/>
    </xf>
    <xf numFmtId="0" fontId="0" fillId="31" borderId="0" xfId="0" applyFill="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2" xfId="0" applyFont="1" applyBorder="1" applyAlignment="1">
      <alignment horizontal="left" vertical="center"/>
    </xf>
    <xf numFmtId="166" fontId="0" fillId="2" borderId="1" xfId="1" quotePrefix="1" applyNumberFormat="1" applyFont="1" applyFill="1" applyBorder="1" applyAlignment="1">
      <alignment horizontal="center" vertical="center"/>
    </xf>
  </cellXfs>
  <cellStyles count="50">
    <cellStyle name="20 % - Aksentti1" xfId="4" xr:uid="{00000000-0005-0000-0000-000000000000}"/>
    <cellStyle name="20 % - Aksentti2" xfId="5" xr:uid="{00000000-0005-0000-0000-000001000000}"/>
    <cellStyle name="20 % - Aksentti3" xfId="6" xr:uid="{00000000-0005-0000-0000-000002000000}"/>
    <cellStyle name="20 % - Aksentti4" xfId="7" xr:uid="{00000000-0005-0000-0000-000003000000}"/>
    <cellStyle name="20 % - Aksentti5" xfId="8" xr:uid="{00000000-0005-0000-0000-000004000000}"/>
    <cellStyle name="20 % - Aksentti6" xfId="9" xr:uid="{00000000-0005-0000-0000-000005000000}"/>
    <cellStyle name="40 % - Aksentti1" xfId="10" xr:uid="{00000000-0005-0000-0000-000006000000}"/>
    <cellStyle name="40 % - Aksentti2" xfId="11" xr:uid="{00000000-0005-0000-0000-000007000000}"/>
    <cellStyle name="40 % - Aksentti3" xfId="12" xr:uid="{00000000-0005-0000-0000-000008000000}"/>
    <cellStyle name="40 % - Aksentti4" xfId="13" xr:uid="{00000000-0005-0000-0000-000009000000}"/>
    <cellStyle name="40 % - Aksentti5" xfId="14" xr:uid="{00000000-0005-0000-0000-00000A000000}"/>
    <cellStyle name="40 % - Aksentti6" xfId="15" xr:uid="{00000000-0005-0000-0000-00000B000000}"/>
    <cellStyle name="60 % - Aksentti1" xfId="16" xr:uid="{00000000-0005-0000-0000-00000C000000}"/>
    <cellStyle name="60 % - Aksentti2" xfId="17" xr:uid="{00000000-0005-0000-0000-00000D000000}"/>
    <cellStyle name="60 % - Aksentti3" xfId="18" xr:uid="{00000000-0005-0000-0000-00000E000000}"/>
    <cellStyle name="60 % - Aksentti4" xfId="19" xr:uid="{00000000-0005-0000-0000-00000F000000}"/>
    <cellStyle name="60 % - Aksentti5" xfId="20" xr:uid="{00000000-0005-0000-0000-000010000000}"/>
    <cellStyle name="60 % - Aksentti6" xfId="21" xr:uid="{00000000-0005-0000-0000-000011000000}"/>
    <cellStyle name="Aksentti1" xfId="22" xr:uid="{00000000-0005-0000-0000-000012000000}"/>
    <cellStyle name="Aksentti2" xfId="23" xr:uid="{00000000-0005-0000-0000-000013000000}"/>
    <cellStyle name="Aksentti3" xfId="24" xr:uid="{00000000-0005-0000-0000-000014000000}"/>
    <cellStyle name="Aksentti4" xfId="25" xr:uid="{00000000-0005-0000-0000-000015000000}"/>
    <cellStyle name="Aksentti5" xfId="26" xr:uid="{00000000-0005-0000-0000-000016000000}"/>
    <cellStyle name="Aksentti6" xfId="27" xr:uid="{00000000-0005-0000-0000-000017000000}"/>
    <cellStyle name="Comma" xfId="1" builtinId="3"/>
    <cellStyle name="Huomautus" xfId="28" xr:uid="{00000000-0005-0000-0000-000018000000}"/>
    <cellStyle name="Huono" xfId="29" xr:uid="{00000000-0005-0000-0000-000019000000}"/>
    <cellStyle name="Hyperlink" xfId="49" builtinId="8"/>
    <cellStyle name="Hyvä" xfId="30" xr:uid="{00000000-0005-0000-0000-00001B000000}"/>
    <cellStyle name="Laskenta" xfId="31" xr:uid="{00000000-0005-0000-0000-00001C000000}"/>
    <cellStyle name="Linkitetty solu" xfId="32" xr:uid="{00000000-0005-0000-0000-00001D000000}"/>
    <cellStyle name="Neutraali" xfId="33" xr:uid="{00000000-0005-0000-0000-00001E000000}"/>
    <cellStyle name="Normal" xfId="0" builtinId="0"/>
    <cellStyle name="Normal 2" xfId="34" xr:uid="{00000000-0005-0000-0000-000020000000}"/>
    <cellStyle name="Normal 3" xfId="35" xr:uid="{00000000-0005-0000-0000-000021000000}"/>
    <cellStyle name="Otsikko 1" xfId="36" xr:uid="{00000000-0005-0000-0000-000022000000}"/>
    <cellStyle name="Otsikko 1 1" xfId="37" xr:uid="{00000000-0005-0000-0000-000023000000}"/>
    <cellStyle name="Otsikko 1 1 1" xfId="38" xr:uid="{00000000-0005-0000-0000-000024000000}"/>
    <cellStyle name="Otsikko 2" xfId="39" xr:uid="{00000000-0005-0000-0000-000025000000}"/>
    <cellStyle name="Otsikko 3" xfId="40" xr:uid="{00000000-0005-0000-0000-000026000000}"/>
    <cellStyle name="Otsikko 4" xfId="41" xr:uid="{00000000-0005-0000-0000-000027000000}"/>
    <cellStyle name="Percent" xfId="2" builtinId="5"/>
    <cellStyle name="Porcentagem 2" xfId="42" xr:uid="{00000000-0005-0000-0000-000029000000}"/>
    <cellStyle name="Selittävä teksti" xfId="43" xr:uid="{00000000-0005-0000-0000-00002A000000}"/>
    <cellStyle name="Separador de milhares 2" xfId="3" xr:uid="{00000000-0005-0000-0000-00002C000000}"/>
    <cellStyle name="Summa" xfId="44" xr:uid="{00000000-0005-0000-0000-00002D000000}"/>
    <cellStyle name="Syöttö" xfId="45" xr:uid="{00000000-0005-0000-0000-00002E000000}"/>
    <cellStyle name="Tarkistussolu" xfId="46" xr:uid="{00000000-0005-0000-0000-00002F000000}"/>
    <cellStyle name="Tulostus" xfId="47" xr:uid="{00000000-0005-0000-0000-000030000000}"/>
    <cellStyle name="Varoitusteksti" xfId="48" xr:uid="{00000000-0005-0000-0000-000031000000}"/>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'2a. NA Engine'!$H$17</c:f>
              <c:strCache>
                <c:ptCount val="1"/>
                <c:pt idx="0">
                  <c:v>HP</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3.1646482758620689</c:v>
                </c:pt>
                <c:pt idx="1">
                  <c:v>3.1646482758620689</c:v>
                </c:pt>
                <c:pt idx="2">
                  <c:v>12.658593103448275</c:v>
                </c:pt>
                <c:pt idx="3">
                  <c:v>27.63792827586207</c:v>
                </c:pt>
                <c:pt idx="4">
                  <c:v>40.507497931034479</c:v>
                </c:pt>
                <c:pt idx="5">
                  <c:v>54.150648275862068</c:v>
                </c:pt>
                <c:pt idx="6">
                  <c:v>67.512496551724141</c:v>
                </c:pt>
                <c:pt idx="7">
                  <c:v>77.780022068965508</c:v>
                </c:pt>
                <c:pt idx="8">
                  <c:v>90.016662068965516</c:v>
                </c:pt>
                <c:pt idx="9">
                  <c:v>104.43339310344827</c:v>
                </c:pt>
                <c:pt idx="10">
                  <c:v>114.63059310344826</c:v>
                </c:pt>
                <c:pt idx="11">
                  <c:v>123.77291034482759</c:v>
                </c:pt>
                <c:pt idx="12">
                  <c:v>118.14686896551724</c:v>
                </c:pt>
                <c:pt idx="13">
                  <c:v>118.85012413793103</c:v>
                </c:pt>
                <c:pt idx="14">
                  <c:v>0</c:v>
                </c:pt>
                <c:pt idx="15" formatCode="_(* #,##0.00_);_(* \(#,##0.00\);_(* &quot;-&quot;??_);_(@_)">
                  <c:v>0</c:v>
                </c:pt>
                <c:pt idx="16" formatCode="_(* #,##0.00_);_(* \(#,##0.00\);_(* &quot;-&quot;??_);_(@_)">
                  <c:v>0</c:v>
                </c:pt>
                <c:pt idx="17" formatCode="_(* #,##0.00_);_(* \(#,##0.00\);_(* &quot;-&quot;??_);_(@_)">
                  <c:v>0</c:v>
                </c:pt>
                <c:pt idx="18" formatCode="_(* #,##0.00_);_(* \(#,##0.00\);_(* &quot;-&quot;??_);_(@_)">
                  <c:v>0</c:v>
                </c:pt>
                <c:pt idx="19" formatCode="_(* #,##0.00_);_(* \(#,##0.00\);_(* &quot;-&quot;??_);_(@_)">
                  <c:v>0</c:v>
                </c:pt>
                <c:pt idx="20" formatCode="_(* #,##0.00_);_(* \(#,##0.00\);_(* &quot;-&quot;??_);_(@_)">
                  <c:v>0</c:v>
                </c:pt>
                <c:pt idx="21" formatCode="_(* #,##0.00_);_(* \(#,##0.00\);_(* &quot;-&quot;??_);_(@_)">
                  <c:v>0</c:v>
                </c:pt>
                <c:pt idx="22" formatCode="_(* #,##0.00_);_(* \(#,##0.00\);_(* &quot;-&quot;??_);_(@_)">
                  <c:v>0</c:v>
                </c:pt>
                <c:pt idx="23" formatCode="_(* #,##0.00_);_(* \(#,##0.00\);_(* &quot;-&quot;??_);_(@_)">
                  <c:v>0</c:v>
                </c:pt>
                <c:pt idx="24" formatCode="_(* #,##0.00_);_(* \(#,##0.00\);_(* &quot;-&quot;??_);_(@_)">
                  <c:v>0</c:v>
                </c:pt>
                <c:pt idx="25" formatCode="_(* #,##0.00_);_(* \(#,##0.00\);_(* &quot;-&quot;??_);_(@_)">
                  <c:v>0</c:v>
                </c:pt>
                <c:pt idx="26" formatCode="_(* #,##0.00_);_(* \(#,##0.00\);_(* &quot;-&quot;??_);_(@_)">
                  <c:v>0</c:v>
                </c:pt>
                <c:pt idx="27" formatCode="_(* #,##0.00_);_(* \(#,##0.00\);_(* &quot;-&quot;??_);_(@_)">
                  <c:v>0</c:v>
                </c:pt>
                <c:pt idx="28" formatCode="_(* #,##0.00_);_(* \(#,##0.00\);_(* &quot;-&quot;??_);_(@_)">
                  <c:v>0</c:v>
                </c:pt>
                <c:pt idx="29" formatCode="_(* #,##0.00_);_(* \(#,##0.00\);_(* &quot;-&quot;??_);_(@_)">
                  <c:v>0</c:v>
                </c:pt>
                <c:pt idx="30" formatCode="_(* #,##0.00_);_(* \(#,##0.00\);_(* &quot;-&quot;??_);_(@_)">
                  <c:v>0</c:v>
                </c:pt>
                <c:pt idx="31" formatCode="_(* #,##0.00_);_(* \(#,##0.00\);_(* &quot;-&quot;??_);_(@_)">
                  <c:v>0</c:v>
                </c:pt>
                <c:pt idx="32" formatCode="_(* #,##0.00_);_(* \(#,##0.00\);_(* &quot;-&quot;??_);_(@_)">
                  <c:v>0</c:v>
                </c:pt>
                <c:pt idx="33" formatCode="_(* #,##0.00_);_(* \(#,##0.00\);_(* &quot;-&quot;??_);_(@_)">
                  <c:v>0</c:v>
                </c:pt>
                <c:pt idx="34" formatCode="_(* #,##0.00_);_(* \(#,##0.00\);_(* &quot;-&quot;??_);_(@_)">
                  <c:v>0</c:v>
                </c:pt>
                <c:pt idx="35" formatCode="_(* #,##0.00_);_(* \(#,##0.00\);_(* &quot;-&quot;??_);_(@_)">
                  <c:v>0</c:v>
                </c:pt>
                <c:pt idx="36" formatCode="_(* #,##0.00_);_(* \(#,##0.00\);_(* &quot;-&quot;??_);_(@_)">
                  <c:v>0</c:v>
                </c:pt>
              </c:numCache>
            </c:numRef>
          </c:val>
          <c:smooth val="0"/>
          <c:extLst>
            <c:ext xmlns:c16="http://schemas.microsoft.com/office/drawing/2014/chart" uri="{C3380CC4-5D6E-409C-BE32-E72D297353CC}">
              <c16:uniqueId val="{00000000-E625-4C9D-B79B-523E4787D63A}"/>
            </c:ext>
          </c:extLst>
        </c:ser>
        <c:ser>
          <c:idx val="1"/>
          <c:order val="1"/>
          <c:tx>
            <c:strRef>
              <c:f>'2a. NA Engine'!$J$17</c:f>
              <c:strCache>
                <c:ptCount val="1"/>
                <c:pt idx="0">
                  <c:v>T=T./ (1+boost)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38.25</c:v>
                </c:pt>
                <c:pt idx="1">
                  <c:v>38.25</c:v>
                </c:pt>
                <c:pt idx="2">
                  <c:v>76.5</c:v>
                </c:pt>
                <c:pt idx="3">
                  <c:v>111.35</c:v>
                </c:pt>
                <c:pt idx="4">
                  <c:v>122.39999999999999</c:v>
                </c:pt>
                <c:pt idx="5">
                  <c:v>130.9</c:v>
                </c:pt>
                <c:pt idx="6">
                  <c:v>136</c:v>
                </c:pt>
                <c:pt idx="7">
                  <c:v>134.29999999999998</c:v>
                </c:pt>
                <c:pt idx="8">
                  <c:v>136</c:v>
                </c:pt>
                <c:pt idx="9">
                  <c:v>140.25</c:v>
                </c:pt>
                <c:pt idx="10">
                  <c:v>138.54999999999998</c:v>
                </c:pt>
                <c:pt idx="11">
                  <c:v>136</c:v>
                </c:pt>
                <c:pt idx="12">
                  <c:v>119</c:v>
                </c:pt>
                <c:pt idx="13">
                  <c:v>110.5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1-E625-4C9D-B79B-523E4787D63A}"/>
            </c:ext>
          </c:extLst>
        </c:ser>
        <c:ser>
          <c:idx val="2"/>
          <c:order val="2"/>
          <c:tx>
            <c:strRef>
              <c:f>'2a. NA Engine'!$G$17</c:f>
              <c:strCache>
                <c:ptCount val="1"/>
                <c:pt idx="0">
                  <c:v>Torque Engine (NM)</c:v>
                </c:pt>
              </c:strCache>
            </c:strRef>
          </c:tx>
          <c:val>
            <c:numRef>
              <c:f>'2a. NA Engine'!$G$18:$G$54</c:f>
              <c:numCache>
                <c:formatCode>0</c:formatCode>
                <c:ptCount val="37"/>
                <c:pt idx="0">
                  <c:v>0</c:v>
                </c:pt>
                <c:pt idx="1">
                  <c:v>45</c:v>
                </c:pt>
                <c:pt idx="2">
                  <c:v>90</c:v>
                </c:pt>
                <c:pt idx="3">
                  <c:v>131</c:v>
                </c:pt>
                <c:pt idx="4">
                  <c:v>144</c:v>
                </c:pt>
                <c:pt idx="5">
                  <c:v>154</c:v>
                </c:pt>
                <c:pt idx="6">
                  <c:v>160</c:v>
                </c:pt>
                <c:pt idx="7">
                  <c:v>158</c:v>
                </c:pt>
                <c:pt idx="8">
                  <c:v>160</c:v>
                </c:pt>
                <c:pt idx="9">
                  <c:v>165</c:v>
                </c:pt>
                <c:pt idx="10">
                  <c:v>163</c:v>
                </c:pt>
                <c:pt idx="11">
                  <c:v>160</c:v>
                </c:pt>
                <c:pt idx="12">
                  <c:v>140</c:v>
                </c:pt>
                <c:pt idx="13">
                  <c:v>130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2-E625-4C9D-B79B-523E4787D63A}"/>
            </c:ext>
          </c:extLst>
        </c:ser>
        <c:dLbls>
          <c:showLegendKey val="0"/>
          <c:showVal val="0"/>
          <c:showCatName val="0"/>
          <c:showSerName val="0"/>
          <c:showPercent val="0"/>
          <c:showBubbleSize val="0"/>
        </c:dLbls>
        <c:marker val="1"/>
        <c:smooth val="0"/>
        <c:axId val="78391552"/>
        <c:axId val="78413824"/>
      </c:lineChart>
      <c:catAx>
        <c:axId val="78391552"/>
        <c:scaling>
          <c:orientation val="minMax"/>
        </c:scaling>
        <c:delete val="0"/>
        <c:axPos val="b"/>
        <c:majorGridlines/>
        <c:numFmt formatCode="General" sourceLinked="1"/>
        <c:majorTickMark val="out"/>
        <c:minorTickMark val="none"/>
        <c:tickLblPos val="nextTo"/>
        <c:crossAx val="78413824"/>
        <c:crosses val="autoZero"/>
        <c:auto val="1"/>
        <c:lblAlgn val="ctr"/>
        <c:lblOffset val="100"/>
        <c:noMultiLvlLbl val="0"/>
      </c:catAx>
      <c:valAx>
        <c:axId val="78413824"/>
        <c:scaling>
          <c:orientation val="minMax"/>
        </c:scaling>
        <c:delete val="0"/>
        <c:axPos val="l"/>
        <c:majorGridlines/>
        <c:numFmt formatCode="_-* #,##0_-;\-* #,##0_-;_-* &quot;-&quot;??_-;_-@_-" sourceLinked="1"/>
        <c:majorTickMark val="out"/>
        <c:minorTickMark val="none"/>
        <c:tickLblPos val="nextTo"/>
        <c:crossAx val="78391552"/>
        <c:crosses val="autoZero"/>
        <c:crossBetween val="midCat"/>
      </c:valAx>
    </c:plotArea>
    <c:legend>
      <c:legendPos val="b"/>
      <c:overlay val="0"/>
    </c:legend>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Engine'!$O$4</c:f>
              <c:strCache>
                <c:ptCount val="1"/>
                <c:pt idx="0">
                  <c:v>Max Boost</c:v>
                </c:pt>
              </c:strCache>
            </c:strRef>
          </c:tx>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mooth val="0"/>
          <c:extLst>
            <c:ext xmlns:c16="http://schemas.microsoft.com/office/drawing/2014/chart" uri="{C3380CC4-5D6E-409C-BE32-E72D297353CC}">
              <c16:uniqueId val="{00000000-53AA-47D0-A7BC-FDD763CC6804}"/>
            </c:ext>
          </c:extLst>
        </c:ser>
        <c:ser>
          <c:idx val="1"/>
          <c:order val="1"/>
          <c:tx>
            <c:strRef>
              <c:f>'2b. Turbo Engine'!$P$4</c:f>
              <c:strCache>
                <c:ptCount val="1"/>
                <c:pt idx="0">
                  <c:v>Wastegate</c:v>
                </c:pt>
              </c:strCache>
            </c:strRef>
          </c:tx>
          <c:dLbls>
            <c:dLbl>
              <c:idx val="0"/>
              <c:delete val="1"/>
              <c:extLst>
                <c:ext xmlns:c15="http://schemas.microsoft.com/office/drawing/2012/chart" uri="{CE6537A1-D6FC-4f65-9D91-7224C49458BB}"/>
                <c:ext xmlns:c16="http://schemas.microsoft.com/office/drawing/2014/chart" uri="{C3380CC4-5D6E-409C-BE32-E72D297353CC}">
                  <c16:uniqueId val="{00000001-53AA-47D0-A7BC-FDD763CC6804}"/>
                </c:ext>
              </c:extLst>
            </c:dLbl>
            <c:dLbl>
              <c:idx val="1"/>
              <c:delete val="1"/>
              <c:extLst>
                <c:ext xmlns:c15="http://schemas.microsoft.com/office/drawing/2012/chart" uri="{CE6537A1-D6FC-4f65-9D91-7224C49458BB}"/>
                <c:ext xmlns:c16="http://schemas.microsoft.com/office/drawing/2014/chart" uri="{C3380CC4-5D6E-409C-BE32-E72D297353CC}">
                  <c16:uniqueId val="{00000002-53AA-47D0-A7BC-FDD763CC6804}"/>
                </c:ext>
              </c:extLst>
            </c:dLbl>
            <c:dLbl>
              <c:idx val="2"/>
              <c:delete val="1"/>
              <c:extLst>
                <c:ext xmlns:c15="http://schemas.microsoft.com/office/drawing/2012/chart" uri="{CE6537A1-D6FC-4f65-9D91-7224C49458BB}"/>
                <c:ext xmlns:c16="http://schemas.microsoft.com/office/drawing/2014/chart" uri="{C3380CC4-5D6E-409C-BE32-E72D297353CC}">
                  <c16:uniqueId val="{00000003-53AA-47D0-A7BC-FDD763CC6804}"/>
                </c:ext>
              </c:extLst>
            </c:dLbl>
            <c:dLbl>
              <c:idx val="3"/>
              <c:delete val="1"/>
              <c:extLst>
                <c:ext xmlns:c15="http://schemas.microsoft.com/office/drawing/2012/chart" uri="{CE6537A1-D6FC-4f65-9D91-7224C49458BB}"/>
                <c:ext xmlns:c16="http://schemas.microsoft.com/office/drawing/2014/chart" uri="{C3380CC4-5D6E-409C-BE32-E72D297353CC}">
                  <c16:uniqueId val="{00000004-53AA-47D0-A7BC-FDD763CC6804}"/>
                </c:ext>
              </c:extLst>
            </c:dLbl>
            <c:dLbl>
              <c:idx val="4"/>
              <c:delete val="1"/>
              <c:extLst>
                <c:ext xmlns:c15="http://schemas.microsoft.com/office/drawing/2012/chart" uri="{CE6537A1-D6FC-4f65-9D91-7224C49458BB}"/>
                <c:ext xmlns:c16="http://schemas.microsoft.com/office/drawing/2014/chart" uri="{C3380CC4-5D6E-409C-BE32-E72D297353CC}">
                  <c16:uniqueId val="{00000005-53AA-47D0-A7BC-FDD763CC6804}"/>
                </c:ext>
              </c:extLst>
            </c:dLbl>
            <c:dLbl>
              <c:idx val="5"/>
              <c:delete val="1"/>
              <c:extLst>
                <c:ext xmlns:c15="http://schemas.microsoft.com/office/drawing/2012/chart" uri="{CE6537A1-D6FC-4f65-9D91-7224C49458BB}"/>
                <c:ext xmlns:c16="http://schemas.microsoft.com/office/drawing/2014/chart" uri="{C3380CC4-5D6E-409C-BE32-E72D297353CC}">
                  <c16:uniqueId val="{00000006-53AA-47D0-A7BC-FDD763CC6804}"/>
                </c:ext>
              </c:extLst>
            </c:dLbl>
            <c:dLbl>
              <c:idx val="6"/>
              <c:delete val="1"/>
              <c:extLst>
                <c:ext xmlns:c15="http://schemas.microsoft.com/office/drawing/2012/chart" uri="{CE6537A1-D6FC-4f65-9D91-7224C49458BB}"/>
                <c:ext xmlns:c16="http://schemas.microsoft.com/office/drawing/2014/chart" uri="{C3380CC4-5D6E-409C-BE32-E72D297353CC}">
                  <c16:uniqueId val="{00000007-53AA-47D0-A7BC-FDD763CC6804}"/>
                </c:ext>
              </c:extLst>
            </c:dLbl>
            <c:dLbl>
              <c:idx val="7"/>
              <c:delete val="1"/>
              <c:extLst>
                <c:ext xmlns:c15="http://schemas.microsoft.com/office/drawing/2012/chart" uri="{CE6537A1-D6FC-4f65-9D91-7224C49458BB}"/>
                <c:ext xmlns:c16="http://schemas.microsoft.com/office/drawing/2014/chart" uri="{C3380CC4-5D6E-409C-BE32-E72D297353CC}">
                  <c16:uniqueId val="{00000008-53AA-47D0-A7BC-FDD763CC6804}"/>
                </c:ext>
              </c:extLst>
            </c:dLbl>
            <c:dLbl>
              <c:idx val="8"/>
              <c:delete val="1"/>
              <c:extLst>
                <c:ext xmlns:c15="http://schemas.microsoft.com/office/drawing/2012/chart" uri="{CE6537A1-D6FC-4f65-9D91-7224C49458BB}"/>
                <c:ext xmlns:c16="http://schemas.microsoft.com/office/drawing/2014/chart" uri="{C3380CC4-5D6E-409C-BE32-E72D297353CC}">
                  <c16:uniqueId val="{00000009-53AA-47D0-A7BC-FDD763CC6804}"/>
                </c:ext>
              </c:extLst>
            </c:dLbl>
            <c:dLbl>
              <c:idx val="9"/>
              <c:delete val="1"/>
              <c:extLst>
                <c:ext xmlns:c15="http://schemas.microsoft.com/office/drawing/2012/chart" uri="{CE6537A1-D6FC-4f65-9D91-7224C49458BB}"/>
                <c:ext xmlns:c16="http://schemas.microsoft.com/office/drawing/2014/chart" uri="{C3380CC4-5D6E-409C-BE32-E72D297353CC}">
                  <c16:uniqueId val="{0000000A-53AA-47D0-A7BC-FDD763CC6804}"/>
                </c:ext>
              </c:extLst>
            </c:dLbl>
            <c:dLbl>
              <c:idx val="10"/>
              <c:delete val="1"/>
              <c:extLst>
                <c:ext xmlns:c15="http://schemas.microsoft.com/office/drawing/2012/chart" uri="{CE6537A1-D6FC-4f65-9D91-7224C49458BB}"/>
                <c:ext xmlns:c16="http://schemas.microsoft.com/office/drawing/2014/chart" uri="{C3380CC4-5D6E-409C-BE32-E72D297353CC}">
                  <c16:uniqueId val="{0000000B-53AA-47D0-A7BC-FDD763CC6804}"/>
                </c:ext>
              </c:extLst>
            </c:dLbl>
            <c:dLbl>
              <c:idx val="11"/>
              <c:delete val="1"/>
              <c:extLst>
                <c:ext xmlns:c15="http://schemas.microsoft.com/office/drawing/2012/chart" uri="{CE6537A1-D6FC-4f65-9D91-7224C49458BB}"/>
                <c:ext xmlns:c16="http://schemas.microsoft.com/office/drawing/2014/chart" uri="{C3380CC4-5D6E-409C-BE32-E72D297353CC}">
                  <c16:uniqueId val="{0000000C-53AA-47D0-A7BC-FDD763CC6804}"/>
                </c:ext>
              </c:extLst>
            </c:dLbl>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mooth val="0"/>
          <c:extLst>
            <c:ext xmlns:c16="http://schemas.microsoft.com/office/drawing/2014/chart" uri="{C3380CC4-5D6E-409C-BE32-E72D297353CC}">
              <c16:uniqueId val="{0000000D-53AA-47D0-A7BC-FDD763CC6804}"/>
            </c:ext>
          </c:extLst>
        </c:ser>
        <c:dLbls>
          <c:showLegendKey val="0"/>
          <c:showVal val="0"/>
          <c:showCatName val="0"/>
          <c:showSerName val="0"/>
          <c:showPercent val="0"/>
          <c:showBubbleSize val="0"/>
        </c:dLbls>
        <c:marker val="1"/>
        <c:smooth val="0"/>
        <c:axId val="83429248"/>
        <c:axId val="83430784"/>
      </c:lineChart>
      <c:catAx>
        <c:axId val="83429248"/>
        <c:scaling>
          <c:orientation val="minMax"/>
        </c:scaling>
        <c:delete val="0"/>
        <c:axPos val="b"/>
        <c:majorGridlines/>
        <c:numFmt formatCode="General" sourceLinked="1"/>
        <c:majorTickMark val="out"/>
        <c:minorTickMark val="none"/>
        <c:tickLblPos val="nextTo"/>
        <c:crossAx val="83430784"/>
        <c:crosses val="autoZero"/>
        <c:auto val="1"/>
        <c:lblAlgn val="ctr"/>
        <c:lblOffset val="100"/>
        <c:noMultiLvlLbl val="0"/>
      </c:catAx>
      <c:valAx>
        <c:axId val="83430784"/>
        <c:scaling>
          <c:orientation val="minMax"/>
        </c:scaling>
        <c:delete val="0"/>
        <c:axPos val="l"/>
        <c:majorGridlines/>
        <c:numFmt formatCode="General" sourceLinked="1"/>
        <c:majorTickMark val="out"/>
        <c:minorTickMark val="none"/>
        <c:tickLblPos val="nextTo"/>
        <c:crossAx val="83429248"/>
        <c:crosses val="autoZero"/>
        <c:crossBetween val="midCat"/>
      </c:valAx>
    </c:plotArea>
    <c:legend>
      <c:legendPos val="t"/>
      <c:overlay val="0"/>
    </c:legend>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Engine'!$K$40</c:f>
              <c:strCache>
                <c:ptCount val="1"/>
                <c:pt idx="0">
                  <c:v> Torque Engine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0-118B-48C9-BC1D-098FCB827366}"/>
            </c:ext>
          </c:extLst>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1-118B-48C9-BC1D-098FCB827366}"/>
            </c:ext>
          </c:extLst>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118B-48C9-BC1D-098FCB827366}"/>
            </c:ext>
          </c:extLst>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3-118B-48C9-BC1D-098FCB827366}"/>
            </c:ext>
          </c:extLst>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4-118B-48C9-BC1D-098FCB827366}"/>
            </c:ext>
          </c:extLst>
        </c:ser>
        <c:dLbls>
          <c:showLegendKey val="0"/>
          <c:showVal val="0"/>
          <c:showCatName val="0"/>
          <c:showSerName val="0"/>
          <c:showPercent val="0"/>
          <c:showBubbleSize val="0"/>
        </c:dLbls>
        <c:marker val="1"/>
        <c:smooth val="0"/>
        <c:axId val="83521536"/>
        <c:axId val="83523072"/>
      </c:lineChart>
      <c:catAx>
        <c:axId val="83521536"/>
        <c:scaling>
          <c:orientation val="minMax"/>
        </c:scaling>
        <c:delete val="0"/>
        <c:axPos val="b"/>
        <c:majorGridlines/>
        <c:numFmt formatCode="General" sourceLinked="1"/>
        <c:majorTickMark val="out"/>
        <c:minorTickMark val="none"/>
        <c:tickLblPos val="nextTo"/>
        <c:crossAx val="83523072"/>
        <c:crosses val="autoZero"/>
        <c:auto val="1"/>
        <c:lblAlgn val="ctr"/>
        <c:lblOffset val="100"/>
        <c:noMultiLvlLbl val="0"/>
      </c:catAx>
      <c:valAx>
        <c:axId val="83523072"/>
        <c:scaling>
          <c:orientation val="minMax"/>
        </c:scaling>
        <c:delete val="0"/>
        <c:axPos val="l"/>
        <c:majorGridlines/>
        <c:numFmt formatCode="0" sourceLinked="1"/>
        <c:majorTickMark val="out"/>
        <c:minorTickMark val="none"/>
        <c:tickLblPos val="nextTo"/>
        <c:crossAx val="83521536"/>
        <c:crosses val="autoZero"/>
        <c:crossBetween val="midCat"/>
      </c:valAx>
    </c:plotArea>
    <c:legend>
      <c:legendPos val="b"/>
      <c:overlay val="0"/>
    </c:legend>
    <c:plotVisOnly val="1"/>
    <c:dispBlanksAs val="span"/>
    <c:showDLblsOverMax val="0"/>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0C3-4046-9F80-C05F250463B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extLst>
            <c:ext xmlns:c16="http://schemas.microsoft.com/office/drawing/2014/chart" uri="{C3380CC4-5D6E-409C-BE32-E72D297353CC}">
              <c16:uniqueId val="{00000001-B0C3-4046-9F80-C05F250463B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0C3-4046-9F80-C05F250463B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extLst>
            <c:ext xmlns:c16="http://schemas.microsoft.com/office/drawing/2014/chart" uri="{C3380CC4-5D6E-409C-BE32-E72D297353CC}">
              <c16:uniqueId val="{00000003-B0C3-4046-9F80-C05F250463B4}"/>
            </c:ext>
          </c:extLst>
        </c:ser>
        <c:dLbls>
          <c:showLegendKey val="0"/>
          <c:showVal val="0"/>
          <c:showCatName val="0"/>
          <c:showSerName val="0"/>
          <c:showPercent val="0"/>
          <c:showBubbleSize val="0"/>
        </c:dLbls>
        <c:axId val="85672704"/>
        <c:axId val="85674240"/>
      </c:scatterChart>
      <c:valAx>
        <c:axId val="85672704"/>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674240"/>
        <c:crosses val="autoZero"/>
        <c:crossBetween val="midCat"/>
      </c:valAx>
      <c:valAx>
        <c:axId val="85674240"/>
        <c:scaling>
          <c:orientation val="minMax"/>
        </c:scaling>
        <c:delete val="0"/>
        <c:axPos val="l"/>
        <c:majorGridlines/>
        <c:numFmt formatCode="0" sourceLinked="1"/>
        <c:majorTickMark val="out"/>
        <c:minorTickMark val="none"/>
        <c:tickLblPos val="nextTo"/>
        <c:crossAx val="85672704"/>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474-493E-9392-713A26BBA63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extLst>
            <c:ext xmlns:c16="http://schemas.microsoft.com/office/drawing/2014/chart" uri="{C3380CC4-5D6E-409C-BE32-E72D297353CC}">
              <c16:uniqueId val="{00000001-B474-493E-9392-713A26BBA63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474-493E-9392-713A26BBA63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extLst>
            <c:ext xmlns:c16="http://schemas.microsoft.com/office/drawing/2014/chart" uri="{C3380CC4-5D6E-409C-BE32-E72D297353CC}">
              <c16:uniqueId val="{00000003-B474-493E-9392-713A26BBA634}"/>
            </c:ext>
          </c:extLst>
        </c:ser>
        <c:dLbls>
          <c:showLegendKey val="0"/>
          <c:showVal val="0"/>
          <c:showCatName val="0"/>
          <c:showSerName val="0"/>
          <c:showPercent val="0"/>
          <c:showBubbleSize val="0"/>
        </c:dLbls>
        <c:axId val="85703296"/>
        <c:axId val="85717376"/>
      </c:scatterChart>
      <c:valAx>
        <c:axId val="85703296"/>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717376"/>
        <c:crosses val="autoZero"/>
        <c:crossBetween val="midCat"/>
      </c:valAx>
      <c:valAx>
        <c:axId val="85717376"/>
        <c:scaling>
          <c:orientation val="minMax"/>
        </c:scaling>
        <c:delete val="0"/>
        <c:axPos val="l"/>
        <c:majorGridlines/>
        <c:numFmt formatCode="0" sourceLinked="1"/>
        <c:majorTickMark val="out"/>
        <c:minorTickMark val="none"/>
        <c:tickLblPos val="nextTo"/>
        <c:crossAx val="85703296"/>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a:extLst>
            <a:ext uri="{FF2B5EF4-FFF2-40B4-BE49-F238E27FC236}">
              <a16:creationId xmlns:a16="http://schemas.microsoft.com/office/drawing/2014/main" id="{00000000-0008-0000-0200-000011000000}"/>
            </a:ext>
          </a:extLst>
        </xdr:cNvPr>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a:extLst>
            <a:ext uri="{FF2B5EF4-FFF2-40B4-BE49-F238E27FC236}">
              <a16:creationId xmlns:a16="http://schemas.microsoft.com/office/drawing/2014/main" id="{00000000-0008-0000-0300-000004000000}"/>
            </a:ext>
          </a:extLst>
        </xdr:cNvPr>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a:extLst>
            <a:ext uri="{FF2B5EF4-FFF2-40B4-BE49-F238E27FC236}">
              <a16:creationId xmlns:a16="http://schemas.microsoft.com/office/drawing/2014/main" id="{00000000-0008-0000-0300-000005000000}"/>
            </a:ext>
          </a:extLst>
        </xdr:cNvPr>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1120140</xdr:colOff>
      <xdr:row>4</xdr:row>
      <xdr:rowOff>93066</xdr:rowOff>
    </xdr:to>
    <xdr:pic>
      <xdr:nvPicPr>
        <xdr:cNvPr id="8" name="Image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441959</xdr:colOff>
      <xdr:row>33</xdr:row>
      <xdr:rowOff>172074</xdr:rowOff>
    </xdr:to>
    <xdr:pic>
      <xdr:nvPicPr>
        <xdr:cNvPr id="9" name="Imagem 8" descr="22b Wheel Tire.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a:extLst>
            <a:ext uri="{FF2B5EF4-FFF2-40B4-BE49-F238E27FC236}">
              <a16:creationId xmlns:a16="http://schemas.microsoft.com/office/drawing/2014/main" id="{00000000-0008-0000-0600-000002000000}"/>
            </a:ext>
          </a:extLst>
        </xdr:cNvPr>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a:extLst>
            <a:ext uri="{FF2B5EF4-FFF2-40B4-BE49-F238E27FC236}">
              <a16:creationId xmlns:a16="http://schemas.microsoft.com/office/drawing/2014/main" id="{00000000-0008-0000-0600-000003000000}"/>
            </a:ext>
          </a:extLst>
        </xdr:cNvPr>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a:extLst>
            <a:ext uri="{FF2B5EF4-FFF2-40B4-BE49-F238E27FC236}">
              <a16:creationId xmlns:a16="http://schemas.microsoft.com/office/drawing/2014/main" id="{00000000-0008-0000-0600-000004000000}"/>
            </a:ext>
          </a:extLst>
        </xdr:cNvPr>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a:extLst>
            <a:ext uri="{FF2B5EF4-FFF2-40B4-BE49-F238E27FC236}">
              <a16:creationId xmlns:a16="http://schemas.microsoft.com/office/drawing/2014/main" id="{00000000-0008-0000-0600-000005000000}"/>
            </a:ext>
          </a:extLst>
        </xdr:cNvPr>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a:extLst>
            <a:ext uri="{FF2B5EF4-FFF2-40B4-BE49-F238E27FC236}">
              <a16:creationId xmlns:a16="http://schemas.microsoft.com/office/drawing/2014/main" id="{00000000-0008-0000-0600-000006000000}"/>
            </a:ext>
          </a:extLst>
        </xdr:cNvPr>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a:extLst>
            <a:ext uri="{FF2B5EF4-FFF2-40B4-BE49-F238E27FC236}">
              <a16:creationId xmlns:a16="http://schemas.microsoft.com/office/drawing/2014/main" id="{00000000-0008-0000-0600-000007000000}"/>
            </a:ext>
          </a:extLst>
        </xdr:cNvPr>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a:extLst>
            <a:ext uri="{FF2B5EF4-FFF2-40B4-BE49-F238E27FC236}">
              <a16:creationId xmlns:a16="http://schemas.microsoft.com/office/drawing/2014/main" id="{00000000-0008-0000-0600-000008000000}"/>
            </a:ext>
          </a:extLst>
        </xdr:cNvPr>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a:extLst>
            <a:ext uri="{FF2B5EF4-FFF2-40B4-BE49-F238E27FC236}">
              <a16:creationId xmlns:a16="http://schemas.microsoft.com/office/drawing/2014/main" id="{00000000-0008-0000-0600-000009000000}"/>
            </a:ext>
          </a:extLst>
        </xdr:cNvPr>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a:extLst>
            <a:ext uri="{FF2B5EF4-FFF2-40B4-BE49-F238E27FC236}">
              <a16:creationId xmlns:a16="http://schemas.microsoft.com/office/drawing/2014/main" id="{00000000-0008-0000-0600-00000A000000}"/>
            </a:ext>
          </a:extLst>
        </xdr:cNvPr>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a:extLst>
            <a:ext uri="{FF2B5EF4-FFF2-40B4-BE49-F238E27FC236}">
              <a16:creationId xmlns:a16="http://schemas.microsoft.com/office/drawing/2014/main" id="{00000000-0008-0000-0600-00000B000000}"/>
            </a:ext>
          </a:extLst>
        </xdr:cNvPr>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a:extLst>
            <a:ext uri="{FF2B5EF4-FFF2-40B4-BE49-F238E27FC236}">
              <a16:creationId xmlns:a16="http://schemas.microsoft.com/office/drawing/2014/main" id="{00000000-0008-0000-0600-00000C000000}"/>
            </a:ext>
          </a:extLst>
        </xdr:cNvPr>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a:extLst>
            <a:ext uri="{FF2B5EF4-FFF2-40B4-BE49-F238E27FC236}">
              <a16:creationId xmlns:a16="http://schemas.microsoft.com/office/drawing/2014/main" id="{00000000-0008-0000-0600-00000D000000}"/>
            </a:ext>
          </a:extLst>
        </xdr:cNvPr>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a:extLst>
            <a:ext uri="{FF2B5EF4-FFF2-40B4-BE49-F238E27FC236}">
              <a16:creationId xmlns:a16="http://schemas.microsoft.com/office/drawing/2014/main" id="{00000000-0008-0000-0600-000017000000}"/>
            </a:ext>
          </a:extLst>
        </xdr:cNvPr>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a:extLst>
            <a:ext uri="{FF2B5EF4-FFF2-40B4-BE49-F238E27FC236}">
              <a16:creationId xmlns:a16="http://schemas.microsoft.com/office/drawing/2014/main" id="{00000000-0008-0000-0600-000018000000}"/>
            </a:ext>
          </a:extLst>
        </xdr:cNvPr>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a:extLst>
            <a:ext uri="{FF2B5EF4-FFF2-40B4-BE49-F238E27FC236}">
              <a16:creationId xmlns:a16="http://schemas.microsoft.com/office/drawing/2014/main" id="{00000000-0008-0000-0600-00001A000000}"/>
            </a:ext>
          </a:extLst>
        </xdr:cNvPr>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a:extLst>
            <a:ext uri="{FF2B5EF4-FFF2-40B4-BE49-F238E27FC236}">
              <a16:creationId xmlns:a16="http://schemas.microsoft.com/office/drawing/2014/main" id="{00000000-0008-0000-0600-00001B000000}"/>
            </a:ext>
          </a:extLst>
        </xdr:cNvPr>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a:extLst>
            <a:ext uri="{FF2B5EF4-FFF2-40B4-BE49-F238E27FC236}">
              <a16:creationId xmlns:a16="http://schemas.microsoft.com/office/drawing/2014/main" id="{00000000-0008-0000-0600-00001C000000}"/>
            </a:ext>
          </a:extLst>
        </xdr:cNvPr>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a:extLst>
            <a:ext uri="{FF2B5EF4-FFF2-40B4-BE49-F238E27FC236}">
              <a16:creationId xmlns:a16="http://schemas.microsoft.com/office/drawing/2014/main" id="{00000000-0008-0000-0600-00001D000000}"/>
            </a:ext>
          </a:extLst>
        </xdr:cNvPr>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a:extLst>
            <a:ext uri="{FF2B5EF4-FFF2-40B4-BE49-F238E27FC236}">
              <a16:creationId xmlns:a16="http://schemas.microsoft.com/office/drawing/2014/main" id="{00000000-0008-0000-0600-00001E000000}"/>
            </a:ext>
          </a:extLst>
        </xdr:cNvPr>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a:extLst>
            <a:ext uri="{FF2B5EF4-FFF2-40B4-BE49-F238E27FC236}">
              <a16:creationId xmlns:a16="http://schemas.microsoft.com/office/drawing/2014/main" id="{00000000-0008-0000-0600-00001F000000}"/>
            </a:ext>
          </a:extLst>
        </xdr:cNvPr>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a:extLst>
            <a:ext uri="{FF2B5EF4-FFF2-40B4-BE49-F238E27FC236}">
              <a16:creationId xmlns:a16="http://schemas.microsoft.com/office/drawing/2014/main" id="{00000000-0008-0000-0600-000020000000}"/>
            </a:ext>
          </a:extLst>
        </xdr:cNvPr>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a:extLst>
            <a:ext uri="{FF2B5EF4-FFF2-40B4-BE49-F238E27FC236}">
              <a16:creationId xmlns:a16="http://schemas.microsoft.com/office/drawing/2014/main" id="{00000000-0008-0000-0600-000021000000}"/>
            </a:ext>
          </a:extLst>
        </xdr:cNvPr>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a:extLst>
            <a:ext uri="{FF2B5EF4-FFF2-40B4-BE49-F238E27FC236}">
              <a16:creationId xmlns:a16="http://schemas.microsoft.com/office/drawing/2014/main" id="{00000000-0008-0000-0600-000022000000}"/>
            </a:ext>
          </a:extLst>
        </xdr:cNvPr>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a:extLst>
            <a:ext uri="{FF2B5EF4-FFF2-40B4-BE49-F238E27FC236}">
              <a16:creationId xmlns:a16="http://schemas.microsoft.com/office/drawing/2014/main" id="{00000000-0008-0000-0600-000023000000}"/>
            </a:ext>
          </a:extLst>
        </xdr:cNvPr>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8"/>
  <sheetViews>
    <sheetView workbookViewId="0">
      <selection activeCell="D1" sqref="D1"/>
    </sheetView>
  </sheetViews>
  <sheetFormatPr defaultRowHeight="14.4" x14ac:dyDescent="0.3"/>
  <cols>
    <col min="2" max="2" width="2.33203125" style="1" customWidth="1"/>
    <col min="3" max="3" width="56.88671875" bestFit="1" customWidth="1"/>
    <col min="5" max="5" width="4" bestFit="1" customWidth="1"/>
    <col min="6" max="6" width="99.33203125" customWidth="1"/>
    <col min="7" max="7" width="14.44140625" bestFit="1" customWidth="1"/>
  </cols>
  <sheetData>
    <row r="1" spans="1:25" ht="21" x14ac:dyDescent="0.3">
      <c r="A1" s="12"/>
      <c r="B1" s="13"/>
      <c r="C1" s="10" t="s">
        <v>88</v>
      </c>
      <c r="D1" s="11" t="s">
        <v>390</v>
      </c>
      <c r="E1" s="330"/>
      <c r="F1" s="331" t="s">
        <v>387</v>
      </c>
      <c r="G1" s="16"/>
      <c r="H1" s="16"/>
      <c r="I1" s="16"/>
      <c r="J1" s="16"/>
      <c r="K1" s="16"/>
      <c r="L1" s="16"/>
      <c r="M1" s="16"/>
      <c r="N1" s="16"/>
      <c r="O1" s="16"/>
      <c r="P1" s="16"/>
      <c r="Q1" s="16"/>
      <c r="R1" s="16"/>
      <c r="S1" s="16"/>
      <c r="T1" s="16"/>
      <c r="U1" s="16"/>
      <c r="V1" s="16"/>
      <c r="W1" s="16"/>
      <c r="X1" s="16"/>
      <c r="Y1" s="16"/>
    </row>
    <row r="2" spans="1:25" x14ac:dyDescent="0.3">
      <c r="A2" s="16"/>
      <c r="B2" s="14"/>
      <c r="C2" s="55" t="s">
        <v>139</v>
      </c>
      <c r="D2" s="27"/>
      <c r="E2" s="332" t="s">
        <v>2</v>
      </c>
      <c r="F2" s="112" t="s">
        <v>388</v>
      </c>
      <c r="G2" s="16"/>
      <c r="H2" s="16"/>
      <c r="I2" s="16"/>
      <c r="J2" s="16"/>
      <c r="K2" s="16"/>
      <c r="L2" s="16"/>
      <c r="M2" s="16"/>
      <c r="N2" s="16"/>
      <c r="O2" s="16"/>
      <c r="P2" s="16"/>
      <c r="Q2" s="16"/>
      <c r="R2" s="16"/>
      <c r="S2" s="16"/>
      <c r="T2" s="16"/>
      <c r="U2" s="16"/>
      <c r="V2" s="16"/>
      <c r="W2" s="16"/>
      <c r="X2" s="16"/>
      <c r="Y2" s="16"/>
    </row>
    <row r="3" spans="1:25" x14ac:dyDescent="0.3">
      <c r="A3" s="16"/>
      <c r="B3" s="20"/>
      <c r="C3" s="54" t="s">
        <v>140</v>
      </c>
      <c r="D3" s="27"/>
      <c r="E3" s="332" t="s">
        <v>3</v>
      </c>
      <c r="F3" s="112" t="s">
        <v>389</v>
      </c>
      <c r="G3" s="16"/>
      <c r="H3" s="16"/>
      <c r="I3" s="16"/>
      <c r="J3" s="16"/>
      <c r="K3" s="16"/>
      <c r="L3" s="16"/>
      <c r="M3" s="16"/>
      <c r="N3" s="16"/>
      <c r="O3" s="16"/>
      <c r="P3" s="16"/>
      <c r="Q3" s="16"/>
      <c r="R3" s="16"/>
      <c r="S3" s="16"/>
      <c r="T3" s="16"/>
      <c r="U3" s="16"/>
      <c r="V3" s="16"/>
      <c r="W3" s="16"/>
      <c r="X3" s="16"/>
      <c r="Y3" s="16"/>
    </row>
    <row r="4" spans="1:25" x14ac:dyDescent="0.3">
      <c r="A4" s="16"/>
      <c r="B4" s="20"/>
      <c r="C4" s="16"/>
      <c r="D4" s="27"/>
      <c r="E4" s="332" t="s">
        <v>4</v>
      </c>
      <c r="F4" s="112" t="s">
        <v>391</v>
      </c>
      <c r="G4" s="16"/>
      <c r="H4" s="16"/>
      <c r="I4" s="16"/>
      <c r="J4" s="16"/>
      <c r="K4" s="16"/>
      <c r="L4" s="16"/>
      <c r="M4" s="16"/>
      <c r="N4" s="16"/>
      <c r="O4" s="16"/>
      <c r="P4" s="16"/>
      <c r="Q4" s="16"/>
      <c r="R4" s="16"/>
      <c r="S4" s="16"/>
      <c r="T4" s="16"/>
      <c r="U4" s="16"/>
      <c r="V4" s="16"/>
      <c r="W4" s="16"/>
      <c r="X4" s="16"/>
      <c r="Y4" s="16"/>
    </row>
    <row r="5" spans="1:25" ht="15.6" x14ac:dyDescent="0.3">
      <c r="A5" s="16"/>
      <c r="B5" s="20"/>
      <c r="C5" s="15" t="s">
        <v>107</v>
      </c>
      <c r="D5" s="27"/>
      <c r="E5" s="16"/>
      <c r="F5" s="112" t="s">
        <v>392</v>
      </c>
      <c r="G5" s="16"/>
      <c r="H5" s="16"/>
      <c r="I5" s="16"/>
      <c r="J5" s="16"/>
      <c r="K5" s="16"/>
      <c r="L5" s="16"/>
      <c r="M5" s="16"/>
      <c r="N5" s="16"/>
      <c r="O5" s="16"/>
      <c r="P5" s="16"/>
      <c r="Q5" s="16"/>
      <c r="R5" s="16"/>
      <c r="S5" s="16"/>
      <c r="T5" s="16"/>
      <c r="U5" s="16"/>
      <c r="V5" s="16"/>
      <c r="W5" s="16"/>
      <c r="X5" s="16"/>
      <c r="Y5" s="16"/>
    </row>
    <row r="6" spans="1:25" x14ac:dyDescent="0.3">
      <c r="A6" s="16"/>
      <c r="B6" s="20"/>
      <c r="C6" s="16"/>
      <c r="D6" s="27"/>
      <c r="E6" s="332" t="s">
        <v>5</v>
      </c>
      <c r="F6" s="112"/>
      <c r="G6" s="16"/>
      <c r="H6" s="16"/>
      <c r="I6" s="16"/>
      <c r="J6" s="16"/>
      <c r="K6" s="16"/>
      <c r="L6" s="16"/>
      <c r="M6" s="16"/>
      <c r="N6" s="16"/>
      <c r="O6" s="16"/>
      <c r="P6" s="16"/>
      <c r="Q6" s="16"/>
      <c r="R6" s="16"/>
      <c r="S6" s="16"/>
      <c r="T6" s="16"/>
      <c r="U6" s="16"/>
      <c r="V6" s="16"/>
      <c r="W6" s="16"/>
      <c r="X6" s="16"/>
      <c r="Y6" s="16"/>
    </row>
    <row r="7" spans="1:25" x14ac:dyDescent="0.3">
      <c r="A7" s="16"/>
      <c r="B7" s="20"/>
      <c r="C7" s="16"/>
      <c r="D7" s="27"/>
      <c r="E7" s="332" t="s">
        <v>152</v>
      </c>
      <c r="F7" s="112"/>
      <c r="G7" s="16"/>
      <c r="H7" s="16"/>
      <c r="I7" s="16"/>
      <c r="J7" s="16"/>
      <c r="K7" s="16"/>
      <c r="L7" s="16"/>
      <c r="M7" s="16"/>
      <c r="N7" s="16"/>
      <c r="O7" s="16"/>
      <c r="P7" s="16"/>
      <c r="Q7" s="16"/>
      <c r="R7" s="16"/>
      <c r="S7" s="16"/>
      <c r="T7" s="16"/>
      <c r="U7" s="16"/>
      <c r="V7" s="16"/>
      <c r="W7" s="16"/>
      <c r="X7" s="16"/>
      <c r="Y7" s="16"/>
    </row>
    <row r="8" spans="1:25" x14ac:dyDescent="0.3">
      <c r="A8" s="16"/>
      <c r="B8" s="20"/>
      <c r="C8" s="16"/>
      <c r="D8" s="27"/>
      <c r="E8" s="332" t="s">
        <v>153</v>
      </c>
      <c r="F8" s="112"/>
      <c r="G8" s="16"/>
      <c r="H8" s="16"/>
      <c r="I8" s="16"/>
      <c r="J8" s="16"/>
      <c r="K8" s="16"/>
      <c r="L8" s="16"/>
      <c r="M8" s="16"/>
      <c r="N8" s="16"/>
      <c r="O8" s="16"/>
      <c r="P8" s="16"/>
      <c r="Q8" s="16"/>
      <c r="R8" s="16"/>
      <c r="S8" s="16"/>
      <c r="T8" s="16"/>
      <c r="U8" s="16"/>
      <c r="V8" s="16"/>
      <c r="W8" s="16"/>
      <c r="X8" s="16"/>
      <c r="Y8" s="16"/>
    </row>
    <row r="9" spans="1:25" x14ac:dyDescent="0.3">
      <c r="A9" s="16"/>
      <c r="B9" s="20"/>
      <c r="C9" s="16"/>
      <c r="D9" s="27"/>
      <c r="E9" s="332" t="s">
        <v>210</v>
      </c>
      <c r="F9" s="112"/>
      <c r="G9" s="16"/>
      <c r="H9" s="16"/>
      <c r="I9" s="16"/>
      <c r="J9" s="16"/>
      <c r="K9" s="16"/>
      <c r="L9" s="16"/>
      <c r="M9" s="16"/>
      <c r="N9" s="16"/>
      <c r="O9" s="16"/>
      <c r="P9" s="16"/>
      <c r="Q9" s="16"/>
      <c r="R9" s="16"/>
      <c r="S9" s="16"/>
      <c r="T9" s="16"/>
      <c r="U9" s="16"/>
      <c r="V9" s="16"/>
      <c r="W9" s="16"/>
      <c r="X9" s="16"/>
      <c r="Y9" s="16"/>
    </row>
    <row r="10" spans="1:25" ht="18" x14ac:dyDescent="0.35">
      <c r="A10" s="16"/>
      <c r="B10" s="20"/>
      <c r="C10" s="16"/>
      <c r="D10" s="27"/>
      <c r="E10" s="333"/>
      <c r="F10" s="328" t="s">
        <v>347</v>
      </c>
      <c r="G10" s="16"/>
      <c r="H10" s="16"/>
      <c r="I10" s="16"/>
      <c r="J10" s="16"/>
      <c r="K10" s="16"/>
      <c r="L10" s="16"/>
      <c r="M10" s="16"/>
      <c r="N10" s="16"/>
      <c r="O10" s="16"/>
      <c r="P10" s="16"/>
      <c r="Q10" s="16"/>
      <c r="R10" s="16"/>
      <c r="S10" s="16"/>
      <c r="T10" s="16"/>
      <c r="U10" s="16"/>
      <c r="V10" s="16"/>
      <c r="W10" s="16"/>
      <c r="X10" s="16"/>
      <c r="Y10" s="16"/>
    </row>
    <row r="11" spans="1:25" x14ac:dyDescent="0.3">
      <c r="A11" s="16"/>
      <c r="B11" s="20"/>
      <c r="C11" s="16"/>
      <c r="D11" s="27"/>
      <c r="E11" s="332" t="s">
        <v>333</v>
      </c>
      <c r="F11" s="329" t="s">
        <v>334</v>
      </c>
      <c r="G11" s="16"/>
      <c r="H11" s="16"/>
      <c r="I11" s="16"/>
      <c r="J11" s="16"/>
      <c r="K11" s="16"/>
      <c r="L11" s="16"/>
      <c r="M11" s="16"/>
      <c r="N11" s="16"/>
      <c r="O11" s="16"/>
      <c r="P11" s="16"/>
      <c r="Q11" s="16"/>
      <c r="R11" s="16"/>
      <c r="S11" s="16"/>
      <c r="T11" s="16"/>
      <c r="U11" s="16"/>
      <c r="V11" s="16"/>
      <c r="W11" s="16"/>
      <c r="X11" s="16"/>
      <c r="Y11" s="16"/>
    </row>
    <row r="12" spans="1:25" x14ac:dyDescent="0.3">
      <c r="A12" s="16"/>
      <c r="B12" s="20"/>
      <c r="C12" s="16"/>
      <c r="D12" s="27"/>
      <c r="E12" s="332" t="s">
        <v>335</v>
      </c>
      <c r="F12" s="329" t="s">
        <v>336</v>
      </c>
      <c r="G12" s="16"/>
      <c r="H12" s="16"/>
      <c r="I12" s="16"/>
      <c r="J12" s="16"/>
      <c r="K12" s="16"/>
      <c r="L12" s="16"/>
      <c r="M12" s="16"/>
      <c r="N12" s="16"/>
      <c r="O12" s="16"/>
      <c r="P12" s="16"/>
      <c r="Q12" s="16"/>
      <c r="R12" s="16"/>
      <c r="S12" s="16"/>
      <c r="T12" s="16"/>
      <c r="U12" s="16"/>
      <c r="V12" s="16"/>
      <c r="W12" s="16"/>
      <c r="X12" s="16"/>
      <c r="Y12" s="16"/>
    </row>
    <row r="13" spans="1:25" x14ac:dyDescent="0.3">
      <c r="A13" s="16"/>
      <c r="B13" s="20"/>
      <c r="C13" s="16"/>
      <c r="D13" s="27"/>
      <c r="E13" s="332" t="s">
        <v>337</v>
      </c>
      <c r="F13" s="329" t="s">
        <v>338</v>
      </c>
      <c r="G13" s="16"/>
      <c r="H13" s="16"/>
      <c r="I13" s="16"/>
      <c r="J13" s="16"/>
      <c r="K13" s="16"/>
      <c r="L13" s="16"/>
      <c r="M13" s="16"/>
      <c r="N13" s="16"/>
      <c r="O13" s="16"/>
      <c r="P13" s="16"/>
      <c r="Q13" s="16"/>
      <c r="R13" s="16"/>
      <c r="S13" s="16"/>
      <c r="T13" s="16"/>
      <c r="U13" s="16"/>
      <c r="V13" s="16"/>
      <c r="W13" s="16"/>
      <c r="X13" s="16"/>
      <c r="Y13" s="16"/>
    </row>
    <row r="14" spans="1:25" x14ac:dyDescent="0.3">
      <c r="A14" s="16"/>
      <c r="B14" s="20"/>
      <c r="C14" s="16"/>
      <c r="D14" s="27"/>
      <c r="E14" s="332" t="s">
        <v>339</v>
      </c>
      <c r="F14" s="329" t="s">
        <v>340</v>
      </c>
      <c r="G14" s="16"/>
      <c r="H14" s="16"/>
      <c r="I14" s="16"/>
      <c r="J14" s="16"/>
      <c r="K14" s="16"/>
      <c r="L14" s="16"/>
      <c r="M14" s="16"/>
      <c r="N14" s="16"/>
      <c r="O14" s="16"/>
      <c r="P14" s="16"/>
      <c r="Q14" s="16"/>
      <c r="R14" s="16"/>
      <c r="S14" s="16"/>
      <c r="T14" s="16"/>
      <c r="U14" s="16"/>
      <c r="V14" s="16"/>
      <c r="W14" s="16"/>
      <c r="X14" s="16"/>
      <c r="Y14" s="16"/>
    </row>
    <row r="15" spans="1:25" x14ac:dyDescent="0.3">
      <c r="A15" s="16"/>
      <c r="B15" s="20"/>
      <c r="C15" s="16"/>
      <c r="D15" s="27"/>
      <c r="E15" s="332" t="s">
        <v>341</v>
      </c>
      <c r="F15" s="329" t="s">
        <v>342</v>
      </c>
      <c r="G15" s="16"/>
      <c r="H15" s="16"/>
      <c r="I15" s="16"/>
      <c r="J15" s="16"/>
      <c r="K15" s="16"/>
      <c r="L15" s="16"/>
      <c r="M15" s="16"/>
      <c r="N15" s="16"/>
      <c r="O15" s="16"/>
      <c r="P15" s="16"/>
      <c r="Q15" s="16"/>
      <c r="R15" s="16"/>
      <c r="S15" s="16"/>
      <c r="T15" s="16"/>
      <c r="U15" s="16"/>
      <c r="V15" s="16"/>
      <c r="W15" s="16"/>
      <c r="X15" s="16"/>
      <c r="Y15" s="16"/>
    </row>
    <row r="16" spans="1:25" x14ac:dyDescent="0.3">
      <c r="A16" s="16"/>
      <c r="B16" s="20"/>
      <c r="C16" s="16"/>
      <c r="D16" s="27"/>
      <c r="E16" s="332" t="s">
        <v>343</v>
      </c>
      <c r="F16" s="329" t="s">
        <v>344</v>
      </c>
      <c r="G16" s="16"/>
      <c r="H16" s="16"/>
      <c r="I16" s="16"/>
      <c r="J16" s="16"/>
      <c r="K16" s="16"/>
      <c r="L16" s="16"/>
      <c r="M16" s="16"/>
      <c r="N16" s="16"/>
      <c r="O16" s="16"/>
      <c r="P16" s="16"/>
      <c r="Q16" s="16"/>
      <c r="R16" s="16"/>
      <c r="S16" s="16"/>
      <c r="T16" s="16"/>
      <c r="U16" s="16"/>
      <c r="V16" s="16"/>
      <c r="W16" s="16"/>
      <c r="X16" s="16"/>
      <c r="Y16" s="16"/>
    </row>
    <row r="17" spans="1:25" x14ac:dyDescent="0.3">
      <c r="A17" s="16"/>
      <c r="B17" s="20"/>
      <c r="C17" s="16"/>
      <c r="D17" s="27"/>
      <c r="E17" s="332" t="s">
        <v>345</v>
      </c>
      <c r="F17" s="329" t="s">
        <v>346</v>
      </c>
      <c r="G17" s="16"/>
      <c r="H17" s="16"/>
      <c r="I17" s="16"/>
      <c r="J17" s="16"/>
      <c r="K17" s="16"/>
      <c r="L17" s="16"/>
      <c r="M17" s="16"/>
      <c r="N17" s="16"/>
      <c r="O17" s="16"/>
      <c r="P17" s="16"/>
      <c r="Q17" s="16"/>
      <c r="R17" s="16"/>
      <c r="S17" s="16"/>
      <c r="T17" s="16"/>
      <c r="U17" s="16"/>
      <c r="V17" s="16"/>
      <c r="W17" s="16"/>
      <c r="X17" s="16"/>
      <c r="Y17" s="16"/>
    </row>
    <row r="18" spans="1:25" x14ac:dyDescent="0.3">
      <c r="A18" s="16"/>
      <c r="B18" s="20"/>
      <c r="C18" s="16"/>
      <c r="D18" s="27"/>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20"/>
      <c r="C19" s="26" t="s">
        <v>104</v>
      </c>
      <c r="D19" s="27"/>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20"/>
      <c r="C20" s="25" t="s">
        <v>165</v>
      </c>
      <c r="D20" s="27"/>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20"/>
      <c r="C21" s="16"/>
      <c r="D21" s="27"/>
      <c r="E21" s="16"/>
      <c r="F21" s="16"/>
      <c r="G21" s="31"/>
      <c r="H21" s="16"/>
      <c r="I21" s="16"/>
      <c r="J21" s="16"/>
      <c r="K21" s="16"/>
      <c r="L21" s="16"/>
      <c r="M21" s="16"/>
      <c r="N21" s="16"/>
      <c r="O21" s="16"/>
      <c r="P21" s="16"/>
      <c r="Q21" s="16"/>
      <c r="R21" s="16"/>
      <c r="S21" s="16"/>
      <c r="T21" s="16"/>
      <c r="U21" s="16"/>
      <c r="V21" s="16"/>
      <c r="W21" s="16"/>
      <c r="X21" s="16"/>
      <c r="Y21" s="16"/>
    </row>
    <row r="22" spans="1:25" x14ac:dyDescent="0.3">
      <c r="A22" s="16"/>
      <c r="B22" s="20"/>
      <c r="C22" s="26" t="s">
        <v>105</v>
      </c>
      <c r="D22" s="27"/>
      <c r="E22" s="16"/>
      <c r="F22" s="16"/>
      <c r="G22" s="31"/>
      <c r="H22" s="16"/>
      <c r="I22" s="16"/>
      <c r="J22" s="16"/>
      <c r="K22" s="16"/>
      <c r="L22" s="16"/>
      <c r="M22" s="16"/>
      <c r="N22" s="16"/>
      <c r="O22" s="16"/>
      <c r="P22" s="16"/>
      <c r="Q22" s="16"/>
      <c r="R22" s="16"/>
      <c r="S22" s="16"/>
      <c r="T22" s="16"/>
      <c r="U22" s="16"/>
      <c r="V22" s="16"/>
      <c r="W22" s="16"/>
      <c r="X22" s="16"/>
      <c r="Y22" s="16"/>
    </row>
    <row r="23" spans="1:25" x14ac:dyDescent="0.3">
      <c r="A23" s="16"/>
      <c r="B23" s="20"/>
      <c r="C23" s="25" t="s">
        <v>106</v>
      </c>
      <c r="D23" s="27"/>
      <c r="E23" s="16"/>
      <c r="F23" s="16"/>
      <c r="G23" s="31"/>
      <c r="H23" s="16"/>
      <c r="I23" s="16"/>
      <c r="J23" s="16"/>
      <c r="K23" s="16"/>
      <c r="L23" s="16"/>
      <c r="M23" s="16"/>
      <c r="N23" s="16"/>
      <c r="O23" s="16"/>
      <c r="P23" s="16"/>
      <c r="Q23" s="16"/>
      <c r="R23" s="16"/>
      <c r="S23" s="16"/>
      <c r="T23" s="16"/>
      <c r="U23" s="16"/>
      <c r="V23" s="16"/>
      <c r="W23" s="16"/>
      <c r="X23" s="16"/>
      <c r="Y23" s="16"/>
    </row>
    <row r="24" spans="1:25" x14ac:dyDescent="0.3">
      <c r="A24" s="16"/>
      <c r="B24" s="20"/>
      <c r="C24" s="25" t="s">
        <v>330</v>
      </c>
      <c r="D24" s="27"/>
      <c r="E24" s="16"/>
      <c r="F24" s="16"/>
      <c r="G24" s="31"/>
      <c r="H24" s="16"/>
      <c r="I24" s="16"/>
      <c r="J24" s="16"/>
      <c r="K24" s="16"/>
      <c r="L24" s="16"/>
      <c r="M24" s="16"/>
      <c r="N24" s="16"/>
      <c r="O24" s="16"/>
      <c r="P24" s="16"/>
      <c r="Q24" s="16"/>
      <c r="R24" s="16"/>
      <c r="S24" s="16"/>
      <c r="T24" s="16"/>
      <c r="U24" s="16"/>
      <c r="V24" s="16"/>
      <c r="W24" s="16"/>
      <c r="X24" s="16"/>
      <c r="Y24" s="16"/>
    </row>
    <row r="25" spans="1:25" x14ac:dyDescent="0.3">
      <c r="A25" s="16"/>
      <c r="B25" s="20"/>
      <c r="C25" s="25" t="s">
        <v>331</v>
      </c>
      <c r="D25" s="27"/>
      <c r="E25" s="16"/>
      <c r="F25" s="16"/>
      <c r="G25" s="31"/>
      <c r="H25" s="16"/>
      <c r="I25" s="16"/>
      <c r="J25" s="16"/>
      <c r="K25" s="16"/>
      <c r="L25" s="16"/>
      <c r="M25" s="16"/>
      <c r="N25" s="16"/>
      <c r="O25" s="16"/>
      <c r="P25" s="16"/>
      <c r="Q25" s="16"/>
      <c r="R25" s="16"/>
      <c r="S25" s="16"/>
      <c r="T25" s="16"/>
      <c r="U25" s="16"/>
      <c r="V25" s="16"/>
      <c r="W25" s="16"/>
      <c r="X25" s="16"/>
      <c r="Y25" s="16"/>
    </row>
    <row r="26" spans="1:25" x14ac:dyDescent="0.3">
      <c r="A26" s="16"/>
      <c r="B26" s="20"/>
      <c r="C26" s="25" t="s">
        <v>332</v>
      </c>
      <c r="D26" s="27"/>
      <c r="E26" s="16"/>
      <c r="F26" s="16"/>
      <c r="G26" s="31"/>
      <c r="H26" s="16"/>
      <c r="I26" s="16"/>
      <c r="J26" s="16"/>
      <c r="K26" s="16"/>
      <c r="L26" s="16"/>
      <c r="M26" s="16"/>
      <c r="N26" s="16"/>
      <c r="O26" s="16"/>
      <c r="P26" s="16"/>
      <c r="Q26" s="16"/>
      <c r="R26" s="16"/>
      <c r="S26" s="16"/>
      <c r="T26" s="16"/>
      <c r="U26" s="16"/>
      <c r="V26" s="16"/>
      <c r="W26" s="16"/>
      <c r="X26" s="16"/>
      <c r="Y26" s="16"/>
    </row>
    <row r="27" spans="1:25" x14ac:dyDescent="0.3">
      <c r="A27" s="16"/>
      <c r="B27" s="20"/>
      <c r="C27" s="25" t="s">
        <v>108</v>
      </c>
      <c r="D27" s="27"/>
      <c r="E27" s="16"/>
      <c r="F27" s="16"/>
      <c r="G27" s="31"/>
      <c r="H27" s="16"/>
      <c r="I27" s="16"/>
      <c r="J27" s="16"/>
      <c r="K27" s="16"/>
      <c r="L27" s="16"/>
      <c r="M27" s="16"/>
      <c r="N27" s="16"/>
      <c r="O27" s="16"/>
      <c r="P27" s="16"/>
      <c r="Q27" s="16"/>
      <c r="R27" s="16"/>
      <c r="S27" s="16"/>
      <c r="T27" s="16"/>
      <c r="U27" s="16"/>
      <c r="V27" s="16"/>
      <c r="W27" s="16"/>
      <c r="X27" s="16"/>
      <c r="Y27" s="16"/>
    </row>
    <row r="28" spans="1:25" x14ac:dyDescent="0.3">
      <c r="A28" s="16"/>
      <c r="B28" s="20"/>
      <c r="C28" s="25" t="s">
        <v>109</v>
      </c>
      <c r="D28" s="27"/>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20"/>
      <c r="C29" s="16"/>
      <c r="D29" s="27"/>
      <c r="E29" s="16"/>
      <c r="F29" s="16"/>
      <c r="G29" s="16"/>
      <c r="H29" s="16"/>
      <c r="I29" s="16"/>
      <c r="J29" s="16"/>
      <c r="K29" s="16"/>
      <c r="L29" s="16"/>
      <c r="M29" s="16"/>
      <c r="N29" s="16"/>
      <c r="O29" s="16"/>
      <c r="P29" s="16"/>
      <c r="Q29" s="16"/>
      <c r="R29" s="16"/>
      <c r="S29" s="16"/>
      <c r="T29" s="16"/>
      <c r="U29" s="16"/>
      <c r="V29" s="16"/>
      <c r="W29" s="16"/>
      <c r="X29" s="16"/>
      <c r="Y29" s="16"/>
    </row>
    <row r="30" spans="1:25" x14ac:dyDescent="0.3">
      <c r="A30" s="4"/>
      <c r="B30" s="3" t="s">
        <v>57</v>
      </c>
      <c r="C30" s="2" t="s">
        <v>86</v>
      </c>
      <c r="D30" s="27"/>
      <c r="E30" s="16"/>
      <c r="F30" s="16"/>
      <c r="G30" s="16"/>
      <c r="H30" s="16"/>
      <c r="I30" s="16"/>
      <c r="J30" s="16"/>
      <c r="K30" s="16"/>
      <c r="L30" s="16"/>
      <c r="M30" s="16"/>
      <c r="N30" s="16"/>
      <c r="O30" s="16"/>
      <c r="P30" s="16"/>
      <c r="Q30" s="16"/>
      <c r="R30" s="16"/>
      <c r="S30" s="16"/>
      <c r="T30" s="16"/>
      <c r="U30" s="16"/>
      <c r="V30" s="16"/>
      <c r="W30" s="16"/>
      <c r="X30" s="16"/>
      <c r="Y30" s="16"/>
    </row>
    <row r="31" spans="1:25" x14ac:dyDescent="0.3">
      <c r="A31" s="176"/>
      <c r="B31" s="3" t="s">
        <v>57</v>
      </c>
      <c r="C31" s="2" t="s">
        <v>223</v>
      </c>
      <c r="D31" s="27"/>
      <c r="E31" s="16"/>
      <c r="F31" s="16"/>
      <c r="G31" s="16"/>
      <c r="H31" s="16"/>
      <c r="I31" s="16"/>
      <c r="J31" s="16"/>
      <c r="K31" s="16"/>
      <c r="L31" s="16"/>
      <c r="M31" s="16"/>
      <c r="N31" s="16"/>
      <c r="O31" s="16"/>
      <c r="P31" s="16"/>
      <c r="Q31" s="16"/>
      <c r="R31" s="16"/>
      <c r="S31" s="16"/>
      <c r="T31" s="16"/>
      <c r="U31" s="16"/>
      <c r="V31" s="16"/>
      <c r="W31" s="16"/>
      <c r="X31" s="16"/>
      <c r="Y31" s="16"/>
    </row>
    <row r="32" spans="1:25" x14ac:dyDescent="0.3">
      <c r="A32" s="5"/>
      <c r="B32" s="3" t="s">
        <v>57</v>
      </c>
      <c r="C32" s="2" t="s">
        <v>87</v>
      </c>
      <c r="D32" s="27"/>
      <c r="E32" s="16"/>
      <c r="F32" s="16"/>
      <c r="G32" s="16"/>
      <c r="H32" s="16"/>
      <c r="I32" s="16"/>
      <c r="J32" s="16"/>
      <c r="K32" s="16"/>
      <c r="L32" s="16"/>
      <c r="M32" s="16"/>
      <c r="N32" s="16"/>
      <c r="O32" s="16"/>
      <c r="P32" s="16"/>
      <c r="Q32" s="16"/>
      <c r="R32" s="16"/>
      <c r="S32" s="16"/>
      <c r="T32" s="16"/>
      <c r="U32" s="16"/>
      <c r="V32" s="16"/>
      <c r="W32" s="16"/>
      <c r="X32" s="16"/>
      <c r="Y32" s="16"/>
    </row>
    <row r="33" spans="1:25" x14ac:dyDescent="0.3">
      <c r="A33" s="6"/>
      <c r="B33" s="3" t="s">
        <v>57</v>
      </c>
      <c r="C33" s="2" t="s">
        <v>164</v>
      </c>
      <c r="D33" s="27"/>
      <c r="E33" s="16"/>
      <c r="F33" s="16"/>
      <c r="G33" s="16"/>
      <c r="H33" s="16"/>
      <c r="I33" s="16"/>
      <c r="J33" s="16"/>
      <c r="K33" s="16"/>
      <c r="L33" s="16"/>
      <c r="M33" s="16"/>
      <c r="N33" s="16"/>
      <c r="O33" s="16"/>
      <c r="P33" s="16"/>
      <c r="Q33" s="16"/>
      <c r="R33" s="16"/>
      <c r="S33" s="16"/>
      <c r="T33" s="16"/>
      <c r="U33" s="16"/>
      <c r="V33" s="16"/>
      <c r="W33" s="16"/>
      <c r="X33" s="16"/>
      <c r="Y33" s="16"/>
    </row>
    <row r="34" spans="1:25" x14ac:dyDescent="0.3">
      <c r="A34" s="9"/>
      <c r="B34" s="3" t="s">
        <v>57</v>
      </c>
      <c r="C34" s="2" t="s">
        <v>103</v>
      </c>
      <c r="D34" s="27"/>
      <c r="E34" s="16"/>
      <c r="F34" s="16"/>
      <c r="G34" s="16"/>
      <c r="H34" s="16"/>
      <c r="I34" s="16"/>
      <c r="J34" s="16"/>
      <c r="K34" s="16"/>
      <c r="L34" s="16"/>
      <c r="M34" s="16"/>
      <c r="N34" s="16"/>
      <c r="O34" s="16"/>
      <c r="P34" s="16"/>
      <c r="Q34" s="16"/>
      <c r="R34" s="16"/>
      <c r="S34" s="16"/>
      <c r="T34" s="16"/>
      <c r="U34" s="16"/>
      <c r="V34" s="16"/>
      <c r="W34" s="16"/>
      <c r="X34" s="16"/>
      <c r="Y34" s="16"/>
    </row>
    <row r="35" spans="1:25" x14ac:dyDescent="0.3">
      <c r="A35" s="56"/>
      <c r="B35" s="3" t="s">
        <v>57</v>
      </c>
      <c r="C35" s="2" t="s">
        <v>141</v>
      </c>
      <c r="D35" s="27"/>
      <c r="E35" s="16"/>
      <c r="F35" s="16"/>
      <c r="G35" s="16"/>
      <c r="H35" s="16"/>
      <c r="I35" s="16"/>
      <c r="J35" s="16"/>
      <c r="K35" s="16"/>
      <c r="L35" s="16"/>
      <c r="M35" s="16"/>
      <c r="N35" s="16"/>
      <c r="O35" s="16"/>
      <c r="P35" s="16"/>
      <c r="Q35" s="16"/>
      <c r="R35" s="16"/>
      <c r="S35" s="16"/>
      <c r="T35" s="16"/>
      <c r="U35" s="16"/>
      <c r="V35" s="16"/>
      <c r="W35" s="16"/>
      <c r="X35" s="16"/>
      <c r="Y35" s="16"/>
    </row>
    <row r="36" spans="1:25" x14ac:dyDescent="0.3">
      <c r="A36" s="102">
        <v>0.123456789</v>
      </c>
      <c r="B36" s="3" t="s">
        <v>57</v>
      </c>
      <c r="C36" s="2" t="s">
        <v>163</v>
      </c>
      <c r="D36" s="27"/>
      <c r="E36" s="16"/>
      <c r="F36" s="16"/>
      <c r="G36" s="16"/>
      <c r="H36" s="16"/>
      <c r="I36" s="16"/>
      <c r="J36" s="16"/>
      <c r="K36" s="16"/>
      <c r="L36" s="16"/>
      <c r="M36" s="16"/>
      <c r="N36" s="16"/>
      <c r="O36" s="16"/>
      <c r="P36" s="16"/>
      <c r="Q36" s="16"/>
      <c r="R36" s="16"/>
      <c r="S36" s="16"/>
      <c r="T36" s="16"/>
      <c r="U36" s="16"/>
      <c r="V36" s="16"/>
      <c r="W36" s="16"/>
      <c r="X36" s="16"/>
      <c r="Y36" s="16"/>
    </row>
    <row r="37" spans="1:25" x14ac:dyDescent="0.3">
      <c r="A37" s="27"/>
      <c r="B37" s="14"/>
      <c r="C37" s="27"/>
      <c r="D37" s="27"/>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20"/>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20"/>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20"/>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20"/>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20"/>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20"/>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20"/>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20"/>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20"/>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20"/>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20"/>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20"/>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20"/>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20"/>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20"/>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20"/>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20"/>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20"/>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20"/>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20"/>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20"/>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20"/>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20"/>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20"/>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20"/>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20"/>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20"/>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20"/>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20"/>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20"/>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20"/>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xr:uid="{00000000-0004-0000-0000-000000000000}"/>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
  <sheetViews>
    <sheetView workbookViewId="0"/>
  </sheetViews>
  <sheetFormatPr defaultRowHeight="14.4" x14ac:dyDescent="0.3"/>
  <cols>
    <col min="1" max="1" width="31.5546875" bestFit="1" customWidth="1"/>
    <col min="2" max="3" width="9.109375" customWidth="1"/>
    <col min="5" max="5" width="9.109375" customWidth="1"/>
  </cols>
  <sheetData>
    <row r="1" spans="1:6" x14ac:dyDescent="0.3">
      <c r="A1" s="268" t="s">
        <v>211</v>
      </c>
    </row>
    <row r="3" spans="1:6" x14ac:dyDescent="0.3">
      <c r="A3" s="268" t="s">
        <v>255</v>
      </c>
      <c r="E3" s="266"/>
    </row>
    <row r="4" spans="1:6" x14ac:dyDescent="0.3">
      <c r="A4" t="s">
        <v>248</v>
      </c>
      <c r="E4" s="266"/>
    </row>
    <row r="5" spans="1:6" x14ac:dyDescent="0.3">
      <c r="B5" s="267">
        <v>205</v>
      </c>
      <c r="C5" s="266">
        <v>55</v>
      </c>
      <c r="D5" s="267">
        <v>16</v>
      </c>
      <c r="E5" s="266"/>
    </row>
    <row r="6" spans="1:6" x14ac:dyDescent="0.3">
      <c r="A6" t="s">
        <v>249</v>
      </c>
      <c r="B6" s="267"/>
      <c r="C6" s="266"/>
      <c r="D6" s="267"/>
      <c r="E6" s="266"/>
    </row>
    <row r="7" spans="1:6" x14ac:dyDescent="0.3">
      <c r="A7" t="s">
        <v>254</v>
      </c>
      <c r="B7" s="267">
        <v>16</v>
      </c>
      <c r="C7" s="266">
        <v>7</v>
      </c>
      <c r="D7" s="267">
        <v>53</v>
      </c>
      <c r="E7" s="266">
        <v>16.5</v>
      </c>
      <c r="F7" t="s">
        <v>250</v>
      </c>
    </row>
    <row r="9" spans="1:6" x14ac:dyDescent="0.3">
      <c r="A9" s="268" t="s">
        <v>252</v>
      </c>
      <c r="E9" s="266"/>
    </row>
    <row r="10" spans="1:6" x14ac:dyDescent="0.3">
      <c r="A10" t="s">
        <v>248</v>
      </c>
      <c r="E10" s="266"/>
    </row>
    <row r="11" spans="1:6" x14ac:dyDescent="0.3">
      <c r="B11" s="267">
        <v>235</v>
      </c>
      <c r="C11" s="266">
        <v>40</v>
      </c>
      <c r="D11" s="267">
        <v>17</v>
      </c>
      <c r="E11" s="266"/>
    </row>
    <row r="12" spans="1:6" x14ac:dyDescent="0.3">
      <c r="A12" t="s">
        <v>249</v>
      </c>
      <c r="B12" s="267"/>
      <c r="C12" s="266"/>
      <c r="D12" s="267"/>
      <c r="E12" s="266"/>
    </row>
    <row r="13" spans="1:6" x14ac:dyDescent="0.3">
      <c r="A13" t="s">
        <v>253</v>
      </c>
      <c r="B13" s="267">
        <v>17</v>
      </c>
      <c r="C13" s="266">
        <v>8.5</v>
      </c>
      <c r="D13" s="267">
        <v>48</v>
      </c>
      <c r="E13" s="266">
        <v>25</v>
      </c>
      <c r="F13" t="s">
        <v>250</v>
      </c>
    </row>
    <row r="14" spans="1:6" x14ac:dyDescent="0.3">
      <c r="B14" s="267"/>
      <c r="C14" s="266"/>
      <c r="D14" s="267"/>
      <c r="E14" s="266"/>
    </row>
    <row r="15" spans="1:6" x14ac:dyDescent="0.3">
      <c r="A15" s="268" t="s">
        <v>251</v>
      </c>
      <c r="B15" s="267"/>
      <c r="C15" s="266"/>
      <c r="D15" s="267"/>
      <c r="E15" s="266"/>
    </row>
    <row r="16" spans="1:6" x14ac:dyDescent="0.3">
      <c r="A16" t="s">
        <v>248</v>
      </c>
      <c r="B16" s="267"/>
      <c r="C16" s="266"/>
      <c r="D16" s="267"/>
      <c r="E16" s="266"/>
    </row>
    <row r="17" spans="1:6" x14ac:dyDescent="0.3">
      <c r="B17" s="267">
        <v>225</v>
      </c>
      <c r="C17" s="266">
        <v>45</v>
      </c>
      <c r="D17" s="267">
        <v>17</v>
      </c>
      <c r="E17" s="266"/>
    </row>
    <row r="18" spans="1:6" x14ac:dyDescent="0.3">
      <c r="A18" t="s">
        <v>249</v>
      </c>
      <c r="B18" s="267"/>
      <c r="C18" s="266"/>
      <c r="D18" s="267"/>
      <c r="E18" s="266"/>
    </row>
    <row r="19" spans="1:6" x14ac:dyDescent="0.3">
      <c r="A19" t="s">
        <v>254</v>
      </c>
      <c r="B19" s="267">
        <v>17</v>
      </c>
      <c r="C19" s="266">
        <v>7.5</v>
      </c>
      <c r="D19" s="267">
        <v>53</v>
      </c>
      <c r="E19" s="266">
        <v>17.5</v>
      </c>
      <c r="F19" t="s">
        <v>250</v>
      </c>
    </row>
    <row r="20" spans="1:6" x14ac:dyDescent="0.3">
      <c r="A20" t="s">
        <v>253</v>
      </c>
      <c r="B20" s="267">
        <v>17</v>
      </c>
      <c r="C20" s="266">
        <v>7</v>
      </c>
      <c r="D20" s="267">
        <v>55</v>
      </c>
      <c r="E20" s="266">
        <v>15</v>
      </c>
      <c r="F20" t="s">
        <v>250</v>
      </c>
    </row>
    <row r="28" spans="1:6" x14ac:dyDescent="0.3">
      <c r="A28" t="s">
        <v>278</v>
      </c>
      <c r="B28" s="288" t="s">
        <v>250</v>
      </c>
      <c r="C28" s="288" t="s">
        <v>268</v>
      </c>
    </row>
    <row r="29" spans="1:6" x14ac:dyDescent="0.3">
      <c r="A29" t="s">
        <v>258</v>
      </c>
      <c r="B29">
        <v>22</v>
      </c>
      <c r="C29">
        <f t="shared" ref="C29:C38" si="0">B29*0.45359237</f>
        <v>9.979032140000001</v>
      </c>
    </row>
    <row r="30" spans="1:6" x14ac:dyDescent="0.3">
      <c r="A30" t="s">
        <v>259</v>
      </c>
      <c r="B30">
        <v>16.5</v>
      </c>
      <c r="C30">
        <f t="shared" si="0"/>
        <v>7.4842741050000008</v>
      </c>
    </row>
    <row r="31" spans="1:6" x14ac:dyDescent="0.3">
      <c r="A31" t="s">
        <v>260</v>
      </c>
      <c r="B31">
        <v>0.5</v>
      </c>
      <c r="C31">
        <f t="shared" si="0"/>
        <v>0.22679618500000001</v>
      </c>
    </row>
    <row r="32" spans="1:6" x14ac:dyDescent="0.3">
      <c r="A32" t="s">
        <v>261</v>
      </c>
      <c r="B32">
        <v>0.5</v>
      </c>
      <c r="C32">
        <f t="shared" si="0"/>
        <v>0.22679618500000001</v>
      </c>
    </row>
    <row r="33" spans="1:3" x14ac:dyDescent="0.3">
      <c r="A33" t="s">
        <v>262</v>
      </c>
      <c r="B33">
        <v>14</v>
      </c>
      <c r="C33">
        <f t="shared" si="0"/>
        <v>6.3502931800000004</v>
      </c>
    </row>
    <row r="34" spans="1:3" x14ac:dyDescent="0.3">
      <c r="A34" t="s">
        <v>267</v>
      </c>
      <c r="B34">
        <v>13</v>
      </c>
      <c r="C34">
        <f t="shared" si="0"/>
        <v>5.8967008100000005</v>
      </c>
    </row>
    <row r="35" spans="1:3" x14ac:dyDescent="0.3">
      <c r="A35" t="s">
        <v>263</v>
      </c>
      <c r="B35">
        <v>16.8</v>
      </c>
      <c r="C35">
        <f t="shared" si="0"/>
        <v>7.6203518160000003</v>
      </c>
    </row>
    <row r="36" spans="1:3" x14ac:dyDescent="0.3">
      <c r="A36" t="s">
        <v>264</v>
      </c>
      <c r="B36">
        <v>12</v>
      </c>
      <c r="C36">
        <f t="shared" si="0"/>
        <v>5.4431084400000005</v>
      </c>
    </row>
    <row r="37" spans="1:3" x14ac:dyDescent="0.3">
      <c r="A37" t="s">
        <v>265</v>
      </c>
      <c r="B37">
        <v>10</v>
      </c>
      <c r="C37">
        <f t="shared" si="0"/>
        <v>4.5359237000000006</v>
      </c>
    </row>
    <row r="38" spans="1:3" x14ac:dyDescent="0.3">
      <c r="A38" t="s">
        <v>266</v>
      </c>
      <c r="B38">
        <v>19</v>
      </c>
      <c r="C38">
        <f t="shared" si="0"/>
        <v>8.6182550300000003</v>
      </c>
    </row>
    <row r="39" spans="1:3" x14ac:dyDescent="0.3">
      <c r="B39">
        <f>SUM(B29:B38)</f>
        <v>124.3</v>
      </c>
      <c r="C39">
        <f>B39*0.45359237</f>
        <v>56.381531590999998</v>
      </c>
    </row>
    <row r="41" spans="1:3" x14ac:dyDescent="0.3">
      <c r="A41" t="s">
        <v>279</v>
      </c>
      <c r="B41" s="288" t="s">
        <v>250</v>
      </c>
      <c r="C41" s="288" t="s">
        <v>268</v>
      </c>
    </row>
    <row r="42" spans="1:3" x14ac:dyDescent="0.3">
      <c r="A42" t="s">
        <v>269</v>
      </c>
      <c r="B42">
        <v>22</v>
      </c>
      <c r="C42">
        <f t="shared" ref="C42:C51" si="1">B42*0.45359237</f>
        <v>9.979032140000001</v>
      </c>
    </row>
    <row r="43" spans="1:3" x14ac:dyDescent="0.3">
      <c r="A43" t="s">
        <v>270</v>
      </c>
      <c r="B43">
        <v>16.5</v>
      </c>
      <c r="C43">
        <f t="shared" si="1"/>
        <v>7.4842741050000008</v>
      </c>
    </row>
    <row r="44" spans="1:3" x14ac:dyDescent="0.3">
      <c r="A44" t="s">
        <v>260</v>
      </c>
      <c r="B44">
        <v>0.5</v>
      </c>
      <c r="C44">
        <f t="shared" si="1"/>
        <v>0.22679618500000001</v>
      </c>
    </row>
    <row r="45" spans="1:3" x14ac:dyDescent="0.3">
      <c r="A45" t="s">
        <v>271</v>
      </c>
      <c r="B45">
        <v>18.399999999999999</v>
      </c>
      <c r="C45">
        <f t="shared" si="1"/>
        <v>8.3460996079999994</v>
      </c>
    </row>
    <row r="46" spans="1:3" x14ac:dyDescent="0.3">
      <c r="A46" t="s">
        <v>272</v>
      </c>
      <c r="B46">
        <v>9.5</v>
      </c>
      <c r="C46">
        <f t="shared" si="1"/>
        <v>4.3091275150000001</v>
      </c>
    </row>
    <row r="47" spans="1:3" x14ac:dyDescent="0.3">
      <c r="A47" t="s">
        <v>273</v>
      </c>
      <c r="B47">
        <v>6.8</v>
      </c>
      <c r="C47">
        <f t="shared" si="1"/>
        <v>3.0844281160000002</v>
      </c>
    </row>
    <row r="48" spans="1:3" x14ac:dyDescent="0.3">
      <c r="A48" t="s">
        <v>274</v>
      </c>
      <c r="B48">
        <v>7</v>
      </c>
      <c r="C48">
        <f t="shared" si="1"/>
        <v>3.1751465900000002</v>
      </c>
    </row>
    <row r="49" spans="1:3" x14ac:dyDescent="0.3">
      <c r="A49" t="s">
        <v>275</v>
      </c>
      <c r="B49">
        <v>4</v>
      </c>
      <c r="C49">
        <f t="shared" si="1"/>
        <v>1.8143694800000001</v>
      </c>
    </row>
    <row r="50" spans="1:3" x14ac:dyDescent="0.3">
      <c r="A50" t="s">
        <v>276</v>
      </c>
      <c r="B50">
        <v>12.2</v>
      </c>
      <c r="C50">
        <f t="shared" si="1"/>
        <v>5.5338269139999996</v>
      </c>
    </row>
    <row r="51" spans="1:3" x14ac:dyDescent="0.3">
      <c r="A51" t="s">
        <v>277</v>
      </c>
      <c r="B51">
        <v>17.5</v>
      </c>
      <c r="C51">
        <f t="shared" si="1"/>
        <v>7.9378664750000008</v>
      </c>
    </row>
    <row r="52" spans="1:3" x14ac:dyDescent="0.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5"/>
  <sheetViews>
    <sheetView tabSelected="1" zoomScale="85" zoomScaleNormal="85" workbookViewId="0">
      <selection activeCell="L18" sqref="L18:L31"/>
    </sheetView>
  </sheetViews>
  <sheetFormatPr defaultRowHeight="14.4" x14ac:dyDescent="0.3"/>
  <cols>
    <col min="1" max="1" width="2.6640625" customWidth="1"/>
    <col min="2" max="2" width="11" customWidth="1"/>
    <col min="3" max="3" width="22.5546875" customWidth="1"/>
    <col min="4" max="4" width="10.88671875" customWidth="1"/>
    <col min="5" max="5" width="11" customWidth="1"/>
    <col min="6" max="7" width="10.88671875" customWidth="1"/>
    <col min="8" max="8" width="11.6640625" customWidth="1"/>
    <col min="9" max="9" width="10.88671875" customWidth="1"/>
    <col min="10" max="10" width="13.44140625" customWidth="1"/>
    <col min="11" max="11" width="12.33203125" customWidth="1"/>
    <col min="12" max="12" width="9.88671875" bestFit="1" customWidth="1"/>
    <col min="13" max="13" width="8.6640625" customWidth="1"/>
    <col min="14" max="14" width="60.44140625" customWidth="1"/>
  </cols>
  <sheetData>
    <row r="1" spans="1:36" ht="25.8" x14ac:dyDescent="0.3">
      <c r="A1" s="20"/>
      <c r="B1" s="122" t="s">
        <v>196</v>
      </c>
      <c r="C1" s="123"/>
      <c r="D1" s="124"/>
      <c r="E1" s="125"/>
      <c r="F1" s="125"/>
      <c r="G1" s="125"/>
      <c r="H1" s="125"/>
      <c r="I1" s="12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6" x14ac:dyDescent="0.3">
      <c r="A2" s="64"/>
      <c r="B2" s="65" t="s">
        <v>203</v>
      </c>
      <c r="C2" s="66" t="s">
        <v>201</v>
      </c>
      <c r="D2" s="66"/>
      <c r="E2" s="67"/>
      <c r="F2" s="67"/>
      <c r="G2" s="66" t="s">
        <v>15</v>
      </c>
      <c r="H2" s="67"/>
      <c r="I2" s="67"/>
      <c r="J2" s="67"/>
      <c r="K2" s="67"/>
      <c r="L2" s="67"/>
      <c r="M2" s="67"/>
      <c r="N2" s="127"/>
      <c r="O2" s="16"/>
      <c r="P2" s="16"/>
      <c r="Q2" s="16"/>
      <c r="R2" s="16"/>
      <c r="S2" s="16"/>
      <c r="T2" s="16"/>
      <c r="U2" s="16"/>
      <c r="V2" s="16"/>
      <c r="W2" s="16"/>
      <c r="X2" s="16"/>
      <c r="Y2" s="16"/>
      <c r="Z2" s="16"/>
      <c r="AA2" s="16"/>
      <c r="AB2" s="16"/>
      <c r="AC2" s="16"/>
      <c r="AD2" s="16"/>
      <c r="AE2" s="16"/>
      <c r="AF2" s="16"/>
      <c r="AG2" s="16"/>
      <c r="AH2" s="16"/>
      <c r="AI2" s="16"/>
      <c r="AJ2" s="16"/>
    </row>
    <row r="3" spans="1:36" ht="15.6" x14ac:dyDescent="0.3">
      <c r="A3" s="20"/>
      <c r="B3" s="128" t="s">
        <v>204</v>
      </c>
      <c r="C3" s="136" t="s">
        <v>191</v>
      </c>
      <c r="D3" s="150" t="s">
        <v>14</v>
      </c>
      <c r="E3" s="110"/>
      <c r="F3" s="73" t="s">
        <v>2</v>
      </c>
      <c r="G3" s="112" t="s">
        <v>393</v>
      </c>
      <c r="H3" s="33"/>
      <c r="I3" s="33"/>
      <c r="J3" s="112"/>
      <c r="K3" s="112"/>
      <c r="L3" s="112"/>
      <c r="M3" s="112"/>
      <c r="N3" s="112"/>
      <c r="O3" s="16"/>
      <c r="P3" s="16"/>
      <c r="Q3" s="16"/>
      <c r="R3" s="16"/>
      <c r="S3" s="16"/>
      <c r="T3" s="16"/>
      <c r="U3" s="16"/>
      <c r="V3" s="16"/>
      <c r="W3" s="16"/>
      <c r="X3" s="16"/>
      <c r="Y3" s="16"/>
      <c r="Z3" s="16"/>
      <c r="AA3" s="16"/>
      <c r="AB3" s="16"/>
      <c r="AC3" s="16"/>
      <c r="AD3" s="16"/>
      <c r="AE3" s="16"/>
      <c r="AF3" s="16"/>
      <c r="AG3" s="16"/>
      <c r="AH3" s="16"/>
      <c r="AI3" s="16"/>
      <c r="AJ3" s="16"/>
    </row>
    <row r="4" spans="1:36" x14ac:dyDescent="0.3">
      <c r="A4" s="20"/>
      <c r="B4" s="129"/>
      <c r="C4" s="130" t="s">
        <v>169</v>
      </c>
      <c r="D4" s="138">
        <v>0.1</v>
      </c>
      <c r="E4" s="17"/>
      <c r="F4" s="73" t="s">
        <v>3</v>
      </c>
      <c r="G4" s="112" t="s">
        <v>379</v>
      </c>
      <c r="H4" s="33"/>
      <c r="I4" s="33"/>
      <c r="J4" s="113"/>
      <c r="K4" s="112"/>
      <c r="L4" s="113"/>
      <c r="M4" s="112"/>
      <c r="N4" s="112"/>
      <c r="O4" s="16"/>
      <c r="P4" s="16"/>
      <c r="Q4" s="16"/>
      <c r="R4" s="16"/>
      <c r="S4" s="16"/>
      <c r="T4" s="16"/>
      <c r="U4" s="16"/>
      <c r="V4" s="16"/>
      <c r="W4" s="16"/>
      <c r="X4" s="16"/>
      <c r="Y4" s="16"/>
      <c r="Z4" s="16"/>
      <c r="AA4" s="16"/>
      <c r="AB4" s="16"/>
      <c r="AC4" s="16"/>
      <c r="AD4" s="16"/>
      <c r="AE4" s="16"/>
      <c r="AF4" s="16"/>
      <c r="AG4" s="16"/>
      <c r="AH4" s="16"/>
      <c r="AI4" s="16"/>
      <c r="AJ4" s="16"/>
    </row>
    <row r="5" spans="1:36" x14ac:dyDescent="0.3">
      <c r="A5" s="20"/>
      <c r="B5" s="132"/>
      <c r="C5" s="130" t="s">
        <v>168</v>
      </c>
      <c r="D5" s="138">
        <v>0.16</v>
      </c>
      <c r="E5" s="17"/>
      <c r="F5" s="73" t="s">
        <v>4</v>
      </c>
      <c r="G5" s="112" t="s">
        <v>394</v>
      </c>
      <c r="H5" s="33"/>
      <c r="I5" s="33"/>
      <c r="J5" s="113"/>
      <c r="K5" s="112"/>
      <c r="L5" s="113"/>
      <c r="M5" s="112"/>
      <c r="N5" s="112"/>
      <c r="O5" s="16"/>
      <c r="P5" s="16"/>
      <c r="Q5" s="16"/>
      <c r="R5" s="16"/>
      <c r="S5" s="16"/>
      <c r="T5" s="16"/>
      <c r="U5" s="16"/>
      <c r="V5" s="16"/>
      <c r="W5" s="16"/>
      <c r="X5" s="16"/>
      <c r="Y5" s="16"/>
      <c r="Z5" s="16"/>
      <c r="AA5" s="16"/>
      <c r="AB5" s="16"/>
      <c r="AC5" s="16"/>
      <c r="AD5" s="16"/>
      <c r="AE5" s="16"/>
      <c r="AF5" s="16"/>
      <c r="AG5" s="16"/>
      <c r="AH5" s="16"/>
      <c r="AI5" s="16"/>
      <c r="AJ5" s="16"/>
    </row>
    <row r="6" spans="1:36" x14ac:dyDescent="0.3">
      <c r="A6" s="20"/>
      <c r="B6" s="132"/>
      <c r="C6" s="130" t="s">
        <v>167</v>
      </c>
      <c r="D6" s="131">
        <v>7500</v>
      </c>
      <c r="E6" s="17"/>
      <c r="F6" s="73" t="s">
        <v>5</v>
      </c>
      <c r="G6" s="112" t="s">
        <v>384</v>
      </c>
      <c r="H6" s="33"/>
      <c r="I6" s="33"/>
      <c r="J6" s="113"/>
      <c r="K6" s="112"/>
      <c r="L6" s="113"/>
      <c r="M6" s="112"/>
      <c r="N6" s="112"/>
      <c r="O6" s="16"/>
      <c r="P6" s="16"/>
      <c r="Q6" s="16"/>
      <c r="R6" s="16"/>
      <c r="S6" s="16"/>
      <c r="T6" s="16"/>
      <c r="U6" s="16"/>
      <c r="V6" s="16"/>
      <c r="W6" s="16"/>
      <c r="X6" s="16"/>
      <c r="Y6" s="16"/>
      <c r="Z6" s="16"/>
      <c r="AA6" s="16"/>
      <c r="AB6" s="16"/>
      <c r="AC6" s="16"/>
      <c r="AD6" s="16"/>
      <c r="AE6" s="16"/>
      <c r="AF6" s="16"/>
      <c r="AG6" s="16"/>
      <c r="AH6" s="16"/>
      <c r="AI6" s="16"/>
      <c r="AJ6" s="16"/>
    </row>
    <row r="7" spans="1:36" x14ac:dyDescent="0.3">
      <c r="A7" s="20"/>
      <c r="B7" s="132"/>
      <c r="C7" s="130" t="s">
        <v>154</v>
      </c>
      <c r="D7" s="131">
        <v>20</v>
      </c>
      <c r="E7" s="111"/>
      <c r="F7" s="73" t="s">
        <v>152</v>
      </c>
      <c r="G7" s="112"/>
      <c r="H7" s="33"/>
      <c r="I7" s="33"/>
      <c r="J7" s="113"/>
      <c r="K7" s="112"/>
      <c r="L7" s="113"/>
      <c r="M7" s="112"/>
      <c r="N7" s="112"/>
      <c r="O7" s="16"/>
      <c r="P7" s="16"/>
      <c r="Q7" s="16"/>
      <c r="R7" s="16"/>
      <c r="S7" s="16"/>
      <c r="T7" s="16"/>
      <c r="U7" s="16"/>
      <c r="V7" s="16"/>
      <c r="W7" s="16"/>
      <c r="X7" s="16"/>
      <c r="Y7" s="16"/>
      <c r="Z7" s="16"/>
      <c r="AA7" s="16"/>
      <c r="AB7" s="16"/>
      <c r="AC7" s="16"/>
      <c r="AD7" s="16"/>
      <c r="AE7" s="16"/>
      <c r="AF7" s="16"/>
      <c r="AG7" s="16"/>
      <c r="AH7" s="16"/>
      <c r="AI7" s="16"/>
      <c r="AJ7" s="16"/>
    </row>
    <row r="8" spans="1:36" x14ac:dyDescent="0.3">
      <c r="A8" s="20"/>
      <c r="B8" s="132"/>
      <c r="C8" s="130" t="s">
        <v>166</v>
      </c>
      <c r="D8" s="131">
        <v>1000</v>
      </c>
      <c r="E8" s="17"/>
      <c r="F8" s="73" t="s">
        <v>153</v>
      </c>
      <c r="G8" s="112"/>
      <c r="H8" s="33"/>
      <c r="I8" s="33"/>
      <c r="J8" s="113"/>
      <c r="K8" s="112"/>
      <c r="L8" s="113"/>
      <c r="M8" s="112"/>
      <c r="N8" s="112"/>
      <c r="O8" s="16"/>
      <c r="P8" s="16"/>
      <c r="Q8" s="16"/>
      <c r="R8" s="16"/>
      <c r="S8" s="16"/>
      <c r="T8" s="16"/>
      <c r="U8" s="16"/>
      <c r="V8" s="16"/>
      <c r="W8" s="16"/>
      <c r="X8" s="16"/>
      <c r="Y8" s="16"/>
      <c r="Z8" s="16"/>
      <c r="AA8" s="16"/>
      <c r="AB8" s="16"/>
      <c r="AC8" s="16"/>
      <c r="AD8" s="16"/>
      <c r="AE8" s="16"/>
      <c r="AF8" s="16"/>
      <c r="AG8" s="16"/>
      <c r="AH8" s="16"/>
      <c r="AI8" s="16"/>
      <c r="AJ8" s="16"/>
    </row>
    <row r="9" spans="1:36" x14ac:dyDescent="0.3">
      <c r="A9" s="20"/>
      <c r="B9" s="49"/>
      <c r="C9" s="133"/>
      <c r="D9" s="51"/>
      <c r="E9" s="17"/>
      <c r="F9" s="73" t="s">
        <v>210</v>
      </c>
      <c r="G9" s="112"/>
      <c r="H9" s="33"/>
      <c r="I9" s="33"/>
      <c r="J9" s="113"/>
      <c r="K9" s="112"/>
      <c r="L9" s="113"/>
      <c r="M9" s="112"/>
      <c r="N9" s="112"/>
      <c r="O9" s="16"/>
      <c r="P9" s="16"/>
      <c r="Q9" s="16"/>
      <c r="R9" s="16"/>
      <c r="S9" s="16"/>
      <c r="T9" s="16"/>
      <c r="U9" s="16"/>
      <c r="V9" s="16"/>
      <c r="W9" s="16"/>
      <c r="X9" s="16"/>
      <c r="Y9" s="16"/>
      <c r="Z9" s="16"/>
      <c r="AA9" s="16"/>
      <c r="AB9" s="16"/>
      <c r="AC9" s="16"/>
      <c r="AD9" s="16"/>
      <c r="AE9" s="16"/>
      <c r="AF9" s="16"/>
      <c r="AG9" s="16"/>
      <c r="AH9" s="16"/>
      <c r="AI9" s="16"/>
      <c r="AJ9" s="16"/>
    </row>
    <row r="10" spans="1:36" ht="15.6" x14ac:dyDescent="0.3">
      <c r="A10" s="20"/>
      <c r="B10" s="128" t="s">
        <v>205</v>
      </c>
      <c r="C10" s="136" t="s">
        <v>192</v>
      </c>
      <c r="D10" s="150" t="s">
        <v>14</v>
      </c>
      <c r="E10" s="17"/>
      <c r="F10" s="20"/>
      <c r="G10" s="20"/>
      <c r="H10" s="20"/>
      <c r="I10" s="20"/>
      <c r="J10" s="73"/>
      <c r="K10" s="16"/>
      <c r="L10" s="73"/>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
      <c r="A11" s="20"/>
      <c r="B11" s="129"/>
      <c r="C11" s="130" t="s">
        <v>145</v>
      </c>
      <c r="D11" s="131">
        <v>8000</v>
      </c>
      <c r="E11" s="17"/>
      <c r="F11" s="20"/>
      <c r="G11" s="20"/>
      <c r="H11" s="20"/>
      <c r="I11" s="20"/>
      <c r="J11" s="73"/>
      <c r="K11" s="73"/>
      <c r="L11" s="73"/>
      <c r="M11" s="73"/>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6" x14ac:dyDescent="0.3">
      <c r="A12" s="16"/>
      <c r="B12" s="134"/>
      <c r="C12" s="130" t="s">
        <v>171</v>
      </c>
      <c r="D12" s="131">
        <v>120</v>
      </c>
      <c r="E12" s="11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x14ac:dyDescent="0.3">
      <c r="A13" s="16"/>
      <c r="B13" s="134"/>
      <c r="C13" s="130" t="s">
        <v>170</v>
      </c>
      <c r="D13" s="137">
        <v>0</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
      <c r="A14" s="16"/>
      <c r="B14" s="135"/>
      <c r="C14" s="50"/>
      <c r="D14" s="51"/>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6" x14ac:dyDescent="0.3">
      <c r="A15" s="64"/>
      <c r="B15" s="65" t="s">
        <v>206</v>
      </c>
      <c r="C15" s="66" t="s">
        <v>202</v>
      </c>
      <c r="D15" s="66"/>
      <c r="E15" s="67"/>
      <c r="F15" s="67"/>
      <c r="G15" s="66"/>
      <c r="H15" s="67"/>
      <c r="I15" s="67"/>
      <c r="J15" s="67"/>
      <c r="K15" s="67"/>
      <c r="L15" s="67"/>
      <c r="M15" s="67"/>
      <c r="N15" s="127"/>
      <c r="O15" s="16"/>
      <c r="P15" s="16"/>
      <c r="Q15" s="16"/>
      <c r="R15" s="16"/>
      <c r="S15" s="16"/>
      <c r="T15" s="16"/>
      <c r="U15" s="16"/>
      <c r="V15" s="16"/>
      <c r="W15" s="16"/>
      <c r="X15" s="16"/>
      <c r="Y15" s="16"/>
      <c r="Z15" s="16"/>
      <c r="AA15" s="16"/>
      <c r="AB15" s="16"/>
      <c r="AC15" s="16"/>
      <c r="AD15" s="16"/>
      <c r="AE15" s="16"/>
      <c r="AF15" s="16"/>
      <c r="AG15" s="16"/>
      <c r="AH15" s="16"/>
      <c r="AI15" s="16"/>
      <c r="AJ15" s="16"/>
    </row>
    <row r="16" spans="1:36" ht="15.6" x14ac:dyDescent="0.3">
      <c r="A16" s="16"/>
      <c r="B16" s="128" t="s">
        <v>207</v>
      </c>
      <c r="C16" s="136" t="s">
        <v>193</v>
      </c>
      <c r="D16" s="136"/>
      <c r="E16" s="20"/>
      <c r="F16" s="20"/>
      <c r="G16" s="20"/>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x14ac:dyDescent="0.3">
      <c r="A17" s="16"/>
      <c r="B17" s="117"/>
      <c r="C17" s="118"/>
      <c r="D17" s="174" t="s">
        <v>145</v>
      </c>
      <c r="E17" s="174" t="s">
        <v>161</v>
      </c>
      <c r="F17" s="174" t="s">
        <v>150</v>
      </c>
      <c r="G17" s="174" t="s">
        <v>149</v>
      </c>
      <c r="H17" s="174" t="s">
        <v>147</v>
      </c>
      <c r="I17" s="174" t="s">
        <v>148</v>
      </c>
      <c r="J17" s="172" t="s">
        <v>162</v>
      </c>
      <c r="K17" s="172" t="s">
        <v>209</v>
      </c>
      <c r="L17" s="17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
      <c r="A18" s="16"/>
      <c r="B18" s="115"/>
      <c r="C18" s="112"/>
      <c r="D18" s="22">
        <v>0</v>
      </c>
      <c r="E18" s="74">
        <f>E19</f>
        <v>1.244294589385702</v>
      </c>
      <c r="F18" s="74">
        <v>4</v>
      </c>
      <c r="G18" s="75">
        <v>0</v>
      </c>
      <c r="H18" s="69">
        <f>H19</f>
        <v>3.1646482758620689</v>
      </c>
      <c r="I18" s="77">
        <v>0.15</v>
      </c>
      <c r="J18" s="72">
        <f>J19</f>
        <v>38.25</v>
      </c>
      <c r="K18" s="22" t="str">
        <f t="shared" ref="K18:K54" si="0">CONCATENATE(D18,"|",INT(J18))</f>
        <v>0|38</v>
      </c>
      <c r="L18" s="6" t="s">
        <v>408</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
      <c r="A19" s="16"/>
      <c r="B19" s="115"/>
      <c r="C19" s="112"/>
      <c r="D19" s="121">
        <v>500</v>
      </c>
      <c r="E19" s="61">
        <f>9/7.2330138512</f>
        <v>1.244294589385702</v>
      </c>
      <c r="F19" s="61">
        <f t="shared" ref="F19:F54" si="1">E19*7.2330138512</f>
        <v>9</v>
      </c>
      <c r="G19" s="62">
        <v>45</v>
      </c>
      <c r="H19" s="69">
        <f t="shared" ref="H19:H54" si="2">G19*0.101972*D19/725</f>
        <v>3.1646482758620689</v>
      </c>
      <c r="I19" s="78">
        <v>0.15</v>
      </c>
      <c r="J19" s="72">
        <f>G19*(1-I19)</f>
        <v>38.25</v>
      </c>
      <c r="K19" s="22" t="str">
        <f t="shared" si="0"/>
        <v>500|38</v>
      </c>
      <c r="L19" s="6" t="s">
        <v>409</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
      <c r="A20" s="16"/>
      <c r="B20" s="115"/>
      <c r="C20" s="119"/>
      <c r="D20" s="22">
        <f>D19+$D$19</f>
        <v>1000</v>
      </c>
      <c r="E20" s="61">
        <f>14/7.2330138512</f>
        <v>1.9355693612666478</v>
      </c>
      <c r="F20" s="61">
        <f t="shared" si="1"/>
        <v>14</v>
      </c>
      <c r="G20" s="62">
        <v>90</v>
      </c>
      <c r="H20" s="69">
        <f t="shared" si="2"/>
        <v>12.658593103448275</v>
      </c>
      <c r="I20" s="79">
        <v>0.15</v>
      </c>
      <c r="J20" s="72">
        <f t="shared" ref="J20:J54" si="3">G20*(1-I20)</f>
        <v>76.5</v>
      </c>
      <c r="K20" s="22" t="str">
        <f t="shared" si="0"/>
        <v>1000|76</v>
      </c>
      <c r="L20" s="6" t="s">
        <v>410</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
      <c r="A21" s="16"/>
      <c r="B21" s="115"/>
      <c r="C21" s="120"/>
      <c r="D21" s="22">
        <f t="shared" ref="D21:D54" si="4">D20+$D$19</f>
        <v>1500</v>
      </c>
      <c r="E21" s="61">
        <f>21/7.2330138512</f>
        <v>2.9033540418999717</v>
      </c>
      <c r="F21" s="61">
        <f t="shared" si="1"/>
        <v>21</v>
      </c>
      <c r="G21" s="62">
        <v>131</v>
      </c>
      <c r="H21" s="69">
        <f t="shared" si="2"/>
        <v>27.63792827586207</v>
      </c>
      <c r="I21" s="79">
        <v>0.15</v>
      </c>
      <c r="J21" s="72">
        <f t="shared" si="3"/>
        <v>111.35</v>
      </c>
      <c r="K21" s="22" t="str">
        <f t="shared" si="0"/>
        <v>1500|111</v>
      </c>
      <c r="L21" s="6" t="s">
        <v>397</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
      <c r="A22" s="16"/>
      <c r="B22" s="115"/>
      <c r="C22" s="120"/>
      <c r="D22" s="22">
        <f t="shared" si="4"/>
        <v>2000</v>
      </c>
      <c r="E22" s="61">
        <f>28/7.2330138512</f>
        <v>3.8711387225332956</v>
      </c>
      <c r="F22" s="61">
        <f t="shared" si="1"/>
        <v>28</v>
      </c>
      <c r="G22" s="62">
        <v>144</v>
      </c>
      <c r="H22" s="69">
        <f t="shared" si="2"/>
        <v>40.507497931034479</v>
      </c>
      <c r="I22" s="79">
        <v>0.15</v>
      </c>
      <c r="J22" s="72">
        <f t="shared" si="3"/>
        <v>122.39999999999999</v>
      </c>
      <c r="K22" s="22" t="str">
        <f t="shared" si="0"/>
        <v>2000|122</v>
      </c>
      <c r="L22" s="6" t="s">
        <v>398</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
      <c r="A23" s="16"/>
      <c r="B23" s="115"/>
      <c r="C23" s="120"/>
      <c r="D23" s="22">
        <f t="shared" si="4"/>
        <v>2500</v>
      </c>
      <c r="E23" s="61">
        <f>37/7.2330138512</f>
        <v>5.1154333119189976</v>
      </c>
      <c r="F23" s="61">
        <f t="shared" si="1"/>
        <v>37</v>
      </c>
      <c r="G23" s="62">
        <v>154</v>
      </c>
      <c r="H23" s="69">
        <f t="shared" si="2"/>
        <v>54.150648275862068</v>
      </c>
      <c r="I23" s="79">
        <v>0.15</v>
      </c>
      <c r="J23" s="72">
        <f t="shared" si="3"/>
        <v>130.9</v>
      </c>
      <c r="K23" s="22" t="str">
        <f t="shared" si="0"/>
        <v>2500|130</v>
      </c>
      <c r="L23" s="6" t="s">
        <v>399</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
      <c r="A24" s="16"/>
      <c r="B24" s="115"/>
      <c r="C24" s="120"/>
      <c r="D24" s="22">
        <f t="shared" si="4"/>
        <v>3000</v>
      </c>
      <c r="E24" s="61">
        <f>40/7.2330138512</f>
        <v>5.5301981750475653</v>
      </c>
      <c r="F24" s="61">
        <f t="shared" si="1"/>
        <v>40</v>
      </c>
      <c r="G24" s="62">
        <v>160</v>
      </c>
      <c r="H24" s="69">
        <f t="shared" si="2"/>
        <v>67.512496551724141</v>
      </c>
      <c r="I24" s="79">
        <v>0.15</v>
      </c>
      <c r="J24" s="72">
        <f t="shared" si="3"/>
        <v>136</v>
      </c>
      <c r="K24" s="22" t="str">
        <f t="shared" si="0"/>
        <v>3000|136</v>
      </c>
      <c r="L24" s="6" t="s">
        <v>400</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
      <c r="A25" s="16"/>
      <c r="B25" s="115"/>
      <c r="C25" s="120"/>
      <c r="D25" s="22">
        <f t="shared" si="4"/>
        <v>3500</v>
      </c>
      <c r="E25" s="61">
        <f>42.5/7.2330138512</f>
        <v>5.8758355609880377</v>
      </c>
      <c r="F25" s="61">
        <f t="shared" si="1"/>
        <v>42.5</v>
      </c>
      <c r="G25" s="62">
        <v>158</v>
      </c>
      <c r="H25" s="69">
        <f t="shared" si="2"/>
        <v>77.780022068965508</v>
      </c>
      <c r="I25" s="79">
        <v>0.15</v>
      </c>
      <c r="J25" s="72">
        <f t="shared" si="3"/>
        <v>134.29999999999998</v>
      </c>
      <c r="K25" s="22" t="str">
        <f t="shared" si="0"/>
        <v>3500|134</v>
      </c>
      <c r="L25" s="6" t="s">
        <v>401</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
      <c r="A26" s="16"/>
      <c r="B26" s="115"/>
      <c r="C26" s="120"/>
      <c r="D26" s="22">
        <f t="shared" si="4"/>
        <v>4000</v>
      </c>
      <c r="E26" s="61">
        <f>42.5/7.2330138512</f>
        <v>5.8758355609880377</v>
      </c>
      <c r="F26" s="61">
        <f t="shared" si="1"/>
        <v>42.5</v>
      </c>
      <c r="G26" s="62">
        <v>160</v>
      </c>
      <c r="H26" s="69">
        <f t="shared" si="2"/>
        <v>90.016662068965516</v>
      </c>
      <c r="I26" s="79">
        <v>0.15</v>
      </c>
      <c r="J26" s="72">
        <f t="shared" si="3"/>
        <v>136</v>
      </c>
      <c r="K26" s="22" t="str">
        <f t="shared" si="0"/>
        <v>4000|136</v>
      </c>
      <c r="L26" s="6" t="s">
        <v>402</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
      <c r="A27" s="16"/>
      <c r="B27" s="115"/>
      <c r="C27" s="120"/>
      <c r="D27" s="22">
        <f t="shared" si="4"/>
        <v>4500</v>
      </c>
      <c r="E27" s="61">
        <f>41.5/7.2330138512</f>
        <v>5.7375806066118491</v>
      </c>
      <c r="F27" s="61">
        <f t="shared" si="1"/>
        <v>41.5</v>
      </c>
      <c r="G27" s="62">
        <v>165</v>
      </c>
      <c r="H27" s="69">
        <f t="shared" si="2"/>
        <v>104.43339310344827</v>
      </c>
      <c r="I27" s="79">
        <v>0.15</v>
      </c>
      <c r="J27" s="72">
        <f t="shared" si="3"/>
        <v>140.25</v>
      </c>
      <c r="K27" s="22" t="str">
        <f t="shared" si="0"/>
        <v>4500|140</v>
      </c>
      <c r="L27" s="6" t="s">
        <v>403</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
      <c r="A28" s="16"/>
      <c r="B28" s="115"/>
      <c r="C28" s="120"/>
      <c r="D28" s="22">
        <f t="shared" si="4"/>
        <v>5000</v>
      </c>
      <c r="E28" s="61">
        <f>38/7.2330138512</f>
        <v>5.2536882662951871</v>
      </c>
      <c r="F28" s="61">
        <f t="shared" si="1"/>
        <v>38</v>
      </c>
      <c r="G28" s="62">
        <v>163</v>
      </c>
      <c r="H28" s="69">
        <f t="shared" si="2"/>
        <v>114.63059310344826</v>
      </c>
      <c r="I28" s="79">
        <v>0.15</v>
      </c>
      <c r="J28" s="72">
        <f t="shared" si="3"/>
        <v>138.54999999999998</v>
      </c>
      <c r="K28" s="22" t="str">
        <f t="shared" si="0"/>
        <v>5000|138</v>
      </c>
      <c r="L28" s="6" t="s">
        <v>404</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
      <c r="A29" s="16"/>
      <c r="B29" s="115"/>
      <c r="C29" s="112"/>
      <c r="D29" s="22">
        <f t="shared" si="4"/>
        <v>5500</v>
      </c>
      <c r="E29" s="61">
        <f>37/7.2330138512</f>
        <v>5.1154333119189976</v>
      </c>
      <c r="F29" s="61">
        <f t="shared" si="1"/>
        <v>37</v>
      </c>
      <c r="G29" s="62">
        <v>160</v>
      </c>
      <c r="H29" s="69">
        <f t="shared" si="2"/>
        <v>123.77291034482759</v>
      </c>
      <c r="I29" s="79">
        <v>0.15</v>
      </c>
      <c r="J29" s="72">
        <f t="shared" si="3"/>
        <v>136</v>
      </c>
      <c r="K29" s="22" t="str">
        <f t="shared" si="0"/>
        <v>5500|136</v>
      </c>
      <c r="L29" s="6" t="s">
        <v>405</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
      <c r="A30" s="16"/>
      <c r="B30" s="115"/>
      <c r="C30" s="119"/>
      <c r="D30" s="22">
        <f t="shared" si="4"/>
        <v>6000</v>
      </c>
      <c r="E30" s="61">
        <f>34/7.2330138512</f>
        <v>4.70066844879043</v>
      </c>
      <c r="F30" s="61">
        <f t="shared" si="1"/>
        <v>34</v>
      </c>
      <c r="G30" s="62">
        <v>140</v>
      </c>
      <c r="H30" s="69">
        <f t="shared" si="2"/>
        <v>118.14686896551724</v>
      </c>
      <c r="I30" s="79">
        <v>0.15</v>
      </c>
      <c r="J30" s="72">
        <f t="shared" si="3"/>
        <v>119</v>
      </c>
      <c r="K30" s="22" t="str">
        <f t="shared" si="0"/>
        <v>6000|119</v>
      </c>
      <c r="L30" s="6" t="s">
        <v>406</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
      <c r="A31" s="16"/>
      <c r="B31" s="115"/>
      <c r="C31" s="120"/>
      <c r="D31" s="22">
        <f t="shared" si="4"/>
        <v>6500</v>
      </c>
      <c r="E31" s="61">
        <v>0</v>
      </c>
      <c r="F31" s="61">
        <f t="shared" si="1"/>
        <v>0</v>
      </c>
      <c r="G31" s="62">
        <v>130</v>
      </c>
      <c r="H31" s="69">
        <f t="shared" si="2"/>
        <v>118.85012413793103</v>
      </c>
      <c r="I31" s="79">
        <v>0.15</v>
      </c>
      <c r="J31" s="72">
        <f t="shared" si="3"/>
        <v>110.5</v>
      </c>
      <c r="K31" s="22" t="str">
        <f t="shared" si="0"/>
        <v>6500|110</v>
      </c>
      <c r="L31" s="6" t="s">
        <v>407</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
      <c r="A32" s="16"/>
      <c r="B32" s="115"/>
      <c r="C32" s="120"/>
      <c r="D32" s="22">
        <f t="shared" si="4"/>
        <v>7000</v>
      </c>
      <c r="E32" s="339">
        <v>0</v>
      </c>
      <c r="F32" s="61">
        <f t="shared" si="1"/>
        <v>0</v>
      </c>
      <c r="G32" s="62">
        <f t="shared" ref="G32:G54" si="5">F32*1.35581794884</f>
        <v>0</v>
      </c>
      <c r="H32" s="69">
        <f t="shared" si="2"/>
        <v>0</v>
      </c>
      <c r="I32" s="79">
        <f t="shared" ref="I32:I54" si="6">I31</f>
        <v>0.15</v>
      </c>
      <c r="J32" s="72">
        <f t="shared" si="3"/>
        <v>0</v>
      </c>
      <c r="K32" s="22" t="str">
        <f t="shared" si="0"/>
        <v>7000|0</v>
      </c>
      <c r="L32" s="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
      <c r="A33" s="16"/>
      <c r="B33" s="115"/>
      <c r="C33" s="120"/>
      <c r="D33" s="22">
        <f t="shared" si="4"/>
        <v>7500</v>
      </c>
      <c r="E33" s="61">
        <v>0</v>
      </c>
      <c r="F33" s="61">
        <f t="shared" si="1"/>
        <v>0</v>
      </c>
      <c r="G33" s="62">
        <f t="shared" si="5"/>
        <v>0</v>
      </c>
      <c r="H33" s="68">
        <f t="shared" si="2"/>
        <v>0</v>
      </c>
      <c r="I33" s="79">
        <f t="shared" si="6"/>
        <v>0.15</v>
      </c>
      <c r="J33" s="72">
        <f t="shared" si="3"/>
        <v>0</v>
      </c>
      <c r="K33" s="22" t="str">
        <f t="shared" si="0"/>
        <v>7500|0</v>
      </c>
      <c r="L33" s="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
      <c r="A34" s="16"/>
      <c r="B34" s="115"/>
      <c r="C34" s="120"/>
      <c r="D34" s="22">
        <f t="shared" si="4"/>
        <v>8000</v>
      </c>
      <c r="E34" s="61">
        <v>0</v>
      </c>
      <c r="F34" s="61">
        <f t="shared" si="1"/>
        <v>0</v>
      </c>
      <c r="G34" s="62">
        <f t="shared" si="5"/>
        <v>0</v>
      </c>
      <c r="H34" s="68">
        <f t="shared" si="2"/>
        <v>0</v>
      </c>
      <c r="I34" s="79">
        <f t="shared" si="6"/>
        <v>0.15</v>
      </c>
      <c r="J34" s="72">
        <f t="shared" si="3"/>
        <v>0</v>
      </c>
      <c r="K34" s="22"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
      <c r="A35" s="16"/>
      <c r="B35" s="115"/>
      <c r="C35" s="120"/>
      <c r="D35" s="22">
        <f t="shared" si="4"/>
        <v>8500</v>
      </c>
      <c r="E35" s="61">
        <v>0</v>
      </c>
      <c r="F35" s="61">
        <f t="shared" si="1"/>
        <v>0</v>
      </c>
      <c r="G35" s="62">
        <f t="shared" si="5"/>
        <v>0</v>
      </c>
      <c r="H35" s="68">
        <f t="shared" si="2"/>
        <v>0</v>
      </c>
      <c r="I35" s="79">
        <f t="shared" si="6"/>
        <v>0.15</v>
      </c>
      <c r="J35" s="72">
        <f t="shared" si="3"/>
        <v>0</v>
      </c>
      <c r="K35" s="22"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
      <c r="A36" s="16"/>
      <c r="B36" s="115"/>
      <c r="C36" s="120"/>
      <c r="D36" s="22">
        <f t="shared" si="4"/>
        <v>9000</v>
      </c>
      <c r="E36" s="61">
        <v>0</v>
      </c>
      <c r="F36" s="61">
        <f t="shared" si="1"/>
        <v>0</v>
      </c>
      <c r="G36" s="62">
        <f t="shared" si="5"/>
        <v>0</v>
      </c>
      <c r="H36" s="68">
        <f t="shared" si="2"/>
        <v>0</v>
      </c>
      <c r="I36" s="79">
        <f t="shared" si="6"/>
        <v>0.15</v>
      </c>
      <c r="J36" s="72">
        <f t="shared" si="3"/>
        <v>0</v>
      </c>
      <c r="K36" s="22"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
      <c r="A37" s="16"/>
      <c r="B37" s="115"/>
      <c r="C37" s="120"/>
      <c r="D37" s="22">
        <f t="shared" si="4"/>
        <v>9500</v>
      </c>
      <c r="E37" s="61">
        <v>0</v>
      </c>
      <c r="F37" s="61">
        <f t="shared" si="1"/>
        <v>0</v>
      </c>
      <c r="G37" s="62">
        <f t="shared" si="5"/>
        <v>0</v>
      </c>
      <c r="H37" s="68">
        <f t="shared" si="2"/>
        <v>0</v>
      </c>
      <c r="I37" s="79">
        <f t="shared" si="6"/>
        <v>0.15</v>
      </c>
      <c r="J37" s="72">
        <f t="shared" si="3"/>
        <v>0</v>
      </c>
      <c r="K37" s="22"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
      <c r="A38" s="16"/>
      <c r="B38" s="115"/>
      <c r="C38" s="120"/>
      <c r="D38" s="22">
        <f t="shared" si="4"/>
        <v>10000</v>
      </c>
      <c r="E38" s="61">
        <v>0</v>
      </c>
      <c r="F38" s="61">
        <f t="shared" si="1"/>
        <v>0</v>
      </c>
      <c r="G38" s="62">
        <f t="shared" si="5"/>
        <v>0</v>
      </c>
      <c r="H38" s="68">
        <f t="shared" si="2"/>
        <v>0</v>
      </c>
      <c r="I38" s="79">
        <f t="shared" si="6"/>
        <v>0.15</v>
      </c>
      <c r="J38" s="72">
        <f t="shared" si="3"/>
        <v>0</v>
      </c>
      <c r="K38" s="22"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
      <c r="A39" s="16"/>
      <c r="B39" s="115"/>
      <c r="C39" s="112"/>
      <c r="D39" s="22">
        <f t="shared" si="4"/>
        <v>10500</v>
      </c>
      <c r="E39" s="61">
        <v>0</v>
      </c>
      <c r="F39" s="61">
        <f t="shared" si="1"/>
        <v>0</v>
      </c>
      <c r="G39" s="62">
        <f t="shared" si="5"/>
        <v>0</v>
      </c>
      <c r="H39" s="68">
        <f t="shared" si="2"/>
        <v>0</v>
      </c>
      <c r="I39" s="79">
        <f t="shared" si="6"/>
        <v>0.15</v>
      </c>
      <c r="J39" s="72">
        <f t="shared" si="3"/>
        <v>0</v>
      </c>
      <c r="K39" s="22"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
      <c r="A40" s="16"/>
      <c r="B40" s="115"/>
      <c r="C40" s="112"/>
      <c r="D40" s="22">
        <f t="shared" si="4"/>
        <v>11000</v>
      </c>
      <c r="E40" s="61">
        <v>0</v>
      </c>
      <c r="F40" s="61">
        <f t="shared" si="1"/>
        <v>0</v>
      </c>
      <c r="G40" s="62">
        <f t="shared" si="5"/>
        <v>0</v>
      </c>
      <c r="H40" s="68">
        <f t="shared" si="2"/>
        <v>0</v>
      </c>
      <c r="I40" s="79">
        <f t="shared" si="6"/>
        <v>0.15</v>
      </c>
      <c r="J40" s="72">
        <f t="shared" si="3"/>
        <v>0</v>
      </c>
      <c r="K40" s="22"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
      <c r="A41" s="16"/>
      <c r="B41" s="115"/>
      <c r="C41" s="112"/>
      <c r="D41" s="22">
        <f t="shared" si="4"/>
        <v>11500</v>
      </c>
      <c r="E41" s="61">
        <v>0</v>
      </c>
      <c r="F41" s="61">
        <f t="shared" si="1"/>
        <v>0</v>
      </c>
      <c r="G41" s="62">
        <f t="shared" si="5"/>
        <v>0</v>
      </c>
      <c r="H41" s="68">
        <f t="shared" si="2"/>
        <v>0</v>
      </c>
      <c r="I41" s="79">
        <f t="shared" si="6"/>
        <v>0.15</v>
      </c>
      <c r="J41" s="72">
        <f t="shared" si="3"/>
        <v>0</v>
      </c>
      <c r="K41" s="22"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
      <c r="A42" s="16"/>
      <c r="B42" s="115"/>
      <c r="C42" s="112"/>
      <c r="D42" s="22">
        <f t="shared" si="4"/>
        <v>12000</v>
      </c>
      <c r="E42" s="61">
        <v>0</v>
      </c>
      <c r="F42" s="61">
        <f t="shared" si="1"/>
        <v>0</v>
      </c>
      <c r="G42" s="62">
        <f t="shared" si="5"/>
        <v>0</v>
      </c>
      <c r="H42" s="68">
        <f t="shared" si="2"/>
        <v>0</v>
      </c>
      <c r="I42" s="79">
        <f t="shared" si="6"/>
        <v>0.15</v>
      </c>
      <c r="J42" s="72">
        <f t="shared" si="3"/>
        <v>0</v>
      </c>
      <c r="K42" s="22"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
      <c r="A43" s="16"/>
      <c r="B43" s="115"/>
      <c r="C43" s="112"/>
      <c r="D43" s="22">
        <f t="shared" si="4"/>
        <v>12500</v>
      </c>
      <c r="E43" s="61">
        <v>0</v>
      </c>
      <c r="F43" s="61">
        <f t="shared" si="1"/>
        <v>0</v>
      </c>
      <c r="G43" s="62">
        <f t="shared" si="5"/>
        <v>0</v>
      </c>
      <c r="H43" s="68">
        <f t="shared" si="2"/>
        <v>0</v>
      </c>
      <c r="I43" s="79">
        <f t="shared" si="6"/>
        <v>0.15</v>
      </c>
      <c r="J43" s="72">
        <f t="shared" si="3"/>
        <v>0</v>
      </c>
      <c r="K43" s="22"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
      <c r="A44" s="16"/>
      <c r="B44" s="115"/>
      <c r="C44" s="112"/>
      <c r="D44" s="22">
        <f t="shared" si="4"/>
        <v>13000</v>
      </c>
      <c r="E44" s="61">
        <v>0</v>
      </c>
      <c r="F44" s="61">
        <f t="shared" si="1"/>
        <v>0</v>
      </c>
      <c r="G44" s="62">
        <f t="shared" si="5"/>
        <v>0</v>
      </c>
      <c r="H44" s="68">
        <f t="shared" si="2"/>
        <v>0</v>
      </c>
      <c r="I44" s="79">
        <f t="shared" si="6"/>
        <v>0.15</v>
      </c>
      <c r="J44" s="72">
        <f t="shared" si="3"/>
        <v>0</v>
      </c>
      <c r="K44" s="22"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
      <c r="A45" s="16"/>
      <c r="B45" s="115"/>
      <c r="C45" s="112"/>
      <c r="D45" s="22">
        <f t="shared" si="4"/>
        <v>13500</v>
      </c>
      <c r="E45" s="61">
        <v>0</v>
      </c>
      <c r="F45" s="61">
        <f t="shared" si="1"/>
        <v>0</v>
      </c>
      <c r="G45" s="62">
        <f t="shared" si="5"/>
        <v>0</v>
      </c>
      <c r="H45" s="68">
        <f t="shared" si="2"/>
        <v>0</v>
      </c>
      <c r="I45" s="79">
        <f t="shared" si="6"/>
        <v>0.15</v>
      </c>
      <c r="J45" s="72">
        <f t="shared" si="3"/>
        <v>0</v>
      </c>
      <c r="K45" s="22"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
      <c r="A46" s="16"/>
      <c r="B46" s="115"/>
      <c r="C46" s="112"/>
      <c r="D46" s="22">
        <f t="shared" si="4"/>
        <v>14000</v>
      </c>
      <c r="E46" s="61">
        <v>0</v>
      </c>
      <c r="F46" s="61">
        <f t="shared" si="1"/>
        <v>0</v>
      </c>
      <c r="G46" s="62">
        <f t="shared" si="5"/>
        <v>0</v>
      </c>
      <c r="H46" s="68">
        <f t="shared" si="2"/>
        <v>0</v>
      </c>
      <c r="I46" s="79">
        <f t="shared" si="6"/>
        <v>0.15</v>
      </c>
      <c r="J46" s="72">
        <f t="shared" si="3"/>
        <v>0</v>
      </c>
      <c r="K46" s="22"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
      <c r="A47" s="16"/>
      <c r="B47" s="115"/>
      <c r="C47" s="112"/>
      <c r="D47" s="22">
        <f t="shared" si="4"/>
        <v>14500</v>
      </c>
      <c r="E47" s="61">
        <v>0</v>
      </c>
      <c r="F47" s="61">
        <f t="shared" si="1"/>
        <v>0</v>
      </c>
      <c r="G47" s="62">
        <f t="shared" si="5"/>
        <v>0</v>
      </c>
      <c r="H47" s="68">
        <f t="shared" si="2"/>
        <v>0</v>
      </c>
      <c r="I47" s="79">
        <f t="shared" si="6"/>
        <v>0.15</v>
      </c>
      <c r="J47" s="72">
        <f t="shared" si="3"/>
        <v>0</v>
      </c>
      <c r="K47" s="22"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
      <c r="A48" s="16"/>
      <c r="B48" s="115"/>
      <c r="C48" s="112"/>
      <c r="D48" s="22">
        <f t="shared" si="4"/>
        <v>15000</v>
      </c>
      <c r="E48" s="61">
        <v>0</v>
      </c>
      <c r="F48" s="61">
        <f t="shared" si="1"/>
        <v>0</v>
      </c>
      <c r="G48" s="62">
        <f t="shared" si="5"/>
        <v>0</v>
      </c>
      <c r="H48" s="68">
        <f t="shared" si="2"/>
        <v>0</v>
      </c>
      <c r="I48" s="79">
        <f t="shared" si="6"/>
        <v>0.15</v>
      </c>
      <c r="J48" s="72">
        <f t="shared" si="3"/>
        <v>0</v>
      </c>
      <c r="K48" s="22"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3">
      <c r="A49" s="16"/>
      <c r="B49" s="115"/>
      <c r="C49" s="112"/>
      <c r="D49" s="22">
        <f t="shared" si="4"/>
        <v>15500</v>
      </c>
      <c r="E49" s="61">
        <v>0</v>
      </c>
      <c r="F49" s="61">
        <f t="shared" si="1"/>
        <v>0</v>
      </c>
      <c r="G49" s="62">
        <f t="shared" si="5"/>
        <v>0</v>
      </c>
      <c r="H49" s="68">
        <f t="shared" si="2"/>
        <v>0</v>
      </c>
      <c r="I49" s="79">
        <f t="shared" si="6"/>
        <v>0.15</v>
      </c>
      <c r="J49" s="72">
        <f t="shared" si="3"/>
        <v>0</v>
      </c>
      <c r="K49" s="22"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3">
      <c r="A50" s="16"/>
      <c r="B50" s="115"/>
      <c r="C50" s="112"/>
      <c r="D50" s="22">
        <f t="shared" si="4"/>
        <v>16000</v>
      </c>
      <c r="E50" s="61">
        <v>0</v>
      </c>
      <c r="F50" s="61">
        <f t="shared" si="1"/>
        <v>0</v>
      </c>
      <c r="G50" s="62">
        <f t="shared" si="5"/>
        <v>0</v>
      </c>
      <c r="H50" s="68">
        <f t="shared" si="2"/>
        <v>0</v>
      </c>
      <c r="I50" s="79">
        <f t="shared" si="6"/>
        <v>0.15</v>
      </c>
      <c r="J50" s="72">
        <f t="shared" si="3"/>
        <v>0</v>
      </c>
      <c r="K50" s="22"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3">
      <c r="A51" s="16"/>
      <c r="B51" s="115"/>
      <c r="C51" s="112"/>
      <c r="D51" s="22">
        <f t="shared" si="4"/>
        <v>16500</v>
      </c>
      <c r="E51" s="61">
        <v>0</v>
      </c>
      <c r="F51" s="61">
        <f t="shared" si="1"/>
        <v>0</v>
      </c>
      <c r="G51" s="62">
        <f t="shared" si="5"/>
        <v>0</v>
      </c>
      <c r="H51" s="68">
        <f t="shared" si="2"/>
        <v>0</v>
      </c>
      <c r="I51" s="79">
        <f t="shared" si="6"/>
        <v>0.15</v>
      </c>
      <c r="J51" s="72">
        <f t="shared" si="3"/>
        <v>0</v>
      </c>
      <c r="K51" s="22"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3">
      <c r="A52" s="16"/>
      <c r="B52" s="115"/>
      <c r="C52" s="112"/>
      <c r="D52" s="22">
        <f t="shared" si="4"/>
        <v>17000</v>
      </c>
      <c r="E52" s="61">
        <v>0</v>
      </c>
      <c r="F52" s="61">
        <f t="shared" si="1"/>
        <v>0</v>
      </c>
      <c r="G52" s="62">
        <f t="shared" si="5"/>
        <v>0</v>
      </c>
      <c r="H52" s="68">
        <f t="shared" si="2"/>
        <v>0</v>
      </c>
      <c r="I52" s="79">
        <f t="shared" si="6"/>
        <v>0.15</v>
      </c>
      <c r="J52" s="72">
        <f t="shared" si="3"/>
        <v>0</v>
      </c>
      <c r="K52" s="22"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3">
      <c r="A53" s="16"/>
      <c r="B53" s="115"/>
      <c r="C53" s="112"/>
      <c r="D53" s="22">
        <f t="shared" si="4"/>
        <v>17500</v>
      </c>
      <c r="E53" s="61">
        <v>0</v>
      </c>
      <c r="F53" s="61">
        <f t="shared" si="1"/>
        <v>0</v>
      </c>
      <c r="G53" s="62">
        <f t="shared" si="5"/>
        <v>0</v>
      </c>
      <c r="H53" s="68">
        <f t="shared" si="2"/>
        <v>0</v>
      </c>
      <c r="I53" s="79">
        <f t="shared" si="6"/>
        <v>0.15</v>
      </c>
      <c r="J53" s="72">
        <f t="shared" si="3"/>
        <v>0</v>
      </c>
      <c r="K53" s="22"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3">
      <c r="A54" s="16"/>
      <c r="B54" s="116"/>
      <c r="C54" s="96"/>
      <c r="D54" s="22">
        <f t="shared" si="4"/>
        <v>18000</v>
      </c>
      <c r="E54" s="61">
        <v>0</v>
      </c>
      <c r="F54" s="61">
        <f t="shared" si="1"/>
        <v>0</v>
      </c>
      <c r="G54" s="62">
        <f t="shared" si="5"/>
        <v>0</v>
      </c>
      <c r="H54" s="68">
        <f t="shared" si="2"/>
        <v>0</v>
      </c>
      <c r="I54" s="79">
        <f t="shared" si="6"/>
        <v>0.15</v>
      </c>
      <c r="J54" s="72">
        <f t="shared" si="3"/>
        <v>0</v>
      </c>
      <c r="K54" s="22"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31"/>
  <sheetViews>
    <sheetView zoomScale="80" zoomScaleNormal="80" workbookViewId="0"/>
  </sheetViews>
  <sheetFormatPr defaultRowHeight="14.4" x14ac:dyDescent="0.3"/>
  <cols>
    <col min="1" max="1" width="3.33203125" customWidth="1"/>
    <col min="2" max="2" width="9.6640625" customWidth="1"/>
    <col min="3" max="3" width="24.6640625" bestFit="1" customWidth="1"/>
    <col min="5" max="5" width="13.109375" customWidth="1"/>
    <col min="7" max="7" width="2" customWidth="1"/>
    <col min="8" max="8" width="10.44140625" bestFit="1" customWidth="1"/>
    <col min="9" max="9" width="12.44140625" bestFit="1" customWidth="1"/>
    <col min="10" max="10" width="12.44140625" customWidth="1"/>
    <col min="11" max="11" width="10.44140625" customWidth="1"/>
    <col min="12" max="13" width="12.44140625" customWidth="1"/>
    <col min="14" max="14" width="10.44140625" customWidth="1"/>
    <col min="15" max="16" width="12.44140625" customWidth="1"/>
    <col min="17" max="17" width="10.109375" customWidth="1"/>
    <col min="18" max="18" width="9.6640625" customWidth="1"/>
    <col min="19" max="19" width="113.109375" customWidth="1"/>
    <col min="26" max="26" width="11" customWidth="1"/>
  </cols>
  <sheetData>
    <row r="1" spans="1:53" ht="25.8" x14ac:dyDescent="0.3">
      <c r="A1" s="20"/>
      <c r="B1" s="139" t="s">
        <v>310</v>
      </c>
      <c r="C1" s="139"/>
      <c r="D1" s="140"/>
      <c r="E1" s="141"/>
      <c r="F1" s="142"/>
      <c r="G1" s="142"/>
      <c r="H1" s="142"/>
      <c r="I1" s="142"/>
      <c r="J1" s="143"/>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6" x14ac:dyDescent="0.3">
      <c r="A2" s="64"/>
      <c r="B2" s="318" t="s">
        <v>151</v>
      </c>
      <c r="C2" s="319" t="s">
        <v>201</v>
      </c>
      <c r="D2" s="319"/>
      <c r="E2" s="319"/>
      <c r="F2" s="320"/>
      <c r="G2" s="320"/>
      <c r="H2" s="321"/>
      <c r="I2" s="320"/>
      <c r="J2" s="320"/>
      <c r="K2" s="320"/>
      <c r="L2" s="320"/>
      <c r="M2" s="320"/>
      <c r="N2" s="320"/>
      <c r="O2" s="321"/>
      <c r="P2" s="322"/>
      <c r="Q2" s="322"/>
      <c r="R2" s="320"/>
      <c r="S2" s="321" t="s">
        <v>15</v>
      </c>
      <c r="T2" s="320"/>
      <c r="U2" s="320"/>
      <c r="V2" s="320"/>
      <c r="W2" s="320"/>
      <c r="X2" s="320"/>
      <c r="Y2" s="320"/>
      <c r="Z2" s="127"/>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53" customFormat="1" ht="15.6" x14ac:dyDescent="0.3">
      <c r="A3" s="149"/>
      <c r="B3" s="128" t="s">
        <v>197</v>
      </c>
      <c r="C3" s="136" t="s">
        <v>191</v>
      </c>
      <c r="D3" s="163" t="s">
        <v>14</v>
      </c>
      <c r="E3" s="149"/>
      <c r="F3" s="149"/>
      <c r="G3" s="149"/>
      <c r="H3" s="161" t="s">
        <v>172</v>
      </c>
      <c r="I3" s="323"/>
      <c r="J3" s="162"/>
      <c r="K3" s="161" t="s">
        <v>181</v>
      </c>
      <c r="L3" s="323"/>
      <c r="M3" s="162"/>
      <c r="N3" s="148" t="s">
        <v>184</v>
      </c>
      <c r="O3" s="151"/>
      <c r="P3" s="152"/>
      <c r="Q3" s="149"/>
      <c r="R3" s="73" t="s">
        <v>2</v>
      </c>
      <c r="S3" s="112" t="s">
        <v>380</v>
      </c>
      <c r="T3" s="33"/>
      <c r="U3" s="33"/>
      <c r="V3" s="112"/>
      <c r="W3" s="112"/>
      <c r="X3" s="112"/>
      <c r="Y3" s="112"/>
      <c r="Z3" s="112"/>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row>
    <row r="4" spans="1:53" x14ac:dyDescent="0.3">
      <c r="A4" s="16"/>
      <c r="B4" s="117"/>
      <c r="C4" s="114" t="s">
        <v>169</v>
      </c>
      <c r="D4" s="76">
        <v>0.1</v>
      </c>
      <c r="E4" s="118"/>
      <c r="F4" s="144"/>
      <c r="G4" s="16"/>
      <c r="H4" s="170" t="s">
        <v>145</v>
      </c>
      <c r="I4" s="170" t="s">
        <v>182</v>
      </c>
      <c r="J4" s="170" t="s">
        <v>183</v>
      </c>
      <c r="K4" s="170" t="s">
        <v>145</v>
      </c>
      <c r="L4" s="170" t="s">
        <v>182</v>
      </c>
      <c r="M4" s="170" t="s">
        <v>183</v>
      </c>
      <c r="N4" s="170" t="s">
        <v>145</v>
      </c>
      <c r="O4" s="170" t="s">
        <v>182</v>
      </c>
      <c r="P4" s="170" t="s">
        <v>183</v>
      </c>
      <c r="Q4" s="16"/>
      <c r="R4" s="73" t="s">
        <v>3</v>
      </c>
      <c r="S4" s="112" t="s">
        <v>382</v>
      </c>
      <c r="U4" s="112"/>
      <c r="V4" s="112"/>
      <c r="W4" s="112"/>
      <c r="X4" s="112"/>
      <c r="Y4" s="112"/>
      <c r="Z4" s="112"/>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x14ac:dyDescent="0.3">
      <c r="A5" s="16"/>
      <c r="B5" s="115"/>
      <c r="C5" s="114" t="s">
        <v>168</v>
      </c>
      <c r="D5" s="76">
        <v>0.18</v>
      </c>
      <c r="E5" s="112"/>
      <c r="F5" s="145"/>
      <c r="G5" s="16"/>
      <c r="H5" s="103">
        <v>0</v>
      </c>
      <c r="I5" s="4">
        <v>0</v>
      </c>
      <c r="J5" s="4">
        <v>0</v>
      </c>
      <c r="K5" s="103">
        <v>0</v>
      </c>
      <c r="L5" s="4">
        <v>0</v>
      </c>
      <c r="M5" s="4">
        <v>0</v>
      </c>
      <c r="N5" s="103">
        <v>0</v>
      </c>
      <c r="O5" s="4">
        <f t="shared" ref="O5:P37" si="0">I5+L5</f>
        <v>0</v>
      </c>
      <c r="P5" s="4">
        <f t="shared" si="0"/>
        <v>0</v>
      </c>
      <c r="Q5" s="16"/>
      <c r="R5" s="73" t="s">
        <v>4</v>
      </c>
      <c r="S5" s="112" t="s">
        <v>381</v>
      </c>
      <c r="T5" s="33"/>
      <c r="U5" s="33"/>
      <c r="V5" s="113"/>
      <c r="W5" s="112"/>
      <c r="X5" s="113"/>
      <c r="Y5" s="112"/>
      <c r="Z5" s="112"/>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x14ac:dyDescent="0.3">
      <c r="A6" s="16"/>
      <c r="B6" s="115"/>
      <c r="C6" s="114" t="s">
        <v>167</v>
      </c>
      <c r="D6" s="56">
        <v>8000</v>
      </c>
      <c r="E6" s="112"/>
      <c r="F6" s="145"/>
      <c r="G6" s="16"/>
      <c r="H6" s="3">
        <v>250</v>
      </c>
      <c r="I6" s="4">
        <f>$D$18*MIN(1,POWER(H6/$D$21,$D$22))</f>
        <v>4.0093768693724016E-3</v>
      </c>
      <c r="J6" s="4">
        <f>MIN(I6,$D$19)</f>
        <v>4.0093768693724016E-3</v>
      </c>
      <c r="K6" s="103">
        <f>H6</f>
        <v>250</v>
      </c>
      <c r="L6" s="4">
        <f>$D$28*MIN(1,POWER(K6/$D$31,$D$32))</f>
        <v>0</v>
      </c>
      <c r="M6" s="4">
        <f>MIN(L6,$D$29)</f>
        <v>0</v>
      </c>
      <c r="N6" s="103">
        <f>K6</f>
        <v>250</v>
      </c>
      <c r="O6" s="4">
        <f t="shared" si="0"/>
        <v>4.0093768693724016E-3</v>
      </c>
      <c r="P6" s="4">
        <f t="shared" si="0"/>
        <v>4.0093768693724016E-3</v>
      </c>
      <c r="Q6" s="16"/>
      <c r="R6" s="73" t="s">
        <v>5</v>
      </c>
      <c r="S6" s="112" t="s">
        <v>379</v>
      </c>
      <c r="T6" s="33"/>
      <c r="U6" s="33"/>
      <c r="V6" s="113"/>
      <c r="W6" s="112"/>
      <c r="X6" s="113"/>
      <c r="Y6" s="112"/>
      <c r="Z6" s="112"/>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x14ac:dyDescent="0.3">
      <c r="A7" s="16"/>
      <c r="B7" s="115"/>
      <c r="C7" s="114" t="s">
        <v>154</v>
      </c>
      <c r="D7" s="9">
        <v>18</v>
      </c>
      <c r="E7" s="112"/>
      <c r="F7" s="145"/>
      <c r="G7" s="16"/>
      <c r="H7" s="103">
        <f t="shared" ref="H7:H37" si="1">IF(H6=D6,$D$6+$H$6,H6+$H$6)</f>
        <v>500</v>
      </c>
      <c r="I7" s="4">
        <f t="shared" ref="I7:I37" si="2">$D$18*MIN(1,POWER(H7/$D$21,$D$22))</f>
        <v>2.268046058132573E-2</v>
      </c>
      <c r="J7" s="4">
        <f t="shared" ref="J7:J37" si="3">MIN(I7,$D$19)</f>
        <v>2.268046058132573E-2</v>
      </c>
      <c r="K7" s="103">
        <f t="shared" ref="K7:K37" si="4">IF(K6=G6,$D$6+$H$6,K6+$H$6)</f>
        <v>500</v>
      </c>
      <c r="L7" s="4">
        <f t="shared" ref="L7:L37" si="5">$D$28*MIN(1,POWER(K7/$D$31,$D$32))</f>
        <v>0</v>
      </c>
      <c r="M7" s="4">
        <f t="shared" ref="M7:M37" si="6">MIN(L7,$D$29)</f>
        <v>0</v>
      </c>
      <c r="N7" s="103">
        <f t="shared" ref="N7:N37" si="7">IF(N6=J4,$D$6+$H$6,N6+$H$6)</f>
        <v>500</v>
      </c>
      <c r="O7" s="4">
        <f t="shared" si="0"/>
        <v>2.268046058132573E-2</v>
      </c>
      <c r="P7" s="4">
        <f t="shared" si="0"/>
        <v>2.268046058132573E-2</v>
      </c>
      <c r="Q7" s="16"/>
      <c r="R7" s="73" t="s">
        <v>152</v>
      </c>
      <c r="S7" s="112" t="s">
        <v>385</v>
      </c>
      <c r="T7" s="33"/>
      <c r="U7" s="33"/>
      <c r="V7" s="113"/>
      <c r="W7" s="112"/>
      <c r="X7" s="113"/>
      <c r="Y7" s="112"/>
      <c r="Z7" s="112"/>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x14ac:dyDescent="0.3">
      <c r="A8" s="16"/>
      <c r="B8" s="115"/>
      <c r="C8" s="114" t="s">
        <v>166</v>
      </c>
      <c r="D8" s="56">
        <v>850</v>
      </c>
      <c r="E8" s="112"/>
      <c r="F8" s="145"/>
      <c r="G8" s="16"/>
      <c r="H8" s="103">
        <f t="shared" si="1"/>
        <v>750</v>
      </c>
      <c r="I8" s="4">
        <f t="shared" si="2"/>
        <v>6.25E-2</v>
      </c>
      <c r="J8" s="4">
        <f t="shared" si="3"/>
        <v>6.25E-2</v>
      </c>
      <c r="K8" s="103">
        <f t="shared" si="4"/>
        <v>750</v>
      </c>
      <c r="L8" s="4">
        <f t="shared" si="5"/>
        <v>0</v>
      </c>
      <c r="M8" s="4">
        <f t="shared" si="6"/>
        <v>0</v>
      </c>
      <c r="N8" s="103">
        <f t="shared" si="7"/>
        <v>750</v>
      </c>
      <c r="O8" s="4">
        <f t="shared" si="0"/>
        <v>6.25E-2</v>
      </c>
      <c r="P8" s="4">
        <f t="shared" si="0"/>
        <v>6.25E-2</v>
      </c>
      <c r="Q8" s="16"/>
      <c r="R8" s="73" t="s">
        <v>153</v>
      </c>
      <c r="S8" s="112" t="s">
        <v>383</v>
      </c>
      <c r="T8" s="33"/>
      <c r="U8" s="33"/>
      <c r="V8" s="113"/>
      <c r="W8" s="112"/>
      <c r="X8" s="113"/>
      <c r="Y8" s="112"/>
      <c r="Z8" s="112"/>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x14ac:dyDescent="0.3">
      <c r="A9" s="16"/>
      <c r="B9" s="116"/>
      <c r="C9" s="96"/>
      <c r="D9" s="96"/>
      <c r="E9" s="96"/>
      <c r="F9" s="97"/>
      <c r="G9" s="16"/>
      <c r="H9" s="103">
        <f t="shared" si="1"/>
        <v>1000</v>
      </c>
      <c r="I9" s="4">
        <f t="shared" si="2"/>
        <v>0.1283000598199168</v>
      </c>
      <c r="J9" s="4">
        <f t="shared" si="3"/>
        <v>0.1283000598199168</v>
      </c>
      <c r="K9" s="103">
        <f t="shared" si="4"/>
        <v>1000</v>
      </c>
      <c r="L9" s="4">
        <f t="shared" si="5"/>
        <v>0</v>
      </c>
      <c r="M9" s="4">
        <f t="shared" si="6"/>
        <v>0</v>
      </c>
      <c r="N9" s="103">
        <f t="shared" si="7"/>
        <v>1000</v>
      </c>
      <c r="O9" s="4">
        <f t="shared" si="0"/>
        <v>0.1283000598199168</v>
      </c>
      <c r="P9" s="4">
        <f t="shared" si="0"/>
        <v>0.1283000598199168</v>
      </c>
      <c r="Q9" s="16"/>
      <c r="R9" s="73" t="s">
        <v>210</v>
      </c>
      <c r="S9" s="112" t="s">
        <v>384</v>
      </c>
      <c r="T9" s="33"/>
      <c r="U9" s="33"/>
      <c r="V9" s="113"/>
      <c r="W9" s="112"/>
      <c r="X9" s="113"/>
      <c r="Y9" s="112"/>
      <c r="Z9" s="112"/>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6" x14ac:dyDescent="0.3">
      <c r="A10" s="16"/>
      <c r="B10" s="128" t="s">
        <v>198</v>
      </c>
      <c r="C10" s="136" t="s">
        <v>192</v>
      </c>
      <c r="D10" s="163" t="s">
        <v>14</v>
      </c>
      <c r="E10" s="16"/>
      <c r="F10" s="16"/>
      <c r="G10" s="16"/>
      <c r="H10" s="103">
        <f t="shared" si="1"/>
        <v>1250</v>
      </c>
      <c r="I10" s="4">
        <f t="shared" si="2"/>
        <v>0.22413098068329959</v>
      </c>
      <c r="J10" s="4">
        <f t="shared" si="3"/>
        <v>0.22413098068329959</v>
      </c>
      <c r="K10" s="103">
        <f t="shared" si="4"/>
        <v>1250</v>
      </c>
      <c r="L10" s="4">
        <f t="shared" si="5"/>
        <v>0</v>
      </c>
      <c r="M10" s="4">
        <f t="shared" si="6"/>
        <v>0</v>
      </c>
      <c r="N10" s="103">
        <f t="shared" si="7"/>
        <v>1250</v>
      </c>
      <c r="O10" s="4">
        <f t="shared" si="0"/>
        <v>0.22413098068329959</v>
      </c>
      <c r="P10" s="4">
        <f t="shared" si="0"/>
        <v>0.22413098068329959</v>
      </c>
      <c r="Q10" s="16"/>
      <c r="R10" s="16"/>
      <c r="S10" s="112"/>
      <c r="T10" s="33"/>
      <c r="U10" s="33"/>
      <c r="V10" s="113"/>
      <c r="W10" s="112"/>
      <c r="X10" s="113"/>
      <c r="Y10" s="112"/>
      <c r="Z10" s="11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x14ac:dyDescent="0.3">
      <c r="A11" s="16"/>
      <c r="B11" s="117"/>
      <c r="C11" s="114" t="s">
        <v>145</v>
      </c>
      <c r="D11" s="9">
        <v>8000</v>
      </c>
      <c r="E11" s="118"/>
      <c r="F11" s="144"/>
      <c r="G11" s="16"/>
      <c r="H11" s="103">
        <f t="shared" si="1"/>
        <v>1500</v>
      </c>
      <c r="I11" s="4">
        <f t="shared" si="2"/>
        <v>0.35355339059327379</v>
      </c>
      <c r="J11" s="4">
        <f t="shared" si="3"/>
        <v>0.35355339059327379</v>
      </c>
      <c r="K11" s="103">
        <f t="shared" si="4"/>
        <v>1500</v>
      </c>
      <c r="L11" s="4">
        <f t="shared" si="5"/>
        <v>0</v>
      </c>
      <c r="M11" s="4">
        <f t="shared" si="6"/>
        <v>0</v>
      </c>
      <c r="N11" s="103">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x14ac:dyDescent="0.3">
      <c r="A12" s="16"/>
      <c r="B12" s="115"/>
      <c r="C12" s="114" t="s">
        <v>171</v>
      </c>
      <c r="D12" s="9">
        <v>120</v>
      </c>
      <c r="E12" s="112"/>
      <c r="F12" s="145"/>
      <c r="G12" s="16"/>
      <c r="H12" s="103">
        <f t="shared" si="1"/>
        <v>1750</v>
      </c>
      <c r="I12" s="4">
        <f t="shared" si="2"/>
        <v>0.51978289132600974</v>
      </c>
      <c r="J12" s="4">
        <f t="shared" si="3"/>
        <v>0.51978289132600974</v>
      </c>
      <c r="K12" s="103">
        <f t="shared" si="4"/>
        <v>1750</v>
      </c>
      <c r="L12" s="4">
        <f t="shared" si="5"/>
        <v>0</v>
      </c>
      <c r="M12" s="4">
        <f t="shared" si="6"/>
        <v>0</v>
      </c>
      <c r="N12" s="103">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x14ac:dyDescent="0.3">
      <c r="A13" s="16"/>
      <c r="B13" s="115"/>
      <c r="C13" s="114" t="s">
        <v>170</v>
      </c>
      <c r="D13" s="159">
        <v>0</v>
      </c>
      <c r="E13" s="112"/>
      <c r="F13" s="145"/>
      <c r="G13" s="16"/>
      <c r="H13" s="103">
        <f t="shared" si="1"/>
        <v>2000</v>
      </c>
      <c r="I13" s="4">
        <f t="shared" si="2"/>
        <v>0.72577473860242303</v>
      </c>
      <c r="J13" s="4">
        <f t="shared" si="3"/>
        <v>0.72577473860242303</v>
      </c>
      <c r="K13" s="103">
        <f t="shared" si="4"/>
        <v>2000</v>
      </c>
      <c r="L13" s="4">
        <f t="shared" si="5"/>
        <v>0</v>
      </c>
      <c r="M13" s="4">
        <f t="shared" si="6"/>
        <v>0</v>
      </c>
      <c r="N13" s="103">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x14ac:dyDescent="0.3">
      <c r="A14" s="16"/>
      <c r="B14" s="116"/>
      <c r="C14" s="96"/>
      <c r="D14" s="96"/>
      <c r="E14" s="96"/>
      <c r="F14" s="97"/>
      <c r="G14" s="16"/>
      <c r="H14" s="103">
        <f t="shared" si="1"/>
        <v>2250</v>
      </c>
      <c r="I14" s="4">
        <f t="shared" si="2"/>
        <v>0.97427857925749362</v>
      </c>
      <c r="J14" s="4">
        <f t="shared" si="3"/>
        <v>0.97427857925749362</v>
      </c>
      <c r="K14" s="103">
        <f t="shared" si="4"/>
        <v>2250</v>
      </c>
      <c r="L14" s="4">
        <f t="shared" si="5"/>
        <v>0</v>
      </c>
      <c r="M14" s="4">
        <f t="shared" si="6"/>
        <v>0</v>
      </c>
      <c r="N14" s="103">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6" x14ac:dyDescent="0.3">
      <c r="A15" s="16"/>
      <c r="B15" s="128" t="s">
        <v>199</v>
      </c>
      <c r="C15" s="136" t="s">
        <v>172</v>
      </c>
      <c r="D15" s="163" t="s">
        <v>14</v>
      </c>
      <c r="E15" s="16"/>
      <c r="F15" s="16"/>
      <c r="G15" s="16"/>
      <c r="H15" s="103">
        <f t="shared" si="1"/>
        <v>2500</v>
      </c>
      <c r="I15" s="4">
        <f t="shared" si="2"/>
        <v>1.267876290521218</v>
      </c>
      <c r="J15" s="4">
        <f t="shared" si="3"/>
        <v>1.267876290521218</v>
      </c>
      <c r="K15" s="103">
        <f t="shared" si="4"/>
        <v>2500</v>
      </c>
      <c r="L15" s="4">
        <f t="shared" si="5"/>
        <v>0</v>
      </c>
      <c r="M15" s="4">
        <f t="shared" si="6"/>
        <v>0</v>
      </c>
      <c r="N15" s="103">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6" x14ac:dyDescent="0.3">
      <c r="A16" s="16"/>
      <c r="B16" s="117"/>
      <c r="C16" s="114" t="s">
        <v>173</v>
      </c>
      <c r="D16" s="9">
        <v>0.99</v>
      </c>
      <c r="E16" s="80" t="s">
        <v>155</v>
      </c>
      <c r="F16" s="144"/>
      <c r="G16" s="16"/>
      <c r="H16" s="103">
        <f t="shared" si="1"/>
        <v>2750</v>
      </c>
      <c r="I16" s="4">
        <f t="shared" si="2"/>
        <v>1.6090094449794015</v>
      </c>
      <c r="J16" s="4">
        <f t="shared" si="3"/>
        <v>1.6090094449794015</v>
      </c>
      <c r="K16" s="103">
        <f t="shared" si="4"/>
        <v>2750</v>
      </c>
      <c r="L16" s="4">
        <f t="shared" si="5"/>
        <v>0</v>
      </c>
      <c r="M16" s="4">
        <f t="shared" si="6"/>
        <v>0</v>
      </c>
      <c r="N16" s="103">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x14ac:dyDescent="0.3">
      <c r="A17" s="16"/>
      <c r="B17" s="115"/>
      <c r="C17" s="114" t="s">
        <v>174</v>
      </c>
      <c r="D17" s="9">
        <v>0.99550000000000005</v>
      </c>
      <c r="E17" s="22" t="s">
        <v>212</v>
      </c>
      <c r="F17" s="145"/>
      <c r="G17" s="16"/>
      <c r="H17" s="103">
        <f t="shared" si="1"/>
        <v>3000</v>
      </c>
      <c r="I17" s="4">
        <f t="shared" si="2"/>
        <v>2</v>
      </c>
      <c r="J17" s="4">
        <f t="shared" si="3"/>
        <v>1.9</v>
      </c>
      <c r="K17" s="103">
        <f t="shared" si="4"/>
        <v>3000</v>
      </c>
      <c r="L17" s="4">
        <f t="shared" si="5"/>
        <v>0</v>
      </c>
      <c r="M17" s="4">
        <f t="shared" si="6"/>
        <v>0</v>
      </c>
      <c r="N17" s="103">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x14ac:dyDescent="0.3">
      <c r="A18" s="16"/>
      <c r="B18" s="115"/>
      <c r="C18" s="114" t="s">
        <v>175</v>
      </c>
      <c r="D18" s="147">
        <v>2</v>
      </c>
      <c r="E18" s="169">
        <v>20.3</v>
      </c>
      <c r="F18" s="145"/>
      <c r="G18" s="16"/>
      <c r="H18" s="103">
        <f t="shared" si="1"/>
        <v>3250</v>
      </c>
      <c r="I18" s="4">
        <f t="shared" si="2"/>
        <v>2</v>
      </c>
      <c r="J18" s="4">
        <f t="shared" si="3"/>
        <v>1.9</v>
      </c>
      <c r="K18" s="103">
        <f t="shared" si="4"/>
        <v>3250</v>
      </c>
      <c r="L18" s="4">
        <f t="shared" si="5"/>
        <v>0</v>
      </c>
      <c r="M18" s="4">
        <f t="shared" si="6"/>
        <v>0</v>
      </c>
      <c r="N18" s="103">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x14ac:dyDescent="0.3">
      <c r="A19" s="16"/>
      <c r="B19" s="115"/>
      <c r="C19" s="114" t="s">
        <v>176</v>
      </c>
      <c r="D19" s="147">
        <v>1.9</v>
      </c>
      <c r="E19" s="22" t="s">
        <v>213</v>
      </c>
      <c r="F19" s="145"/>
      <c r="G19" s="16"/>
      <c r="H19" s="103">
        <f t="shared" si="1"/>
        <v>3500</v>
      </c>
      <c r="I19" s="4">
        <f t="shared" si="2"/>
        <v>2</v>
      </c>
      <c r="J19" s="4">
        <f t="shared" si="3"/>
        <v>1.9</v>
      </c>
      <c r="K19" s="103">
        <f t="shared" si="4"/>
        <v>3500</v>
      </c>
      <c r="L19" s="4">
        <f t="shared" si="5"/>
        <v>0</v>
      </c>
      <c r="M19" s="4">
        <f t="shared" si="6"/>
        <v>0</v>
      </c>
      <c r="N19" s="103">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6" x14ac:dyDescent="0.3">
      <c r="A20" s="16"/>
      <c r="B20" s="115"/>
      <c r="C20" s="114" t="s">
        <v>177</v>
      </c>
      <c r="D20" s="158">
        <v>0.8</v>
      </c>
      <c r="E20" s="57">
        <f>E18*0.0689475729</f>
        <v>1.3996357298700002</v>
      </c>
      <c r="F20" s="145"/>
      <c r="G20" s="16"/>
      <c r="H20" s="103">
        <f t="shared" si="1"/>
        <v>3750</v>
      </c>
      <c r="I20" s="4">
        <f t="shared" si="2"/>
        <v>2</v>
      </c>
      <c r="J20" s="4">
        <f t="shared" si="3"/>
        <v>1.9</v>
      </c>
      <c r="K20" s="103">
        <f t="shared" si="4"/>
        <v>3750</v>
      </c>
      <c r="L20" s="4">
        <f t="shared" si="5"/>
        <v>0</v>
      </c>
      <c r="M20" s="4">
        <f t="shared" si="6"/>
        <v>0</v>
      </c>
      <c r="N20" s="103">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
      <c r="A21" s="16"/>
      <c r="B21" s="115"/>
      <c r="C21" s="114" t="s">
        <v>178</v>
      </c>
      <c r="D21" s="56">
        <v>3000</v>
      </c>
      <c r="E21" s="112"/>
      <c r="F21" s="145"/>
      <c r="G21" s="16"/>
      <c r="H21" s="103">
        <f t="shared" si="1"/>
        <v>4000</v>
      </c>
      <c r="I21" s="4">
        <f t="shared" si="2"/>
        <v>2</v>
      </c>
      <c r="J21" s="4">
        <f t="shared" si="3"/>
        <v>1.9</v>
      </c>
      <c r="K21" s="103">
        <f t="shared" si="4"/>
        <v>4000</v>
      </c>
      <c r="L21" s="4">
        <f t="shared" si="5"/>
        <v>0</v>
      </c>
      <c r="M21" s="4">
        <f t="shared" si="6"/>
        <v>0</v>
      </c>
      <c r="N21" s="103">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
      <c r="A22" s="16"/>
      <c r="B22" s="115"/>
      <c r="C22" s="114" t="s">
        <v>179</v>
      </c>
      <c r="D22" s="146">
        <v>2.5</v>
      </c>
      <c r="E22" s="112"/>
      <c r="F22" s="145"/>
      <c r="G22" s="16"/>
      <c r="H22" s="103">
        <f t="shared" si="1"/>
        <v>4250</v>
      </c>
      <c r="I22" s="4">
        <f t="shared" si="2"/>
        <v>2</v>
      </c>
      <c r="J22" s="4">
        <f t="shared" si="3"/>
        <v>1.9</v>
      </c>
      <c r="K22" s="103">
        <f t="shared" si="4"/>
        <v>4250</v>
      </c>
      <c r="L22" s="4">
        <f t="shared" si="5"/>
        <v>0</v>
      </c>
      <c r="M22" s="4">
        <f t="shared" si="6"/>
        <v>0</v>
      </c>
      <c r="N22" s="103">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
      <c r="A23" s="16"/>
      <c r="B23" s="115"/>
      <c r="C23" s="114" t="s">
        <v>180</v>
      </c>
      <c r="D23" s="9">
        <v>1</v>
      </c>
      <c r="E23" s="112"/>
      <c r="F23" s="145"/>
      <c r="G23" s="16"/>
      <c r="H23" s="103">
        <f t="shared" si="1"/>
        <v>4500</v>
      </c>
      <c r="I23" s="4">
        <f t="shared" si="2"/>
        <v>2</v>
      </c>
      <c r="J23" s="4">
        <f t="shared" si="3"/>
        <v>1.9</v>
      </c>
      <c r="K23" s="103">
        <f t="shared" si="4"/>
        <v>4500</v>
      </c>
      <c r="L23" s="4">
        <f t="shared" si="5"/>
        <v>0</v>
      </c>
      <c r="M23" s="4">
        <f t="shared" si="6"/>
        <v>0</v>
      </c>
      <c r="N23" s="103">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
      <c r="A24" s="16"/>
      <c r="B24" s="116"/>
      <c r="C24" s="96"/>
      <c r="D24" s="96"/>
      <c r="E24" s="96"/>
      <c r="F24" s="97"/>
      <c r="G24" s="16"/>
      <c r="H24" s="103">
        <f t="shared" si="1"/>
        <v>4750</v>
      </c>
      <c r="I24" s="4">
        <f t="shared" si="2"/>
        <v>2</v>
      </c>
      <c r="J24" s="4">
        <f t="shared" si="3"/>
        <v>1.9</v>
      </c>
      <c r="K24" s="103">
        <f t="shared" si="4"/>
        <v>4750</v>
      </c>
      <c r="L24" s="4">
        <f t="shared" si="5"/>
        <v>0</v>
      </c>
      <c r="M24" s="4">
        <f t="shared" si="6"/>
        <v>0</v>
      </c>
      <c r="N24" s="103">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6" x14ac:dyDescent="0.3">
      <c r="A25" s="16"/>
      <c r="B25" s="128" t="s">
        <v>200</v>
      </c>
      <c r="C25" s="136" t="s">
        <v>181</v>
      </c>
      <c r="D25" s="163" t="s">
        <v>14</v>
      </c>
      <c r="E25" s="16"/>
      <c r="F25" s="16"/>
      <c r="G25" s="16"/>
      <c r="H25" s="103">
        <f t="shared" si="1"/>
        <v>5000</v>
      </c>
      <c r="I25" s="4">
        <f t="shared" si="2"/>
        <v>2</v>
      </c>
      <c r="J25" s="4">
        <f t="shared" si="3"/>
        <v>1.9</v>
      </c>
      <c r="K25" s="103">
        <f t="shared" si="4"/>
        <v>5000</v>
      </c>
      <c r="L25" s="4">
        <f t="shared" si="5"/>
        <v>0</v>
      </c>
      <c r="M25" s="4">
        <f t="shared" si="6"/>
        <v>0</v>
      </c>
      <c r="N25" s="103">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6" x14ac:dyDescent="0.3">
      <c r="A26" s="16"/>
      <c r="B26" s="117"/>
      <c r="C26" s="114" t="s">
        <v>173</v>
      </c>
      <c r="D26" s="9">
        <v>0.99</v>
      </c>
      <c r="E26" s="80" t="s">
        <v>155</v>
      </c>
      <c r="F26" s="144"/>
      <c r="G26" s="16"/>
      <c r="H26" s="103">
        <f t="shared" si="1"/>
        <v>5250</v>
      </c>
      <c r="I26" s="4">
        <f t="shared" si="2"/>
        <v>2</v>
      </c>
      <c r="J26" s="4">
        <f t="shared" si="3"/>
        <v>1.9</v>
      </c>
      <c r="K26" s="103">
        <f t="shared" si="4"/>
        <v>5250</v>
      </c>
      <c r="L26" s="4">
        <f t="shared" si="5"/>
        <v>0</v>
      </c>
      <c r="M26" s="4">
        <f t="shared" si="6"/>
        <v>0</v>
      </c>
      <c r="N26" s="103">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
      <c r="A27" s="16"/>
      <c r="B27" s="115"/>
      <c r="C27" s="114" t="s">
        <v>174</v>
      </c>
      <c r="D27" s="9">
        <v>0.99550000000000005</v>
      </c>
      <c r="E27" s="22" t="s">
        <v>212</v>
      </c>
      <c r="F27" s="145"/>
      <c r="G27" s="16"/>
      <c r="H27" s="103">
        <f t="shared" si="1"/>
        <v>5500</v>
      </c>
      <c r="I27" s="4">
        <f t="shared" si="2"/>
        <v>2</v>
      </c>
      <c r="J27" s="4">
        <f t="shared" si="3"/>
        <v>1.9</v>
      </c>
      <c r="K27" s="103">
        <f t="shared" si="4"/>
        <v>5500</v>
      </c>
      <c r="L27" s="4">
        <f t="shared" si="5"/>
        <v>0</v>
      </c>
      <c r="M27" s="4">
        <f t="shared" si="6"/>
        <v>0</v>
      </c>
      <c r="N27" s="103">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
      <c r="A28" s="16"/>
      <c r="B28" s="115"/>
      <c r="C28" s="114" t="s">
        <v>175</v>
      </c>
      <c r="D28" s="147">
        <v>0</v>
      </c>
      <c r="E28" s="23">
        <v>11.6</v>
      </c>
      <c r="F28" s="145"/>
      <c r="G28" s="16"/>
      <c r="H28" s="103">
        <f t="shared" si="1"/>
        <v>5750</v>
      </c>
      <c r="I28" s="4">
        <f t="shared" si="2"/>
        <v>2</v>
      </c>
      <c r="J28" s="4">
        <f t="shared" si="3"/>
        <v>1.9</v>
      </c>
      <c r="K28" s="103">
        <f t="shared" si="4"/>
        <v>5750</v>
      </c>
      <c r="L28" s="4">
        <f t="shared" si="5"/>
        <v>0</v>
      </c>
      <c r="M28" s="4">
        <f t="shared" si="6"/>
        <v>0</v>
      </c>
      <c r="N28" s="103">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
      <c r="A29" s="16"/>
      <c r="B29" s="115"/>
      <c r="C29" s="114" t="s">
        <v>176</v>
      </c>
      <c r="D29" s="147">
        <v>0</v>
      </c>
      <c r="E29" s="22" t="s">
        <v>213</v>
      </c>
      <c r="F29" s="145"/>
      <c r="G29" s="16"/>
      <c r="H29" s="103">
        <f t="shared" si="1"/>
        <v>6000</v>
      </c>
      <c r="I29" s="4">
        <f t="shared" si="2"/>
        <v>2</v>
      </c>
      <c r="J29" s="4">
        <f t="shared" si="3"/>
        <v>1.9</v>
      </c>
      <c r="K29" s="103">
        <f t="shared" si="4"/>
        <v>6000</v>
      </c>
      <c r="L29" s="4">
        <f t="shared" si="5"/>
        <v>0</v>
      </c>
      <c r="M29" s="4">
        <f t="shared" si="6"/>
        <v>0</v>
      </c>
      <c r="N29" s="103">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6" x14ac:dyDescent="0.3">
      <c r="A30" s="16"/>
      <c r="B30" s="115"/>
      <c r="C30" s="114" t="s">
        <v>177</v>
      </c>
      <c r="D30" s="158">
        <v>0.8</v>
      </c>
      <c r="E30" s="57">
        <f>E28*0.0689475729</f>
        <v>0.79979184564000005</v>
      </c>
      <c r="F30" s="145"/>
      <c r="G30" s="16"/>
      <c r="H30" s="103">
        <f t="shared" si="1"/>
        <v>6250</v>
      </c>
      <c r="I30" s="4">
        <f t="shared" si="2"/>
        <v>2</v>
      </c>
      <c r="J30" s="4">
        <f t="shared" si="3"/>
        <v>1.9</v>
      </c>
      <c r="K30" s="103">
        <f t="shared" si="4"/>
        <v>6250</v>
      </c>
      <c r="L30" s="4">
        <f t="shared" si="5"/>
        <v>0</v>
      </c>
      <c r="M30" s="4">
        <f t="shared" si="6"/>
        <v>0</v>
      </c>
      <c r="N30" s="103">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
      <c r="A31" s="16"/>
      <c r="B31" s="115"/>
      <c r="C31" s="114" t="s">
        <v>178</v>
      </c>
      <c r="D31" s="56">
        <v>3000</v>
      </c>
      <c r="E31" s="112"/>
      <c r="F31" s="145"/>
      <c r="G31" s="16"/>
      <c r="H31" s="103">
        <f t="shared" si="1"/>
        <v>6500</v>
      </c>
      <c r="I31" s="4">
        <f t="shared" si="2"/>
        <v>2</v>
      </c>
      <c r="J31" s="4">
        <f t="shared" si="3"/>
        <v>1.9</v>
      </c>
      <c r="K31" s="103">
        <f t="shared" si="4"/>
        <v>6500</v>
      </c>
      <c r="L31" s="4">
        <f t="shared" si="5"/>
        <v>0</v>
      </c>
      <c r="M31" s="4">
        <f t="shared" si="6"/>
        <v>0</v>
      </c>
      <c r="N31" s="103">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
      <c r="A32" s="16"/>
      <c r="B32" s="115"/>
      <c r="C32" s="114" t="s">
        <v>179</v>
      </c>
      <c r="D32" s="146">
        <v>4</v>
      </c>
      <c r="E32" s="112"/>
      <c r="F32" s="145"/>
      <c r="G32" s="16"/>
      <c r="H32" s="103">
        <f t="shared" si="1"/>
        <v>6750</v>
      </c>
      <c r="I32" s="4">
        <f t="shared" si="2"/>
        <v>2</v>
      </c>
      <c r="J32" s="4">
        <f t="shared" si="3"/>
        <v>1.9</v>
      </c>
      <c r="K32" s="103">
        <f t="shared" si="4"/>
        <v>6750</v>
      </c>
      <c r="L32" s="4">
        <f t="shared" si="5"/>
        <v>0</v>
      </c>
      <c r="M32" s="4">
        <f t="shared" si="6"/>
        <v>0</v>
      </c>
      <c r="N32" s="103">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
      <c r="A33" s="16"/>
      <c r="B33" s="115"/>
      <c r="C33" s="114" t="s">
        <v>180</v>
      </c>
      <c r="D33" s="9">
        <v>1</v>
      </c>
      <c r="E33" s="112"/>
      <c r="F33" s="145"/>
      <c r="G33" s="16"/>
      <c r="H33" s="103">
        <f t="shared" si="1"/>
        <v>7000</v>
      </c>
      <c r="I33" s="4">
        <f t="shared" si="2"/>
        <v>2</v>
      </c>
      <c r="J33" s="4">
        <f t="shared" si="3"/>
        <v>1.9</v>
      </c>
      <c r="K33" s="103">
        <f t="shared" si="4"/>
        <v>7000</v>
      </c>
      <c r="L33" s="4">
        <f t="shared" si="5"/>
        <v>0</v>
      </c>
      <c r="M33" s="4">
        <f t="shared" si="6"/>
        <v>0</v>
      </c>
      <c r="N33" s="103">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
      <c r="A34" s="16"/>
      <c r="B34" s="116"/>
      <c r="C34" s="96"/>
      <c r="D34" s="96"/>
      <c r="E34" s="96"/>
      <c r="F34" s="97"/>
      <c r="G34" s="16"/>
      <c r="H34" s="103">
        <f t="shared" si="1"/>
        <v>7250</v>
      </c>
      <c r="I34" s="4">
        <f t="shared" si="2"/>
        <v>2</v>
      </c>
      <c r="J34" s="4">
        <f t="shared" si="3"/>
        <v>1.9</v>
      </c>
      <c r="K34" s="103">
        <f t="shared" si="4"/>
        <v>7250</v>
      </c>
      <c r="L34" s="4">
        <f t="shared" si="5"/>
        <v>0</v>
      </c>
      <c r="M34" s="4">
        <f t="shared" si="6"/>
        <v>0</v>
      </c>
      <c r="N34" s="103">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
      <c r="A35" s="16"/>
      <c r="B35" s="16"/>
      <c r="C35" s="16"/>
      <c r="D35" s="16"/>
      <c r="E35" s="16"/>
      <c r="F35" s="16"/>
      <c r="G35" s="16"/>
      <c r="H35" s="103">
        <f t="shared" si="1"/>
        <v>7500</v>
      </c>
      <c r="I35" s="4">
        <f t="shared" si="2"/>
        <v>2</v>
      </c>
      <c r="J35" s="4">
        <f t="shared" si="3"/>
        <v>1.9</v>
      </c>
      <c r="K35" s="103">
        <f t="shared" si="4"/>
        <v>7500</v>
      </c>
      <c r="L35" s="4">
        <f t="shared" si="5"/>
        <v>0</v>
      </c>
      <c r="M35" s="4">
        <f t="shared" si="6"/>
        <v>0</v>
      </c>
      <c r="N35" s="103">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
      <c r="A36" s="16"/>
      <c r="B36" s="16"/>
      <c r="C36" s="16"/>
      <c r="D36" s="16"/>
      <c r="E36" s="16"/>
      <c r="F36" s="16"/>
      <c r="G36" s="16"/>
      <c r="H36" s="103">
        <f t="shared" si="1"/>
        <v>7750</v>
      </c>
      <c r="I36" s="4">
        <f t="shared" si="2"/>
        <v>2</v>
      </c>
      <c r="J36" s="4">
        <f t="shared" si="3"/>
        <v>1.9</v>
      </c>
      <c r="K36" s="103">
        <f t="shared" si="4"/>
        <v>7750</v>
      </c>
      <c r="L36" s="4">
        <f t="shared" si="5"/>
        <v>0</v>
      </c>
      <c r="M36" s="4">
        <f t="shared" si="6"/>
        <v>0</v>
      </c>
      <c r="N36" s="103">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
      <c r="A37" s="16"/>
      <c r="B37" s="16"/>
      <c r="C37" s="16"/>
      <c r="D37" s="16"/>
      <c r="E37" s="16"/>
      <c r="F37" s="16"/>
      <c r="G37" s="16"/>
      <c r="H37" s="156">
        <f t="shared" si="1"/>
        <v>8000</v>
      </c>
      <c r="I37" s="157">
        <f t="shared" si="2"/>
        <v>2</v>
      </c>
      <c r="J37" s="157">
        <f t="shared" si="3"/>
        <v>1.9</v>
      </c>
      <c r="K37" s="156">
        <f t="shared" si="4"/>
        <v>8000</v>
      </c>
      <c r="L37" s="157">
        <f t="shared" si="5"/>
        <v>0</v>
      </c>
      <c r="M37" s="157">
        <f t="shared" si="6"/>
        <v>0</v>
      </c>
      <c r="N37" s="156">
        <f t="shared" si="7"/>
        <v>8000</v>
      </c>
      <c r="O37" s="157">
        <f t="shared" si="0"/>
        <v>2</v>
      </c>
      <c r="P37" s="15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6" x14ac:dyDescent="0.3">
      <c r="A38" s="64"/>
      <c r="B38" s="324" t="s">
        <v>206</v>
      </c>
      <c r="C38" s="321" t="s">
        <v>202</v>
      </c>
      <c r="D38" s="321"/>
      <c r="E38" s="320"/>
      <c r="F38" s="320"/>
      <c r="G38" s="321"/>
      <c r="H38" s="320"/>
      <c r="I38" s="320"/>
      <c r="J38" s="320"/>
      <c r="K38" s="320"/>
      <c r="L38" s="320"/>
      <c r="M38" s="320"/>
      <c r="N38" s="321"/>
      <c r="O38" s="322"/>
      <c r="P38" s="322"/>
      <c r="Q38" s="322"/>
      <c r="R38" s="10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6" x14ac:dyDescent="0.3">
      <c r="A39" s="16"/>
      <c r="B39" s="128" t="s">
        <v>208</v>
      </c>
      <c r="C39" s="136"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5.2" x14ac:dyDescent="0.3">
      <c r="A40" s="16"/>
      <c r="B40" s="117"/>
      <c r="C40" s="118"/>
      <c r="D40" s="118"/>
      <c r="E40" s="164"/>
      <c r="F40" s="165"/>
      <c r="G40" s="16"/>
      <c r="H40" s="171" t="s">
        <v>145</v>
      </c>
      <c r="I40" s="172" t="s">
        <v>161</v>
      </c>
      <c r="J40" s="172" t="s">
        <v>185</v>
      </c>
      <c r="K40" s="172" t="s">
        <v>186</v>
      </c>
      <c r="L40" s="172" t="s">
        <v>147</v>
      </c>
      <c r="M40" s="172" t="s">
        <v>187</v>
      </c>
      <c r="N40" s="172" t="s">
        <v>188</v>
      </c>
      <c r="O40" s="172" t="s">
        <v>148</v>
      </c>
      <c r="P40" s="172" t="s">
        <v>162</v>
      </c>
      <c r="Q40" s="172" t="s">
        <v>190</v>
      </c>
      <c r="R40" s="17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
      <c r="A41" s="16"/>
      <c r="B41" s="115"/>
      <c r="C41" s="112"/>
      <c r="D41" s="112"/>
      <c r="E41" s="166"/>
      <c r="F41" s="167"/>
      <c r="G41" s="16"/>
      <c r="H41" s="103">
        <f>H5</f>
        <v>0</v>
      </c>
      <c r="I41" s="74">
        <f>I42</f>
        <v>11</v>
      </c>
      <c r="J41" s="74">
        <f>J42</f>
        <v>89</v>
      </c>
      <c r="K41" s="75">
        <f>J41*1.35581794884</f>
        <v>120.66779744675999</v>
      </c>
      <c r="L41" s="74">
        <f>L42</f>
        <v>4.2430126349106922</v>
      </c>
      <c r="M41" s="106">
        <f t="shared" ref="M41:M73" si="8">MIN(O5,P5)</f>
        <v>0</v>
      </c>
      <c r="N41" s="4">
        <v>0</v>
      </c>
      <c r="O41" s="85"/>
      <c r="P41" s="72">
        <f>P42</f>
        <v>120.18592677193652</v>
      </c>
      <c r="Q41" s="108" t="str">
        <f t="shared" ref="Q41:Q79" si="9">CONCATENATE(H41,"|",INT(P41))</f>
        <v>0|120</v>
      </c>
      <c r="R41" s="6" t="s">
        <v>313</v>
      </c>
      <c r="S41" s="16"/>
      <c r="T41" s="325">
        <f>T42</f>
        <v>120.66779744675999</v>
      </c>
      <c r="U41" s="32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
      <c r="A42" s="16"/>
      <c r="B42" s="115"/>
      <c r="C42" s="112"/>
      <c r="D42" s="112"/>
      <c r="E42" s="166"/>
      <c r="F42" s="167"/>
      <c r="G42" s="16"/>
      <c r="H42" s="103">
        <f t="shared" ref="H42:H73" si="10">H6</f>
        <v>250</v>
      </c>
      <c r="I42" s="107">
        <v>11</v>
      </c>
      <c r="J42" s="61">
        <v>89</v>
      </c>
      <c r="K42" s="62">
        <f t="shared" ref="K42:K79" si="11">J42*1.35581794884</f>
        <v>120.66779744675999</v>
      </c>
      <c r="L42" s="74">
        <f t="shared" ref="L42:L79" si="12">K42*0.101972*H42/725</f>
        <v>4.2430126349106922</v>
      </c>
      <c r="M42" s="106">
        <f t="shared" si="8"/>
        <v>4.0093768693724016E-3</v>
      </c>
      <c r="N42" s="4">
        <f t="shared" ref="N42:N79" si="13">P42*M42</f>
        <v>0.48187067482348755</v>
      </c>
      <c r="O42" s="70">
        <v>0</v>
      </c>
      <c r="P42" s="72">
        <f t="shared" ref="P42:P79" si="14">(K42/(1+M42))*(1-O42)</f>
        <v>120.18592677193652</v>
      </c>
      <c r="Q42" s="109" t="str">
        <f t="shared" si="9"/>
        <v>250|120</v>
      </c>
      <c r="R42" s="6" t="s">
        <v>314</v>
      </c>
      <c r="S42" s="16"/>
      <c r="T42" s="325">
        <f>P42*(1+M42)</f>
        <v>120.66779744675999</v>
      </c>
      <c r="U42" s="32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
      <c r="A43" s="16"/>
      <c r="B43" s="115"/>
      <c r="C43" s="112"/>
      <c r="D43" s="112"/>
      <c r="E43" s="160"/>
      <c r="F43" s="168"/>
      <c r="G43" s="16"/>
      <c r="H43" s="103">
        <f t="shared" si="10"/>
        <v>500</v>
      </c>
      <c r="I43" s="107">
        <v>12</v>
      </c>
      <c r="J43" s="61">
        <v>90</v>
      </c>
      <c r="K43" s="62">
        <f t="shared" si="11"/>
        <v>122.02361539559999</v>
      </c>
      <c r="L43" s="74">
        <f t="shared" si="12"/>
        <v>8.5813738683587051</v>
      </c>
      <c r="M43" s="106">
        <f t="shared" si="8"/>
        <v>2.268046058132573E-2</v>
      </c>
      <c r="N43" s="4">
        <f t="shared" si="13"/>
        <v>2.7061745145669334</v>
      </c>
      <c r="O43" s="71">
        <v>0</v>
      </c>
      <c r="P43" s="72">
        <f t="shared" si="14"/>
        <v>119.31744088103305</v>
      </c>
      <c r="Q43" s="108" t="str">
        <f t="shared" si="9"/>
        <v>500|119</v>
      </c>
      <c r="R43" s="6" t="s">
        <v>348</v>
      </c>
      <c r="S43" s="16"/>
      <c r="T43" s="325">
        <f t="shared" ref="T43:T79" si="15">P43*(1+M43)</f>
        <v>122.02361539559999</v>
      </c>
      <c r="U43" s="32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
      <c r="A44" s="16"/>
      <c r="B44" s="115"/>
      <c r="C44" s="112"/>
      <c r="D44" s="112"/>
      <c r="E44" s="166"/>
      <c r="F44" s="167"/>
      <c r="G44" s="16"/>
      <c r="H44" s="103">
        <f t="shared" si="10"/>
        <v>750</v>
      </c>
      <c r="I44" s="107">
        <v>13</v>
      </c>
      <c r="J44" s="61">
        <v>93</v>
      </c>
      <c r="K44" s="62">
        <f t="shared" si="11"/>
        <v>126.09106924212</v>
      </c>
      <c r="L44" s="74">
        <f t="shared" si="12"/>
        <v>13.301129495955992</v>
      </c>
      <c r="M44" s="106">
        <f t="shared" si="8"/>
        <v>6.25E-2</v>
      </c>
      <c r="N44" s="4">
        <f t="shared" si="13"/>
        <v>7.4171217201247055</v>
      </c>
      <c r="O44" s="71">
        <f t="shared" ref="O44:O79" si="17">O43</f>
        <v>0</v>
      </c>
      <c r="P44" s="72">
        <f t="shared" si="14"/>
        <v>118.67394752199529</v>
      </c>
      <c r="Q44" s="109" t="str">
        <f t="shared" si="9"/>
        <v>750|118</v>
      </c>
      <c r="R44" s="6" t="s">
        <v>349</v>
      </c>
      <c r="S44" s="16"/>
      <c r="T44" s="325">
        <f t="shared" si="15"/>
        <v>126.09106924212</v>
      </c>
      <c r="U44" s="32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
      <c r="A45" s="16"/>
      <c r="B45" s="115"/>
      <c r="C45" s="112"/>
      <c r="D45" s="112"/>
      <c r="E45" s="160"/>
      <c r="F45" s="168"/>
      <c r="G45" s="16"/>
      <c r="H45" s="103">
        <f t="shared" si="10"/>
        <v>1000</v>
      </c>
      <c r="I45" s="107">
        <v>14.4</v>
      </c>
      <c r="J45" s="61">
        <v>98</v>
      </c>
      <c r="K45" s="62">
        <f t="shared" si="11"/>
        <v>132.87015898632001</v>
      </c>
      <c r="L45" s="74">
        <f t="shared" si="12"/>
        <v>18.688325313314515</v>
      </c>
      <c r="M45" s="106">
        <f t="shared" si="8"/>
        <v>0.1283000598199168</v>
      </c>
      <c r="N45" s="4">
        <f t="shared" si="13"/>
        <v>15.108790607480381</v>
      </c>
      <c r="O45" s="71">
        <f t="shared" si="17"/>
        <v>0</v>
      </c>
      <c r="P45" s="72">
        <f t="shared" si="14"/>
        <v>117.76136837883962</v>
      </c>
      <c r="Q45" s="108" t="str">
        <f t="shared" si="9"/>
        <v>1000|117</v>
      </c>
      <c r="R45" s="6" t="s">
        <v>350</v>
      </c>
      <c r="S45" s="16"/>
      <c r="T45" s="325">
        <f t="shared" si="15"/>
        <v>132.87015898632001</v>
      </c>
      <c r="U45" s="32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
      <c r="A46" s="16"/>
      <c r="B46" s="115"/>
      <c r="C46" s="112"/>
      <c r="D46" s="112"/>
      <c r="E46" s="166"/>
      <c r="F46" s="167"/>
      <c r="G46" s="16"/>
      <c r="H46" s="103">
        <f t="shared" si="10"/>
        <v>1250</v>
      </c>
      <c r="I46" s="107">
        <v>15.4</v>
      </c>
      <c r="J46" s="61">
        <v>105</v>
      </c>
      <c r="K46" s="62">
        <f t="shared" si="11"/>
        <v>142.36088462819998</v>
      </c>
      <c r="L46" s="74">
        <f t="shared" si="12"/>
        <v>25.029007116046223</v>
      </c>
      <c r="M46" s="106">
        <f t="shared" si="8"/>
        <v>0.22413098068329959</v>
      </c>
      <c r="N46" s="4">
        <f t="shared" si="13"/>
        <v>26.065417170350546</v>
      </c>
      <c r="O46" s="71">
        <f t="shared" si="17"/>
        <v>0</v>
      </c>
      <c r="P46" s="72">
        <f t="shared" si="14"/>
        <v>116.29546745784943</v>
      </c>
      <c r="Q46" s="109" t="str">
        <f t="shared" si="9"/>
        <v>1250|116</v>
      </c>
      <c r="R46" s="6" t="s">
        <v>351</v>
      </c>
      <c r="S46" s="16"/>
      <c r="T46" s="325">
        <f t="shared" si="15"/>
        <v>142.36088462819998</v>
      </c>
      <c r="U46" s="32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
      <c r="A47" s="16"/>
      <c r="B47" s="115"/>
      <c r="C47" s="112"/>
      <c r="D47" s="112"/>
      <c r="E47" s="160"/>
      <c r="F47" s="168"/>
      <c r="G47" s="16"/>
      <c r="H47" s="103">
        <f t="shared" si="10"/>
        <v>1500</v>
      </c>
      <c r="I47" s="107">
        <v>17</v>
      </c>
      <c r="J47" s="61">
        <v>115</v>
      </c>
      <c r="K47" s="62">
        <f t="shared" si="11"/>
        <v>155.9190641166</v>
      </c>
      <c r="L47" s="74">
        <f t="shared" si="12"/>
        <v>32.895266495375033</v>
      </c>
      <c r="M47" s="106">
        <f t="shared" si="8"/>
        <v>0.35355339059327379</v>
      </c>
      <c r="N47" s="4">
        <f t="shared" si="13"/>
        <v>40.726663727975975</v>
      </c>
      <c r="O47" s="71">
        <f t="shared" si="17"/>
        <v>0</v>
      </c>
      <c r="P47" s="72">
        <f t="shared" si="14"/>
        <v>115.19240038862402</v>
      </c>
      <c r="Q47" s="108" t="str">
        <f t="shared" si="9"/>
        <v>1500|115</v>
      </c>
      <c r="R47" s="6" t="s">
        <v>352</v>
      </c>
      <c r="S47" s="16"/>
      <c r="T47" s="325">
        <f t="shared" si="15"/>
        <v>155.9190641166</v>
      </c>
      <c r="U47" s="32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
      <c r="A48" s="16"/>
      <c r="B48" s="115"/>
      <c r="C48" s="112"/>
      <c r="D48" s="112"/>
      <c r="E48" s="166"/>
      <c r="F48" s="167"/>
      <c r="G48" s="16"/>
      <c r="H48" s="103">
        <f t="shared" si="10"/>
        <v>1750</v>
      </c>
      <c r="I48" s="107">
        <v>18</v>
      </c>
      <c r="J48" s="61">
        <v>130</v>
      </c>
      <c r="K48" s="62">
        <f t="shared" si="11"/>
        <v>176.25633334919999</v>
      </c>
      <c r="L48" s="74">
        <f t="shared" si="12"/>
        <v>43.383612334480119</v>
      </c>
      <c r="M48" s="106">
        <f t="shared" si="8"/>
        <v>0.51978289132600974</v>
      </c>
      <c r="N48" s="4">
        <f t="shared" si="13"/>
        <v>60.281654100497278</v>
      </c>
      <c r="O48" s="71">
        <f t="shared" si="17"/>
        <v>0</v>
      </c>
      <c r="P48" s="72">
        <f t="shared" si="14"/>
        <v>115.97467924870271</v>
      </c>
      <c r="Q48" s="109" t="str">
        <f t="shared" si="9"/>
        <v>1750|115</v>
      </c>
      <c r="R48" s="6" t="s">
        <v>353</v>
      </c>
      <c r="S48" s="16"/>
      <c r="T48" s="325">
        <f t="shared" si="15"/>
        <v>176.25633334919999</v>
      </c>
      <c r="U48" s="32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
      <c r="A49" s="16"/>
      <c r="B49" s="115"/>
      <c r="C49" s="112"/>
      <c r="D49" s="112"/>
      <c r="E49" s="160"/>
      <c r="F49" s="168"/>
      <c r="G49" s="16"/>
      <c r="H49" s="103">
        <f t="shared" si="10"/>
        <v>2000</v>
      </c>
      <c r="I49" s="107">
        <v>19.5</v>
      </c>
      <c r="J49" s="61">
        <v>150</v>
      </c>
      <c r="K49" s="62">
        <f t="shared" si="11"/>
        <v>203.37269232599999</v>
      </c>
      <c r="L49" s="74">
        <f t="shared" si="12"/>
        <v>57.209159122391362</v>
      </c>
      <c r="M49" s="106">
        <f t="shared" si="8"/>
        <v>0.72577473860242303</v>
      </c>
      <c r="N49" s="4">
        <f t="shared" si="13"/>
        <v>85.528406060286969</v>
      </c>
      <c r="O49" s="71">
        <f t="shared" si="17"/>
        <v>0</v>
      </c>
      <c r="P49" s="72">
        <f t="shared" si="14"/>
        <v>117.84428626571301</v>
      </c>
      <c r="Q49" s="108" t="str">
        <f t="shared" si="9"/>
        <v>2000|117</v>
      </c>
      <c r="R49" s="6" t="s">
        <v>354</v>
      </c>
      <c r="S49" s="16"/>
      <c r="T49" s="325">
        <f t="shared" si="15"/>
        <v>203.37269232599999</v>
      </c>
      <c r="U49" s="32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
      <c r="A50" s="16"/>
      <c r="B50" s="115"/>
      <c r="C50" s="112"/>
      <c r="D50" s="112"/>
      <c r="E50" s="166"/>
      <c r="F50" s="167"/>
      <c r="G50" s="16"/>
      <c r="H50" s="103">
        <f t="shared" si="10"/>
        <v>2250</v>
      </c>
      <c r="I50" s="107">
        <v>22.5</v>
      </c>
      <c r="J50" s="61">
        <v>175</v>
      </c>
      <c r="K50" s="62">
        <f t="shared" si="11"/>
        <v>237.268141047</v>
      </c>
      <c r="L50" s="74">
        <f t="shared" si="12"/>
        <v>75.087021348138677</v>
      </c>
      <c r="M50" s="106">
        <f t="shared" si="8"/>
        <v>0.97427857925749362</v>
      </c>
      <c r="N50" s="4">
        <f t="shared" si="13"/>
        <v>117.08847464134303</v>
      </c>
      <c r="O50" s="71">
        <f t="shared" si="17"/>
        <v>0</v>
      </c>
      <c r="P50" s="72">
        <f t="shared" si="14"/>
        <v>120.17966640565699</v>
      </c>
      <c r="Q50" s="109" t="str">
        <f t="shared" si="9"/>
        <v>2250|120</v>
      </c>
      <c r="R50" s="6" t="s">
        <v>355</v>
      </c>
      <c r="S50" s="16"/>
      <c r="T50" s="325">
        <f t="shared" si="15"/>
        <v>237.268141047</v>
      </c>
      <c r="U50" s="32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
      <c r="A51" s="16"/>
      <c r="B51" s="115"/>
      <c r="C51" s="112"/>
      <c r="D51" s="112"/>
      <c r="E51" s="160"/>
      <c r="F51" s="168"/>
      <c r="G51" s="16"/>
      <c r="H51" s="103">
        <f t="shared" si="10"/>
        <v>2500</v>
      </c>
      <c r="I51" s="107">
        <v>27</v>
      </c>
      <c r="J51" s="61">
        <v>205</v>
      </c>
      <c r="K51" s="62">
        <f t="shared" si="11"/>
        <v>277.94267951220002</v>
      </c>
      <c r="L51" s="74">
        <f t="shared" si="12"/>
        <v>97.732313500751928</v>
      </c>
      <c r="M51" s="106">
        <f t="shared" si="8"/>
        <v>1.267876290521218</v>
      </c>
      <c r="N51" s="4">
        <f t="shared" si="13"/>
        <v>155.38631227387881</v>
      </c>
      <c r="O51" s="71">
        <f t="shared" si="17"/>
        <v>0</v>
      </c>
      <c r="P51" s="72">
        <f t="shared" si="14"/>
        <v>122.5563672383212</v>
      </c>
      <c r="Q51" s="108" t="str">
        <f t="shared" si="9"/>
        <v>2500|122</v>
      </c>
      <c r="R51" s="6" t="s">
        <v>356</v>
      </c>
      <c r="S51" s="16"/>
      <c r="T51" s="325">
        <f t="shared" si="15"/>
        <v>277.94267951220002</v>
      </c>
      <c r="U51" s="32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
      <c r="A52" s="16"/>
      <c r="B52" s="115"/>
      <c r="C52" s="112"/>
      <c r="D52" s="112"/>
      <c r="E52" s="166"/>
      <c r="F52" s="167"/>
      <c r="G52" s="16"/>
      <c r="H52" s="103">
        <f t="shared" si="10"/>
        <v>2750</v>
      </c>
      <c r="I52" s="107">
        <v>32</v>
      </c>
      <c r="J52" s="61">
        <v>240</v>
      </c>
      <c r="K52" s="62">
        <f t="shared" si="11"/>
        <v>325.39630772160001</v>
      </c>
      <c r="L52" s="74">
        <f t="shared" si="12"/>
        <v>125.86015006926101</v>
      </c>
      <c r="M52" s="106">
        <f t="shared" si="8"/>
        <v>1.6090094449794015</v>
      </c>
      <c r="N52" s="4">
        <f t="shared" si="13"/>
        <v>200.67605868311136</v>
      </c>
      <c r="O52" s="71">
        <f t="shared" si="17"/>
        <v>0</v>
      </c>
      <c r="P52" s="72">
        <f t="shared" si="14"/>
        <v>124.72024903848866</v>
      </c>
      <c r="Q52" s="109" t="str">
        <f t="shared" si="9"/>
        <v>2750|124</v>
      </c>
      <c r="R52" s="6" t="s">
        <v>357</v>
      </c>
      <c r="S52" s="16"/>
      <c r="T52" s="325">
        <f t="shared" si="15"/>
        <v>325.39630772160001</v>
      </c>
      <c r="U52" s="32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
      <c r="A53" s="16"/>
      <c r="B53" s="115"/>
      <c r="C53" s="112"/>
      <c r="D53" s="112"/>
      <c r="E53" s="160"/>
      <c r="F53" s="168"/>
      <c r="G53" s="16"/>
      <c r="H53" s="103">
        <f t="shared" si="10"/>
        <v>3000</v>
      </c>
      <c r="I53" s="107">
        <v>38.9</v>
      </c>
      <c r="J53" s="61">
        <v>260</v>
      </c>
      <c r="K53" s="62">
        <v>390</v>
      </c>
      <c r="L53" s="74">
        <f t="shared" si="12"/>
        <v>164.56171034482756</v>
      </c>
      <c r="M53" s="106">
        <f t="shared" si="8"/>
        <v>1.9</v>
      </c>
      <c r="N53" s="4">
        <f t="shared" si="13"/>
        <v>255.51724137931032</v>
      </c>
      <c r="O53" s="71">
        <f t="shared" si="17"/>
        <v>0</v>
      </c>
      <c r="P53" s="72">
        <f t="shared" si="14"/>
        <v>134.48275862068965</v>
      </c>
      <c r="Q53" s="108" t="str">
        <f t="shared" si="9"/>
        <v>3000|134</v>
      </c>
      <c r="R53" s="6" t="s">
        <v>358</v>
      </c>
      <c r="S53" s="16"/>
      <c r="T53" s="325">
        <f t="shared" si="15"/>
        <v>390</v>
      </c>
      <c r="U53" s="32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
      <c r="A54" s="16"/>
      <c r="B54" s="115"/>
      <c r="C54" s="112"/>
      <c r="D54" s="112"/>
      <c r="E54" s="166"/>
      <c r="F54" s="167"/>
      <c r="G54" s="16"/>
      <c r="H54" s="103">
        <f t="shared" si="10"/>
        <v>3250</v>
      </c>
      <c r="I54" s="107">
        <v>47</v>
      </c>
      <c r="J54" s="61">
        <v>268</v>
      </c>
      <c r="K54" s="62">
        <v>435</v>
      </c>
      <c r="L54" s="74">
        <f t="shared" si="12"/>
        <v>198.84539999999998</v>
      </c>
      <c r="M54" s="106">
        <f t="shared" si="8"/>
        <v>1.9</v>
      </c>
      <c r="N54" s="4">
        <f t="shared" si="13"/>
        <v>285</v>
      </c>
      <c r="O54" s="71">
        <f t="shared" si="17"/>
        <v>0</v>
      </c>
      <c r="P54" s="72">
        <f t="shared" si="14"/>
        <v>150</v>
      </c>
      <c r="Q54" s="109" t="str">
        <f t="shared" si="9"/>
        <v>3250|150</v>
      </c>
      <c r="R54" s="6" t="s">
        <v>359</v>
      </c>
      <c r="S54" s="16"/>
      <c r="T54" s="325">
        <f t="shared" si="15"/>
        <v>435</v>
      </c>
      <c r="U54" s="32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
      <c r="A55" s="16"/>
      <c r="B55" s="115"/>
      <c r="C55" s="112"/>
      <c r="D55" s="112"/>
      <c r="E55" s="160"/>
      <c r="F55" s="168"/>
      <c r="G55" s="16"/>
      <c r="H55" s="103">
        <f t="shared" si="10"/>
        <v>3500</v>
      </c>
      <c r="I55" s="107">
        <v>56.7</v>
      </c>
      <c r="J55" s="61">
        <v>267</v>
      </c>
      <c r="K55" s="62">
        <v>460</v>
      </c>
      <c r="L55" s="74">
        <f t="shared" si="12"/>
        <v>226.44816551724136</v>
      </c>
      <c r="M55" s="106">
        <f t="shared" si="8"/>
        <v>1.9</v>
      </c>
      <c r="N55" s="4">
        <f t="shared" si="13"/>
        <v>301.37931034482756</v>
      </c>
      <c r="O55" s="71">
        <f t="shared" si="17"/>
        <v>0</v>
      </c>
      <c r="P55" s="72">
        <f t="shared" si="14"/>
        <v>158.62068965517241</v>
      </c>
      <c r="Q55" s="108" t="str">
        <f t="shared" si="9"/>
        <v>3500|158</v>
      </c>
      <c r="R55" s="6" t="s">
        <v>360</v>
      </c>
      <c r="S55" s="16"/>
      <c r="T55" s="325">
        <f t="shared" si="15"/>
        <v>460</v>
      </c>
      <c r="U55" s="32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
      <c r="A56" s="16"/>
      <c r="B56" s="115"/>
      <c r="C56" s="112"/>
      <c r="D56" s="112"/>
      <c r="E56" s="166"/>
      <c r="F56" s="167"/>
      <c r="G56" s="16"/>
      <c r="H56" s="103">
        <f t="shared" si="10"/>
        <v>3750</v>
      </c>
      <c r="I56" s="107">
        <v>58</v>
      </c>
      <c r="J56" s="61">
        <v>268</v>
      </c>
      <c r="K56" s="62">
        <v>468</v>
      </c>
      <c r="L56" s="74">
        <f t="shared" si="12"/>
        <v>246.84256551724135</v>
      </c>
      <c r="M56" s="106">
        <f t="shared" si="8"/>
        <v>1.9</v>
      </c>
      <c r="N56" s="4">
        <f t="shared" si="13"/>
        <v>306.62068965517238</v>
      </c>
      <c r="O56" s="71">
        <f t="shared" si="17"/>
        <v>0</v>
      </c>
      <c r="P56" s="72">
        <f t="shared" si="14"/>
        <v>161.37931034482759</v>
      </c>
      <c r="Q56" s="109" t="str">
        <f t="shared" si="9"/>
        <v>3750|161</v>
      </c>
      <c r="R56" s="6" t="s">
        <v>361</v>
      </c>
      <c r="S56" s="16"/>
      <c r="T56" s="325">
        <f t="shared" si="15"/>
        <v>468</v>
      </c>
      <c r="U56" s="32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
      <c r="A57" s="16"/>
      <c r="B57" s="115"/>
      <c r="C57" s="112"/>
      <c r="D57" s="112"/>
      <c r="E57" s="160"/>
      <c r="F57" s="168"/>
      <c r="G57" s="16"/>
      <c r="H57" s="103">
        <f t="shared" si="10"/>
        <v>4000</v>
      </c>
      <c r="I57" s="107">
        <v>60.5</v>
      </c>
      <c r="J57" s="61">
        <v>267</v>
      </c>
      <c r="K57" s="62">
        <v>471</v>
      </c>
      <c r="L57" s="74">
        <f t="shared" si="12"/>
        <v>264.98654896551722</v>
      </c>
      <c r="M57" s="106">
        <f t="shared" si="8"/>
        <v>1.9</v>
      </c>
      <c r="N57" s="4">
        <f t="shared" si="13"/>
        <v>308.58620689655174</v>
      </c>
      <c r="O57" s="71">
        <f t="shared" si="17"/>
        <v>0</v>
      </c>
      <c r="P57" s="72">
        <f t="shared" si="14"/>
        <v>162.41379310344828</v>
      </c>
      <c r="Q57" s="108" t="str">
        <f t="shared" si="9"/>
        <v>4000|162</v>
      </c>
      <c r="R57" s="6" t="s">
        <v>362</v>
      </c>
      <c r="S57" s="16"/>
      <c r="T57" s="325">
        <f t="shared" si="15"/>
        <v>471</v>
      </c>
      <c r="U57" s="32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
      <c r="A58" s="16"/>
      <c r="B58" s="115"/>
      <c r="C58" s="112"/>
      <c r="D58" s="112"/>
      <c r="E58" s="166"/>
      <c r="F58" s="167"/>
      <c r="G58" s="16"/>
      <c r="H58" s="103">
        <f t="shared" si="10"/>
        <v>4250</v>
      </c>
      <c r="I58" s="107">
        <v>59</v>
      </c>
      <c r="J58" s="61">
        <v>268</v>
      </c>
      <c r="K58" s="62">
        <v>468</v>
      </c>
      <c r="L58" s="74">
        <f t="shared" si="12"/>
        <v>279.75490758620685</v>
      </c>
      <c r="M58" s="106">
        <f t="shared" si="8"/>
        <v>1.9</v>
      </c>
      <c r="N58" s="4">
        <f t="shared" si="13"/>
        <v>306.62068965517238</v>
      </c>
      <c r="O58" s="71">
        <f t="shared" si="17"/>
        <v>0</v>
      </c>
      <c r="P58" s="72">
        <f t="shared" si="14"/>
        <v>161.37931034482759</v>
      </c>
      <c r="Q58" s="109" t="str">
        <f t="shared" si="9"/>
        <v>4250|161</v>
      </c>
      <c r="R58" s="6" t="s">
        <v>363</v>
      </c>
      <c r="S58" s="16"/>
      <c r="T58" s="325">
        <f t="shared" si="15"/>
        <v>468</v>
      </c>
      <c r="U58" s="32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
      <c r="A59" s="16"/>
      <c r="B59" s="115"/>
      <c r="C59" s="112"/>
      <c r="D59" s="112"/>
      <c r="E59" s="160"/>
      <c r="F59" s="168"/>
      <c r="G59" s="16"/>
      <c r="H59" s="103">
        <v>4500</v>
      </c>
      <c r="I59" s="107">
        <v>58.6</v>
      </c>
      <c r="J59" s="61">
        <v>267</v>
      </c>
      <c r="K59" s="62">
        <v>464</v>
      </c>
      <c r="L59" s="74">
        <f t="shared" si="12"/>
        <v>293.67935999999997</v>
      </c>
      <c r="M59" s="106">
        <f t="shared" si="8"/>
        <v>1.9</v>
      </c>
      <c r="N59" s="4">
        <f t="shared" si="13"/>
        <v>304</v>
      </c>
      <c r="O59" s="71">
        <f t="shared" si="17"/>
        <v>0</v>
      </c>
      <c r="P59" s="72">
        <f t="shared" si="14"/>
        <v>160</v>
      </c>
      <c r="Q59" s="108" t="str">
        <f t="shared" si="9"/>
        <v>4500|160</v>
      </c>
      <c r="R59" s="6" t="s">
        <v>364</v>
      </c>
      <c r="S59" s="16"/>
      <c r="T59" s="325">
        <f t="shared" si="15"/>
        <v>464</v>
      </c>
      <c r="U59" s="32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
      <c r="A60" s="16"/>
      <c r="B60" s="115"/>
      <c r="C60" s="112"/>
      <c r="D60" s="112"/>
      <c r="E60" s="166"/>
      <c r="F60" s="167"/>
      <c r="G60" s="16"/>
      <c r="H60" s="103">
        <v>4750</v>
      </c>
      <c r="I60" s="107">
        <v>58</v>
      </c>
      <c r="J60" s="61">
        <v>268</v>
      </c>
      <c r="K60" s="62">
        <v>458</v>
      </c>
      <c r="L60" s="74">
        <f t="shared" si="12"/>
        <v>305.98632551724137</v>
      </c>
      <c r="M60" s="106">
        <f t="shared" si="8"/>
        <v>1.9</v>
      </c>
      <c r="N60" s="4">
        <f t="shared" si="13"/>
        <v>300.06896551724139</v>
      </c>
      <c r="O60" s="71">
        <f t="shared" si="17"/>
        <v>0</v>
      </c>
      <c r="P60" s="72">
        <f t="shared" si="14"/>
        <v>157.93103448275863</v>
      </c>
      <c r="Q60" s="109" t="str">
        <f t="shared" si="9"/>
        <v>4750|157</v>
      </c>
      <c r="R60" s="6" t="s">
        <v>365</v>
      </c>
      <c r="S60" s="16"/>
      <c r="T60" s="325">
        <f t="shared" si="15"/>
        <v>458</v>
      </c>
      <c r="U60" s="32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
      <c r="A61" s="16"/>
      <c r="B61" s="115"/>
      <c r="C61" s="112"/>
      <c r="D61" s="112"/>
      <c r="E61" s="160"/>
      <c r="F61" s="168"/>
      <c r="G61" s="16"/>
      <c r="H61" s="103">
        <f t="shared" si="10"/>
        <v>5000</v>
      </c>
      <c r="I61" s="107">
        <v>57.6</v>
      </c>
      <c r="J61" s="61">
        <v>267</v>
      </c>
      <c r="K61" s="62">
        <v>451</v>
      </c>
      <c r="L61" s="74">
        <f t="shared" si="12"/>
        <v>317.1680827586207</v>
      </c>
      <c r="M61" s="106">
        <f t="shared" si="8"/>
        <v>1.9</v>
      </c>
      <c r="N61" s="4">
        <f t="shared" si="13"/>
        <v>295.48275862068965</v>
      </c>
      <c r="O61" s="71">
        <f t="shared" si="17"/>
        <v>0</v>
      </c>
      <c r="P61" s="72">
        <f t="shared" si="14"/>
        <v>155.51724137931035</v>
      </c>
      <c r="Q61" s="108" t="str">
        <f t="shared" si="9"/>
        <v>5000|155</v>
      </c>
      <c r="R61" s="6" t="s">
        <v>366</v>
      </c>
      <c r="S61" s="16"/>
      <c r="T61" s="325">
        <f t="shared" si="15"/>
        <v>451</v>
      </c>
      <c r="U61" s="32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
      <c r="A62" s="16"/>
      <c r="B62" s="115"/>
      <c r="C62" s="112"/>
      <c r="D62" s="112"/>
      <c r="E62" s="166"/>
      <c r="F62" s="167"/>
      <c r="G62" s="16"/>
      <c r="H62" s="103">
        <f t="shared" si="10"/>
        <v>5250</v>
      </c>
      <c r="I62" s="107">
        <v>57</v>
      </c>
      <c r="J62" s="61">
        <v>265</v>
      </c>
      <c r="K62" s="62">
        <v>445</v>
      </c>
      <c r="L62" s="74">
        <f t="shared" si="12"/>
        <v>328.59597931034483</v>
      </c>
      <c r="M62" s="106">
        <f t="shared" si="8"/>
        <v>1.9</v>
      </c>
      <c r="N62" s="4">
        <f t="shared" si="13"/>
        <v>291.55172413793105</v>
      </c>
      <c r="O62" s="71">
        <f t="shared" si="17"/>
        <v>0</v>
      </c>
      <c r="P62" s="72">
        <f t="shared" si="14"/>
        <v>153.44827586206898</v>
      </c>
      <c r="Q62" s="109" t="str">
        <f t="shared" si="9"/>
        <v>5250|153</v>
      </c>
      <c r="R62" s="6" t="s">
        <v>367</v>
      </c>
      <c r="S62" s="16"/>
      <c r="T62" s="325">
        <f t="shared" si="15"/>
        <v>445.00000000000006</v>
      </c>
      <c r="U62" s="32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
      <c r="A63" s="16"/>
      <c r="B63" s="115"/>
      <c r="C63" s="112"/>
      <c r="D63" s="112"/>
      <c r="E63" s="160"/>
      <c r="F63" s="168"/>
      <c r="G63" s="16"/>
      <c r="H63" s="103">
        <f t="shared" si="10"/>
        <v>5500</v>
      </c>
      <c r="I63" s="107">
        <v>56.5</v>
      </c>
      <c r="J63" s="61">
        <v>262</v>
      </c>
      <c r="K63" s="62">
        <v>438</v>
      </c>
      <c r="L63" s="74">
        <f t="shared" si="12"/>
        <v>338.82834206896553</v>
      </c>
      <c r="M63" s="106">
        <f t="shared" si="8"/>
        <v>1.9</v>
      </c>
      <c r="N63" s="4">
        <f t="shared" si="13"/>
        <v>286.9655172413793</v>
      </c>
      <c r="O63" s="71">
        <f t="shared" si="17"/>
        <v>0</v>
      </c>
      <c r="P63" s="72">
        <f t="shared" si="14"/>
        <v>151.0344827586207</v>
      </c>
      <c r="Q63" s="108" t="str">
        <f t="shared" si="9"/>
        <v>5500|151</v>
      </c>
      <c r="R63" s="6" t="s">
        <v>368</v>
      </c>
      <c r="S63" s="16"/>
      <c r="T63" s="325">
        <f t="shared" si="15"/>
        <v>438</v>
      </c>
      <c r="U63" s="32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
      <c r="A64" s="16"/>
      <c r="B64" s="115"/>
      <c r="C64" s="112"/>
      <c r="D64" s="112"/>
      <c r="E64" s="166"/>
      <c r="F64" s="167"/>
      <c r="G64" s="16"/>
      <c r="H64" s="103">
        <f t="shared" si="10"/>
        <v>5750</v>
      </c>
      <c r="I64" s="107">
        <v>56</v>
      </c>
      <c r="J64" s="61">
        <v>256</v>
      </c>
      <c r="K64" s="62">
        <v>430</v>
      </c>
      <c r="L64" s="74">
        <f t="shared" si="12"/>
        <v>347.75968275862067</v>
      </c>
      <c r="M64" s="106">
        <f t="shared" si="8"/>
        <v>1.9</v>
      </c>
      <c r="N64" s="4">
        <f t="shared" si="13"/>
        <v>281.72413793103448</v>
      </c>
      <c r="O64" s="71">
        <f t="shared" si="17"/>
        <v>0</v>
      </c>
      <c r="P64" s="72">
        <f t="shared" si="14"/>
        <v>148.27586206896552</v>
      </c>
      <c r="Q64" s="109" t="str">
        <f t="shared" si="9"/>
        <v>5750|148</v>
      </c>
      <c r="R64" s="6" t="s">
        <v>369</v>
      </c>
      <c r="S64" s="16"/>
      <c r="T64" s="325">
        <f t="shared" si="15"/>
        <v>430</v>
      </c>
      <c r="U64" s="32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
      <c r="A65" s="16"/>
      <c r="B65" s="115"/>
      <c r="C65" s="112"/>
      <c r="D65" s="112"/>
      <c r="E65" s="160"/>
      <c r="F65" s="168"/>
      <c r="G65" s="16"/>
      <c r="H65" s="103">
        <f t="shared" si="10"/>
        <v>6000</v>
      </c>
      <c r="I65" s="107">
        <v>55</v>
      </c>
      <c r="J65" s="61">
        <v>245</v>
      </c>
      <c r="K65" s="62">
        <v>420</v>
      </c>
      <c r="L65" s="74">
        <f t="shared" si="12"/>
        <v>354.44060689655169</v>
      </c>
      <c r="M65" s="106">
        <f t="shared" si="8"/>
        <v>1.9</v>
      </c>
      <c r="N65" s="4">
        <f t="shared" si="13"/>
        <v>275.17241379310349</v>
      </c>
      <c r="O65" s="71">
        <f t="shared" si="17"/>
        <v>0</v>
      </c>
      <c r="P65" s="72">
        <f t="shared" si="14"/>
        <v>144.82758620689657</v>
      </c>
      <c r="Q65" s="108" t="str">
        <f t="shared" si="9"/>
        <v>6000|144</v>
      </c>
      <c r="R65" s="6" t="s">
        <v>370</v>
      </c>
      <c r="S65" s="16"/>
      <c r="T65" s="325">
        <f t="shared" si="15"/>
        <v>420.00000000000006</v>
      </c>
      <c r="U65" s="32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
      <c r="A66" s="16"/>
      <c r="B66" s="115"/>
      <c r="C66" s="112"/>
      <c r="D66" s="112"/>
      <c r="E66" s="166"/>
      <c r="F66" s="167"/>
      <c r="G66" s="16"/>
      <c r="H66" s="103">
        <f t="shared" si="10"/>
        <v>6250</v>
      </c>
      <c r="I66" s="107">
        <v>54</v>
      </c>
      <c r="J66" s="61">
        <v>230</v>
      </c>
      <c r="K66" s="62">
        <v>408</v>
      </c>
      <c r="L66" s="74">
        <f t="shared" si="12"/>
        <v>358.66013793103446</v>
      </c>
      <c r="M66" s="106">
        <f t="shared" si="8"/>
        <v>1.9</v>
      </c>
      <c r="N66" s="4">
        <f t="shared" si="13"/>
        <v>267.31034482758622</v>
      </c>
      <c r="O66" s="71">
        <f t="shared" si="17"/>
        <v>0</v>
      </c>
      <c r="P66" s="72">
        <f t="shared" si="14"/>
        <v>140.68965517241381</v>
      </c>
      <c r="Q66" s="109" t="str">
        <f t="shared" si="9"/>
        <v>6250|140</v>
      </c>
      <c r="R66" s="6" t="s">
        <v>371</v>
      </c>
      <c r="S66" s="16"/>
      <c r="T66" s="325">
        <f t="shared" si="15"/>
        <v>408.00000000000006</v>
      </c>
      <c r="U66" s="32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
      <c r="A67" s="16"/>
      <c r="B67" s="115"/>
      <c r="C67" s="112"/>
      <c r="D67" s="112"/>
      <c r="E67" s="160"/>
      <c r="F67" s="168"/>
      <c r="G67" s="16"/>
      <c r="H67" s="103">
        <f t="shared" si="10"/>
        <v>6500</v>
      </c>
      <c r="I67" s="107">
        <v>53</v>
      </c>
      <c r="J67" s="61">
        <v>220</v>
      </c>
      <c r="K67" s="62">
        <v>394</v>
      </c>
      <c r="L67" s="74">
        <f t="shared" si="12"/>
        <v>360.20729931034475</v>
      </c>
      <c r="M67" s="106">
        <f t="shared" si="8"/>
        <v>1.9</v>
      </c>
      <c r="N67" s="4">
        <f t="shared" si="13"/>
        <v>258.13793103448273</v>
      </c>
      <c r="O67" s="71">
        <f t="shared" si="17"/>
        <v>0</v>
      </c>
      <c r="P67" s="72">
        <f t="shared" si="14"/>
        <v>135.86206896551724</v>
      </c>
      <c r="Q67" s="108" t="str">
        <f t="shared" si="9"/>
        <v>6500|135</v>
      </c>
      <c r="R67" s="6" t="s">
        <v>372</v>
      </c>
      <c r="S67" s="16"/>
      <c r="T67" s="325">
        <f t="shared" si="15"/>
        <v>394</v>
      </c>
      <c r="U67" s="32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
      <c r="A68" s="16"/>
      <c r="B68" s="115"/>
      <c r="C68" s="112"/>
      <c r="D68" s="112"/>
      <c r="E68" s="166"/>
      <c r="F68" s="167"/>
      <c r="G68" s="16"/>
      <c r="H68" s="103">
        <f t="shared" si="10"/>
        <v>6750</v>
      </c>
      <c r="I68" s="107">
        <v>52</v>
      </c>
      <c r="J68" s="61">
        <v>210</v>
      </c>
      <c r="K68" s="62">
        <v>360</v>
      </c>
      <c r="L68" s="74">
        <f t="shared" si="12"/>
        <v>341.78201379310343</v>
      </c>
      <c r="M68" s="106">
        <f t="shared" si="8"/>
        <v>1.9</v>
      </c>
      <c r="N68" s="4">
        <f t="shared" si="13"/>
        <v>235.86206896551724</v>
      </c>
      <c r="O68" s="71">
        <f t="shared" si="17"/>
        <v>0</v>
      </c>
      <c r="P68" s="72">
        <f t="shared" si="14"/>
        <v>124.13793103448276</v>
      </c>
      <c r="Q68" s="109" t="str">
        <f t="shared" si="9"/>
        <v>6750|124</v>
      </c>
      <c r="R68" s="6" t="s">
        <v>373</v>
      </c>
      <c r="S68" s="16"/>
      <c r="T68" s="325">
        <f t="shared" si="15"/>
        <v>360</v>
      </c>
      <c r="U68" s="32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
      <c r="A69" s="16"/>
      <c r="B69" s="115"/>
      <c r="C69" s="112"/>
      <c r="D69" s="112"/>
      <c r="E69" s="160"/>
      <c r="F69" s="168"/>
      <c r="G69" s="16"/>
      <c r="H69" s="103">
        <f t="shared" si="10"/>
        <v>7000</v>
      </c>
      <c r="I69" s="107">
        <v>51</v>
      </c>
      <c r="J69" s="61">
        <v>200</v>
      </c>
      <c r="K69" s="62">
        <v>312</v>
      </c>
      <c r="L69" s="74">
        <f t="shared" si="12"/>
        <v>307.18185931034481</v>
      </c>
      <c r="M69" s="106">
        <f t="shared" si="8"/>
        <v>1.9</v>
      </c>
      <c r="N69" s="4">
        <f t="shared" si="13"/>
        <v>204.41379310344828</v>
      </c>
      <c r="O69" s="71">
        <f t="shared" si="17"/>
        <v>0</v>
      </c>
      <c r="P69" s="72">
        <f t="shared" si="14"/>
        <v>107.58620689655173</v>
      </c>
      <c r="Q69" s="108" t="str">
        <f t="shared" si="9"/>
        <v>7000|107</v>
      </c>
      <c r="R69" s="6" t="s">
        <v>374</v>
      </c>
      <c r="S69" s="16"/>
      <c r="T69" s="325">
        <f t="shared" si="15"/>
        <v>312</v>
      </c>
      <c r="U69" s="32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
      <c r="A70" s="16"/>
      <c r="B70" s="115"/>
      <c r="C70" s="112"/>
      <c r="D70" s="112"/>
      <c r="E70" s="166"/>
      <c r="F70" s="167"/>
      <c r="G70" s="16"/>
      <c r="H70" s="103">
        <f t="shared" si="10"/>
        <v>7250</v>
      </c>
      <c r="I70" s="107">
        <v>50</v>
      </c>
      <c r="J70" s="61">
        <v>190</v>
      </c>
      <c r="K70" s="62">
        <v>265</v>
      </c>
      <c r="L70" s="74">
        <f t="shared" si="12"/>
        <v>270.22579999999999</v>
      </c>
      <c r="M70" s="106">
        <f t="shared" si="8"/>
        <v>1.9</v>
      </c>
      <c r="N70" s="4">
        <f t="shared" si="13"/>
        <v>173.62068965517241</v>
      </c>
      <c r="O70" s="71">
        <f t="shared" si="17"/>
        <v>0</v>
      </c>
      <c r="P70" s="72">
        <f t="shared" si="14"/>
        <v>91.379310344827587</v>
      </c>
      <c r="Q70" s="109" t="str">
        <f t="shared" si="9"/>
        <v>7250|91</v>
      </c>
      <c r="R70" s="6" t="s">
        <v>375</v>
      </c>
      <c r="S70" s="16"/>
      <c r="T70" s="325">
        <f t="shared" si="15"/>
        <v>265</v>
      </c>
      <c r="U70" s="32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x14ac:dyDescent="0.3">
      <c r="A71" s="16"/>
      <c r="B71" s="115"/>
      <c r="C71" s="112"/>
      <c r="D71" s="112"/>
      <c r="E71" s="160"/>
      <c r="F71" s="168"/>
      <c r="G71" s="16"/>
      <c r="H71" s="103">
        <f t="shared" si="10"/>
        <v>7500</v>
      </c>
      <c r="I71" s="107">
        <v>50</v>
      </c>
      <c r="J71" s="61">
        <v>180</v>
      </c>
      <c r="K71" s="62">
        <v>215</v>
      </c>
      <c r="L71" s="74">
        <f t="shared" si="12"/>
        <v>226.79979310344828</v>
      </c>
      <c r="M71" s="106">
        <f t="shared" si="8"/>
        <v>1.9</v>
      </c>
      <c r="N71" s="4">
        <f t="shared" si="13"/>
        <v>140.86206896551724</v>
      </c>
      <c r="O71" s="71">
        <f t="shared" si="17"/>
        <v>0</v>
      </c>
      <c r="P71" s="72">
        <f t="shared" si="14"/>
        <v>74.137931034482762</v>
      </c>
      <c r="Q71" s="108" t="str">
        <f t="shared" si="9"/>
        <v>7500|74</v>
      </c>
      <c r="R71" s="6" t="s">
        <v>376</v>
      </c>
      <c r="S71" s="16"/>
      <c r="T71" s="325">
        <f t="shared" si="15"/>
        <v>215</v>
      </c>
      <c r="U71" s="32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
      <c r="A72" s="16"/>
      <c r="B72" s="115"/>
      <c r="C72" s="112"/>
      <c r="D72" s="112"/>
      <c r="E72" s="166"/>
      <c r="F72" s="167"/>
      <c r="G72" s="16"/>
      <c r="H72" s="103">
        <f t="shared" si="10"/>
        <v>7750</v>
      </c>
      <c r="I72" s="107">
        <v>47</v>
      </c>
      <c r="J72" s="61">
        <v>170</v>
      </c>
      <c r="K72" s="62">
        <v>170</v>
      </c>
      <c r="L72" s="74">
        <f t="shared" si="12"/>
        <v>185.30773793103447</v>
      </c>
      <c r="M72" s="106">
        <f t="shared" si="8"/>
        <v>1.9</v>
      </c>
      <c r="N72" s="4">
        <f t="shared" si="13"/>
        <v>111.37931034482757</v>
      </c>
      <c r="O72" s="71">
        <f t="shared" si="17"/>
        <v>0</v>
      </c>
      <c r="P72" s="72">
        <f t="shared" si="14"/>
        <v>58.620689655172413</v>
      </c>
      <c r="Q72" s="109" t="str">
        <f t="shared" si="9"/>
        <v>7750|58</v>
      </c>
      <c r="R72" s="6" t="s">
        <v>377</v>
      </c>
      <c r="S72" s="16"/>
      <c r="T72" s="325">
        <f t="shared" si="15"/>
        <v>170</v>
      </c>
      <c r="U72" s="32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
      <c r="A73" s="16"/>
      <c r="B73" s="115"/>
      <c r="C73" s="112"/>
      <c r="D73" s="112"/>
      <c r="E73" s="160"/>
      <c r="F73" s="168"/>
      <c r="G73" s="16"/>
      <c r="H73" s="103">
        <f t="shared" si="10"/>
        <v>8000</v>
      </c>
      <c r="I73" s="107">
        <v>45</v>
      </c>
      <c r="J73" s="61">
        <v>150</v>
      </c>
      <c r="K73" s="62">
        <v>110</v>
      </c>
      <c r="L73" s="74">
        <f t="shared" si="12"/>
        <v>123.77291034482759</v>
      </c>
      <c r="M73" s="106">
        <f t="shared" si="8"/>
        <v>1.9</v>
      </c>
      <c r="N73" s="4">
        <f t="shared" si="13"/>
        <v>72.068965517241367</v>
      </c>
      <c r="O73" s="71">
        <f t="shared" si="17"/>
        <v>0</v>
      </c>
      <c r="P73" s="72">
        <f t="shared" si="14"/>
        <v>37.931034482758619</v>
      </c>
      <c r="Q73" s="108" t="str">
        <f t="shared" si="9"/>
        <v>8000|37</v>
      </c>
      <c r="R73" s="6" t="s">
        <v>378</v>
      </c>
      <c r="S73" s="16"/>
      <c r="T73" s="325">
        <f t="shared" si="15"/>
        <v>109.99999999999999</v>
      </c>
      <c r="U73" s="32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
      <c r="A74" s="16"/>
      <c r="B74" s="115"/>
      <c r="C74" s="112"/>
      <c r="D74" s="112"/>
      <c r="E74" s="166"/>
      <c r="F74" s="167"/>
      <c r="G74" s="16"/>
      <c r="H74" s="103">
        <v>8250</v>
      </c>
      <c r="I74" s="107">
        <v>43</v>
      </c>
      <c r="J74" s="61">
        <v>0</v>
      </c>
      <c r="K74" s="62">
        <f t="shared" ref="K74" si="18">J74*1.35581794884</f>
        <v>0</v>
      </c>
      <c r="L74" s="74">
        <f t="shared" si="12"/>
        <v>0</v>
      </c>
      <c r="M74" s="106">
        <v>1.6</v>
      </c>
      <c r="N74" s="4">
        <f t="shared" si="13"/>
        <v>0</v>
      </c>
      <c r="O74" s="71">
        <f t="shared" si="17"/>
        <v>0</v>
      </c>
      <c r="P74" s="72">
        <f t="shared" si="14"/>
        <v>0</v>
      </c>
      <c r="Q74" s="109" t="str">
        <f t="shared" si="9"/>
        <v>8250|0</v>
      </c>
      <c r="R74" s="6" t="s">
        <v>315</v>
      </c>
      <c r="S74" s="16"/>
      <c r="T74" s="325">
        <f t="shared" si="15"/>
        <v>0</v>
      </c>
      <c r="U74" s="32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
      <c r="A75" s="16"/>
      <c r="B75" s="115"/>
      <c r="C75" s="112"/>
      <c r="D75" s="112"/>
      <c r="E75" s="160"/>
      <c r="F75" s="168"/>
      <c r="G75" s="16"/>
      <c r="H75" s="103">
        <v>8500</v>
      </c>
      <c r="I75" s="107">
        <v>40</v>
      </c>
      <c r="J75" s="61">
        <v>0</v>
      </c>
      <c r="K75" s="62">
        <f t="shared" si="11"/>
        <v>0</v>
      </c>
      <c r="L75" s="74">
        <f t="shared" si="12"/>
        <v>0</v>
      </c>
      <c r="M75" s="106">
        <v>1.6</v>
      </c>
      <c r="N75" s="4">
        <f t="shared" si="13"/>
        <v>0</v>
      </c>
      <c r="O75" s="71">
        <f t="shared" si="17"/>
        <v>0</v>
      </c>
      <c r="P75" s="72">
        <f t="shared" si="14"/>
        <v>0</v>
      </c>
      <c r="Q75" s="108" t="str">
        <f t="shared" si="9"/>
        <v>8500|0</v>
      </c>
      <c r="R75" s="6" t="s">
        <v>316</v>
      </c>
      <c r="S75" s="16"/>
      <c r="T75" s="325">
        <f t="shared" si="15"/>
        <v>0</v>
      </c>
      <c r="U75" s="32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
      <c r="A76" s="16"/>
      <c r="B76" s="115"/>
      <c r="C76" s="112"/>
      <c r="D76" s="112"/>
      <c r="E76" s="166"/>
      <c r="F76" s="167"/>
      <c r="G76" s="16"/>
      <c r="H76" s="103">
        <v>8750</v>
      </c>
      <c r="I76" s="107">
        <v>39</v>
      </c>
      <c r="J76" s="61">
        <v>0</v>
      </c>
      <c r="K76" s="62">
        <f t="shared" si="11"/>
        <v>0</v>
      </c>
      <c r="L76" s="74">
        <f t="shared" si="12"/>
        <v>0</v>
      </c>
      <c r="M76" s="106">
        <v>1.6</v>
      </c>
      <c r="N76" s="4">
        <f t="shared" si="13"/>
        <v>0</v>
      </c>
      <c r="O76" s="71">
        <f t="shared" si="17"/>
        <v>0</v>
      </c>
      <c r="P76" s="72">
        <f t="shared" si="14"/>
        <v>0</v>
      </c>
      <c r="Q76" s="109" t="str">
        <f t="shared" si="9"/>
        <v>8750|0</v>
      </c>
      <c r="R76" s="6" t="s">
        <v>317</v>
      </c>
      <c r="S76" s="16"/>
      <c r="T76" s="325">
        <f t="shared" si="15"/>
        <v>0</v>
      </c>
      <c r="U76" s="32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
      <c r="A77" s="16"/>
      <c r="B77" s="115"/>
      <c r="C77" s="112"/>
      <c r="D77" s="112"/>
      <c r="E77" s="160"/>
      <c r="F77" s="168"/>
      <c r="G77" s="16"/>
      <c r="H77" s="103">
        <v>9000</v>
      </c>
      <c r="I77" s="107">
        <v>38</v>
      </c>
      <c r="J77" s="61">
        <v>0</v>
      </c>
      <c r="K77" s="62">
        <f t="shared" si="11"/>
        <v>0</v>
      </c>
      <c r="L77" s="74">
        <f t="shared" si="12"/>
        <v>0</v>
      </c>
      <c r="M77" s="106">
        <v>1.6</v>
      </c>
      <c r="N77" s="4">
        <f t="shared" si="13"/>
        <v>0</v>
      </c>
      <c r="O77" s="71">
        <f t="shared" si="17"/>
        <v>0</v>
      </c>
      <c r="P77" s="72">
        <f t="shared" si="14"/>
        <v>0</v>
      </c>
      <c r="Q77" s="108" t="str">
        <f t="shared" si="9"/>
        <v>9000|0</v>
      </c>
      <c r="R77" s="6" t="s">
        <v>318</v>
      </c>
      <c r="S77" s="16"/>
      <c r="T77" s="325">
        <f t="shared" si="15"/>
        <v>0</v>
      </c>
      <c r="U77" s="32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
      <c r="A78" s="16"/>
      <c r="B78" s="115"/>
      <c r="C78" s="112"/>
      <c r="D78" s="112"/>
      <c r="E78" s="166"/>
      <c r="F78" s="167"/>
      <c r="G78" s="16"/>
      <c r="H78" s="103">
        <v>9250</v>
      </c>
      <c r="I78" s="107">
        <v>37</v>
      </c>
      <c r="J78" s="61">
        <v>0</v>
      </c>
      <c r="K78" s="62">
        <f t="shared" si="11"/>
        <v>0</v>
      </c>
      <c r="L78" s="74">
        <f t="shared" si="12"/>
        <v>0</v>
      </c>
      <c r="M78" s="106">
        <v>1.6</v>
      </c>
      <c r="N78" s="4">
        <f t="shared" si="13"/>
        <v>0</v>
      </c>
      <c r="O78" s="71">
        <f t="shared" si="17"/>
        <v>0</v>
      </c>
      <c r="P78" s="72">
        <f t="shared" si="14"/>
        <v>0</v>
      </c>
      <c r="Q78" s="109" t="str">
        <f t="shared" si="9"/>
        <v>9250|0</v>
      </c>
      <c r="R78" s="6" t="s">
        <v>319</v>
      </c>
      <c r="S78" s="16"/>
      <c r="T78" s="325">
        <f t="shared" si="15"/>
        <v>0</v>
      </c>
      <c r="U78" s="32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
      <c r="A79" s="16"/>
      <c r="B79" s="115"/>
      <c r="C79" s="112"/>
      <c r="D79" s="112"/>
      <c r="E79" s="160"/>
      <c r="F79" s="168"/>
      <c r="G79" s="16"/>
      <c r="H79" s="103">
        <v>9500</v>
      </c>
      <c r="I79" s="107">
        <v>0</v>
      </c>
      <c r="J79" s="61">
        <f t="shared" ref="J79" si="19">I79*7.2330138512</f>
        <v>0</v>
      </c>
      <c r="K79" s="62">
        <f t="shared" si="11"/>
        <v>0</v>
      </c>
      <c r="L79" s="74">
        <f t="shared" si="12"/>
        <v>0</v>
      </c>
      <c r="M79" s="106">
        <v>0</v>
      </c>
      <c r="N79" s="4">
        <f t="shared" si="13"/>
        <v>0</v>
      </c>
      <c r="O79" s="71">
        <f t="shared" si="17"/>
        <v>0</v>
      </c>
      <c r="P79" s="72">
        <f t="shared" si="14"/>
        <v>0</v>
      </c>
      <c r="Q79" s="108" t="str">
        <f t="shared" si="9"/>
        <v>9500|0</v>
      </c>
      <c r="R79" s="6" t="s">
        <v>195</v>
      </c>
      <c r="S79" s="16"/>
      <c r="T79" s="325">
        <f t="shared" si="15"/>
        <v>0</v>
      </c>
      <c r="U79" s="32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
      <c r="A80" s="16"/>
      <c r="B80" s="116"/>
      <c r="C80" s="96"/>
      <c r="D80" s="96"/>
      <c r="E80" s="96"/>
      <c r="F80" s="97"/>
      <c r="G80" s="16"/>
      <c r="H80" s="112"/>
      <c r="I80" s="112"/>
      <c r="J80" s="112"/>
      <c r="K80" s="112"/>
      <c r="L80" s="112"/>
      <c r="M80" s="112"/>
      <c r="N80" s="112"/>
      <c r="O80" s="112"/>
      <c r="P80" s="112"/>
      <c r="Q80" s="112"/>
      <c r="R80" s="112"/>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x14ac:dyDescent="0.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x14ac:dyDescent="0.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x14ac:dyDescent="0.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x14ac:dyDescent="0.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x14ac:dyDescent="0.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x14ac:dyDescent="0.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x14ac:dyDescent="0.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x14ac:dyDescent="0.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x14ac:dyDescent="0.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x14ac:dyDescent="0.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x14ac:dyDescent="0.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x14ac:dyDescent="0.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x14ac:dyDescent="0.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x14ac:dyDescent="0.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x14ac:dyDescent="0.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x14ac:dyDescent="0.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x14ac:dyDescent="0.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x14ac:dyDescent="0.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x14ac:dyDescent="0.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x14ac:dyDescent="0.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x14ac:dyDescent="0.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x14ac:dyDescent="0.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x14ac:dyDescent="0.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x14ac:dyDescent="0.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x14ac:dyDescent="0.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x14ac:dyDescent="0.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x14ac:dyDescent="0.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x14ac:dyDescent="0.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x14ac:dyDescent="0.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x14ac:dyDescent="0.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x14ac:dyDescent="0.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x14ac:dyDescent="0.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x14ac:dyDescent="0.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x14ac:dyDescent="0.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x14ac:dyDescent="0.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x14ac:dyDescent="0.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x14ac:dyDescent="0.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x14ac:dyDescent="0.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x14ac:dyDescent="0.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x14ac:dyDescent="0.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x14ac:dyDescent="0.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x14ac:dyDescent="0.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x14ac:dyDescent="0.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x14ac:dyDescent="0.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x14ac:dyDescent="0.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x14ac:dyDescent="0.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x14ac:dyDescent="0.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x14ac:dyDescent="0.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x14ac:dyDescent="0.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x14ac:dyDescent="0.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x14ac:dyDescent="0.3">
      <c r="G211" s="16"/>
    </row>
    <row r="212" spans="7:53" x14ac:dyDescent="0.3">
      <c r="G212" s="16"/>
    </row>
    <row r="213" spans="7:53" x14ac:dyDescent="0.3">
      <c r="G213" s="16"/>
    </row>
    <row r="214" spans="7:53" x14ac:dyDescent="0.3">
      <c r="G214" s="16"/>
    </row>
    <row r="215" spans="7:53" x14ac:dyDescent="0.3">
      <c r="G215" s="16"/>
    </row>
    <row r="216" spans="7:53" x14ac:dyDescent="0.3">
      <c r="G216" s="16"/>
    </row>
    <row r="217" spans="7:53" x14ac:dyDescent="0.3">
      <c r="G217" s="16"/>
    </row>
    <row r="218" spans="7:53" x14ac:dyDescent="0.3">
      <c r="G218" s="16"/>
    </row>
    <row r="219" spans="7:53" x14ac:dyDescent="0.3">
      <c r="G219" s="16"/>
    </row>
    <row r="220" spans="7:53" x14ac:dyDescent="0.3">
      <c r="G220" s="16"/>
    </row>
    <row r="221" spans="7:53" x14ac:dyDescent="0.3">
      <c r="G221" s="16"/>
    </row>
    <row r="222" spans="7:53" x14ac:dyDescent="0.3">
      <c r="G222" s="16"/>
    </row>
    <row r="223" spans="7:53" x14ac:dyDescent="0.3">
      <c r="G223" s="16"/>
    </row>
    <row r="224" spans="7:53" x14ac:dyDescent="0.3">
      <c r="G224" s="16"/>
    </row>
    <row r="225" spans="7:7" x14ac:dyDescent="0.3">
      <c r="G225" s="16"/>
    </row>
    <row r="226" spans="7:7" x14ac:dyDescent="0.3">
      <c r="G226" s="16"/>
    </row>
    <row r="227" spans="7:7" x14ac:dyDescent="0.3">
      <c r="G227" s="16"/>
    </row>
    <row r="228" spans="7:7" x14ac:dyDescent="0.3">
      <c r="G228" s="16"/>
    </row>
    <row r="229" spans="7:7" x14ac:dyDescent="0.3">
      <c r="G229" s="16"/>
    </row>
    <row r="230" spans="7:7" x14ac:dyDescent="0.3">
      <c r="G230" s="16"/>
    </row>
    <row r="231" spans="7:7" x14ac:dyDescent="0.3">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0"/>
  <sheetViews>
    <sheetView workbookViewId="0">
      <selection activeCell="I7" sqref="I7"/>
    </sheetView>
  </sheetViews>
  <sheetFormatPr defaultRowHeight="14.4" x14ac:dyDescent="0.3"/>
  <cols>
    <col min="1" max="1" width="2.6640625" customWidth="1"/>
    <col min="2" max="2" width="17.109375" customWidth="1"/>
    <col min="3" max="3" width="9.88671875" customWidth="1"/>
    <col min="4" max="4" width="28.5546875" customWidth="1"/>
    <col min="5" max="5" width="11" customWidth="1"/>
    <col min="6" max="6" width="11" bestFit="1" customWidth="1"/>
    <col min="7" max="7" width="11" customWidth="1"/>
    <col min="8" max="8" width="12.109375" bestFit="1" customWidth="1"/>
    <col min="9" max="9" width="11" customWidth="1"/>
    <col min="10" max="10" width="12.6640625" customWidth="1"/>
    <col min="12" max="12" width="24.44140625" bestFit="1" customWidth="1"/>
  </cols>
  <sheetData>
    <row r="1" spans="1:24" ht="25.8" x14ac:dyDescent="0.3">
      <c r="A1" s="20"/>
      <c r="B1" s="139" t="s">
        <v>309</v>
      </c>
      <c r="C1" s="269"/>
      <c r="D1" s="141"/>
      <c r="E1" s="327" t="s">
        <v>386</v>
      </c>
      <c r="F1" s="317" t="s">
        <v>293</v>
      </c>
      <c r="G1" s="270"/>
      <c r="H1" s="295"/>
      <c r="I1" s="296"/>
      <c r="J1" s="19"/>
      <c r="K1" s="16"/>
      <c r="L1" s="16"/>
      <c r="M1" s="16"/>
      <c r="N1" s="16"/>
      <c r="O1" s="16"/>
      <c r="P1" s="16"/>
      <c r="Q1" s="16"/>
      <c r="R1" s="16"/>
      <c r="S1" s="16"/>
      <c r="T1" s="16"/>
      <c r="U1" s="16"/>
      <c r="V1" s="16"/>
      <c r="W1" s="16"/>
      <c r="X1" s="16"/>
    </row>
    <row r="2" spans="1:24" ht="15.6" x14ac:dyDescent="0.3">
      <c r="A2" s="155" t="s">
        <v>2</v>
      </c>
      <c r="B2" s="292" t="s">
        <v>280</v>
      </c>
      <c r="C2" s="154"/>
      <c r="D2" s="300" t="s">
        <v>243</v>
      </c>
      <c r="E2" s="301" t="s">
        <v>281</v>
      </c>
      <c r="F2" s="301" t="s">
        <v>282</v>
      </c>
      <c r="G2" s="301" t="s">
        <v>283</v>
      </c>
      <c r="H2" s="301" t="s">
        <v>284</v>
      </c>
      <c r="I2" s="301" t="s">
        <v>287</v>
      </c>
      <c r="J2" s="301" t="s">
        <v>292</v>
      </c>
      <c r="K2" s="16"/>
      <c r="L2" s="16"/>
      <c r="M2" s="16"/>
      <c r="N2" s="16"/>
      <c r="O2" s="16"/>
      <c r="P2" s="16"/>
      <c r="Q2" s="16"/>
      <c r="R2" s="16"/>
      <c r="S2" s="16"/>
      <c r="T2" s="16"/>
      <c r="U2" s="16"/>
      <c r="V2" s="16"/>
      <c r="W2" s="16"/>
      <c r="X2" s="16"/>
    </row>
    <row r="3" spans="1:24" ht="40.5" customHeight="1" x14ac:dyDescent="0.3">
      <c r="A3" s="294"/>
      <c r="B3" s="129"/>
      <c r="C3" s="334" t="s">
        <v>285</v>
      </c>
      <c r="D3" s="298" t="s">
        <v>395</v>
      </c>
      <c r="E3" s="297">
        <v>15</v>
      </c>
      <c r="F3" s="299">
        <v>7</v>
      </c>
      <c r="G3" s="297">
        <v>42</v>
      </c>
      <c r="H3" s="312">
        <v>12.8</v>
      </c>
      <c r="I3" s="312">
        <f>H3*0.45359237</f>
        <v>5.8059823360000005</v>
      </c>
      <c r="J3" s="313">
        <v>144</v>
      </c>
      <c r="K3" s="16"/>
      <c r="L3" s="16"/>
      <c r="M3" s="16"/>
      <c r="N3" s="16"/>
      <c r="O3" s="16"/>
      <c r="P3" s="16"/>
      <c r="Q3" s="16"/>
      <c r="R3" s="16"/>
      <c r="S3" s="16"/>
      <c r="T3" s="16"/>
      <c r="U3" s="16"/>
      <c r="V3" s="16"/>
      <c r="W3" s="16"/>
      <c r="X3" s="16"/>
    </row>
    <row r="4" spans="1:24" ht="40.5" customHeight="1" x14ac:dyDescent="0.3">
      <c r="A4" s="20"/>
      <c r="B4" s="132"/>
      <c r="C4" s="334" t="s">
        <v>286</v>
      </c>
      <c r="D4" s="298" t="s">
        <v>395</v>
      </c>
      <c r="E4" s="297">
        <v>15</v>
      </c>
      <c r="F4" s="299">
        <v>7</v>
      </c>
      <c r="G4" s="297">
        <v>42</v>
      </c>
      <c r="H4" s="312">
        <v>12.8</v>
      </c>
      <c r="I4" s="312">
        <f>H4*0.45359237</f>
        <v>5.8059823360000005</v>
      </c>
      <c r="J4" s="313">
        <v>144</v>
      </c>
      <c r="K4" s="16"/>
      <c r="L4" s="16"/>
      <c r="M4" s="16"/>
      <c r="N4" s="16"/>
      <c r="O4" s="16"/>
      <c r="P4" s="16"/>
      <c r="Q4" s="16"/>
      <c r="R4" s="16"/>
      <c r="S4" s="16"/>
      <c r="T4" s="16"/>
      <c r="U4" s="16"/>
      <c r="V4" s="16"/>
      <c r="W4" s="16"/>
      <c r="X4" s="16"/>
    </row>
    <row r="5" spans="1:24" x14ac:dyDescent="0.3">
      <c r="A5" s="20"/>
      <c r="B5" s="49"/>
      <c r="C5" s="81"/>
      <c r="D5" s="133"/>
      <c r="E5" s="302"/>
      <c r="F5" s="81"/>
      <c r="G5" s="81"/>
      <c r="H5" s="81"/>
      <c r="I5" s="81"/>
      <c r="J5" s="97"/>
      <c r="K5" s="16"/>
      <c r="L5" s="16"/>
      <c r="M5" s="16"/>
      <c r="N5" s="16"/>
      <c r="O5" s="16"/>
      <c r="P5" s="16"/>
      <c r="Q5" s="16"/>
      <c r="R5" s="16"/>
      <c r="S5" s="16"/>
      <c r="T5" s="16"/>
      <c r="U5" s="16"/>
      <c r="V5" s="16"/>
      <c r="W5" s="16"/>
      <c r="X5" s="16"/>
    </row>
    <row r="6" spans="1:24" ht="15.6" x14ac:dyDescent="0.3">
      <c r="A6" s="155" t="s">
        <v>3</v>
      </c>
      <c r="B6" s="305" t="s">
        <v>288</v>
      </c>
      <c r="C6" s="289"/>
      <c r="D6" s="300" t="s">
        <v>243</v>
      </c>
      <c r="E6" s="301" t="s">
        <v>289</v>
      </c>
      <c r="F6" s="301" t="s">
        <v>295</v>
      </c>
      <c r="G6" s="301" t="s">
        <v>290</v>
      </c>
      <c r="H6" s="301" t="s">
        <v>294</v>
      </c>
      <c r="I6" s="301" t="s">
        <v>284</v>
      </c>
      <c r="J6" s="301" t="s">
        <v>287</v>
      </c>
      <c r="K6" s="301" t="s">
        <v>291</v>
      </c>
      <c r="L6" s="16"/>
      <c r="M6" s="16"/>
      <c r="N6" s="16"/>
      <c r="O6" s="16"/>
      <c r="P6" s="16"/>
      <c r="Q6" s="16"/>
      <c r="R6" s="16"/>
      <c r="S6" s="16"/>
      <c r="T6" s="16"/>
      <c r="U6" s="16"/>
      <c r="V6" s="16"/>
      <c r="W6" s="16"/>
      <c r="X6" s="16"/>
    </row>
    <row r="7" spans="1:24" ht="40.5" customHeight="1" x14ac:dyDescent="0.3">
      <c r="A7" s="177"/>
      <c r="B7" s="129"/>
      <c r="C7" s="334" t="s">
        <v>285</v>
      </c>
      <c r="D7" s="298" t="s">
        <v>396</v>
      </c>
      <c r="E7" s="297">
        <v>195</v>
      </c>
      <c r="F7" s="297">
        <v>50</v>
      </c>
      <c r="G7" s="297">
        <v>15</v>
      </c>
      <c r="H7" s="297">
        <v>576</v>
      </c>
      <c r="I7" s="312">
        <v>19</v>
      </c>
      <c r="J7" s="312">
        <f>I7*0.45359237</f>
        <v>8.6182550300000003</v>
      </c>
      <c r="K7" s="311">
        <v>51</v>
      </c>
      <c r="L7" s="16"/>
      <c r="M7" s="16"/>
      <c r="N7" s="16"/>
      <c r="O7" s="16"/>
      <c r="P7" s="16"/>
      <c r="Q7" s="16"/>
      <c r="R7" s="16"/>
      <c r="S7" s="16"/>
      <c r="T7" s="16"/>
      <c r="U7" s="16"/>
      <c r="V7" s="16"/>
      <c r="W7" s="16"/>
      <c r="X7" s="16"/>
    </row>
    <row r="8" spans="1:24" ht="40.5" customHeight="1" x14ac:dyDescent="0.3">
      <c r="A8" s="177"/>
      <c r="B8" s="132"/>
      <c r="C8" s="334" t="s">
        <v>286</v>
      </c>
      <c r="D8" s="298" t="s">
        <v>396</v>
      </c>
      <c r="E8" s="297">
        <v>195</v>
      </c>
      <c r="F8" s="297">
        <v>50</v>
      </c>
      <c r="G8" s="297">
        <v>15</v>
      </c>
      <c r="H8" s="297">
        <v>576</v>
      </c>
      <c r="I8" s="312">
        <v>19</v>
      </c>
      <c r="J8" s="312">
        <f>I8*0.45359237</f>
        <v>8.6182550300000003</v>
      </c>
      <c r="K8" s="311">
        <v>51</v>
      </c>
      <c r="L8" s="16"/>
      <c r="M8" s="16"/>
      <c r="N8" s="16"/>
      <c r="O8" s="16"/>
      <c r="P8" s="16"/>
      <c r="Q8" s="16"/>
      <c r="R8" s="16"/>
      <c r="S8" s="16"/>
      <c r="T8" s="16"/>
      <c r="U8" s="16"/>
      <c r="V8" s="16"/>
      <c r="W8" s="16"/>
      <c r="X8" s="16"/>
    </row>
    <row r="9" spans="1:24" x14ac:dyDescent="0.3">
      <c r="A9" s="177"/>
      <c r="B9" s="132"/>
      <c r="C9" s="178"/>
      <c r="D9" s="290"/>
      <c r="E9" s="291"/>
      <c r="F9" s="178"/>
      <c r="G9" s="178"/>
      <c r="H9" s="81"/>
      <c r="I9" s="96"/>
      <c r="J9" s="96"/>
      <c r="K9" s="97"/>
      <c r="L9" s="16"/>
      <c r="M9" s="16"/>
      <c r="N9" s="16"/>
      <c r="O9" s="16"/>
      <c r="P9" s="16"/>
      <c r="Q9" s="16"/>
      <c r="R9" s="16"/>
      <c r="S9" s="16"/>
      <c r="T9" s="16"/>
      <c r="U9" s="16"/>
      <c r="V9" s="16"/>
      <c r="W9" s="16"/>
      <c r="X9" s="16"/>
    </row>
    <row r="10" spans="1:24" ht="15.6" x14ac:dyDescent="0.3">
      <c r="A10" s="308" t="s">
        <v>4</v>
      </c>
      <c r="B10" s="292" t="s">
        <v>308</v>
      </c>
      <c r="C10" s="154"/>
      <c r="D10" s="300" t="s">
        <v>243</v>
      </c>
      <c r="E10" s="301" t="s">
        <v>285</v>
      </c>
      <c r="F10" s="301" t="s">
        <v>286</v>
      </c>
      <c r="G10" s="293"/>
      <c r="H10" s="177"/>
      <c r="I10" s="16"/>
      <c r="J10" s="16"/>
      <c r="K10" s="16"/>
      <c r="L10" s="16"/>
      <c r="M10" s="16"/>
      <c r="N10" s="16"/>
      <c r="O10" s="16"/>
      <c r="P10" s="16"/>
      <c r="Q10" s="16"/>
      <c r="R10" s="16"/>
      <c r="S10" s="16"/>
      <c r="T10" s="16"/>
      <c r="U10" s="16"/>
      <c r="V10" s="16"/>
      <c r="W10" s="16"/>
      <c r="X10" s="16"/>
    </row>
    <row r="11" spans="1:24" ht="31.2" x14ac:dyDescent="0.3">
      <c r="A11" s="177"/>
      <c r="B11" s="129"/>
      <c r="C11" s="236"/>
      <c r="D11" s="335" t="s">
        <v>296</v>
      </c>
      <c r="E11" s="303">
        <f>0.5*M20*M16^2</f>
        <v>0.44086141613572621</v>
      </c>
      <c r="F11" s="303">
        <f>0.5*N20*N16^2</f>
        <v>0.44086141613572621</v>
      </c>
      <c r="G11" s="306"/>
      <c r="H11" s="177"/>
      <c r="I11" s="16"/>
      <c r="J11" s="16"/>
      <c r="K11" s="16"/>
      <c r="L11" s="16"/>
      <c r="M11" s="16"/>
      <c r="N11" s="16"/>
      <c r="O11" s="16"/>
      <c r="P11" s="16"/>
      <c r="Q11" s="16"/>
      <c r="R11" s="16"/>
      <c r="S11" s="16"/>
      <c r="T11" s="16"/>
      <c r="U11" s="16"/>
      <c r="V11" s="16"/>
      <c r="W11" s="16"/>
      <c r="X11" s="16"/>
    </row>
    <row r="12" spans="1:24" ht="31.2" x14ac:dyDescent="0.3">
      <c r="A12" s="177"/>
      <c r="B12" s="132"/>
      <c r="C12" s="178"/>
      <c r="D12" s="335" t="s">
        <v>297</v>
      </c>
      <c r="E12" s="303">
        <f>(0.5*M18*M14^2)+(0.5*M19*(M14^2+M16^2))</f>
        <v>0.45629402212179893</v>
      </c>
      <c r="F12" s="303">
        <f>(0.5*N18*N14^2)+(0.5*N19*(N14^2+N16^2))</f>
        <v>0.45629402212179893</v>
      </c>
      <c r="G12" s="307"/>
      <c r="H12" s="177"/>
      <c r="I12" s="16"/>
      <c r="J12" s="16"/>
      <c r="K12" s="16"/>
      <c r="L12" s="16"/>
      <c r="M12" s="16"/>
      <c r="N12" s="16"/>
      <c r="O12" s="16"/>
      <c r="P12" s="16"/>
      <c r="Q12" s="16"/>
      <c r="R12" s="16"/>
      <c r="S12" s="16"/>
      <c r="T12" s="16"/>
      <c r="U12" s="16"/>
      <c r="V12" s="16"/>
      <c r="W12" s="16"/>
      <c r="X12" s="16"/>
    </row>
    <row r="13" spans="1:24" ht="31.2" x14ac:dyDescent="0.3">
      <c r="A13" s="16"/>
      <c r="B13" s="115"/>
      <c r="C13" s="112"/>
      <c r="D13" s="335" t="s">
        <v>298</v>
      </c>
      <c r="E13" s="304">
        <f>(0.66666*M18*M14^2)+(0.66666*M19*(M14^2+M16^2))</f>
        <v>0.60838594557543701</v>
      </c>
      <c r="F13" s="304">
        <f>(0.66666*N18*N14^2)+(0.66666*N19*(N14^2+N16^2))</f>
        <v>0.60838594557543701</v>
      </c>
      <c r="G13" s="145"/>
      <c r="H13" s="16"/>
      <c r="I13" s="16"/>
      <c r="J13" s="16"/>
      <c r="K13" s="16"/>
      <c r="L13" s="309"/>
      <c r="M13" s="310" t="s">
        <v>306</v>
      </c>
      <c r="N13" s="310" t="s">
        <v>307</v>
      </c>
      <c r="O13" s="16"/>
      <c r="P13" s="16"/>
      <c r="Q13" s="16"/>
      <c r="R13" s="16"/>
      <c r="S13" s="16"/>
      <c r="T13" s="16"/>
      <c r="U13" s="16"/>
      <c r="V13" s="16"/>
      <c r="W13" s="16"/>
      <c r="X13" s="16"/>
    </row>
    <row r="14" spans="1:24" x14ac:dyDescent="0.3">
      <c r="A14" s="16"/>
      <c r="B14" s="116"/>
      <c r="C14" s="96"/>
      <c r="D14" s="96"/>
      <c r="E14" s="96"/>
      <c r="F14" s="96"/>
      <c r="G14" s="97"/>
      <c r="H14" s="16"/>
      <c r="I14" s="16"/>
      <c r="J14" s="16"/>
      <c r="K14" s="16"/>
      <c r="L14" s="309" t="s">
        <v>299</v>
      </c>
      <c r="M14" s="309">
        <f>+E3/12/2</f>
        <v>0.625</v>
      </c>
      <c r="N14" s="309">
        <f>+E4/12/2</f>
        <v>0.625</v>
      </c>
      <c r="O14" s="16"/>
      <c r="P14" s="16"/>
      <c r="Q14" s="16"/>
      <c r="R14" s="16"/>
      <c r="S14" s="16"/>
      <c r="T14" s="16"/>
      <c r="U14" s="16"/>
      <c r="V14" s="16"/>
      <c r="W14" s="16"/>
      <c r="X14" s="16"/>
    </row>
    <row r="15" spans="1:24" x14ac:dyDescent="0.3">
      <c r="A15" s="16"/>
      <c r="B15" s="16"/>
      <c r="C15" s="16"/>
      <c r="D15" s="16"/>
      <c r="E15" s="16"/>
      <c r="F15" s="16"/>
      <c r="G15" s="16"/>
      <c r="H15" s="16"/>
      <c r="I15" s="16"/>
      <c r="J15" s="16"/>
      <c r="K15" s="16"/>
      <c r="L15" s="309" t="s">
        <v>300</v>
      </c>
      <c r="M15" s="309">
        <f>+E7*(F7/100)/25.3995/12</f>
        <v>0.31988818677533021</v>
      </c>
      <c r="N15" s="309">
        <f>+E8*(F8/100)/25.3995/12</f>
        <v>0.31988818677533021</v>
      </c>
      <c r="O15" s="16"/>
      <c r="P15" s="16"/>
      <c r="Q15" s="16"/>
      <c r="R15" s="16"/>
      <c r="S15" s="16"/>
      <c r="T15" s="16"/>
      <c r="U15" s="16"/>
      <c r="V15" s="16"/>
      <c r="W15" s="16"/>
      <c r="X15" s="16"/>
    </row>
    <row r="16" spans="1:24" x14ac:dyDescent="0.3">
      <c r="A16" s="16"/>
      <c r="B16" s="16"/>
      <c r="C16" s="16"/>
      <c r="D16" s="16"/>
      <c r="E16" s="16"/>
      <c r="F16" s="16"/>
      <c r="G16" s="16"/>
      <c r="H16" s="16"/>
      <c r="I16" s="16"/>
      <c r="J16" s="16"/>
      <c r="K16" s="16"/>
      <c r="L16" s="309" t="s">
        <v>301</v>
      </c>
      <c r="M16" s="309">
        <f>+(M15+M14)</f>
        <v>0.94488818677533026</v>
      </c>
      <c r="N16" s="309">
        <f>+(N15+N14)</f>
        <v>0.94488818677533026</v>
      </c>
      <c r="O16" s="16"/>
      <c r="P16" s="16"/>
      <c r="Q16" s="16"/>
      <c r="R16" s="16"/>
      <c r="S16" s="16"/>
      <c r="T16" s="16"/>
      <c r="U16" s="16"/>
      <c r="V16" s="16"/>
      <c r="W16" s="16"/>
      <c r="X16" s="16"/>
    </row>
    <row r="17" spans="1:24" x14ac:dyDescent="0.3">
      <c r="A17" s="16"/>
      <c r="B17" s="16"/>
      <c r="C17" s="16"/>
      <c r="D17" s="16"/>
      <c r="E17" s="16"/>
      <c r="F17" s="16"/>
      <c r="G17" s="16"/>
      <c r="H17" s="16"/>
      <c r="I17" s="16"/>
      <c r="J17" s="16"/>
      <c r="K17" s="16"/>
      <c r="L17" s="309" t="s">
        <v>302</v>
      </c>
      <c r="M17" s="309">
        <f>2*3.14159*M16</f>
        <v>5.9369025573830196</v>
      </c>
      <c r="N17" s="309">
        <f>2*3.14159*N16</f>
        <v>5.9369025573830196</v>
      </c>
      <c r="O17" s="16"/>
      <c r="P17" s="16"/>
      <c r="Q17" s="16"/>
      <c r="R17" s="16"/>
      <c r="S17" s="16"/>
      <c r="T17" s="16"/>
      <c r="U17" s="16"/>
      <c r="V17" s="16"/>
      <c r="W17" s="16"/>
      <c r="X17" s="16"/>
    </row>
    <row r="18" spans="1:24" x14ac:dyDescent="0.3">
      <c r="A18" s="16"/>
      <c r="B18" s="16"/>
      <c r="C18" s="16"/>
      <c r="D18" s="16"/>
      <c r="E18" s="16"/>
      <c r="F18" s="16"/>
      <c r="G18" s="16"/>
      <c r="H18" s="16"/>
      <c r="I18" s="16"/>
      <c r="J18" s="16"/>
      <c r="K18" s="16"/>
      <c r="L18" s="309" t="s">
        <v>303</v>
      </c>
      <c r="M18" s="309">
        <f>H3/32.2</f>
        <v>0.39751552795031053</v>
      </c>
      <c r="N18" s="309">
        <f>H4/32.2</f>
        <v>0.39751552795031053</v>
      </c>
      <c r="O18" s="16"/>
      <c r="P18" s="16"/>
      <c r="Q18" s="16"/>
      <c r="R18" s="16"/>
      <c r="S18" s="16"/>
      <c r="T18" s="16"/>
      <c r="U18" s="16"/>
      <c r="V18" s="16"/>
      <c r="W18" s="16"/>
      <c r="X18" s="16"/>
    </row>
    <row r="19" spans="1:24" x14ac:dyDescent="0.3">
      <c r="A19" s="16"/>
      <c r="B19" s="16"/>
      <c r="C19" s="16"/>
      <c r="D19" s="16"/>
      <c r="E19" s="16"/>
      <c r="F19" s="16"/>
      <c r="G19" s="16"/>
      <c r="H19" s="16"/>
      <c r="I19" s="16"/>
      <c r="J19" s="16"/>
      <c r="K19" s="16"/>
      <c r="L19" s="309" t="s">
        <v>304</v>
      </c>
      <c r="M19" s="309">
        <f>I7/32.2</f>
        <v>0.59006211180124213</v>
      </c>
      <c r="N19" s="309">
        <f>I8/32.2</f>
        <v>0.59006211180124213</v>
      </c>
      <c r="O19" s="16"/>
      <c r="P19" s="16"/>
      <c r="Q19" s="16"/>
      <c r="R19" s="16"/>
      <c r="S19" s="16"/>
      <c r="T19" s="16"/>
      <c r="U19" s="16"/>
      <c r="V19" s="16"/>
      <c r="W19" s="16"/>
      <c r="X19" s="16"/>
    </row>
    <row r="20" spans="1:24" x14ac:dyDescent="0.3">
      <c r="A20" s="16"/>
      <c r="B20" s="16"/>
      <c r="C20" s="16"/>
      <c r="D20" s="16"/>
      <c r="E20" s="16"/>
      <c r="F20" s="16"/>
      <c r="G20" s="16"/>
      <c r="H20" s="16"/>
      <c r="I20" s="16"/>
      <c r="J20" s="16"/>
      <c r="K20" s="16"/>
      <c r="L20" s="309" t="s">
        <v>305</v>
      </c>
      <c r="M20" s="309">
        <f>M19+M18</f>
        <v>0.98757763975155266</v>
      </c>
      <c r="N20" s="309">
        <f>N19+N18</f>
        <v>0.98757763975155266</v>
      </c>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xr:uid="{00000000-0004-0000-0400-000000000000}"/>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heetViews>
  <sheetFormatPr defaultRowHeight="14.4" x14ac:dyDescent="0.3"/>
  <cols>
    <col min="1" max="1" width="20.88671875" customWidth="1"/>
  </cols>
  <sheetData>
    <row r="1" spans="1:5" x14ac:dyDescent="0.3">
      <c r="A1" s="268" t="s">
        <v>211</v>
      </c>
    </row>
    <row r="3" spans="1:5" x14ac:dyDescent="0.3">
      <c r="A3" t="s">
        <v>311</v>
      </c>
      <c r="B3">
        <v>500</v>
      </c>
      <c r="C3" t="s">
        <v>312</v>
      </c>
    </row>
    <row r="7" spans="1:5" x14ac:dyDescent="0.3">
      <c r="A7" s="1" t="s">
        <v>325</v>
      </c>
      <c r="B7" s="316" t="s">
        <v>326</v>
      </c>
    </row>
    <row r="8" spans="1:5" x14ac:dyDescent="0.3">
      <c r="A8" s="315" t="s">
        <v>323</v>
      </c>
      <c r="B8">
        <v>35</v>
      </c>
      <c r="C8">
        <v>35</v>
      </c>
    </row>
    <row r="9" spans="1:5" x14ac:dyDescent="0.3">
      <c r="A9" s="315" t="s">
        <v>324</v>
      </c>
      <c r="B9">
        <v>50</v>
      </c>
      <c r="C9">
        <v>50</v>
      </c>
    </row>
    <row r="11" spans="1:5" x14ac:dyDescent="0.3">
      <c r="A11" s="315" t="s">
        <v>321</v>
      </c>
      <c r="B11" s="314">
        <v>0.45</v>
      </c>
      <c r="C11" t="s">
        <v>320</v>
      </c>
    </row>
    <row r="12" spans="1:5" x14ac:dyDescent="0.3">
      <c r="A12" s="315" t="s">
        <v>322</v>
      </c>
      <c r="B12" s="314">
        <v>0.45</v>
      </c>
      <c r="C12" t="s">
        <v>320</v>
      </c>
    </row>
    <row r="15" spans="1:5" x14ac:dyDescent="0.3">
      <c r="A15" t="s">
        <v>327</v>
      </c>
    </row>
    <row r="16" spans="1:5" x14ac:dyDescent="0.3">
      <c r="B16" s="1">
        <v>1</v>
      </c>
      <c r="C16">
        <v>3.0830000000000002</v>
      </c>
      <c r="D16">
        <v>66</v>
      </c>
      <c r="E16" t="s">
        <v>329</v>
      </c>
    </row>
    <row r="17" spans="2:5" x14ac:dyDescent="0.3">
      <c r="B17" s="1">
        <v>2</v>
      </c>
      <c r="C17">
        <v>2.0619999999999998</v>
      </c>
      <c r="D17">
        <v>99</v>
      </c>
      <c r="E17" t="s">
        <v>329</v>
      </c>
    </row>
    <row r="18" spans="2:5" x14ac:dyDescent="0.3">
      <c r="B18" s="1">
        <v>3</v>
      </c>
      <c r="C18">
        <v>1.5449999999999999</v>
      </c>
      <c r="D18">
        <v>132</v>
      </c>
      <c r="E18" t="s">
        <v>329</v>
      </c>
    </row>
    <row r="19" spans="2:5" x14ac:dyDescent="0.3">
      <c r="B19" s="1">
        <v>4</v>
      </c>
      <c r="C19">
        <v>1.151</v>
      </c>
      <c r="D19">
        <v>178</v>
      </c>
      <c r="E19" t="s">
        <v>329</v>
      </c>
    </row>
    <row r="20" spans="2:5" x14ac:dyDescent="0.3">
      <c r="B20" s="1">
        <v>5</v>
      </c>
      <c r="C20">
        <v>0.82499999999999996</v>
      </c>
      <c r="D20">
        <v>248</v>
      </c>
      <c r="E20" t="s">
        <v>329</v>
      </c>
    </row>
    <row r="21" spans="2:5" x14ac:dyDescent="0.3">
      <c r="B21" s="1" t="s">
        <v>306</v>
      </c>
      <c r="C21" s="315" t="s">
        <v>328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
  <sheetViews>
    <sheetView zoomScale="80" zoomScaleNormal="80" workbookViewId="0"/>
  </sheetViews>
  <sheetFormatPr defaultRowHeight="14.4" x14ac:dyDescent="0.3"/>
  <cols>
    <col min="1" max="1" width="2.6640625" style="1" bestFit="1" customWidth="1"/>
    <col min="2" max="2" width="14.109375" style="1" customWidth="1"/>
    <col min="3" max="3" width="14.88671875" style="1" customWidth="1"/>
    <col min="4" max="4" width="26.44140625" bestFit="1" customWidth="1"/>
    <col min="5" max="5" width="19.5546875" bestFit="1" customWidth="1"/>
    <col min="6" max="6" width="6.88671875" customWidth="1"/>
    <col min="7" max="7" width="40.6640625" customWidth="1"/>
    <col min="8" max="8" width="45.109375" customWidth="1"/>
    <col min="11" max="12" width="10.109375" bestFit="1" customWidth="1"/>
    <col min="13" max="13" width="11.88671875" customWidth="1"/>
  </cols>
  <sheetData>
    <row r="1" spans="1:47" ht="25.8" x14ac:dyDescent="0.3">
      <c r="A1" s="20"/>
      <c r="B1" s="139" t="s">
        <v>146</v>
      </c>
      <c r="C1" s="269"/>
      <c r="D1" s="141"/>
      <c r="E1" s="270"/>
      <c r="F1" s="270"/>
      <c r="G1" s="27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6" x14ac:dyDescent="0.3">
      <c r="A2" s="64"/>
      <c r="B2" s="155" t="s">
        <v>2</v>
      </c>
      <c r="C2" s="154" t="s">
        <v>124</v>
      </c>
      <c r="D2" s="272"/>
      <c r="E2" s="273" t="s">
        <v>14</v>
      </c>
      <c r="F2" s="273"/>
      <c r="G2" s="27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3">
      <c r="A3" s="20"/>
      <c r="B3" s="129"/>
      <c r="C3" s="274"/>
      <c r="D3" s="43" t="s">
        <v>0</v>
      </c>
      <c r="E3" s="248">
        <v>-0.29499999999999998</v>
      </c>
      <c r="F3" s="44" t="s">
        <v>28</v>
      </c>
      <c r="G3" s="4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3">
      <c r="A4" s="20"/>
      <c r="B4" s="132"/>
      <c r="C4" s="247"/>
      <c r="D4" s="43" t="s">
        <v>1</v>
      </c>
      <c r="E4" s="248">
        <v>-0.255</v>
      </c>
      <c r="F4" s="44" t="s">
        <v>28</v>
      </c>
      <c r="G4" s="4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3">
      <c r="A5" s="20"/>
      <c r="B5" s="132"/>
      <c r="C5" s="247"/>
      <c r="D5" s="43" t="s">
        <v>11</v>
      </c>
      <c r="E5" s="248">
        <v>-0.22</v>
      </c>
      <c r="F5" s="44" t="s">
        <v>28</v>
      </c>
      <c r="G5" s="44" t="s">
        <v>13</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3">
      <c r="A6" s="20"/>
      <c r="B6" s="132"/>
      <c r="C6" s="247"/>
      <c r="D6" s="43" t="s">
        <v>12</v>
      </c>
      <c r="E6" s="248">
        <v>-0.22</v>
      </c>
      <c r="F6" s="44" t="s">
        <v>28</v>
      </c>
      <c r="G6" s="4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3">
      <c r="A7" s="20"/>
      <c r="B7" s="132"/>
      <c r="C7" s="247"/>
      <c r="D7" s="43" t="s">
        <v>218</v>
      </c>
      <c r="E7" s="248">
        <v>2.5249999999999999</v>
      </c>
      <c r="F7" s="44" t="s">
        <v>28</v>
      </c>
      <c r="G7" s="4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3">
      <c r="A8" s="20"/>
      <c r="B8" s="132"/>
      <c r="C8" s="247"/>
      <c r="D8" s="43" t="s">
        <v>78</v>
      </c>
      <c r="E8" s="249">
        <v>1.5</v>
      </c>
      <c r="F8" s="44" t="s">
        <v>28</v>
      </c>
      <c r="G8" s="4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3">
      <c r="A9" s="20"/>
      <c r="B9" s="132"/>
      <c r="C9" s="247"/>
      <c r="D9" s="43" t="s">
        <v>79</v>
      </c>
      <c r="E9" s="249">
        <v>1.5</v>
      </c>
      <c r="F9" s="44" t="s">
        <v>28</v>
      </c>
      <c r="G9" s="4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3">
      <c r="A10" s="20"/>
      <c r="B10" s="132"/>
      <c r="C10" s="247"/>
      <c r="D10" s="43" t="s">
        <v>74</v>
      </c>
      <c r="E10" s="249">
        <v>0.22500000000000001</v>
      </c>
      <c r="F10" s="44" t="s">
        <v>28</v>
      </c>
      <c r="G10" s="4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3">
      <c r="A11" s="20"/>
      <c r="B11" s="132"/>
      <c r="C11" s="247"/>
      <c r="D11" s="43" t="s">
        <v>75</v>
      </c>
      <c r="E11" s="249">
        <v>0.22500000000000001</v>
      </c>
      <c r="F11" s="44" t="s">
        <v>28</v>
      </c>
      <c r="G11" s="4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3">
      <c r="A12" s="20"/>
      <c r="B12" s="93"/>
      <c r="C12" s="33"/>
      <c r="D12" s="275"/>
      <c r="E12" s="276"/>
      <c r="F12" s="92"/>
      <c r="G12" s="27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6" x14ac:dyDescent="0.3">
      <c r="A13" s="281"/>
      <c r="B13" s="155" t="s">
        <v>3</v>
      </c>
      <c r="C13" s="154" t="s">
        <v>125</v>
      </c>
      <c r="D13" s="272"/>
      <c r="E13" s="273" t="s">
        <v>14</v>
      </c>
      <c r="F13" s="273"/>
      <c r="G13" s="27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x14ac:dyDescent="0.3">
      <c r="A14" s="177"/>
      <c r="B14" s="189" t="s">
        <v>116</v>
      </c>
      <c r="C14" s="189"/>
      <c r="D14" s="278"/>
      <c r="E14" s="279"/>
      <c r="F14" s="280"/>
      <c r="G14" s="22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3">
      <c r="A15" s="177"/>
      <c r="B15" s="129"/>
      <c r="C15" s="236"/>
      <c r="D15" s="43" t="s">
        <v>9</v>
      </c>
      <c r="E15" s="237">
        <v>1400</v>
      </c>
      <c r="F15" s="44" t="s">
        <v>29</v>
      </c>
      <c r="G15" s="4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3">
      <c r="A16" s="177"/>
      <c r="B16" s="132"/>
      <c r="C16" s="178"/>
      <c r="D16" s="43" t="s">
        <v>8</v>
      </c>
      <c r="E16" s="238">
        <v>0.6</v>
      </c>
      <c r="F16" s="44" t="s">
        <v>30</v>
      </c>
      <c r="G16" s="4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6" x14ac:dyDescent="0.3">
      <c r="A17" s="177"/>
      <c r="B17" s="132"/>
      <c r="C17" s="178"/>
      <c r="D17" s="239" t="s">
        <v>16</v>
      </c>
      <c r="E17" s="193">
        <f>E15*E16</f>
        <v>840</v>
      </c>
      <c r="F17" s="223" t="s">
        <v>29</v>
      </c>
      <c r="G17" s="4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6" x14ac:dyDescent="0.3">
      <c r="A18" s="177"/>
      <c r="B18" s="132"/>
      <c r="C18" s="178"/>
      <c r="D18" s="239" t="s">
        <v>17</v>
      </c>
      <c r="E18" s="193">
        <f>E15-E17</f>
        <v>560</v>
      </c>
      <c r="F18" s="223" t="s">
        <v>29</v>
      </c>
      <c r="G18" s="4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6" x14ac:dyDescent="0.3">
      <c r="A19" s="177"/>
      <c r="B19" s="49"/>
      <c r="C19" s="81"/>
      <c r="D19" s="240"/>
      <c r="E19" s="202"/>
      <c r="F19" s="241"/>
      <c r="G19" s="242"/>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x14ac:dyDescent="0.3">
      <c r="A20" s="177"/>
      <c r="B20" s="58" t="s">
        <v>117</v>
      </c>
      <c r="C20" s="58"/>
      <c r="D20" s="232"/>
      <c r="E20" s="233"/>
      <c r="F20" s="234"/>
      <c r="G20" s="23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3">
      <c r="A21" s="177"/>
      <c r="B21" s="129"/>
      <c r="C21" s="236"/>
      <c r="D21" s="43" t="s">
        <v>22</v>
      </c>
      <c r="E21" s="237">
        <v>95</v>
      </c>
      <c r="F21" s="44" t="s">
        <v>29</v>
      </c>
      <c r="G21" s="4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3">
      <c r="A22" s="177"/>
      <c r="B22" s="132"/>
      <c r="C22" s="178"/>
      <c r="D22" s="43" t="s">
        <v>23</v>
      </c>
      <c r="E22" s="237">
        <v>90</v>
      </c>
      <c r="F22" s="44" t="s">
        <v>29</v>
      </c>
      <c r="G22" s="4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3">
      <c r="A23" s="177"/>
      <c r="B23" s="49"/>
      <c r="C23" s="81"/>
      <c r="D23" s="243"/>
      <c r="E23" s="244"/>
      <c r="F23" s="200"/>
      <c r="G23" s="242"/>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x14ac:dyDescent="0.3">
      <c r="A24" s="177"/>
      <c r="B24" s="58" t="s">
        <v>118</v>
      </c>
      <c r="C24" s="58"/>
      <c r="D24" s="245"/>
      <c r="E24" s="246"/>
      <c r="F24" s="235"/>
      <c r="G24" s="235"/>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3">
      <c r="A25" s="177"/>
      <c r="B25" s="129"/>
      <c r="C25" s="236"/>
      <c r="D25" s="43" t="s">
        <v>6</v>
      </c>
      <c r="E25" s="215">
        <f>E17-E21</f>
        <v>745</v>
      </c>
      <c r="F25" s="44" t="s">
        <v>29</v>
      </c>
      <c r="G25" s="4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3">
      <c r="A26" s="177"/>
      <c r="B26" s="132"/>
      <c r="C26" s="178"/>
      <c r="D26" s="43" t="s">
        <v>7</v>
      </c>
      <c r="E26" s="215">
        <f>E18-E22</f>
        <v>470</v>
      </c>
      <c r="F26" s="44" t="s">
        <v>29</v>
      </c>
      <c r="G26" s="4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6" x14ac:dyDescent="0.3">
      <c r="A27" s="177"/>
      <c r="B27" s="132"/>
      <c r="C27" s="178"/>
      <c r="D27" s="222" t="s">
        <v>42</v>
      </c>
      <c r="E27" s="193">
        <f>E25+E26</f>
        <v>1215</v>
      </c>
      <c r="F27" s="223" t="s">
        <v>29</v>
      </c>
      <c r="G27" s="4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6" x14ac:dyDescent="0.3">
      <c r="A28" s="20"/>
      <c r="B28" s="94"/>
      <c r="C28" s="95"/>
      <c r="D28" s="87"/>
      <c r="E28" s="90"/>
      <c r="F28" s="91"/>
      <c r="G28" s="98"/>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x14ac:dyDescent="0.3">
      <c r="A29" s="20"/>
      <c r="B29" s="189" t="s">
        <v>119</v>
      </c>
      <c r="C29" s="189"/>
      <c r="D29" s="190"/>
      <c r="E29" s="190"/>
      <c r="F29" s="190"/>
      <c r="G29" s="22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6" x14ac:dyDescent="0.3">
      <c r="A30" s="20"/>
      <c r="B30" s="212" t="s">
        <v>155</v>
      </c>
      <c r="C30" s="213" t="s">
        <v>159</v>
      </c>
      <c r="D30" s="43" t="s">
        <v>96</v>
      </c>
      <c r="E30" s="227">
        <v>40000</v>
      </c>
      <c r="F30" s="44" t="s">
        <v>34</v>
      </c>
      <c r="G30" s="4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3">
      <c r="A31" s="20"/>
      <c r="B31" s="186" t="s">
        <v>142</v>
      </c>
      <c r="C31" s="186" t="s">
        <v>156</v>
      </c>
      <c r="D31" s="180" t="s">
        <v>98</v>
      </c>
      <c r="E31" s="229">
        <v>0.4</v>
      </c>
      <c r="F31" s="44" t="s">
        <v>28</v>
      </c>
      <c r="G31" s="44"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3">
      <c r="A32" s="20"/>
      <c r="B32" s="187">
        <v>250</v>
      </c>
      <c r="C32" s="187">
        <v>4.4640000000000004</v>
      </c>
      <c r="D32" s="180" t="s">
        <v>99</v>
      </c>
      <c r="E32" s="229">
        <v>0.38400000000000001</v>
      </c>
      <c r="F32" s="44" t="s">
        <v>28</v>
      </c>
      <c r="G32" s="44" t="s">
        <v>92</v>
      </c>
      <c r="H32" s="17"/>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3">
      <c r="A33" s="20"/>
      <c r="B33" s="186" t="s">
        <v>143</v>
      </c>
      <c r="C33" s="186" t="s">
        <v>143</v>
      </c>
      <c r="D33" s="180" t="s">
        <v>110</v>
      </c>
      <c r="E33" s="218">
        <v>0</v>
      </c>
      <c r="F33" s="44" t="s">
        <v>101</v>
      </c>
      <c r="G33" s="44" t="s">
        <v>100</v>
      </c>
      <c r="H33" s="17"/>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6" x14ac:dyDescent="0.3">
      <c r="A34" s="20"/>
      <c r="B34" s="216">
        <f>B32*175.126835</f>
        <v>43781.708749999998</v>
      </c>
      <c r="C34" s="216">
        <f>C32*9807</f>
        <v>43778.448000000004</v>
      </c>
      <c r="D34" s="180" t="s">
        <v>97</v>
      </c>
      <c r="E34" s="230">
        <f>E32/E31*COS(E33*PI()/180)</f>
        <v>0.96</v>
      </c>
      <c r="F34" s="231"/>
      <c r="G34" s="44" t="s">
        <v>94</v>
      </c>
      <c r="H34" s="17"/>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6" x14ac:dyDescent="0.3">
      <c r="A35" s="20"/>
      <c r="B35" s="132"/>
      <c r="C35" s="178"/>
      <c r="D35" s="222" t="s">
        <v>35</v>
      </c>
      <c r="E35" s="193">
        <f>E30*E34^2</f>
        <v>36864</v>
      </c>
      <c r="F35" s="223" t="s">
        <v>34</v>
      </c>
      <c r="G35" s="44" t="s">
        <v>95</v>
      </c>
      <c r="H35" s="17"/>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3">
      <c r="A36" s="20"/>
      <c r="B36" s="94"/>
      <c r="C36" s="95"/>
      <c r="D36" s="96"/>
      <c r="E36" s="96"/>
      <c r="F36" s="96"/>
      <c r="G36" s="9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x14ac:dyDescent="0.3">
      <c r="A37" s="20"/>
      <c r="B37" s="189" t="s">
        <v>120</v>
      </c>
      <c r="C37" s="189"/>
      <c r="D37" s="190"/>
      <c r="E37" s="190"/>
      <c r="F37" s="190"/>
      <c r="G37" s="22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6" x14ac:dyDescent="0.3">
      <c r="A38" s="20"/>
      <c r="B38" s="212" t="s">
        <v>155</v>
      </c>
      <c r="C38" s="213" t="s">
        <v>159</v>
      </c>
      <c r="D38" s="43" t="s">
        <v>36</v>
      </c>
      <c r="E38" s="227">
        <v>38000</v>
      </c>
      <c r="F38" s="44" t="s">
        <v>34</v>
      </c>
      <c r="G38" s="4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3">
      <c r="A39" s="20"/>
      <c r="B39" s="186" t="s">
        <v>142</v>
      </c>
      <c r="C39" s="186" t="s">
        <v>156</v>
      </c>
      <c r="D39" s="180" t="s">
        <v>98</v>
      </c>
      <c r="E39" s="228">
        <v>0.4</v>
      </c>
      <c r="F39" s="44" t="s">
        <v>28</v>
      </c>
      <c r="G39" s="44"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3">
      <c r="A40" s="20"/>
      <c r="B40" s="187">
        <v>350</v>
      </c>
      <c r="C40" s="187">
        <v>4.4640000000000004</v>
      </c>
      <c r="D40" s="180" t="s">
        <v>99</v>
      </c>
      <c r="E40" s="229">
        <v>0.314</v>
      </c>
      <c r="F40" s="44" t="s">
        <v>28</v>
      </c>
      <c r="G40" s="44"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3">
      <c r="A41" s="20"/>
      <c r="B41" s="186" t="s">
        <v>143</v>
      </c>
      <c r="C41" s="186" t="s">
        <v>143</v>
      </c>
      <c r="D41" s="180" t="s">
        <v>110</v>
      </c>
      <c r="E41" s="218">
        <v>0</v>
      </c>
      <c r="F41" s="44" t="s">
        <v>101</v>
      </c>
      <c r="G41" s="44"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6" x14ac:dyDescent="0.3">
      <c r="A42" s="20"/>
      <c r="B42" s="216">
        <f>B40*175.126835</f>
        <v>61294.392249999997</v>
      </c>
      <c r="C42" s="216">
        <f>C40*9807</f>
        <v>43778.448000000004</v>
      </c>
      <c r="D42" s="180" t="s">
        <v>97</v>
      </c>
      <c r="E42" s="230">
        <f>E40/E39*COS(E41*PI()/180)</f>
        <v>0.78499999999999992</v>
      </c>
      <c r="F42" s="231"/>
      <c r="G42" s="44"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6" x14ac:dyDescent="0.3">
      <c r="A43" s="20"/>
      <c r="B43" s="132"/>
      <c r="C43" s="178"/>
      <c r="D43" s="222" t="s">
        <v>37</v>
      </c>
      <c r="E43" s="193">
        <f>E38*E42^2</f>
        <v>23416.549999999996</v>
      </c>
      <c r="F43" s="223" t="s">
        <v>34</v>
      </c>
      <c r="G43" s="4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3">
      <c r="A44" s="20"/>
      <c r="B44" s="94"/>
      <c r="C44" s="95"/>
      <c r="D44" s="96"/>
      <c r="E44" s="96"/>
      <c r="F44" s="96"/>
      <c r="G44" s="97"/>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x14ac:dyDescent="0.3">
      <c r="A45" s="20"/>
      <c r="B45" s="58" t="s">
        <v>137</v>
      </c>
      <c r="C45" s="58"/>
      <c r="D45" s="52"/>
      <c r="E45" s="52"/>
      <c r="F45" s="52"/>
      <c r="G45" s="52"/>
      <c r="H45" s="18" t="s">
        <v>60</v>
      </c>
      <c r="I45" s="18"/>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7.399999999999999" x14ac:dyDescent="0.3">
      <c r="A46" s="34" t="s">
        <v>81</v>
      </c>
      <c r="B46" s="224">
        <f>E8/2-E10/2-E31</f>
        <v>0.23749999999999993</v>
      </c>
      <c r="C46" s="225"/>
      <c r="D46" s="180" t="s">
        <v>65</v>
      </c>
      <c r="E46" s="209">
        <v>11</v>
      </c>
      <c r="F46" s="44" t="s">
        <v>69</v>
      </c>
      <c r="G46" s="44" t="s">
        <v>68</v>
      </c>
      <c r="H46" s="18" t="s">
        <v>61</v>
      </c>
      <c r="I46" s="19"/>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7.399999999999999" x14ac:dyDescent="0.3">
      <c r="A47" s="34" t="s">
        <v>82</v>
      </c>
      <c r="B47" s="210">
        <f>((E47/2)+(E48^2-E46^2)^0.5)*0.0254</f>
        <v>0.54427636204899787</v>
      </c>
      <c r="C47" s="211"/>
      <c r="D47" s="180" t="s">
        <v>67</v>
      </c>
      <c r="E47" s="209">
        <v>29</v>
      </c>
      <c r="F47" s="44" t="s">
        <v>69</v>
      </c>
      <c r="G47" s="44" t="s">
        <v>70</v>
      </c>
      <c r="H47" s="18" t="s">
        <v>62</v>
      </c>
      <c r="I47" s="18"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7.399999999999999" x14ac:dyDescent="0.3">
      <c r="A48" s="20"/>
      <c r="B48" s="212" t="s">
        <v>155</v>
      </c>
      <c r="C48" s="213" t="s">
        <v>159</v>
      </c>
      <c r="D48" s="180" t="s">
        <v>66</v>
      </c>
      <c r="E48" s="209">
        <v>13</v>
      </c>
      <c r="F48" s="44" t="s">
        <v>69</v>
      </c>
      <c r="G48" s="44" t="s">
        <v>71</v>
      </c>
      <c r="H48" s="18" t="s">
        <v>64</v>
      </c>
      <c r="I48" s="19"/>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x14ac:dyDescent="0.3">
      <c r="A49" s="20"/>
      <c r="B49" s="186" t="s">
        <v>111</v>
      </c>
      <c r="C49" s="186" t="s">
        <v>156</v>
      </c>
      <c r="D49" s="180" t="s">
        <v>72</v>
      </c>
      <c r="E49" s="214">
        <v>0.78</v>
      </c>
      <c r="F49" s="44" t="s">
        <v>69</v>
      </c>
      <c r="G49" s="44"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x14ac:dyDescent="0.3">
      <c r="A50" s="20"/>
      <c r="B50" s="187">
        <v>279</v>
      </c>
      <c r="C50" s="187">
        <v>3.33</v>
      </c>
      <c r="D50" s="43" t="s">
        <v>39</v>
      </c>
      <c r="E50" s="215">
        <f>500000*(E49^4)/((0.4244*(E46^2)*E47)+(0.2264*(E48^3)))*2</f>
        <v>186.32173514376476</v>
      </c>
      <c r="F50" s="44" t="s">
        <v>33</v>
      </c>
      <c r="G50" s="44" t="s">
        <v>58</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x14ac:dyDescent="0.3">
      <c r="A51" s="20"/>
      <c r="B51" s="186" t="s">
        <v>112</v>
      </c>
      <c r="C51" s="186" t="s">
        <v>143</v>
      </c>
      <c r="D51" s="43" t="s">
        <v>39</v>
      </c>
      <c r="E51" s="215">
        <f>E50*175.126835</f>
        <v>32629.935767435793</v>
      </c>
      <c r="F51" s="44" t="s">
        <v>34</v>
      </c>
      <c r="G51" s="44" t="s">
        <v>59</v>
      </c>
      <c r="H51" s="3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x14ac:dyDescent="0.3">
      <c r="A52" s="20"/>
      <c r="B52" s="188">
        <f>B50*0.03937</f>
        <v>10.98423</v>
      </c>
      <c r="C52" s="216">
        <f>C50*9807</f>
        <v>32657.31</v>
      </c>
      <c r="D52" s="180" t="s">
        <v>76</v>
      </c>
      <c r="E52" s="217">
        <f>B47-B46</f>
        <v>0.30677636204899794</v>
      </c>
      <c r="F52" s="44" t="s">
        <v>28</v>
      </c>
      <c r="G52" s="44" t="s">
        <v>77</v>
      </c>
      <c r="H52" s="31"/>
      <c r="I52" s="21"/>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x14ac:dyDescent="0.3">
      <c r="A53" s="20"/>
      <c r="B53" s="132"/>
      <c r="C53" s="178"/>
      <c r="D53" s="180" t="s">
        <v>83</v>
      </c>
      <c r="E53" s="218">
        <v>0</v>
      </c>
      <c r="F53" s="44" t="s">
        <v>84</v>
      </c>
      <c r="G53" s="44" t="s">
        <v>102</v>
      </c>
      <c r="H53" s="32"/>
      <c r="I53" s="21"/>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x14ac:dyDescent="0.3">
      <c r="A54" s="20"/>
      <c r="B54" s="219"/>
      <c r="C54" s="220"/>
      <c r="D54" s="180" t="s">
        <v>160</v>
      </c>
      <c r="E54" s="221">
        <f>E52/E31</f>
        <v>0.7669409051224948</v>
      </c>
      <c r="F54" s="44"/>
      <c r="G54" s="44"/>
      <c r="H54" s="32"/>
      <c r="I54" s="21"/>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x14ac:dyDescent="0.3">
      <c r="A55" s="20"/>
      <c r="B55" s="132"/>
      <c r="C55" s="178"/>
      <c r="D55" s="222" t="s">
        <v>38</v>
      </c>
      <c r="E55" s="193">
        <f>(E51*(E54)^2)*COS(E53*PI()/180)</f>
        <v>19192.874442643733</v>
      </c>
      <c r="F55" s="223" t="s">
        <v>34</v>
      </c>
      <c r="G55" s="4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x14ac:dyDescent="0.3">
      <c r="A56" s="20"/>
      <c r="B56" s="94"/>
      <c r="C56" s="95"/>
      <c r="D56" s="86"/>
      <c r="E56" s="88"/>
      <c r="F56" s="89"/>
      <c r="G56" s="98"/>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x14ac:dyDescent="0.3">
      <c r="A57" s="20"/>
      <c r="B57" s="58" t="s">
        <v>138</v>
      </c>
      <c r="C57" s="58"/>
      <c r="D57" s="52"/>
      <c r="E57" s="52"/>
      <c r="F57" s="52"/>
      <c r="G57" s="52"/>
      <c r="H57" s="18" t="s">
        <v>60</v>
      </c>
      <c r="I57" s="18"/>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7.399999999999999" x14ac:dyDescent="0.3">
      <c r="A58" s="34" t="s">
        <v>81</v>
      </c>
      <c r="B58" s="207">
        <f>E9/2-E11/2-E39</f>
        <v>0.23749999999999993</v>
      </c>
      <c r="C58" s="208"/>
      <c r="D58" s="180" t="s">
        <v>65</v>
      </c>
      <c r="E58" s="209">
        <v>11</v>
      </c>
      <c r="F58" s="44" t="s">
        <v>69</v>
      </c>
      <c r="G58" s="44" t="s">
        <v>68</v>
      </c>
      <c r="H58" s="18" t="s">
        <v>61</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x14ac:dyDescent="0.3">
      <c r="A59" s="34" t="s">
        <v>82</v>
      </c>
      <c r="B59" s="210">
        <f>((E59/2)+(E60^2-E58^2)^0.5)*0.0254</f>
        <v>0.54427636204899787</v>
      </c>
      <c r="C59" s="211"/>
      <c r="D59" s="180" t="s">
        <v>67</v>
      </c>
      <c r="E59" s="209">
        <v>29</v>
      </c>
      <c r="F59" s="44" t="s">
        <v>69</v>
      </c>
      <c r="G59" s="44" t="s">
        <v>70</v>
      </c>
      <c r="H59" s="18" t="s">
        <v>62</v>
      </c>
      <c r="I59" s="18"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x14ac:dyDescent="0.3">
      <c r="A60" s="20"/>
      <c r="B60" s="212" t="s">
        <v>155</v>
      </c>
      <c r="C60" s="213" t="s">
        <v>159</v>
      </c>
      <c r="D60" s="180" t="s">
        <v>66</v>
      </c>
      <c r="E60" s="209">
        <v>13</v>
      </c>
      <c r="F60" s="44" t="s">
        <v>69</v>
      </c>
      <c r="G60" s="44" t="s">
        <v>71</v>
      </c>
      <c r="H60" s="18" t="s">
        <v>64</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3">
      <c r="A61" s="20"/>
      <c r="B61" s="186" t="s">
        <v>111</v>
      </c>
      <c r="C61" s="186" t="s">
        <v>156</v>
      </c>
      <c r="D61" s="180" t="s">
        <v>72</v>
      </c>
      <c r="E61" s="214">
        <v>0.78</v>
      </c>
      <c r="F61" s="44" t="s">
        <v>69</v>
      </c>
      <c r="G61" s="44"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3">
      <c r="A62" s="20"/>
      <c r="B62" s="187">
        <v>279</v>
      </c>
      <c r="C62" s="187">
        <v>3.33</v>
      </c>
      <c r="D62" s="43" t="s">
        <v>39</v>
      </c>
      <c r="E62" s="215">
        <f>500000*(E61^4)/((0.4244*(E58^2)*E59)+(0.2264*(E60^3)))*2</f>
        <v>186.32173514376476</v>
      </c>
      <c r="F62" s="44" t="s">
        <v>33</v>
      </c>
      <c r="G62" s="4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3">
      <c r="A63" s="20"/>
      <c r="B63" s="186" t="s">
        <v>112</v>
      </c>
      <c r="C63" s="186" t="s">
        <v>143</v>
      </c>
      <c r="D63" s="43" t="s">
        <v>39</v>
      </c>
      <c r="E63" s="215">
        <f>E62*175.126835</f>
        <v>32629.935767435793</v>
      </c>
      <c r="F63" s="44" t="s">
        <v>34</v>
      </c>
      <c r="G63" s="4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x14ac:dyDescent="0.3">
      <c r="A64" s="20"/>
      <c r="B64" s="188">
        <f>B62*0.03937</f>
        <v>10.98423</v>
      </c>
      <c r="C64" s="216">
        <f>C62*9807</f>
        <v>32657.31</v>
      </c>
      <c r="D64" s="180" t="s">
        <v>76</v>
      </c>
      <c r="E64" s="217">
        <f>B59-B58</f>
        <v>0.30677636204899794</v>
      </c>
      <c r="F64" s="44" t="s">
        <v>28</v>
      </c>
      <c r="G64" s="44"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x14ac:dyDescent="0.3">
      <c r="A65" s="20"/>
      <c r="B65" s="132"/>
      <c r="C65" s="178"/>
      <c r="D65" s="180" t="s">
        <v>83</v>
      </c>
      <c r="E65" s="218">
        <v>0</v>
      </c>
      <c r="F65" s="44" t="s">
        <v>84</v>
      </c>
      <c r="G65" s="4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x14ac:dyDescent="0.3">
      <c r="A66" s="20"/>
      <c r="B66" s="219"/>
      <c r="C66" s="220"/>
      <c r="D66" s="180" t="s">
        <v>160</v>
      </c>
      <c r="E66" s="221">
        <f>E64/E39</f>
        <v>0.7669409051224948</v>
      </c>
      <c r="F66" s="44"/>
      <c r="G66" s="4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x14ac:dyDescent="0.3">
      <c r="A67" s="20"/>
      <c r="B67" s="132"/>
      <c r="C67" s="178"/>
      <c r="D67" s="222" t="s">
        <v>40</v>
      </c>
      <c r="E67" s="193">
        <f>(E63*(E66)^2)*COS(E65*PI()/180)</f>
        <v>19192.874442643733</v>
      </c>
      <c r="F67" s="223" t="s">
        <v>34</v>
      </c>
      <c r="G67" s="4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x14ac:dyDescent="0.3">
      <c r="A68" s="20"/>
      <c r="B68" s="94"/>
      <c r="C68" s="95"/>
      <c r="D68" s="96"/>
      <c r="E68" s="96"/>
      <c r="F68" s="96"/>
      <c r="G68" s="97"/>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x14ac:dyDescent="0.3">
      <c r="A69" s="20"/>
      <c r="B69" s="60" t="s">
        <v>121</v>
      </c>
      <c r="C69" s="60"/>
      <c r="D69" s="29"/>
      <c r="E69" s="29"/>
      <c r="F69" s="29"/>
      <c r="G69" s="2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x14ac:dyDescent="0.3">
      <c r="A70" s="20"/>
      <c r="B70" s="99"/>
      <c r="C70" s="92"/>
      <c r="D70" s="7" t="s">
        <v>47</v>
      </c>
      <c r="E70" s="286">
        <f>(E35/(0.5*E16*E27))^0.5/(2*PI())</f>
        <v>1.6005623398348552</v>
      </c>
      <c r="F70" s="7" t="s">
        <v>41</v>
      </c>
      <c r="G70" s="100" t="s">
        <v>214</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x14ac:dyDescent="0.3">
      <c r="A71" s="20"/>
      <c r="B71" s="93"/>
      <c r="C71" s="33"/>
      <c r="D71" s="7" t="s">
        <v>48</v>
      </c>
      <c r="E71" s="286">
        <f>(E43/(0.5*(1-E16)*E27))^0.5/(2*PI())</f>
        <v>1.5623504250448566</v>
      </c>
      <c r="F71" s="7" t="s">
        <v>41</v>
      </c>
      <c r="G71" s="100" t="s">
        <v>214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x14ac:dyDescent="0.3">
      <c r="A72" s="20"/>
      <c r="B72" s="93"/>
      <c r="C72" s="33"/>
      <c r="D72" s="8" t="s">
        <v>89</v>
      </c>
      <c r="E72" s="287">
        <f>E25/E21*2</f>
        <v>15.684210526315789</v>
      </c>
      <c r="F72" s="24"/>
      <c r="G72" s="101" t="s">
        <v>215</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x14ac:dyDescent="0.3">
      <c r="A73" s="20"/>
      <c r="B73" s="93"/>
      <c r="C73" s="33"/>
      <c r="D73" s="8" t="s">
        <v>90</v>
      </c>
      <c r="E73" s="287">
        <f>E26/E22*2</f>
        <v>10.444444444444445</v>
      </c>
      <c r="F73" s="24"/>
      <c r="G73" s="101" t="s">
        <v>215</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x14ac:dyDescent="0.3">
      <c r="A74" s="20"/>
      <c r="B74" s="93"/>
      <c r="C74" s="33"/>
      <c r="D74" s="8" t="s">
        <v>91</v>
      </c>
      <c r="E74" s="287">
        <f>E27/(E21+E22)*2</f>
        <v>13.135135135135135</v>
      </c>
      <c r="F74" s="24"/>
      <c r="G74" s="101" t="s">
        <v>215</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3">
      <c r="A75" s="20"/>
      <c r="B75" s="93"/>
      <c r="C75" s="33"/>
      <c r="D75" s="112"/>
      <c r="E75" s="112"/>
      <c r="F75" s="112"/>
      <c r="G75" s="145"/>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6" x14ac:dyDescent="0.3">
      <c r="A76" s="64"/>
      <c r="B76" s="155" t="s">
        <v>4</v>
      </c>
      <c r="C76" s="155"/>
      <c r="D76" s="154" t="s">
        <v>126</v>
      </c>
      <c r="E76" s="273" t="s">
        <v>14</v>
      </c>
      <c r="F76" s="273"/>
      <c r="G76" s="273" t="s">
        <v>30</v>
      </c>
      <c r="H76" s="273" t="s">
        <v>15</v>
      </c>
      <c r="I76" s="282" t="s">
        <v>115</v>
      </c>
      <c r="J76" s="283"/>
      <c r="K76" s="283"/>
      <c r="L76" s="283"/>
      <c r="M76" s="28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x14ac:dyDescent="0.3">
      <c r="A77" s="20"/>
      <c r="B77" s="189" t="s">
        <v>129</v>
      </c>
      <c r="C77" s="189"/>
      <c r="D77" s="190"/>
      <c r="E77" s="190"/>
      <c r="F77" s="190"/>
      <c r="G77" s="190"/>
      <c r="H77" s="190"/>
      <c r="I77" s="191"/>
      <c r="J77" s="190"/>
      <c r="K77" s="190"/>
      <c r="L77" s="190"/>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x14ac:dyDescent="0.3">
      <c r="A78" s="20"/>
      <c r="B78" s="185" t="s">
        <v>155</v>
      </c>
      <c r="C78" s="192"/>
      <c r="D78" s="43" t="s">
        <v>43</v>
      </c>
      <c r="E78" s="83">
        <f>(4*E35*E25/2)^0.5</f>
        <v>7411.2994811976123</v>
      </c>
      <c r="F78" s="44" t="s">
        <v>34</v>
      </c>
      <c r="G78" s="45" t="s">
        <v>52</v>
      </c>
      <c r="H78" s="45" t="s">
        <v>85</v>
      </c>
      <c r="I78" s="45" t="s">
        <v>53</v>
      </c>
      <c r="J78" s="45" t="s">
        <v>54</v>
      </c>
      <c r="K78" s="45" t="s">
        <v>55</v>
      </c>
      <c r="L78" s="45"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x14ac:dyDescent="0.3">
      <c r="A79" s="20"/>
      <c r="B79" s="186" t="s">
        <v>157</v>
      </c>
      <c r="C79" s="46" t="s">
        <v>122</v>
      </c>
      <c r="D79" s="239" t="s">
        <v>44</v>
      </c>
      <c r="E79" s="336">
        <f>E78*G79</f>
        <v>3705.6497405988061</v>
      </c>
      <c r="F79" s="45" t="s">
        <v>34</v>
      </c>
      <c r="G79" s="194">
        <v>0.5</v>
      </c>
      <c r="H79" s="44" t="s">
        <v>49</v>
      </c>
      <c r="I79" s="195">
        <f>E79/3</f>
        <v>1235.216580199602</v>
      </c>
      <c r="J79" s="195">
        <f>E79/2</f>
        <v>1852.8248702994031</v>
      </c>
      <c r="K79" s="195">
        <f>E79/1.5</f>
        <v>2470.4331603992041</v>
      </c>
      <c r="L79" s="195">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x14ac:dyDescent="0.3">
      <c r="A80" s="20"/>
      <c r="B80" s="187">
        <v>2.5</v>
      </c>
      <c r="C80" s="46" t="s">
        <v>123</v>
      </c>
      <c r="D80" s="239" t="s">
        <v>45</v>
      </c>
      <c r="E80" s="336">
        <f>E78*G80</f>
        <v>2223.3898443592834</v>
      </c>
      <c r="F80" s="45" t="s">
        <v>34</v>
      </c>
      <c r="G80" s="194">
        <v>0.3</v>
      </c>
      <c r="H80" s="44" t="s">
        <v>50</v>
      </c>
      <c r="I80" s="195">
        <f>E80/3</f>
        <v>741.12994811976114</v>
      </c>
      <c r="J80" s="195">
        <f>E80/2</f>
        <v>1111.6949221796417</v>
      </c>
      <c r="K80" s="195">
        <f>E80/1.5</f>
        <v>1482.2598962395223</v>
      </c>
      <c r="L80" s="195">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x14ac:dyDescent="0.3">
      <c r="A81" s="20"/>
      <c r="B81" s="186" t="s">
        <v>158</v>
      </c>
      <c r="C81" s="46" t="s">
        <v>122</v>
      </c>
      <c r="D81" s="239" t="s">
        <v>46</v>
      </c>
      <c r="E81" s="336">
        <f>E78*G81</f>
        <v>5187.909636838328</v>
      </c>
      <c r="F81" s="45" t="s">
        <v>34</v>
      </c>
      <c r="G81" s="194">
        <v>0.7</v>
      </c>
      <c r="H81" s="44" t="s">
        <v>51</v>
      </c>
      <c r="I81" s="195">
        <f>E81</f>
        <v>5187.909636838328</v>
      </c>
      <c r="J81" s="195">
        <f>E81</f>
        <v>5187.909636838328</v>
      </c>
      <c r="K81" s="195">
        <f>E81</f>
        <v>5187.909636838328</v>
      </c>
      <c r="L81" s="195">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x14ac:dyDescent="0.3">
      <c r="A82" s="20"/>
      <c r="B82" s="188">
        <f>B80*0.0254</f>
        <v>6.3500000000000001E-2</v>
      </c>
      <c r="C82" s="46" t="s">
        <v>123</v>
      </c>
      <c r="D82" s="338" t="s">
        <v>217</v>
      </c>
      <c r="E82" s="337">
        <f>E78*G82</f>
        <v>2223.3898443592834</v>
      </c>
      <c r="F82" s="196" t="s">
        <v>34</v>
      </c>
      <c r="G82" s="197">
        <v>0.3</v>
      </c>
      <c r="H82" s="198" t="s">
        <v>50</v>
      </c>
      <c r="I82" s="195">
        <f>E82</f>
        <v>2223.3898443592834</v>
      </c>
      <c r="J82" s="195">
        <f>E82</f>
        <v>2223.3898443592834</v>
      </c>
      <c r="K82" s="195">
        <f>E82</f>
        <v>2223.3898443592834</v>
      </c>
      <c r="L82" s="195">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x14ac:dyDescent="0.3">
      <c r="A83" s="20"/>
      <c r="B83" s="199"/>
      <c r="C83" s="200"/>
      <c r="D83" s="201"/>
      <c r="E83" s="202"/>
      <c r="F83" s="203"/>
      <c r="G83" s="204"/>
      <c r="H83" s="200"/>
      <c r="I83" s="205"/>
      <c r="J83" s="205"/>
      <c r="K83" s="205"/>
      <c r="L83" s="20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x14ac:dyDescent="0.3">
      <c r="A84" s="20"/>
      <c r="B84" s="58" t="s">
        <v>130</v>
      </c>
      <c r="C84" s="58"/>
      <c r="D84" s="52"/>
      <c r="E84" s="52"/>
      <c r="F84" s="52"/>
      <c r="G84" s="52"/>
      <c r="H84" s="52"/>
      <c r="I84" s="52"/>
      <c r="J84" s="52"/>
      <c r="K84" s="52"/>
      <c r="L84" s="52"/>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x14ac:dyDescent="0.3">
      <c r="A85" s="20"/>
      <c r="B85" s="185" t="s">
        <v>155</v>
      </c>
      <c r="C85" s="192"/>
      <c r="D85" s="43" t="s">
        <v>43</v>
      </c>
      <c r="E85" s="83">
        <f>(4*E43*E26/2)^0.5</f>
        <v>4691.6475784099548</v>
      </c>
      <c r="F85" s="44" t="s">
        <v>34</v>
      </c>
      <c r="G85" s="45" t="s">
        <v>52</v>
      </c>
      <c r="H85" s="45" t="s">
        <v>85</v>
      </c>
      <c r="I85" s="45" t="s">
        <v>53</v>
      </c>
      <c r="J85" s="45" t="s">
        <v>54</v>
      </c>
      <c r="K85" s="45" t="s">
        <v>55</v>
      </c>
      <c r="L85" s="45"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x14ac:dyDescent="0.3">
      <c r="A86" s="20"/>
      <c r="B86" s="186" t="s">
        <v>157</v>
      </c>
      <c r="C86" s="46" t="s">
        <v>122</v>
      </c>
      <c r="D86" s="239" t="s">
        <v>44</v>
      </c>
      <c r="E86" s="336">
        <f>E85*G86</f>
        <v>2345.8237892049774</v>
      </c>
      <c r="F86" s="45" t="s">
        <v>34</v>
      </c>
      <c r="G86" s="194">
        <v>0.5</v>
      </c>
      <c r="H86" s="44" t="s">
        <v>49</v>
      </c>
      <c r="I86" s="195">
        <f>E86/3</f>
        <v>781.94126306832584</v>
      </c>
      <c r="J86" s="195">
        <f>E86/2</f>
        <v>1172.9118946024887</v>
      </c>
      <c r="K86" s="195">
        <f>E86/1.5</f>
        <v>1563.8825261366517</v>
      </c>
      <c r="L86" s="195">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x14ac:dyDescent="0.3">
      <c r="A87" s="20"/>
      <c r="B87" s="187">
        <v>2.5</v>
      </c>
      <c r="C87" s="46" t="s">
        <v>123</v>
      </c>
      <c r="D87" s="239" t="s">
        <v>45</v>
      </c>
      <c r="E87" s="336">
        <f>E85*G87</f>
        <v>1407.4942735229863</v>
      </c>
      <c r="F87" s="45" t="s">
        <v>34</v>
      </c>
      <c r="G87" s="194">
        <v>0.3</v>
      </c>
      <c r="H87" s="44" t="s">
        <v>50</v>
      </c>
      <c r="I87" s="195">
        <f>E87/3</f>
        <v>469.16475784099543</v>
      </c>
      <c r="J87" s="195">
        <f>E87/2</f>
        <v>703.74713676149315</v>
      </c>
      <c r="K87" s="195">
        <f>E87/1.5</f>
        <v>938.32951568199087</v>
      </c>
      <c r="L87" s="195">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x14ac:dyDescent="0.3">
      <c r="A88" s="20"/>
      <c r="B88" s="186" t="s">
        <v>158</v>
      </c>
      <c r="C88" s="46" t="s">
        <v>122</v>
      </c>
      <c r="D88" s="239" t="s">
        <v>46</v>
      </c>
      <c r="E88" s="336">
        <f>E85*G88</f>
        <v>3284.1533048869683</v>
      </c>
      <c r="F88" s="45" t="s">
        <v>34</v>
      </c>
      <c r="G88" s="194">
        <v>0.7</v>
      </c>
      <c r="H88" s="44" t="s">
        <v>51</v>
      </c>
      <c r="I88" s="195">
        <f>E88</f>
        <v>3284.1533048869683</v>
      </c>
      <c r="J88" s="195">
        <f>E88</f>
        <v>3284.1533048869683</v>
      </c>
      <c r="K88" s="195">
        <f t="shared" ref="K88:K89" si="2">E88</f>
        <v>3284.1533048869683</v>
      </c>
      <c r="L88" s="195">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x14ac:dyDescent="0.3">
      <c r="A89" s="20"/>
      <c r="B89" s="188">
        <f>B87*0.0254</f>
        <v>6.3500000000000001E-2</v>
      </c>
      <c r="C89" s="46" t="s">
        <v>123</v>
      </c>
      <c r="D89" s="239" t="s">
        <v>217</v>
      </c>
      <c r="E89" s="336">
        <f>E85*G89</f>
        <v>1407.4942735229863</v>
      </c>
      <c r="F89" s="45" t="s">
        <v>34</v>
      </c>
      <c r="G89" s="194">
        <v>0.3</v>
      </c>
      <c r="H89" s="44" t="s">
        <v>50</v>
      </c>
      <c r="I89" s="195">
        <f>E89</f>
        <v>1407.4942735229863</v>
      </c>
      <c r="J89" s="195">
        <f>E89</f>
        <v>1407.4942735229863</v>
      </c>
      <c r="K89" s="195">
        <f t="shared" si="2"/>
        <v>1407.4942735229863</v>
      </c>
      <c r="L89" s="195">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x14ac:dyDescent="0.3">
      <c r="A90" s="20"/>
      <c r="B90" s="49"/>
      <c r="C90" s="81"/>
      <c r="D90" s="50"/>
      <c r="E90" s="50"/>
      <c r="F90" s="50"/>
      <c r="G90" s="50"/>
      <c r="H90" s="50"/>
      <c r="I90" s="50"/>
      <c r="J90" s="50"/>
      <c r="K90" s="50"/>
      <c r="L90" s="5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6" x14ac:dyDescent="0.3">
      <c r="A91" s="20"/>
      <c r="B91" s="189" t="s">
        <v>131</v>
      </c>
      <c r="C91" s="59"/>
      <c r="D91" s="28"/>
      <c r="E91" s="28"/>
      <c r="F91" s="28"/>
      <c r="G91" s="28"/>
      <c r="H91" s="28"/>
      <c r="I91" s="35"/>
      <c r="J91" s="16"/>
      <c r="K91" s="16"/>
      <c r="L91" s="3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x14ac:dyDescent="0.3">
      <c r="A92" s="20"/>
      <c r="B92" s="185" t="s">
        <v>155</v>
      </c>
      <c r="C92" s="42"/>
      <c r="D92" s="43" t="s">
        <v>43</v>
      </c>
      <c r="E92" s="83">
        <f>E78</f>
        <v>7411.2994811976123</v>
      </c>
      <c r="F92" s="44" t="s">
        <v>34</v>
      </c>
      <c r="G92" s="45" t="s">
        <v>30</v>
      </c>
      <c r="H92" s="45" t="s">
        <v>85</v>
      </c>
      <c r="I92" s="37"/>
      <c r="J92" s="37"/>
      <c r="K92" s="37"/>
      <c r="L92" s="37"/>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x14ac:dyDescent="0.3">
      <c r="A93" s="20"/>
      <c r="B93" s="186" t="s">
        <v>157</v>
      </c>
      <c r="C93" s="46" t="s">
        <v>134</v>
      </c>
      <c r="D93" s="43" t="s">
        <v>135</v>
      </c>
      <c r="E93" s="84">
        <v>0.1</v>
      </c>
      <c r="F93" s="44" t="s">
        <v>133</v>
      </c>
      <c r="G93" s="47"/>
      <c r="H93" s="44" t="s">
        <v>128</v>
      </c>
      <c r="I93" s="37"/>
      <c r="J93" s="39">
        <v>0</v>
      </c>
      <c r="K93" s="40">
        <v>0</v>
      </c>
      <c r="L93" s="40">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x14ac:dyDescent="0.3">
      <c r="A94" s="20"/>
      <c r="B94" s="187">
        <v>2.5</v>
      </c>
      <c r="C94" s="46" t="s">
        <v>122</v>
      </c>
      <c r="D94" s="43" t="s">
        <v>44</v>
      </c>
      <c r="E94" s="250">
        <v>3544</v>
      </c>
      <c r="F94" s="45" t="s">
        <v>34</v>
      </c>
      <c r="G94" s="48">
        <f>E94/E$92</f>
        <v>0.47818874530587924</v>
      </c>
      <c r="H94" s="44" t="s">
        <v>49</v>
      </c>
      <c r="I94" s="38"/>
      <c r="J94" s="39">
        <f>E93</f>
        <v>0.1</v>
      </c>
      <c r="K94" s="40">
        <f>E94</f>
        <v>3544</v>
      </c>
      <c r="L94" s="41">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x14ac:dyDescent="0.3">
      <c r="A95" s="20"/>
      <c r="B95" s="186" t="s">
        <v>158</v>
      </c>
      <c r="C95" s="46" t="s">
        <v>123</v>
      </c>
      <c r="D95" s="43" t="s">
        <v>45</v>
      </c>
      <c r="E95" s="250">
        <v>2123</v>
      </c>
      <c r="F95" s="45" t="s">
        <v>34</v>
      </c>
      <c r="G95" s="48">
        <f>E95/E$92</f>
        <v>0.28645448822922731</v>
      </c>
      <c r="H95" s="44" t="s">
        <v>50</v>
      </c>
      <c r="I95" s="38"/>
      <c r="J95" s="39">
        <v>0.25</v>
      </c>
      <c r="K95" s="40">
        <f>E95</f>
        <v>2123</v>
      </c>
      <c r="L95" s="41">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x14ac:dyDescent="0.3">
      <c r="A96" s="20"/>
      <c r="B96" s="188">
        <f>B94*0.0254</f>
        <v>6.3500000000000001E-2</v>
      </c>
      <c r="C96" s="46" t="s">
        <v>134</v>
      </c>
      <c r="D96" s="43" t="s">
        <v>136</v>
      </c>
      <c r="E96" s="84">
        <v>0.1</v>
      </c>
      <c r="F96" s="44" t="s">
        <v>133</v>
      </c>
      <c r="G96" s="47"/>
      <c r="H96" s="44" t="s">
        <v>128</v>
      </c>
      <c r="I96" s="38"/>
      <c r="J96" s="39">
        <v>0</v>
      </c>
      <c r="K96" s="40">
        <v>0</v>
      </c>
      <c r="L96" s="41">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x14ac:dyDescent="0.3">
      <c r="A97" s="20"/>
      <c r="B97" s="82"/>
      <c r="C97" s="46" t="s">
        <v>122</v>
      </c>
      <c r="D97" s="43" t="s">
        <v>46</v>
      </c>
      <c r="E97" s="250">
        <v>4961</v>
      </c>
      <c r="F97" s="45" t="s">
        <v>34</v>
      </c>
      <c r="G97" s="48">
        <f>E97/E$92</f>
        <v>0.6693832859657074</v>
      </c>
      <c r="H97" s="44" t="s">
        <v>51</v>
      </c>
      <c r="I97" s="38"/>
      <c r="J97" s="39">
        <f>E96</f>
        <v>0.1</v>
      </c>
      <c r="K97" s="40">
        <f>E97*-1</f>
        <v>-4961</v>
      </c>
      <c r="L97" s="41">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x14ac:dyDescent="0.3">
      <c r="A98" s="20"/>
      <c r="B98" s="82"/>
      <c r="C98" s="46" t="s">
        <v>123</v>
      </c>
      <c r="D98" s="43" t="s">
        <v>217</v>
      </c>
      <c r="E98" s="250">
        <v>2126</v>
      </c>
      <c r="F98" s="45" t="s">
        <v>34</v>
      </c>
      <c r="G98" s="48">
        <f>E98/E$92</f>
        <v>0.28685927554184515</v>
      </c>
      <c r="H98" s="44" t="s">
        <v>50</v>
      </c>
      <c r="I98" s="38"/>
      <c r="J98" s="39">
        <v>0.25</v>
      </c>
      <c r="K98" s="40">
        <f>E98*-1</f>
        <v>-2126</v>
      </c>
      <c r="L98" s="41">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x14ac:dyDescent="0.3">
      <c r="A99" s="20"/>
      <c r="B99" s="49"/>
      <c r="C99" s="81"/>
      <c r="D99" s="50"/>
      <c r="E99" s="50"/>
      <c r="F99" s="50"/>
      <c r="G99" s="50"/>
      <c r="H99" s="51"/>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x14ac:dyDescent="0.3">
      <c r="A100" s="20"/>
      <c r="B100" s="58" t="s">
        <v>132</v>
      </c>
      <c r="C100" s="58"/>
      <c r="D100" s="52"/>
      <c r="E100" s="52"/>
      <c r="F100" s="52"/>
      <c r="G100" s="52"/>
      <c r="H100" s="52"/>
      <c r="I100" s="37"/>
      <c r="J100" s="37"/>
      <c r="K100" s="37"/>
      <c r="L100" s="37"/>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x14ac:dyDescent="0.3">
      <c r="A101" s="20"/>
      <c r="B101" s="185" t="s">
        <v>155</v>
      </c>
      <c r="C101" s="42"/>
      <c r="D101" s="43" t="s">
        <v>43</v>
      </c>
      <c r="E101" s="83">
        <f>E85</f>
        <v>4691.6475784099548</v>
      </c>
      <c r="F101" s="44" t="s">
        <v>34</v>
      </c>
      <c r="G101" s="45" t="s">
        <v>52</v>
      </c>
      <c r="H101" s="45" t="s">
        <v>85</v>
      </c>
      <c r="I101" s="37"/>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x14ac:dyDescent="0.3">
      <c r="A102" s="20"/>
      <c r="B102" s="186" t="s">
        <v>157</v>
      </c>
      <c r="C102" s="46" t="s">
        <v>134</v>
      </c>
      <c r="D102" s="43" t="s">
        <v>135</v>
      </c>
      <c r="E102" s="251">
        <v>0.1</v>
      </c>
      <c r="F102" s="53" t="s">
        <v>133</v>
      </c>
      <c r="G102" s="47"/>
      <c r="H102" s="53" t="s">
        <v>128</v>
      </c>
      <c r="I102" s="38"/>
      <c r="J102" s="39">
        <v>0</v>
      </c>
      <c r="K102" s="40">
        <v>0</v>
      </c>
      <c r="L102" s="40">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x14ac:dyDescent="0.3">
      <c r="A103" s="20"/>
      <c r="B103" s="187">
        <v>2.5</v>
      </c>
      <c r="C103" s="46" t="s">
        <v>122</v>
      </c>
      <c r="D103" s="43" t="s">
        <v>44</v>
      </c>
      <c r="E103" s="250">
        <v>2374</v>
      </c>
      <c r="F103" s="45" t="s">
        <v>34</v>
      </c>
      <c r="G103" s="48">
        <f>E103/E$101</f>
        <v>0.50600561110444098</v>
      </c>
      <c r="H103" s="44" t="s">
        <v>49</v>
      </c>
      <c r="I103" s="38"/>
      <c r="J103" s="39">
        <f>E102</f>
        <v>0.1</v>
      </c>
      <c r="K103" s="40">
        <f>E103</f>
        <v>2374</v>
      </c>
      <c r="L103" s="41">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x14ac:dyDescent="0.3">
      <c r="A104" s="20"/>
      <c r="B104" s="186" t="s">
        <v>158</v>
      </c>
      <c r="C104" s="46" t="s">
        <v>123</v>
      </c>
      <c r="D104" s="43" t="s">
        <v>45</v>
      </c>
      <c r="E104" s="250">
        <v>1424</v>
      </c>
      <c r="F104" s="45" t="s">
        <v>34</v>
      </c>
      <c r="G104" s="48">
        <f>E104/E$101</f>
        <v>0.30351810876694357</v>
      </c>
      <c r="H104" s="44" t="s">
        <v>50</v>
      </c>
      <c r="I104" s="38"/>
      <c r="J104" s="39">
        <v>0.25</v>
      </c>
      <c r="K104" s="40">
        <f>E104</f>
        <v>1424</v>
      </c>
      <c r="L104" s="41">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x14ac:dyDescent="0.3">
      <c r="A105" s="20"/>
      <c r="B105" s="188">
        <f>B103*0.0254</f>
        <v>6.3500000000000001E-2</v>
      </c>
      <c r="C105" s="46" t="s">
        <v>134</v>
      </c>
      <c r="D105" s="43" t="s">
        <v>136</v>
      </c>
      <c r="E105" s="251">
        <v>0.1</v>
      </c>
      <c r="F105" s="53" t="s">
        <v>133</v>
      </c>
      <c r="G105" s="47"/>
      <c r="H105" s="53" t="s">
        <v>128</v>
      </c>
      <c r="I105" s="38"/>
      <c r="J105" s="39">
        <v>0</v>
      </c>
      <c r="K105" s="40">
        <v>0</v>
      </c>
      <c r="L105" s="41">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x14ac:dyDescent="0.3">
      <c r="A106" s="20"/>
      <c r="B106" s="82"/>
      <c r="C106" s="46" t="s">
        <v>122</v>
      </c>
      <c r="D106" s="43" t="s">
        <v>46</v>
      </c>
      <c r="E106" s="250">
        <v>3323</v>
      </c>
      <c r="F106" s="45" t="s">
        <v>34</v>
      </c>
      <c r="G106" s="48">
        <f>E106/E$101</f>
        <v>0.70827996870263588</v>
      </c>
      <c r="H106" s="44" t="s">
        <v>51</v>
      </c>
      <c r="I106" s="38"/>
      <c r="J106" s="39">
        <f>E105</f>
        <v>0.1</v>
      </c>
      <c r="K106" s="40">
        <f>E106*-1</f>
        <v>-3323</v>
      </c>
      <c r="L106" s="41">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x14ac:dyDescent="0.3">
      <c r="A107" s="20"/>
      <c r="B107" s="82"/>
      <c r="C107" s="46" t="s">
        <v>123</v>
      </c>
      <c r="D107" s="43" t="s">
        <v>217</v>
      </c>
      <c r="E107" s="250">
        <v>1424</v>
      </c>
      <c r="F107" s="45" t="s">
        <v>34</v>
      </c>
      <c r="G107" s="48">
        <f>E107/E$101</f>
        <v>0.30351810876694357</v>
      </c>
      <c r="H107" s="44" t="s">
        <v>50</v>
      </c>
      <c r="I107" s="16"/>
      <c r="J107" s="39">
        <v>0.25</v>
      </c>
      <c r="K107" s="40">
        <f>E107*-1</f>
        <v>-1424</v>
      </c>
      <c r="L107" s="41">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x14ac:dyDescent="0.3">
      <c r="A108" s="20"/>
      <c r="B108" s="93"/>
      <c r="C108" s="33"/>
      <c r="D108" s="112"/>
      <c r="E108" s="112"/>
      <c r="F108" s="112"/>
      <c r="G108" s="112"/>
      <c r="H108" s="14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x14ac:dyDescent="0.3">
      <c r="A109" s="64"/>
      <c r="B109" s="65" t="s">
        <v>5</v>
      </c>
      <c r="C109" s="65"/>
      <c r="D109" s="66" t="s">
        <v>127</v>
      </c>
      <c r="E109" s="285" t="s">
        <v>14</v>
      </c>
      <c r="F109" s="285"/>
      <c r="G109" s="285" t="s">
        <v>243</v>
      </c>
      <c r="H109" s="65" t="s">
        <v>15</v>
      </c>
      <c r="I109" s="104"/>
      <c r="J109" s="104"/>
      <c r="K109" s="104"/>
      <c r="L109" s="104"/>
      <c r="M109" s="105"/>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x14ac:dyDescent="0.3">
      <c r="A110" s="20"/>
      <c r="B110" s="59" t="s">
        <v>216</v>
      </c>
      <c r="C110" s="59"/>
      <c r="D110" s="28"/>
      <c r="E110" s="28"/>
      <c r="F110" s="28"/>
      <c r="G110" s="63"/>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x14ac:dyDescent="0.3">
      <c r="A111" s="20"/>
      <c r="B111" s="80" t="s">
        <v>155</v>
      </c>
      <c r="C111" s="92"/>
      <c r="D111" s="180" t="s">
        <v>221</v>
      </c>
      <c r="E111" s="181">
        <v>0.2235</v>
      </c>
      <c r="F111" s="44" t="s">
        <v>28</v>
      </c>
      <c r="G111" s="256" t="s">
        <v>238</v>
      </c>
      <c r="H111" s="257" t="s">
        <v>244</v>
      </c>
      <c r="I111" s="258"/>
      <c r="J111" s="258"/>
      <c r="K111" s="258"/>
      <c r="L111" s="258"/>
      <c r="M111" s="25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x14ac:dyDescent="0.3">
      <c r="A112" s="20"/>
      <c r="B112" s="22" t="s">
        <v>219</v>
      </c>
      <c r="C112" s="33"/>
      <c r="D112" s="180" t="s">
        <v>224</v>
      </c>
      <c r="E112" s="181">
        <v>0.03</v>
      </c>
      <c r="F112" s="44" t="s">
        <v>28</v>
      </c>
      <c r="G112" s="256" t="s">
        <v>239</v>
      </c>
      <c r="H112" s="260" t="s">
        <v>245</v>
      </c>
      <c r="I112" s="261"/>
      <c r="J112" s="261"/>
      <c r="K112" s="261"/>
      <c r="L112" s="261"/>
      <c r="M112" s="26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x14ac:dyDescent="0.3">
      <c r="A113" s="20"/>
      <c r="B113" s="23">
        <v>8.8000000000000007</v>
      </c>
      <c r="C113" s="33"/>
      <c r="D113" s="180" t="s">
        <v>10</v>
      </c>
      <c r="E113" s="184">
        <f>(E25/2)/(E35/9.81)</f>
        <v>9.9127197265625008E-2</v>
      </c>
      <c r="F113" s="44" t="s">
        <v>28</v>
      </c>
      <c r="G113" s="256" t="s">
        <v>230</v>
      </c>
      <c r="H113" s="260" t="s">
        <v>246</v>
      </c>
      <c r="I113" s="261"/>
      <c r="J113" s="261"/>
      <c r="K113" s="261"/>
      <c r="L113" s="261"/>
      <c r="M113" s="262"/>
      <c r="N113" s="31" t="s">
        <v>232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x14ac:dyDescent="0.3">
      <c r="A114" s="20"/>
      <c r="B114" s="22" t="s">
        <v>220</v>
      </c>
      <c r="C114" s="33"/>
      <c r="D114" s="180" t="s">
        <v>222</v>
      </c>
      <c r="E114" s="184">
        <f>E111/E34</f>
        <v>0.23281250000000001</v>
      </c>
      <c r="F114" s="44" t="s">
        <v>28</v>
      </c>
      <c r="G114" s="44" t="s">
        <v>240</v>
      </c>
      <c r="H114" s="263" t="s">
        <v>247</v>
      </c>
      <c r="I114" s="264"/>
      <c r="J114" s="264"/>
      <c r="K114" s="264"/>
      <c r="L114" s="264"/>
      <c r="M114" s="265"/>
      <c r="N114" s="31" t="s">
        <v>231</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x14ac:dyDescent="0.3">
      <c r="A115" s="20"/>
      <c r="B115" s="175">
        <f>B113*0.0254</f>
        <v>0.22352</v>
      </c>
      <c r="C115" s="33"/>
      <c r="D115" s="180" t="s">
        <v>225</v>
      </c>
      <c r="E115" s="184">
        <f>E114-E113</f>
        <v>0.13368530273437501</v>
      </c>
      <c r="F115" s="44" t="s">
        <v>28</v>
      </c>
      <c r="G115" s="44" t="s">
        <v>228</v>
      </c>
      <c r="H115" s="31"/>
      <c r="I115" s="31"/>
      <c r="J115" s="16"/>
      <c r="K115" s="16"/>
      <c r="L115" s="16"/>
      <c r="M115" s="31"/>
      <c r="N115" s="31"/>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x14ac:dyDescent="0.3">
      <c r="A116" s="20"/>
      <c r="B116" s="93"/>
      <c r="C116" s="33"/>
      <c r="D116" s="180" t="s">
        <v>227</v>
      </c>
      <c r="E116" s="252">
        <v>0.1</v>
      </c>
      <c r="F116" s="44" t="s">
        <v>28</v>
      </c>
      <c r="G116" s="44" t="s">
        <v>241</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x14ac:dyDescent="0.3">
      <c r="A117" s="20"/>
      <c r="B117" s="93"/>
      <c r="C117" s="33"/>
      <c r="D117" s="180" t="s">
        <v>226</v>
      </c>
      <c r="E117" s="184">
        <f>E115+E116-(E112/E34)</f>
        <v>0.20243530273437502</v>
      </c>
      <c r="F117" s="44" t="s">
        <v>28</v>
      </c>
      <c r="G117" s="44" t="s">
        <v>229</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x14ac:dyDescent="0.3">
      <c r="A118" s="20"/>
      <c r="B118" s="93"/>
      <c r="C118" s="33"/>
      <c r="D118" s="180" t="s">
        <v>236</v>
      </c>
      <c r="E118" s="184">
        <f>E121-E116</f>
        <v>0.10243530273437501</v>
      </c>
      <c r="F118" s="44" t="s">
        <v>28</v>
      </c>
      <c r="G118" s="44" t="s">
        <v>237</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79" customFormat="1" ht="20.25" customHeight="1" x14ac:dyDescent="0.3">
      <c r="A119" s="177"/>
      <c r="B119" s="132"/>
      <c r="C119" s="178">
        <v>80</v>
      </c>
      <c r="D119" s="254" t="s">
        <v>233</v>
      </c>
      <c r="E119" s="253">
        <f>E115</f>
        <v>0.13368530273437501</v>
      </c>
      <c r="F119" s="44" t="s">
        <v>28</v>
      </c>
      <c r="G119" s="46" t="s">
        <v>242</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179" customFormat="1" ht="20.25" customHeight="1" x14ac:dyDescent="0.3">
      <c r="A120" s="177"/>
      <c r="B120" s="132"/>
      <c r="C120" s="178">
        <v>110</v>
      </c>
      <c r="D120" s="255" t="s">
        <v>234</v>
      </c>
      <c r="E120" s="253">
        <f>E113</f>
        <v>9.9127197265625008E-2</v>
      </c>
      <c r="F120" s="44" t="s">
        <v>28</v>
      </c>
      <c r="G120" s="46" t="s">
        <v>242</v>
      </c>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179" customFormat="1" ht="20.25" customHeight="1" x14ac:dyDescent="0.3">
      <c r="A121" s="177"/>
      <c r="B121" s="132"/>
      <c r="C121" s="178"/>
      <c r="D121" s="255" t="s">
        <v>235</v>
      </c>
      <c r="E121" s="253">
        <f>E117</f>
        <v>0.20243530273437502</v>
      </c>
      <c r="F121" s="44" t="s">
        <v>28</v>
      </c>
      <c r="G121" s="46" t="s">
        <v>242</v>
      </c>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spans="1:47" ht="15.75" customHeight="1" x14ac:dyDescent="0.3">
      <c r="A122" s="20"/>
      <c r="B122" s="94"/>
      <c r="C122" s="95"/>
      <c r="D122" s="96"/>
      <c r="E122" s="96"/>
      <c r="F122" s="96"/>
      <c r="G122" s="97"/>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x14ac:dyDescent="0.3">
      <c r="A123" s="20"/>
      <c r="B123" s="59" t="s">
        <v>216</v>
      </c>
      <c r="C123" s="59"/>
      <c r="D123" s="28"/>
      <c r="E123" s="28"/>
      <c r="F123" s="28"/>
      <c r="G123" s="63"/>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x14ac:dyDescent="0.3">
      <c r="A124" s="20"/>
      <c r="B124" s="80" t="s">
        <v>155</v>
      </c>
      <c r="C124" s="92"/>
      <c r="D124" s="180" t="s">
        <v>221</v>
      </c>
      <c r="E124" s="181">
        <v>0.2235</v>
      </c>
      <c r="F124" s="44" t="s">
        <v>28</v>
      </c>
      <c r="G124" s="44" t="s">
        <v>238</v>
      </c>
      <c r="H124" s="257" t="s">
        <v>244</v>
      </c>
      <c r="I124" s="258"/>
      <c r="J124" s="258"/>
      <c r="K124" s="258"/>
      <c r="L124" s="258"/>
      <c r="M124" s="25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x14ac:dyDescent="0.3">
      <c r="A125" s="20"/>
      <c r="B125" s="22" t="s">
        <v>219</v>
      </c>
      <c r="C125" s="33"/>
      <c r="D125" s="180" t="s">
        <v>224</v>
      </c>
      <c r="E125" s="181">
        <v>0.03</v>
      </c>
      <c r="F125" s="44" t="s">
        <v>28</v>
      </c>
      <c r="G125" s="44" t="s">
        <v>239</v>
      </c>
      <c r="H125" s="260" t="s">
        <v>245</v>
      </c>
      <c r="I125" s="261"/>
      <c r="J125" s="261"/>
      <c r="K125" s="261"/>
      <c r="L125" s="261"/>
      <c r="M125" s="26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x14ac:dyDescent="0.3">
      <c r="A126" s="20"/>
      <c r="B126" s="23">
        <v>8.8000000000000007</v>
      </c>
      <c r="C126" s="33"/>
      <c r="D126" s="180" t="s">
        <v>10</v>
      </c>
      <c r="E126" s="182">
        <f>(E26/2)/(E43/9.81)</f>
        <v>9.8449600816516547E-2</v>
      </c>
      <c r="F126" s="44" t="s">
        <v>28</v>
      </c>
      <c r="G126" s="44" t="s">
        <v>230</v>
      </c>
      <c r="H126" s="260" t="s">
        <v>246</v>
      </c>
      <c r="I126" s="261"/>
      <c r="J126" s="261"/>
      <c r="K126" s="261"/>
      <c r="L126" s="261"/>
      <c r="M126" s="26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x14ac:dyDescent="0.3">
      <c r="A127" s="20"/>
      <c r="B127" s="22" t="s">
        <v>220</v>
      </c>
      <c r="C127" s="33"/>
      <c r="D127" s="180" t="s">
        <v>222</v>
      </c>
      <c r="E127" s="182">
        <f>E124/E42</f>
        <v>0.28471337579617839</v>
      </c>
      <c r="F127" s="44" t="s">
        <v>28</v>
      </c>
      <c r="G127" s="44" t="s">
        <v>240</v>
      </c>
      <c r="H127" s="263" t="s">
        <v>247</v>
      </c>
      <c r="I127" s="264"/>
      <c r="J127" s="264"/>
      <c r="K127" s="264"/>
      <c r="L127" s="264"/>
      <c r="M127" s="26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x14ac:dyDescent="0.3">
      <c r="A128" s="20"/>
      <c r="B128" s="175">
        <f>B126*0.0254</f>
        <v>0.22352</v>
      </c>
      <c r="C128" s="33"/>
      <c r="D128" s="180" t="s">
        <v>225</v>
      </c>
      <c r="E128" s="182">
        <f>E127-E126</f>
        <v>0.18626377497966184</v>
      </c>
      <c r="F128" s="44" t="s">
        <v>28</v>
      </c>
      <c r="G128" s="44" t="s">
        <v>228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x14ac:dyDescent="0.3">
      <c r="A129" s="20"/>
      <c r="B129" s="93"/>
      <c r="C129" s="33"/>
      <c r="D129" s="180" t="s">
        <v>227</v>
      </c>
      <c r="E129" s="183">
        <v>3.5000000000000003E-2</v>
      </c>
      <c r="F129" s="44" t="s">
        <v>28</v>
      </c>
      <c r="G129" s="44" t="s">
        <v>241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x14ac:dyDescent="0.3">
      <c r="A130" s="20"/>
      <c r="B130" s="93"/>
      <c r="C130" s="33"/>
      <c r="D130" s="180" t="s">
        <v>226</v>
      </c>
      <c r="E130" s="182">
        <f>E128+E129-(E125/E42)</f>
        <v>0.18304721447010769</v>
      </c>
      <c r="F130" s="44" t="s">
        <v>28</v>
      </c>
      <c r="G130" s="44" t="s">
        <v>229</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x14ac:dyDescent="0.3">
      <c r="A131" s="20"/>
      <c r="B131" s="93"/>
      <c r="C131" s="33"/>
      <c r="D131" s="180" t="s">
        <v>236</v>
      </c>
      <c r="E131" s="184">
        <f>E134-E129</f>
        <v>0.14804721447010769</v>
      </c>
      <c r="F131" s="44" t="s">
        <v>28</v>
      </c>
      <c r="G131" s="44" t="s">
        <v>237</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79" customFormat="1" ht="21" customHeight="1" x14ac:dyDescent="0.3">
      <c r="A132" s="177"/>
      <c r="B132" s="132"/>
      <c r="C132" s="178">
        <v>110</v>
      </c>
      <c r="D132" s="254" t="s">
        <v>233</v>
      </c>
      <c r="E132" s="253">
        <f>E128</f>
        <v>0.18626377497966184</v>
      </c>
      <c r="F132" s="44" t="s">
        <v>28</v>
      </c>
      <c r="G132" s="46" t="s">
        <v>242</v>
      </c>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79" customFormat="1" ht="21" customHeight="1" x14ac:dyDescent="0.3">
      <c r="A133" s="177"/>
      <c r="B133" s="132"/>
      <c r="C133" s="178">
        <v>95</v>
      </c>
      <c r="D133" s="255" t="s">
        <v>234</v>
      </c>
      <c r="E133" s="253">
        <f>E126</f>
        <v>9.8449600816516547E-2</v>
      </c>
      <c r="F133" s="44" t="s">
        <v>28</v>
      </c>
      <c r="G133" s="46" t="s">
        <v>242</v>
      </c>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79" customFormat="1" ht="21" customHeight="1" x14ac:dyDescent="0.3">
      <c r="A134" s="177"/>
      <c r="B134" s="132"/>
      <c r="C134" s="178"/>
      <c r="D134" s="255" t="s">
        <v>235</v>
      </c>
      <c r="E134" s="253">
        <f>E130</f>
        <v>0.18304721447010769</v>
      </c>
      <c r="F134" s="44" t="s">
        <v>28</v>
      </c>
      <c r="G134" s="46" t="s">
        <v>242</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x14ac:dyDescent="0.3">
      <c r="A135" s="20"/>
      <c r="B135" s="94"/>
      <c r="C135" s="95"/>
      <c r="D135" s="96"/>
      <c r="E135" s="96"/>
      <c r="F135" s="96"/>
      <c r="G135" s="97"/>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x14ac:dyDescent="0.3">
      <c r="A136" s="20"/>
      <c r="B136" s="20"/>
      <c r="C136" s="2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x14ac:dyDescent="0.3">
      <c r="A137" s="20"/>
      <c r="B137" s="20"/>
      <c r="C137" s="2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x14ac:dyDescent="0.3">
      <c r="A138" s="20"/>
      <c r="B138" s="20"/>
      <c r="C138" s="2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x14ac:dyDescent="0.3">
      <c r="A139" s="20"/>
      <c r="B139" s="20"/>
      <c r="C139" s="2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x14ac:dyDescent="0.3">
      <c r="A140" s="20"/>
      <c r="B140" s="20"/>
      <c r="C140" s="2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x14ac:dyDescent="0.3">
      <c r="A141" s="20"/>
      <c r="B141" s="20"/>
      <c r="C141" s="2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x14ac:dyDescent="0.3">
      <c r="A142" s="20"/>
      <c r="B142" s="20"/>
      <c r="C142" s="2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x14ac:dyDescent="0.3">
      <c r="A143" s="20"/>
      <c r="B143" s="20"/>
      <c r="C143" s="2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x14ac:dyDescent="0.3">
      <c r="A144" s="20"/>
      <c r="B144" s="20"/>
      <c r="C144" s="2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x14ac:dyDescent="0.3">
      <c r="A145" s="20"/>
      <c r="B145" s="20"/>
      <c r="C145" s="2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x14ac:dyDescent="0.3">
      <c r="A146" s="20"/>
      <c r="B146" s="20"/>
      <c r="C146" s="2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x14ac:dyDescent="0.3">
      <c r="A147" s="20"/>
      <c r="B147" s="20"/>
      <c r="C147" s="2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x14ac:dyDescent="0.3">
      <c r="A148" s="20"/>
      <c r="B148" s="20"/>
      <c r="C148" s="2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x14ac:dyDescent="0.3">
      <c r="A149" s="20"/>
      <c r="B149" s="20"/>
      <c r="C149" s="2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x14ac:dyDescent="0.3">
      <c r="A150" s="20"/>
      <c r="B150" s="20"/>
      <c r="C150" s="2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x14ac:dyDescent="0.3">
      <c r="A151" s="20"/>
      <c r="B151" s="20"/>
      <c r="C151" s="2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x14ac:dyDescent="0.3">
      <c r="A152" s="20"/>
      <c r="B152" s="20"/>
      <c r="C152" s="2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x14ac:dyDescent="0.3">
      <c r="A153" s="20"/>
      <c r="B153" s="20"/>
      <c r="C153" s="2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x14ac:dyDescent="0.3">
      <c r="A154" s="20"/>
      <c r="B154" s="20"/>
      <c r="C154" s="2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x14ac:dyDescent="0.3">
      <c r="A155" s="20"/>
      <c r="B155" s="20"/>
      <c r="C155" s="2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x14ac:dyDescent="0.3">
      <c r="A156" s="20"/>
      <c r="B156" s="20"/>
      <c r="C156" s="2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x14ac:dyDescent="0.3">
      <c r="A157" s="20"/>
      <c r="B157" s="20"/>
      <c r="C157" s="2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x14ac:dyDescent="0.3">
      <c r="A158" s="20"/>
      <c r="B158" s="20"/>
      <c r="C158" s="2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x14ac:dyDescent="0.3">
      <c r="A159" s="20"/>
      <c r="B159" s="20"/>
      <c r="C159" s="2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x14ac:dyDescent="0.3">
      <c r="A160" s="20"/>
      <c r="B160" s="20"/>
      <c r="C160" s="2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x14ac:dyDescent="0.3">
      <c r="A161" s="20"/>
      <c r="B161" s="20"/>
      <c r="C161" s="2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x14ac:dyDescent="0.3">
      <c r="A162" s="20"/>
      <c r="B162" s="20"/>
      <c r="C162" s="2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x14ac:dyDescent="0.3">
      <c r="A163" s="20"/>
      <c r="B163" s="20"/>
      <c r="C163" s="2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x14ac:dyDescent="0.3">
      <c r="A164" s="20"/>
      <c r="B164" s="20"/>
      <c r="C164" s="2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x14ac:dyDescent="0.3">
      <c r="A165" s="20"/>
      <c r="B165" s="20"/>
      <c r="C165" s="2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x14ac:dyDescent="0.3">
      <c r="A166" s="20"/>
      <c r="B166" s="20"/>
      <c r="C166" s="2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x14ac:dyDescent="0.3">
      <c r="A167" s="20"/>
      <c r="B167" s="20"/>
      <c r="C167" s="2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x14ac:dyDescent="0.3">
      <c r="B168" s="20"/>
      <c r="C168" s="2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x14ac:dyDescent="0.3">
      <c r="B169" s="20"/>
      <c r="C169" s="2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x14ac:dyDescent="0.3">
      <c r="B170" s="20"/>
      <c r="C170" s="2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x14ac:dyDescent="0.3">
      <c r="B171" s="20"/>
      <c r="C171" s="2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x14ac:dyDescent="0.3">
      <c r="B172" s="20"/>
      <c r="C172" s="2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x14ac:dyDescent="0.3">
      <c r="B173" s="20"/>
      <c r="C173" s="2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x14ac:dyDescent="0.3">
      <c r="B174" s="20"/>
      <c r="C174" s="2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heetViews>
  <sheetFormatPr defaultRowHeight="14.4" x14ac:dyDescent="0.3"/>
  <sheetData>
    <row r="1" spans="1:1" x14ac:dyDescent="0.3">
      <c r="A1" s="268" t="s">
        <v>211</v>
      </c>
    </row>
    <row r="3" spans="1:1" x14ac:dyDescent="0.3">
      <c r="A3" t="s">
        <v>256</v>
      </c>
    </row>
    <row r="4" spans="1:1" x14ac:dyDescent="0.3">
      <c r="A4" t="s">
        <v>257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Chris Rae</cp:lastModifiedBy>
  <dcterms:created xsi:type="dcterms:W3CDTF">2014-10-02T18:16:51Z</dcterms:created>
  <dcterms:modified xsi:type="dcterms:W3CDTF">2024-10-19T05:30:01Z</dcterms:modified>
</cp:coreProperties>
</file>