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URNET.NL\Homes\wang218\AppData\FolderRedirection\Desktop\4th\"/>
    </mc:Choice>
  </mc:AlternateContent>
  <xr:revisionPtr revIDLastSave="0" documentId="13_ncr:1_{3B7D8A38-0FAB-45CB-83A2-A993E4B37217}" xr6:coauthVersionLast="45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Blad1" sheetId="1" r:id="rId1"/>
    <sheet name="quantitative 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2" l="1"/>
  <c r="Q6" i="2"/>
  <c r="Y42" i="2"/>
  <c r="Y43" i="2"/>
  <c r="Y44" i="2"/>
  <c r="Y45" i="2"/>
  <c r="Y46" i="2"/>
  <c r="Y47" i="2"/>
  <c r="Y48" i="2"/>
  <c r="Y49" i="2"/>
  <c r="Y50" i="2"/>
  <c r="Y41" i="2"/>
  <c r="AO16" i="2"/>
  <c r="Z17" i="2"/>
  <c r="Z16" i="2"/>
  <c r="AO5" i="2"/>
  <c r="AO6" i="2"/>
  <c r="AO7" i="2"/>
  <c r="AO8" i="2"/>
  <c r="AO9" i="2"/>
  <c r="AO10" i="2"/>
  <c r="AO11" i="2"/>
  <c r="AO12" i="2"/>
  <c r="AO13" i="2"/>
  <c r="AO14" i="2"/>
  <c r="AO15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4" i="2"/>
  <c r="AM35" i="2"/>
  <c r="AP35" i="2"/>
  <c r="AM34" i="2"/>
  <c r="AN35" i="2" s="1"/>
  <c r="AM33" i="2"/>
  <c r="AP33" i="2"/>
  <c r="AM32" i="2"/>
  <c r="AN33" i="2" s="1"/>
  <c r="AU31" i="2"/>
  <c r="AM31" i="2"/>
  <c r="AU30" i="2"/>
  <c r="AP31" i="2"/>
  <c r="AM30" i="2"/>
  <c r="AN31" i="2" s="1"/>
  <c r="AU29" i="2"/>
  <c r="AM29" i="2"/>
  <c r="AU28" i="2"/>
  <c r="AP29" i="2"/>
  <c r="AM28" i="2"/>
  <c r="AN29" i="2" s="1"/>
  <c r="AU27" i="2"/>
  <c r="AM27" i="2"/>
  <c r="AU26" i="2"/>
  <c r="AP27" i="2"/>
  <c r="AM26" i="2"/>
  <c r="AN27" i="2" s="1"/>
  <c r="AU25" i="2"/>
  <c r="AM25" i="2"/>
  <c r="AU24" i="2"/>
  <c r="AP25" i="2"/>
  <c r="AM24" i="2"/>
  <c r="AN25" i="2" s="1"/>
  <c r="AU23" i="2"/>
  <c r="AM23" i="2"/>
  <c r="AU22" i="2"/>
  <c r="AP23" i="2"/>
  <c r="AM22" i="2"/>
  <c r="AN23" i="2" s="1"/>
  <c r="AM21" i="2"/>
  <c r="AP21" i="2"/>
  <c r="AM20" i="2"/>
  <c r="AN21" i="2" s="1"/>
  <c r="AM19" i="2"/>
  <c r="AP19" i="2"/>
  <c r="AM18" i="2"/>
  <c r="AN19" i="2" s="1"/>
  <c r="AU17" i="2"/>
  <c r="AM17" i="2"/>
  <c r="AU16" i="2"/>
  <c r="AM16" i="2"/>
  <c r="AN17" i="2" s="1"/>
  <c r="AU15" i="2"/>
  <c r="AM15" i="2"/>
  <c r="AU14" i="2"/>
  <c r="AP15" i="2"/>
  <c r="AM14" i="2"/>
  <c r="AN15" i="2" s="1"/>
  <c r="AU13" i="2"/>
  <c r="AM13" i="2"/>
  <c r="AU12" i="2"/>
  <c r="AP13" i="2"/>
  <c r="AM12" i="2"/>
  <c r="AN13" i="2" s="1"/>
  <c r="AU11" i="2"/>
  <c r="AM11" i="2"/>
  <c r="AU10" i="2"/>
  <c r="AM10" i="2"/>
  <c r="AN11" i="2" s="1"/>
  <c r="AM9" i="2"/>
  <c r="AP9" i="2"/>
  <c r="AM8" i="2"/>
  <c r="AN9" i="2" s="1"/>
  <c r="AM7" i="2"/>
  <c r="AP7" i="2"/>
  <c r="AM6" i="2"/>
  <c r="AN7" i="2" s="1"/>
  <c r="AP5" i="2"/>
  <c r="V35" i="2"/>
  <c r="V34" i="2"/>
  <c r="V31" i="2"/>
  <c r="V30" i="2"/>
  <c r="V29" i="2"/>
  <c r="V28" i="2"/>
  <c r="V27" i="2"/>
  <c r="V26" i="2"/>
  <c r="V25" i="2"/>
  <c r="V24" i="2"/>
  <c r="V23" i="2"/>
  <c r="V22" i="2"/>
  <c r="V21" i="2"/>
  <c r="V20" i="2"/>
  <c r="V17" i="2"/>
  <c r="V16" i="2"/>
  <c r="V15" i="2"/>
  <c r="V14" i="2"/>
  <c r="V13" i="2"/>
  <c r="V12" i="2"/>
  <c r="V11" i="2"/>
  <c r="V10" i="2"/>
  <c r="V9" i="2"/>
  <c r="V8" i="2"/>
  <c r="U5" i="2"/>
  <c r="Y5" i="2"/>
  <c r="R6" i="2"/>
  <c r="T6" i="2"/>
  <c r="Q7" i="2"/>
  <c r="R7" i="2"/>
  <c r="S7" i="2"/>
  <c r="T7" i="2"/>
  <c r="U7" i="2"/>
  <c r="R8" i="2"/>
  <c r="T8" i="2"/>
  <c r="P9" i="2"/>
  <c r="R9" i="2"/>
  <c r="S9" i="2"/>
  <c r="T9" i="2"/>
  <c r="U9" i="2"/>
  <c r="R18" i="2"/>
  <c r="T18" i="2"/>
  <c r="R19" i="2"/>
  <c r="S19" i="2"/>
  <c r="T19" i="2"/>
  <c r="U19" i="2"/>
  <c r="R20" i="2"/>
  <c r="T20" i="2"/>
  <c r="R21" i="2"/>
  <c r="S21" i="2"/>
  <c r="T21" i="2"/>
  <c r="U21" i="2"/>
  <c r="T32" i="2"/>
  <c r="T33" i="2"/>
  <c r="T34" i="2"/>
  <c r="T35" i="2"/>
  <c r="Z31" i="2"/>
  <c r="T31" i="2" s="1"/>
  <c r="Z30" i="2"/>
  <c r="T30" i="2" s="1"/>
  <c r="Z28" i="2"/>
  <c r="T28" i="2" s="1"/>
  <c r="Z29" i="2"/>
  <c r="T29" i="2" s="1"/>
  <c r="Z27" i="2"/>
  <c r="T27" i="2" s="1"/>
  <c r="Z26" i="2"/>
  <c r="T26" i="2" s="1"/>
  <c r="Z25" i="2"/>
  <c r="T25" i="2" s="1"/>
  <c r="Z24" i="2"/>
  <c r="T24" i="2" s="1"/>
  <c r="Z23" i="2"/>
  <c r="T23" i="2" s="1"/>
  <c r="Z22" i="2"/>
  <c r="T22" i="2" s="1"/>
  <c r="T17" i="2"/>
  <c r="AO17" i="2" s="1"/>
  <c r="T16" i="2"/>
  <c r="AP17" i="2" s="1"/>
  <c r="Z15" i="2"/>
  <c r="T15" i="2" s="1"/>
  <c r="Z14" i="2"/>
  <c r="T14" i="2" s="1"/>
  <c r="Z13" i="2"/>
  <c r="T13" i="2" s="1"/>
  <c r="Z12" i="2"/>
  <c r="T12" i="2" s="1"/>
  <c r="Z11" i="2"/>
  <c r="T11" i="2" s="1"/>
  <c r="Z10" i="2"/>
  <c r="T10" i="2" s="1"/>
  <c r="R10" i="2"/>
  <c r="U35" i="2"/>
  <c r="R35" i="2"/>
  <c r="R34" i="2"/>
  <c r="S35" i="2" s="1"/>
  <c r="U33" i="2"/>
  <c r="R32" i="2"/>
  <c r="R33" i="2"/>
  <c r="U31" i="2"/>
  <c r="R30" i="2"/>
  <c r="R31" i="2"/>
  <c r="U29" i="2"/>
  <c r="R28" i="2"/>
  <c r="R29" i="2"/>
  <c r="U27" i="2"/>
  <c r="R27" i="2"/>
  <c r="R26" i="2"/>
  <c r="S27" i="2" s="1"/>
  <c r="U25" i="2"/>
  <c r="P25" i="2"/>
  <c r="R25" i="2" s="1"/>
  <c r="P24" i="2"/>
  <c r="R24" i="2" s="1"/>
  <c r="S25" i="2" s="1"/>
  <c r="U23" i="2"/>
  <c r="Q23" i="2"/>
  <c r="R23" i="2" s="1"/>
  <c r="Q22" i="2"/>
  <c r="R22" i="2" s="1"/>
  <c r="S23" i="2" s="1"/>
  <c r="R17" i="2"/>
  <c r="R16" i="2"/>
  <c r="P15" i="2"/>
  <c r="R15" i="2" s="1"/>
  <c r="P14" i="2"/>
  <c r="R14" i="2" s="1"/>
  <c r="Q13" i="2"/>
  <c r="R13" i="2" s="1"/>
  <c r="Q12" i="2"/>
  <c r="R12" i="2" s="1"/>
  <c r="R11" i="2"/>
  <c r="S11" i="2"/>
  <c r="J54" i="2"/>
  <c r="J53" i="2"/>
  <c r="J51" i="2"/>
  <c r="J50" i="2"/>
  <c r="U17" i="2"/>
  <c r="U15" i="2"/>
  <c r="U13" i="2"/>
  <c r="U11" i="2"/>
  <c r="W32" i="2" l="1"/>
  <c r="W30" i="2"/>
  <c r="W28" i="2"/>
  <c r="W26" i="2"/>
  <c r="W24" i="2"/>
  <c r="W22" i="2"/>
  <c r="W18" i="2"/>
  <c r="W16" i="2"/>
  <c r="W14" i="2"/>
  <c r="W12" i="2"/>
  <c r="W10" i="2"/>
  <c r="W6" i="2"/>
  <c r="W33" i="2"/>
  <c r="W31" i="2"/>
  <c r="W29" i="2"/>
  <c r="W27" i="2"/>
  <c r="W25" i="2"/>
  <c r="W23" i="2"/>
  <c r="W19" i="2"/>
  <c r="W17" i="2"/>
  <c r="W15" i="2"/>
  <c r="W13" i="2"/>
  <c r="W11" i="2"/>
  <c r="W7" i="2"/>
  <c r="AP11" i="2"/>
  <c r="X6" i="2"/>
  <c r="X7" i="2"/>
  <c r="X24" i="2"/>
  <c r="X14" i="2"/>
  <c r="X25" i="2"/>
  <c r="X15" i="2"/>
  <c r="X22" i="2"/>
  <c r="X12" i="2"/>
  <c r="X23" i="2"/>
  <c r="X13" i="2"/>
  <c r="Y13" i="2" s="1"/>
  <c r="S29" i="2"/>
  <c r="S31" i="2"/>
  <c r="S33" i="2"/>
  <c r="S17" i="2"/>
  <c r="Y15" i="2"/>
  <c r="S15" i="2"/>
  <c r="S13" i="2"/>
  <c r="Y7" i="2" l="1"/>
  <c r="X21" i="2"/>
  <c r="X19" i="2"/>
  <c r="X9" i="2"/>
  <c r="X20" i="2"/>
  <c r="Y21" i="2" s="1"/>
  <c r="X18" i="2"/>
  <c r="Y19" i="2" s="1"/>
  <c r="X8" i="2"/>
  <c r="Y9" i="2" s="1"/>
  <c r="X35" i="2"/>
  <c r="X33" i="2"/>
  <c r="X31" i="2"/>
  <c r="X29" i="2"/>
  <c r="X27" i="2"/>
  <c r="X17" i="2"/>
  <c r="X11" i="2"/>
  <c r="X34" i="2"/>
  <c r="Y35" i="2" s="1"/>
  <c r="X32" i="2"/>
  <c r="Y33" i="2" s="1"/>
  <c r="X30" i="2"/>
  <c r="Y31" i="2" s="1"/>
  <c r="X28" i="2"/>
  <c r="Y29" i="2" s="1"/>
  <c r="X26" i="2"/>
  <c r="Y27" i="2" s="1"/>
  <c r="X16" i="2"/>
  <c r="Y17" i="2" s="1"/>
  <c r="X10" i="2"/>
  <c r="Y11" i="2" s="1"/>
  <c r="Y23" i="2"/>
  <c r="Y25" i="2"/>
</calcChain>
</file>

<file path=xl/sharedStrings.xml><?xml version="1.0" encoding="utf-8"?>
<sst xmlns="http://schemas.openxmlformats.org/spreadsheetml/2006/main" count="546" uniqueCount="109">
  <si>
    <t>alternative</t>
  </si>
  <si>
    <t>feed</t>
  </si>
  <si>
    <t>milk</t>
  </si>
  <si>
    <t>afb1/m1</t>
  </si>
  <si>
    <t xml:space="preserve">no </t>
  </si>
  <si>
    <t>dio</t>
  </si>
  <si>
    <t xml:space="preserve">low </t>
  </si>
  <si>
    <t>low</t>
  </si>
  <si>
    <t xml:space="preserve">medium </t>
  </si>
  <si>
    <t>medium</t>
  </si>
  <si>
    <t>intense</t>
  </si>
  <si>
    <t xml:space="preserve">intense </t>
  </si>
  <si>
    <t xml:space="preserve">collaboration </t>
  </si>
  <si>
    <t>Table 1</t>
  </si>
  <si>
    <t>performance (one monitoring period 2 weeks)</t>
  </si>
  <si>
    <t>performance (one year)</t>
  </si>
  <si>
    <t>Contamination scenarios</t>
  </si>
  <si>
    <t>monitoring costs (euros)</t>
  </si>
  <si>
    <t>DALYs/100,000</t>
  </si>
  <si>
    <t>production loss (eruos)</t>
  </si>
  <si>
    <t>PI-Chain</t>
  </si>
  <si>
    <t>DALYs/17,000,000</t>
  </si>
  <si>
    <t>Feed mill</t>
  </si>
  <si>
    <t>chain</t>
  </si>
  <si>
    <t>total</t>
  </si>
  <si>
    <t>single</t>
  </si>
  <si>
    <t>Contamination fraction (Fc f _FMh)</t>
  </si>
  <si>
    <t xml:space="preserve">Concentration (ug/kg afb1 in feed) (Cct_FM_AFB1)     </t>
  </si>
  <si>
    <t>collaborative</t>
  </si>
  <si>
    <t>Afb1/m1</t>
  </si>
  <si>
    <t xml:space="preserve"> Concentration (PQ of TEQ/ g  in feed)</t>
  </si>
  <si>
    <t>(Cct_FM_dio )</t>
  </si>
  <si>
    <t>Dioxin</t>
  </si>
  <si>
    <t>Dairy farm</t>
  </si>
  <si>
    <t>Contamination fraction (Fc f _DFh)</t>
  </si>
  <si>
    <t>AFM1 (μg/kg milk)</t>
  </si>
  <si>
    <t>(Cct_DF_AFM1)</t>
  </si>
  <si>
    <t xml:space="preserve">Dioxins (pg of TEQ/g in milk fat) </t>
  </si>
  <si>
    <t>DALYs without monitoring</t>
  </si>
  <si>
    <t>(Cct_DF_dio)</t>
  </si>
  <si>
    <t>AFB1/M1</t>
  </si>
  <si>
    <t>DIOXINS</t>
  </si>
  <si>
    <t>Retail</t>
  </si>
  <si>
    <t>Contamination fraction (Fc f _Rh)</t>
  </si>
  <si>
    <t>(Cct_R_AFM1)</t>
  </si>
  <si>
    <t>(Cct_R_dio)</t>
  </si>
  <si>
    <t>Table 2. sampling and analysis</t>
  </si>
  <si>
    <t>Sampling and analysis</t>
  </si>
  <si>
    <t>Feed</t>
  </si>
  <si>
    <t>Milk</t>
  </si>
  <si>
    <t>Costs/batch (euro)</t>
  </si>
  <si>
    <t>Incremental samples/batch</t>
  </si>
  <si>
    <t>Analysis sample / batch</t>
  </si>
  <si>
    <t>Analysis method for Aflatoxin</t>
  </si>
  <si>
    <t>LC-MS/MS</t>
  </si>
  <si>
    <t>Analysis method for screening Dioxins</t>
  </si>
  <si>
    <t>DR CALUX®</t>
  </si>
  <si>
    <t>Analysis method for testing Dioxins</t>
  </si>
  <si>
    <t>GC/HRMS</t>
  </si>
  <si>
    <t>Table . Monitoring alternatives setting</t>
  </si>
  <si>
    <t>NBS_feed</t>
  </si>
  <si>
    <r>
      <t>NA</t>
    </r>
    <r>
      <rPr>
        <sz val="8"/>
        <color theme="1"/>
        <rFont val="Verdana"/>
        <family val="2"/>
      </rPr>
      <t> </t>
    </r>
    <r>
      <rPr>
        <sz val="10"/>
        <color rgb="FF000000"/>
        <rFont val="Times New Roman"/>
        <family val="1"/>
      </rPr>
      <t>_feed</t>
    </r>
  </si>
  <si>
    <t>PI_feed</t>
  </si>
  <si>
    <t>NBS_milk</t>
  </si>
  <si>
    <t>NA_milk</t>
  </si>
  <si>
    <t>PI_milk</t>
  </si>
  <si>
    <t>no</t>
  </si>
  <si>
    <t>mid</t>
  </si>
  <si>
    <t>Monitoring alternative</t>
  </si>
  <si>
    <t>DALYs</t>
  </si>
  <si>
    <t>dioxin</t>
  </si>
  <si>
    <t xml:space="preserve">Table 4. Input for estimating production loss </t>
  </si>
  <si>
    <t>Parameter</t>
  </si>
  <si>
    <t>Value</t>
  </si>
  <si>
    <t>Unit</t>
  </si>
  <si>
    <t>Explanation</t>
  </si>
  <si>
    <t>PL_FEED_TOTAL_h</t>
  </si>
  <si>
    <t>Pfeed</t>
  </si>
  <si>
    <t>tons</t>
  </si>
  <si>
    <t>feed production per feed mill per day</t>
  </si>
  <si>
    <t>PL_FEED_afb1=</t>
  </si>
  <si>
    <t>*PI_feed_afb1</t>
  </si>
  <si>
    <t>Pmilk</t>
  </si>
  <si>
    <t>milk production per farm per day</t>
  </si>
  <si>
    <t>PL_FEED_DIO=</t>
  </si>
  <si>
    <t>*PI_feed_dio</t>
  </si>
  <si>
    <t>t_m</t>
  </si>
  <si>
    <t>days</t>
  </si>
  <si>
    <t>monitoring period</t>
  </si>
  <si>
    <t>PL_milk_TOTAL_h</t>
  </si>
  <si>
    <t>N_FM</t>
  </si>
  <si>
    <t>number of feed mills</t>
  </si>
  <si>
    <t>PL_milk_afb1=</t>
  </si>
  <si>
    <t>*PI_milk_afm1</t>
  </si>
  <si>
    <t>N_DM</t>
  </si>
  <si>
    <t>number of dairy farms</t>
  </si>
  <si>
    <t>PL_milk_DIO=</t>
  </si>
  <si>
    <t>*PI_milk_dio</t>
  </si>
  <si>
    <t>C_RecF</t>
  </si>
  <si>
    <t>euros</t>
  </si>
  <si>
    <t>recalling costs of contaminated feed per ton</t>
  </si>
  <si>
    <t>C_RepF</t>
  </si>
  <si>
    <t>replacement costs of contaminated feed per ton</t>
  </si>
  <si>
    <t>C_DF</t>
  </si>
  <si>
    <t>destruction costs of contaminated feed per ton</t>
  </si>
  <si>
    <t>P_M</t>
  </si>
  <si>
    <t>price of raw milk per kilo gram</t>
  </si>
  <si>
    <t>Production losses</t>
  </si>
  <si>
    <t>Performance of Aflatoxin monitoring scheme for quantitative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</si>
</sst>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Verdana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Verdana"/>
      <family val="2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theme="1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9" fontId="0" fillId="0" borderId="4" xfId="0" applyNumberFormat="1" applyBorder="1"/>
    <xf numFmtId="9" fontId="0" fillId="0" borderId="0" xfId="0" applyNumberFormat="1" applyBorder="1"/>
    <xf numFmtId="0" fontId="1" fillId="0" borderId="5" xfId="0" applyFont="1" applyBorder="1"/>
    <xf numFmtId="0" fontId="0" fillId="0" borderId="5" xfId="0" applyBorder="1"/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/>
    </xf>
    <xf numFmtId="9" fontId="8" fillId="0" borderId="1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1" fontId="0" fillId="0" borderId="4" xfId="0" applyNumberFormat="1" applyBorder="1"/>
    <xf numFmtId="0" fontId="0" fillId="0" borderId="12" xfId="0" applyBorder="1"/>
    <xf numFmtId="0" fontId="0" fillId="0" borderId="13" xfId="0" applyBorder="1"/>
    <xf numFmtId="1" fontId="0" fillId="0" borderId="3" xfId="0" applyNumberFormat="1" applyBorder="1"/>
    <xf numFmtId="1" fontId="0" fillId="0" borderId="3" xfId="0" applyNumberFormat="1" applyFill="1" applyBorder="1"/>
    <xf numFmtId="0" fontId="0" fillId="0" borderId="3" xfId="0" applyFill="1" applyBorder="1"/>
    <xf numFmtId="1" fontId="0" fillId="0" borderId="4" xfId="0" applyNumberFormat="1" applyFill="1" applyBorder="1"/>
    <xf numFmtId="0" fontId="0" fillId="0" borderId="4" xfId="0" applyFill="1" applyBorder="1"/>
    <xf numFmtId="0" fontId="0" fillId="3" borderId="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0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0" fontId="0" fillId="0" borderId="19" xfId="0" applyBorder="1"/>
    <xf numFmtId="0" fontId="0" fillId="0" borderId="18" xfId="0" applyBorder="1"/>
    <xf numFmtId="0" fontId="0" fillId="0" borderId="18" xfId="0" applyFill="1" applyBorder="1"/>
    <xf numFmtId="1" fontId="0" fillId="0" borderId="18" xfId="0" applyNumberFormat="1" applyBorder="1"/>
    <xf numFmtId="9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0" fontId="0" fillId="3" borderId="0" xfId="0" applyFill="1" applyBorder="1"/>
    <xf numFmtId="1" fontId="0" fillId="0" borderId="0" xfId="0" applyNumberFormat="1" applyFill="1" applyBorder="1"/>
    <xf numFmtId="0" fontId="0" fillId="0" borderId="16" xfId="0" applyFill="1" applyBorder="1"/>
    <xf numFmtId="1" fontId="0" fillId="0" borderId="16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 applyAlignment="1">
      <alignment horizontal="center"/>
    </xf>
    <xf numFmtId="1" fontId="0" fillId="0" borderId="16" xfId="0" applyNumberFormat="1" applyFill="1" applyBorder="1"/>
    <xf numFmtId="0" fontId="0" fillId="3" borderId="18" xfId="0" applyFill="1" applyBorder="1"/>
    <xf numFmtId="1" fontId="0" fillId="0" borderId="18" xfId="0" applyNumberFormat="1" applyFill="1" applyBorder="1"/>
    <xf numFmtId="10" fontId="0" fillId="0" borderId="18" xfId="0" applyNumberFormat="1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/>
    <xf numFmtId="0" fontId="12" fillId="2" borderId="0" xfId="0" applyFont="1" applyFill="1"/>
    <xf numFmtId="0" fontId="1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/>
  </sheetViews>
  <sheetFormatPr defaultRowHeight="14.5" x14ac:dyDescent="0.35"/>
  <cols>
    <col min="1" max="1" width="13.1796875" customWidth="1"/>
    <col min="2" max="2" width="15.453125" customWidth="1"/>
    <col min="3" max="3" width="19.1796875" customWidth="1"/>
    <col min="4" max="4" width="15.453125" customWidth="1"/>
  </cols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>
        <v>1</v>
      </c>
      <c r="B2" s="1" t="s">
        <v>3</v>
      </c>
      <c r="C2" t="s">
        <v>4</v>
      </c>
      <c r="D2" t="s">
        <v>4</v>
      </c>
    </row>
    <row r="3" spans="1:4" x14ac:dyDescent="0.35">
      <c r="B3" s="1" t="s">
        <v>5</v>
      </c>
      <c r="C3" t="s">
        <v>4</v>
      </c>
      <c r="D3" t="s">
        <v>4</v>
      </c>
    </row>
    <row r="4" spans="1:4" x14ac:dyDescent="0.35">
      <c r="A4">
        <v>2</v>
      </c>
      <c r="B4" t="s">
        <v>3</v>
      </c>
      <c r="C4" t="s">
        <v>4</v>
      </c>
      <c r="D4" t="s">
        <v>6</v>
      </c>
    </row>
    <row r="5" spans="1:4" x14ac:dyDescent="0.35">
      <c r="B5" t="s">
        <v>5</v>
      </c>
      <c r="C5" t="s">
        <v>4</v>
      </c>
      <c r="D5" t="s">
        <v>6</v>
      </c>
    </row>
    <row r="6" spans="1:4" x14ac:dyDescent="0.35">
      <c r="A6">
        <v>3</v>
      </c>
      <c r="B6" s="1" t="s">
        <v>3</v>
      </c>
      <c r="C6" t="s">
        <v>7</v>
      </c>
      <c r="D6" t="s">
        <v>4</v>
      </c>
    </row>
    <row r="7" spans="1:4" x14ac:dyDescent="0.35">
      <c r="B7" s="1" t="s">
        <v>5</v>
      </c>
      <c r="C7" t="s">
        <v>7</v>
      </c>
      <c r="D7" t="s">
        <v>4</v>
      </c>
    </row>
    <row r="8" spans="1:4" x14ac:dyDescent="0.35">
      <c r="A8">
        <v>4</v>
      </c>
      <c r="B8" t="s">
        <v>3</v>
      </c>
      <c r="C8" t="s">
        <v>6</v>
      </c>
      <c r="D8" t="s">
        <v>6</v>
      </c>
    </row>
    <row r="9" spans="1:4" x14ac:dyDescent="0.35">
      <c r="B9" t="s">
        <v>5</v>
      </c>
      <c r="C9" t="s">
        <v>6</v>
      </c>
      <c r="D9" t="s">
        <v>6</v>
      </c>
    </row>
    <row r="10" spans="1:4" x14ac:dyDescent="0.35">
      <c r="A10">
        <v>5</v>
      </c>
      <c r="B10" s="1" t="s">
        <v>3</v>
      </c>
      <c r="C10" t="s">
        <v>6</v>
      </c>
      <c r="D10" t="s">
        <v>8</v>
      </c>
    </row>
    <row r="11" spans="1:4" x14ac:dyDescent="0.35">
      <c r="B11" s="1" t="s">
        <v>5</v>
      </c>
      <c r="C11" t="s">
        <v>7</v>
      </c>
      <c r="D11" t="s">
        <v>8</v>
      </c>
    </row>
    <row r="12" spans="1:4" x14ac:dyDescent="0.35">
      <c r="A12">
        <v>6</v>
      </c>
      <c r="B12" t="s">
        <v>3</v>
      </c>
      <c r="C12" t="s">
        <v>9</v>
      </c>
      <c r="D12" t="s">
        <v>6</v>
      </c>
    </row>
    <row r="13" spans="1:4" x14ac:dyDescent="0.35">
      <c r="B13" t="s">
        <v>5</v>
      </c>
      <c r="C13" t="s">
        <v>8</v>
      </c>
      <c r="D13" t="s">
        <v>6</v>
      </c>
    </row>
    <row r="14" spans="1:4" x14ac:dyDescent="0.35">
      <c r="A14">
        <v>7</v>
      </c>
      <c r="B14" s="1" t="s">
        <v>3</v>
      </c>
      <c r="C14" t="s">
        <v>8</v>
      </c>
      <c r="D14" t="s">
        <v>8</v>
      </c>
    </row>
    <row r="15" spans="1:4" x14ac:dyDescent="0.35">
      <c r="B15" s="1" t="s">
        <v>5</v>
      </c>
      <c r="C15" t="s">
        <v>8</v>
      </c>
      <c r="D15" t="s">
        <v>8</v>
      </c>
    </row>
    <row r="16" spans="1:4" x14ac:dyDescent="0.35">
      <c r="A16">
        <v>8</v>
      </c>
      <c r="B16" t="s">
        <v>3</v>
      </c>
      <c r="C16" t="s">
        <v>4</v>
      </c>
      <c r="D16" t="s">
        <v>8</v>
      </c>
    </row>
    <row r="17" spans="1:4" x14ac:dyDescent="0.35">
      <c r="B17" t="s">
        <v>5</v>
      </c>
      <c r="C17" t="s">
        <v>4</v>
      </c>
      <c r="D17" t="s">
        <v>8</v>
      </c>
    </row>
    <row r="18" spans="1:4" x14ac:dyDescent="0.35">
      <c r="A18">
        <v>9</v>
      </c>
      <c r="B18" s="1" t="s">
        <v>3</v>
      </c>
      <c r="C18" t="s">
        <v>9</v>
      </c>
      <c r="D18" t="s">
        <v>4</v>
      </c>
    </row>
    <row r="19" spans="1:4" x14ac:dyDescent="0.35">
      <c r="B19" s="1" t="s">
        <v>5</v>
      </c>
      <c r="C19" t="s">
        <v>8</v>
      </c>
      <c r="D19" t="s">
        <v>4</v>
      </c>
    </row>
    <row r="20" spans="1:4" x14ac:dyDescent="0.35">
      <c r="A20">
        <v>10</v>
      </c>
      <c r="B20" t="s">
        <v>3</v>
      </c>
      <c r="C20" t="s">
        <v>8</v>
      </c>
      <c r="D20" t="s">
        <v>10</v>
      </c>
    </row>
    <row r="21" spans="1:4" x14ac:dyDescent="0.35">
      <c r="B21" t="s">
        <v>5</v>
      </c>
      <c r="C21" t="s">
        <v>8</v>
      </c>
      <c r="D21" t="s">
        <v>10</v>
      </c>
    </row>
    <row r="22" spans="1:4" x14ac:dyDescent="0.35">
      <c r="A22">
        <v>11</v>
      </c>
      <c r="B22" s="1" t="s">
        <v>3</v>
      </c>
      <c r="C22" t="s">
        <v>11</v>
      </c>
      <c r="D22" t="s">
        <v>8</v>
      </c>
    </row>
    <row r="23" spans="1:4" x14ac:dyDescent="0.35">
      <c r="B23" s="1" t="s">
        <v>5</v>
      </c>
      <c r="C23" t="s">
        <v>11</v>
      </c>
      <c r="D23" t="s">
        <v>8</v>
      </c>
    </row>
    <row r="24" spans="1:4" x14ac:dyDescent="0.35">
      <c r="A24">
        <v>12</v>
      </c>
      <c r="B24" t="s">
        <v>3</v>
      </c>
      <c r="C24" t="s">
        <v>11</v>
      </c>
      <c r="D24" t="s">
        <v>10</v>
      </c>
    </row>
    <row r="25" spans="1:4" x14ac:dyDescent="0.35">
      <c r="B25" t="s">
        <v>5</v>
      </c>
      <c r="C25" t="s">
        <v>11</v>
      </c>
      <c r="D25" t="s">
        <v>11</v>
      </c>
    </row>
    <row r="26" spans="1:4" x14ac:dyDescent="0.35">
      <c r="A26">
        <v>13</v>
      </c>
      <c r="B26" s="1" t="s">
        <v>3</v>
      </c>
      <c r="C26" t="s">
        <v>11</v>
      </c>
      <c r="D26" t="s">
        <v>6</v>
      </c>
    </row>
    <row r="27" spans="1:4" x14ac:dyDescent="0.35">
      <c r="B27" s="1" t="s">
        <v>5</v>
      </c>
      <c r="C27" t="s">
        <v>11</v>
      </c>
      <c r="D27" t="s">
        <v>6</v>
      </c>
    </row>
    <row r="28" spans="1:4" x14ac:dyDescent="0.35">
      <c r="A28">
        <v>14</v>
      </c>
      <c r="B28" t="s">
        <v>3</v>
      </c>
      <c r="C28" t="s">
        <v>6</v>
      </c>
      <c r="D28" t="s">
        <v>10</v>
      </c>
    </row>
    <row r="29" spans="1:4" x14ac:dyDescent="0.35">
      <c r="B29" t="s">
        <v>5</v>
      </c>
      <c r="C29" t="s">
        <v>6</v>
      </c>
      <c r="D29" t="s">
        <v>10</v>
      </c>
    </row>
    <row r="30" spans="1:4" x14ac:dyDescent="0.35">
      <c r="A30">
        <v>15</v>
      </c>
      <c r="B30" s="1" t="s">
        <v>3</v>
      </c>
      <c r="C30" t="s">
        <v>4</v>
      </c>
      <c r="D30" t="s">
        <v>10</v>
      </c>
    </row>
    <row r="31" spans="1:4" x14ac:dyDescent="0.35">
      <c r="B31" s="1" t="s">
        <v>5</v>
      </c>
      <c r="C31" t="s">
        <v>4</v>
      </c>
      <c r="D31" t="s">
        <v>11</v>
      </c>
    </row>
    <row r="32" spans="1:4" x14ac:dyDescent="0.35">
      <c r="A32">
        <v>16</v>
      </c>
      <c r="B32" t="s">
        <v>3</v>
      </c>
      <c r="C32" t="s">
        <v>11</v>
      </c>
      <c r="D32" t="s">
        <v>4</v>
      </c>
    </row>
    <row r="33" spans="1:4" x14ac:dyDescent="0.35">
      <c r="B33" t="s">
        <v>5</v>
      </c>
      <c r="C33" t="s">
        <v>11</v>
      </c>
      <c r="D33" t="s">
        <v>4</v>
      </c>
    </row>
    <row r="34" spans="1:4" x14ac:dyDescent="0.35">
      <c r="A34">
        <v>17</v>
      </c>
      <c r="B34" s="1" t="s">
        <v>3</v>
      </c>
      <c r="C34" t="s">
        <v>12</v>
      </c>
      <c r="D34" t="s">
        <v>12</v>
      </c>
    </row>
    <row r="35" spans="1:4" x14ac:dyDescent="0.35">
      <c r="B35" s="1" t="s">
        <v>5</v>
      </c>
      <c r="C35" t="s">
        <v>12</v>
      </c>
      <c r="D3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BF86-6889-4B62-B9CC-0993F0D3A817}">
  <dimension ref="B1:AU58"/>
  <sheetViews>
    <sheetView tabSelected="1" zoomScale="51" workbookViewId="0">
      <selection activeCell="I48" sqref="I48"/>
    </sheetView>
  </sheetViews>
  <sheetFormatPr defaultRowHeight="14.5" x14ac:dyDescent="0.35"/>
  <cols>
    <col min="3" max="3" width="27" customWidth="1"/>
    <col min="9" max="9" width="13.81640625" customWidth="1"/>
  </cols>
  <sheetData>
    <row r="1" spans="2:47" x14ac:dyDescent="0.35">
      <c r="B1" t="s">
        <v>13</v>
      </c>
      <c r="P1" s="80" t="s">
        <v>14</v>
      </c>
      <c r="Q1" s="80"/>
      <c r="R1" s="80"/>
      <c r="S1" s="80"/>
      <c r="T1" s="80"/>
      <c r="U1" s="80"/>
      <c r="V1" s="80"/>
      <c r="W1" s="80"/>
      <c r="X1" s="80"/>
      <c r="Y1" s="80"/>
      <c r="AK1" s="80" t="s">
        <v>15</v>
      </c>
      <c r="AL1" s="80"/>
      <c r="AM1" s="80"/>
      <c r="AN1" s="80"/>
      <c r="AO1" s="80"/>
      <c r="AP1" s="80"/>
      <c r="AQ1" s="80"/>
      <c r="AR1" s="80"/>
      <c r="AS1" s="80"/>
      <c r="AT1" s="80"/>
    </row>
    <row r="2" spans="2:47" ht="14.5" customHeight="1" x14ac:dyDescent="0.35">
      <c r="B2" s="18" t="s">
        <v>16</v>
      </c>
      <c r="C2" s="19"/>
      <c r="D2" s="19"/>
      <c r="K2" s="78" t="s">
        <v>0</v>
      </c>
      <c r="L2" s="78"/>
      <c r="M2" s="78"/>
      <c r="N2" s="78"/>
      <c r="O2" s="78"/>
      <c r="P2" s="80" t="s">
        <v>17</v>
      </c>
      <c r="Q2" s="80"/>
      <c r="R2" s="80"/>
      <c r="S2" s="80"/>
      <c r="T2" s="80" t="s">
        <v>18</v>
      </c>
      <c r="U2" s="80"/>
      <c r="V2" s="80" t="s">
        <v>19</v>
      </c>
      <c r="W2" s="80"/>
      <c r="X2" s="80"/>
      <c r="Y2" s="80"/>
      <c r="Z2" s="54" t="s">
        <v>20</v>
      </c>
      <c r="AF2" s="78" t="s">
        <v>0</v>
      </c>
      <c r="AG2" s="78"/>
      <c r="AH2" s="78"/>
      <c r="AI2" s="78"/>
      <c r="AJ2" s="78"/>
      <c r="AK2" s="80" t="s">
        <v>17</v>
      </c>
      <c r="AL2" s="80"/>
      <c r="AM2" s="80"/>
      <c r="AN2" s="80"/>
      <c r="AO2" s="80" t="s">
        <v>21</v>
      </c>
      <c r="AP2" s="80"/>
      <c r="AQ2" s="80" t="s">
        <v>19</v>
      </c>
      <c r="AR2" s="80"/>
      <c r="AS2" s="80"/>
      <c r="AT2" s="80"/>
      <c r="AU2" s="54" t="s">
        <v>20</v>
      </c>
    </row>
    <row r="3" spans="2:47" ht="14.5" customHeight="1" x14ac:dyDescent="0.35">
      <c r="B3" s="13" t="s">
        <v>22</v>
      </c>
      <c r="C3" s="13"/>
      <c r="D3" s="13"/>
      <c r="K3" s="72"/>
      <c r="L3" s="72"/>
      <c r="M3" s="72"/>
      <c r="N3" s="72" t="s">
        <v>1</v>
      </c>
      <c r="O3" s="72" t="s">
        <v>2</v>
      </c>
      <c r="P3" s="19" t="s">
        <v>1</v>
      </c>
      <c r="Q3" s="19" t="s">
        <v>2</v>
      </c>
      <c r="R3" s="19" t="s">
        <v>23</v>
      </c>
      <c r="S3" s="36" t="s">
        <v>24</v>
      </c>
      <c r="T3" s="35" t="s">
        <v>25</v>
      </c>
      <c r="U3" s="36" t="s">
        <v>24</v>
      </c>
      <c r="V3" s="19" t="s">
        <v>1</v>
      </c>
      <c r="W3" s="19" t="s">
        <v>2</v>
      </c>
      <c r="X3" s="19" t="s">
        <v>23</v>
      </c>
      <c r="Y3" s="19" t="s">
        <v>24</v>
      </c>
      <c r="AF3" s="72"/>
      <c r="AG3" s="72"/>
      <c r="AH3" s="72"/>
      <c r="AI3" s="72" t="s">
        <v>1</v>
      </c>
      <c r="AJ3" s="72" t="s">
        <v>2</v>
      </c>
      <c r="AK3" s="69" t="s">
        <v>1</v>
      </c>
      <c r="AL3" s="69" t="s">
        <v>2</v>
      </c>
      <c r="AM3" s="69" t="s">
        <v>23</v>
      </c>
      <c r="AN3" s="70" t="s">
        <v>24</v>
      </c>
      <c r="AO3" s="71" t="s">
        <v>25</v>
      </c>
      <c r="AP3" s="70" t="s">
        <v>24</v>
      </c>
      <c r="AQ3" s="69" t="s">
        <v>1</v>
      </c>
      <c r="AR3" s="69" t="s">
        <v>2</v>
      </c>
      <c r="AS3" s="69" t="s">
        <v>23</v>
      </c>
      <c r="AT3" s="69" t="s">
        <v>24</v>
      </c>
      <c r="AU3" s="53"/>
    </row>
    <row r="4" spans="2:47" x14ac:dyDescent="0.35">
      <c r="B4" s="14"/>
      <c r="C4" s="14" t="s">
        <v>26</v>
      </c>
      <c r="D4" s="14" t="s">
        <v>27</v>
      </c>
      <c r="K4">
        <v>1</v>
      </c>
      <c r="L4" t="s">
        <v>28</v>
      </c>
      <c r="M4" s="1" t="s">
        <v>3</v>
      </c>
      <c r="N4" t="s">
        <v>4</v>
      </c>
      <c r="O4" t="s">
        <v>4</v>
      </c>
      <c r="P4" s="37">
        <v>0</v>
      </c>
      <c r="Q4">
        <v>0</v>
      </c>
      <c r="R4">
        <v>0</v>
      </c>
      <c r="S4" s="38"/>
      <c r="T4" s="37">
        <v>0.13</v>
      </c>
      <c r="U4" s="38"/>
      <c r="V4" s="39">
        <v>0</v>
      </c>
      <c r="W4" s="39">
        <v>0</v>
      </c>
      <c r="X4" s="39">
        <v>0</v>
      </c>
      <c r="Z4">
        <v>0</v>
      </c>
      <c r="AF4">
        <v>1</v>
      </c>
      <c r="AG4" t="s">
        <v>28</v>
      </c>
      <c r="AH4" s="1" t="s">
        <v>3</v>
      </c>
      <c r="AI4" t="s">
        <v>4</v>
      </c>
      <c r="AJ4" t="s">
        <v>4</v>
      </c>
      <c r="AK4" s="14">
        <f>P4*26</f>
        <v>0</v>
      </c>
      <c r="AL4" s="14">
        <f>Q4*26</f>
        <v>0</v>
      </c>
      <c r="AM4" s="14">
        <v>0</v>
      </c>
      <c r="AN4" s="14"/>
      <c r="AO4" s="14">
        <f>T4*170</f>
        <v>22.1</v>
      </c>
      <c r="AP4" s="14"/>
      <c r="AQ4" s="57">
        <v>0</v>
      </c>
      <c r="AR4" s="57">
        <v>0</v>
      </c>
      <c r="AS4" s="57">
        <v>0</v>
      </c>
      <c r="AT4" s="14"/>
      <c r="AU4">
        <v>0</v>
      </c>
    </row>
    <row r="5" spans="2:47" x14ac:dyDescent="0.35">
      <c r="B5" t="s">
        <v>29</v>
      </c>
      <c r="C5" s="3">
        <v>0.01</v>
      </c>
      <c r="D5">
        <v>10.3</v>
      </c>
      <c r="L5" t="s">
        <v>28</v>
      </c>
      <c r="M5" s="1" t="s">
        <v>5</v>
      </c>
      <c r="N5" t="s">
        <v>4</v>
      </c>
      <c r="O5" t="s">
        <v>4</v>
      </c>
      <c r="P5" s="40">
        <v>0</v>
      </c>
      <c r="Q5" s="15">
        <v>0</v>
      </c>
      <c r="R5" s="15">
        <v>0</v>
      </c>
      <c r="S5" s="41">
        <v>0</v>
      </c>
      <c r="T5" s="40">
        <v>1.7999999999999999E-2</v>
      </c>
      <c r="U5" s="41">
        <f>T4+T5</f>
        <v>0.14799999999999999</v>
      </c>
      <c r="V5" s="42">
        <v>0</v>
      </c>
      <c r="W5" s="42">
        <v>0</v>
      </c>
      <c r="X5" s="42">
        <v>0</v>
      </c>
      <c r="Y5" s="42">
        <f>X4+X5</f>
        <v>0</v>
      </c>
      <c r="Z5">
        <v>0</v>
      </c>
      <c r="AG5" t="s">
        <v>28</v>
      </c>
      <c r="AH5" s="1" t="s">
        <v>5</v>
      </c>
      <c r="AI5" t="s">
        <v>4</v>
      </c>
      <c r="AJ5" t="s">
        <v>4</v>
      </c>
      <c r="AK5" s="14">
        <f t="shared" ref="AK5:AK35" si="0">P5*26</f>
        <v>0</v>
      </c>
      <c r="AL5" s="14">
        <f t="shared" ref="AL5:AL35" si="1">Q5*26</f>
        <v>0</v>
      </c>
      <c r="AM5" s="14">
        <v>0</v>
      </c>
      <c r="AN5" s="14">
        <v>0</v>
      </c>
      <c r="AO5" s="14">
        <f t="shared" ref="AO5:AO35" si="2">T5*170</f>
        <v>3.0599999999999996</v>
      </c>
      <c r="AP5" s="14">
        <f>AO4+AO5</f>
        <v>25.16</v>
      </c>
      <c r="AQ5" s="57">
        <v>0</v>
      </c>
      <c r="AR5" s="57">
        <v>0</v>
      </c>
      <c r="AS5" s="57">
        <v>0</v>
      </c>
      <c r="AT5" s="57">
        <v>0</v>
      </c>
      <c r="AU5">
        <v>0</v>
      </c>
    </row>
    <row r="6" spans="2:47" x14ac:dyDescent="0.35">
      <c r="C6" t="s">
        <v>26</v>
      </c>
      <c r="D6" t="s">
        <v>30</v>
      </c>
      <c r="K6">
        <v>2</v>
      </c>
      <c r="L6" t="s">
        <v>28</v>
      </c>
      <c r="M6" t="s">
        <v>3</v>
      </c>
      <c r="N6" t="s">
        <v>4</v>
      </c>
      <c r="O6" t="s">
        <v>6</v>
      </c>
      <c r="P6" s="43">
        <v>0</v>
      </c>
      <c r="Q6" s="13">
        <f>G37*10+H37*100</f>
        <v>2500</v>
      </c>
      <c r="R6" s="13">
        <f t="shared" ref="R6:R27" si="3">P6+Q6</f>
        <v>2500</v>
      </c>
      <c r="S6" s="44"/>
      <c r="T6" s="43">
        <f>(1-Z6)*$T$4</f>
        <v>6.5000000000000002E-2</v>
      </c>
      <c r="U6" s="44"/>
      <c r="V6" s="45">
        <v>0</v>
      </c>
      <c r="W6" s="45">
        <f>$J$53*I37</f>
        <v>165131.25</v>
      </c>
      <c r="X6" s="45">
        <f t="shared" ref="X6:X29" si="4">V6+W6</f>
        <v>165131.25</v>
      </c>
      <c r="Y6" s="13"/>
      <c r="Z6" s="3">
        <v>0.5</v>
      </c>
      <c r="AF6">
        <v>2</v>
      </c>
      <c r="AG6" t="s">
        <v>28</v>
      </c>
      <c r="AH6" t="s">
        <v>3</v>
      </c>
      <c r="AI6" t="s">
        <v>4</v>
      </c>
      <c r="AJ6" t="s">
        <v>6</v>
      </c>
      <c r="AK6" s="14">
        <f t="shared" si="0"/>
        <v>0</v>
      </c>
      <c r="AL6" s="14">
        <f t="shared" si="1"/>
        <v>65000</v>
      </c>
      <c r="AM6" s="14">
        <f t="shared" ref="AM6:AM27" si="5">AK6+AL6</f>
        <v>65000</v>
      </c>
      <c r="AN6" s="14"/>
      <c r="AO6" s="14">
        <f t="shared" si="2"/>
        <v>11.05</v>
      </c>
      <c r="AP6" s="14"/>
      <c r="AQ6" s="57">
        <v>0</v>
      </c>
      <c r="AR6" s="57">
        <v>165131.25</v>
      </c>
      <c r="AS6" s="57">
        <v>165131.25</v>
      </c>
      <c r="AT6" s="14"/>
      <c r="AU6" s="3">
        <v>0.5</v>
      </c>
    </row>
    <row r="7" spans="2:47" x14ac:dyDescent="0.35">
      <c r="D7" t="s">
        <v>31</v>
      </c>
      <c r="L7" t="s">
        <v>28</v>
      </c>
      <c r="M7" t="s">
        <v>5</v>
      </c>
      <c r="N7" t="s">
        <v>4</v>
      </c>
      <c r="O7" t="s">
        <v>6</v>
      </c>
      <c r="P7" s="40">
        <v>0</v>
      </c>
      <c r="Q7" s="15">
        <f>G43*10+H43*100+I43*350</f>
        <v>2675</v>
      </c>
      <c r="R7" s="15">
        <f t="shared" si="3"/>
        <v>2675</v>
      </c>
      <c r="S7" s="41">
        <f>R6+R7</f>
        <v>5175</v>
      </c>
      <c r="T7" s="40">
        <f>(1-Z7)*$T$5</f>
        <v>8.9999999999999993E-3</v>
      </c>
      <c r="U7" s="41">
        <f>T6+T7</f>
        <v>7.3999999999999996E-2</v>
      </c>
      <c r="V7" s="42">
        <v>0</v>
      </c>
      <c r="W7" s="42">
        <f>$J$54*I43</f>
        <v>165131.25</v>
      </c>
      <c r="X7" s="42">
        <f t="shared" si="4"/>
        <v>165131.25</v>
      </c>
      <c r="Y7" s="42">
        <f>X6+X7</f>
        <v>330262.5</v>
      </c>
      <c r="Z7" s="3">
        <v>0.5</v>
      </c>
      <c r="AG7" t="s">
        <v>28</v>
      </c>
      <c r="AH7" t="s">
        <v>5</v>
      </c>
      <c r="AI7" t="s">
        <v>4</v>
      </c>
      <c r="AJ7" t="s">
        <v>6</v>
      </c>
      <c r="AK7" s="14">
        <f t="shared" si="0"/>
        <v>0</v>
      </c>
      <c r="AL7" s="14">
        <f t="shared" si="1"/>
        <v>69550</v>
      </c>
      <c r="AM7" s="14">
        <f t="shared" si="5"/>
        <v>69550</v>
      </c>
      <c r="AN7" s="14">
        <f>AM6+AM7</f>
        <v>134550</v>
      </c>
      <c r="AO7" s="14">
        <f t="shared" si="2"/>
        <v>1.5299999999999998</v>
      </c>
      <c r="AP7" s="14">
        <f>AO6+AO7</f>
        <v>12.58</v>
      </c>
      <c r="AQ7" s="57">
        <v>0</v>
      </c>
      <c r="AR7" s="57">
        <v>165131.25</v>
      </c>
      <c r="AS7" s="57">
        <v>165131.25</v>
      </c>
      <c r="AT7" s="57">
        <v>330262.5</v>
      </c>
      <c r="AU7" s="3">
        <v>0.5</v>
      </c>
    </row>
    <row r="8" spans="2:47" x14ac:dyDescent="0.35">
      <c r="B8" s="15" t="s">
        <v>32</v>
      </c>
      <c r="C8" s="16">
        <v>0.01</v>
      </c>
      <c r="D8" s="15">
        <v>0.75</v>
      </c>
      <c r="K8">
        <v>3</v>
      </c>
      <c r="L8" t="s">
        <v>28</v>
      </c>
      <c r="M8" s="1" t="s">
        <v>3</v>
      </c>
      <c r="N8" t="s">
        <v>7</v>
      </c>
      <c r="O8" t="s">
        <v>4</v>
      </c>
      <c r="P8" s="43">
        <f>C37*10+D37*100</f>
        <v>1760</v>
      </c>
      <c r="Q8" s="13">
        <v>0</v>
      </c>
      <c r="R8" s="13">
        <f t="shared" si="3"/>
        <v>1760</v>
      </c>
      <c r="S8" s="44"/>
      <c r="T8" s="43">
        <f t="shared" ref="T8" si="6">(1-Z8)*$T$4</f>
        <v>6.5000000000000002E-2</v>
      </c>
      <c r="U8" s="44"/>
      <c r="V8" s="45">
        <f>$J$50*E37</f>
        <v>2625</v>
      </c>
      <c r="W8" s="45">
        <v>0</v>
      </c>
      <c r="X8" s="45">
        <f t="shared" si="4"/>
        <v>2625</v>
      </c>
      <c r="Y8" s="13"/>
      <c r="Z8" s="3">
        <v>0.5</v>
      </c>
      <c r="AF8">
        <v>3</v>
      </c>
      <c r="AG8" t="s">
        <v>28</v>
      </c>
      <c r="AH8" s="1" t="s">
        <v>3</v>
      </c>
      <c r="AI8" t="s">
        <v>7</v>
      </c>
      <c r="AJ8" t="s">
        <v>4</v>
      </c>
      <c r="AK8" s="14">
        <f t="shared" si="0"/>
        <v>45760</v>
      </c>
      <c r="AL8" s="14">
        <f t="shared" si="1"/>
        <v>0</v>
      </c>
      <c r="AM8" s="14">
        <f t="shared" si="5"/>
        <v>45760</v>
      </c>
      <c r="AN8" s="14"/>
      <c r="AO8" s="14">
        <f t="shared" si="2"/>
        <v>11.05</v>
      </c>
      <c r="AP8" s="14"/>
      <c r="AQ8" s="57">
        <v>2625</v>
      </c>
      <c r="AR8" s="57">
        <v>0</v>
      </c>
      <c r="AS8" s="57">
        <v>2625</v>
      </c>
      <c r="AT8" s="14"/>
      <c r="AU8" s="3">
        <v>0.5</v>
      </c>
    </row>
    <row r="9" spans="2:47" x14ac:dyDescent="0.35">
      <c r="L9" t="s">
        <v>28</v>
      </c>
      <c r="M9" s="1" t="s">
        <v>5</v>
      </c>
      <c r="N9" t="s">
        <v>7</v>
      </c>
      <c r="O9" t="s">
        <v>4</v>
      </c>
      <c r="P9" s="40">
        <f>C43*10+D43*100+E43*350</f>
        <v>1935</v>
      </c>
      <c r="Q9" s="15">
        <v>0</v>
      </c>
      <c r="R9" s="15">
        <f t="shared" si="3"/>
        <v>1935</v>
      </c>
      <c r="S9" s="41">
        <f>R8+R9</f>
        <v>3695</v>
      </c>
      <c r="T9" s="40">
        <f t="shared" ref="T9" si="7">(1-Z9)*$T$5</f>
        <v>8.9999999999999993E-3</v>
      </c>
      <c r="U9" s="41">
        <f>T8+T9</f>
        <v>7.3999999999999996E-2</v>
      </c>
      <c r="V9" s="42">
        <f>$J$51*E43</f>
        <v>2625</v>
      </c>
      <c r="W9" s="42">
        <v>0</v>
      </c>
      <c r="X9" s="42">
        <f t="shared" si="4"/>
        <v>2625</v>
      </c>
      <c r="Y9" s="42">
        <f>X8+X9</f>
        <v>5250</v>
      </c>
      <c r="Z9" s="3">
        <v>0.5</v>
      </c>
      <c r="AG9" t="s">
        <v>28</v>
      </c>
      <c r="AH9" s="1" t="s">
        <v>5</v>
      </c>
      <c r="AI9" t="s">
        <v>7</v>
      </c>
      <c r="AJ9" t="s">
        <v>4</v>
      </c>
      <c r="AK9" s="14">
        <f t="shared" si="0"/>
        <v>50310</v>
      </c>
      <c r="AL9" s="14">
        <f t="shared" si="1"/>
        <v>0</v>
      </c>
      <c r="AM9" s="14">
        <f t="shared" si="5"/>
        <v>50310</v>
      </c>
      <c r="AN9" s="14">
        <f>AM8+AM9</f>
        <v>96070</v>
      </c>
      <c r="AO9" s="14">
        <f t="shared" si="2"/>
        <v>1.5299999999999998</v>
      </c>
      <c r="AP9" s="14">
        <f>AO8+AO9</f>
        <v>12.58</v>
      </c>
      <c r="AQ9" s="57">
        <v>2625</v>
      </c>
      <c r="AR9" s="57">
        <v>0</v>
      </c>
      <c r="AS9" s="57">
        <v>2625</v>
      </c>
      <c r="AT9" s="57">
        <v>5250</v>
      </c>
      <c r="AU9" s="3">
        <v>0.5</v>
      </c>
    </row>
    <row r="10" spans="2:47" x14ac:dyDescent="0.35">
      <c r="B10" s="14" t="s">
        <v>33</v>
      </c>
      <c r="C10" s="14"/>
      <c r="D10" s="14"/>
      <c r="K10">
        <v>4</v>
      </c>
      <c r="L10" t="s">
        <v>28</v>
      </c>
      <c r="M10" t="s">
        <v>3</v>
      </c>
      <c r="N10" t="s">
        <v>6</v>
      </c>
      <c r="O10" t="s">
        <v>6</v>
      </c>
      <c r="P10" s="43">
        <v>1760</v>
      </c>
      <c r="Q10" s="50">
        <v>2500</v>
      </c>
      <c r="R10" s="50">
        <f t="shared" si="3"/>
        <v>4260</v>
      </c>
      <c r="S10" s="44"/>
      <c r="T10" s="43">
        <f t="shared" ref="T10" si="8">(1-Z10)*$T$4</f>
        <v>3.2500000000000001E-2</v>
      </c>
      <c r="U10" s="44"/>
      <c r="V10" s="45">
        <f>$J$50*E37</f>
        <v>2625</v>
      </c>
      <c r="W10" s="45">
        <f>$J$53*I37</f>
        <v>165131.25</v>
      </c>
      <c r="X10" s="46">
        <f t="shared" si="4"/>
        <v>167756.25</v>
      </c>
      <c r="Y10" s="47"/>
      <c r="Z10" s="55">
        <f>1-(1-50%)*(1-50%)</f>
        <v>0.75</v>
      </c>
      <c r="AA10" s="55"/>
      <c r="AF10">
        <v>4</v>
      </c>
      <c r="AG10" t="s">
        <v>28</v>
      </c>
      <c r="AH10" t="s">
        <v>3</v>
      </c>
      <c r="AI10" t="s">
        <v>6</v>
      </c>
      <c r="AJ10" t="s">
        <v>6</v>
      </c>
      <c r="AK10" s="14">
        <f t="shared" si="0"/>
        <v>45760</v>
      </c>
      <c r="AL10" s="14">
        <f t="shared" si="1"/>
        <v>65000</v>
      </c>
      <c r="AM10" s="65">
        <f t="shared" si="5"/>
        <v>110760</v>
      </c>
      <c r="AN10" s="14"/>
      <c r="AO10" s="14">
        <f t="shared" si="2"/>
        <v>5.5250000000000004</v>
      </c>
      <c r="AP10" s="14"/>
      <c r="AQ10" s="57">
        <v>2625</v>
      </c>
      <c r="AR10" s="57">
        <v>165131.25</v>
      </c>
      <c r="AS10" s="66">
        <v>167756.25</v>
      </c>
      <c r="AT10" s="56"/>
      <c r="AU10" s="55">
        <f>1-(1-50%)*(1-50%)</f>
        <v>0.75</v>
      </c>
    </row>
    <row r="11" spans="2:47" x14ac:dyDescent="0.35">
      <c r="B11" s="14"/>
      <c r="C11" s="14" t="s">
        <v>34</v>
      </c>
      <c r="D11" s="14" t="s">
        <v>35</v>
      </c>
      <c r="L11" t="s">
        <v>28</v>
      </c>
      <c r="M11" t="s">
        <v>5</v>
      </c>
      <c r="N11" t="s">
        <v>6</v>
      </c>
      <c r="O11" t="s">
        <v>6</v>
      </c>
      <c r="P11" s="40">
        <v>1935</v>
      </c>
      <c r="Q11" s="15">
        <v>2675</v>
      </c>
      <c r="R11" s="15">
        <f t="shared" si="3"/>
        <v>4610</v>
      </c>
      <c r="S11" s="41">
        <f>R10+R11</f>
        <v>8870</v>
      </c>
      <c r="T11" s="40">
        <f t="shared" ref="T11" si="9">(1-Z11)*$T$5</f>
        <v>4.4999999999999997E-3</v>
      </c>
      <c r="U11" s="41">
        <f>T11+T10</f>
        <v>3.6999999999999998E-2</v>
      </c>
      <c r="V11" s="42">
        <f>$J$51*E43</f>
        <v>2625</v>
      </c>
      <c r="W11" s="42">
        <f>$J$54*I43</f>
        <v>165131.25</v>
      </c>
      <c r="X11" s="48">
        <f t="shared" si="4"/>
        <v>167756.25</v>
      </c>
      <c r="Y11" s="48">
        <f>X10+X11</f>
        <v>335512.5</v>
      </c>
      <c r="Z11" s="55">
        <f>1-(1-50%)*(1-50%)</f>
        <v>0.75</v>
      </c>
      <c r="AG11" t="s">
        <v>28</v>
      </c>
      <c r="AH11" t="s">
        <v>5</v>
      </c>
      <c r="AI11" t="s">
        <v>6</v>
      </c>
      <c r="AJ11" t="s">
        <v>6</v>
      </c>
      <c r="AK11" s="14">
        <f t="shared" si="0"/>
        <v>50310</v>
      </c>
      <c r="AL11" s="14">
        <f t="shared" si="1"/>
        <v>69550</v>
      </c>
      <c r="AM11" s="14">
        <f t="shared" si="5"/>
        <v>119860</v>
      </c>
      <c r="AN11" s="14">
        <f>AM10+AM11</f>
        <v>230620</v>
      </c>
      <c r="AO11" s="14">
        <f t="shared" si="2"/>
        <v>0.7649999999999999</v>
      </c>
      <c r="AP11" s="14">
        <f>AO11+AO10</f>
        <v>6.29</v>
      </c>
      <c r="AQ11" s="57">
        <v>2625</v>
      </c>
      <c r="AR11" s="57">
        <v>165131.25</v>
      </c>
      <c r="AS11" s="66">
        <v>167756.25</v>
      </c>
      <c r="AT11" s="66">
        <v>335512.5</v>
      </c>
      <c r="AU11" s="55">
        <f>1-(1-50%)*(1-50%)</f>
        <v>0.75</v>
      </c>
    </row>
    <row r="12" spans="2:47" x14ac:dyDescent="0.35">
      <c r="B12" s="14"/>
      <c r="C12" s="14"/>
      <c r="D12" s="14" t="s">
        <v>36</v>
      </c>
      <c r="K12">
        <v>5</v>
      </c>
      <c r="L12" t="s">
        <v>28</v>
      </c>
      <c r="M12" s="1" t="s">
        <v>3</v>
      </c>
      <c r="N12" t="s">
        <v>6</v>
      </c>
      <c r="O12" t="s">
        <v>8</v>
      </c>
      <c r="P12" s="43">
        <v>1760</v>
      </c>
      <c r="Q12" s="50">
        <f>G38*10+H38*100</f>
        <v>5600</v>
      </c>
      <c r="R12" s="50">
        <f t="shared" si="3"/>
        <v>7360</v>
      </c>
      <c r="S12" s="44"/>
      <c r="T12" s="43">
        <f t="shared" ref="T12" si="10">(1-Z12)*$T$4</f>
        <v>1.2999999999999998E-2</v>
      </c>
      <c r="U12" s="44"/>
      <c r="V12" s="45">
        <f>$J$50*E37</f>
        <v>2625</v>
      </c>
      <c r="W12" s="45">
        <f>$J$53*I38</f>
        <v>264210</v>
      </c>
      <c r="X12" s="45">
        <f t="shared" si="4"/>
        <v>266835</v>
      </c>
      <c r="Y12" s="13"/>
      <c r="Z12" s="55">
        <f>1-(1-50%)*(1-80%)</f>
        <v>0.9</v>
      </c>
      <c r="AF12">
        <v>5</v>
      </c>
      <c r="AG12" t="s">
        <v>28</v>
      </c>
      <c r="AH12" s="1" t="s">
        <v>3</v>
      </c>
      <c r="AI12" t="s">
        <v>6</v>
      </c>
      <c r="AJ12" t="s">
        <v>8</v>
      </c>
      <c r="AK12" s="14">
        <f t="shared" si="0"/>
        <v>45760</v>
      </c>
      <c r="AL12" s="14">
        <f t="shared" si="1"/>
        <v>145600</v>
      </c>
      <c r="AM12" s="65">
        <f t="shared" si="5"/>
        <v>191360</v>
      </c>
      <c r="AN12" s="14"/>
      <c r="AO12" s="14">
        <f t="shared" si="2"/>
        <v>2.2099999999999995</v>
      </c>
      <c r="AP12" s="14"/>
      <c r="AQ12" s="57">
        <v>2625</v>
      </c>
      <c r="AR12" s="57">
        <v>264210</v>
      </c>
      <c r="AS12" s="57">
        <v>266835</v>
      </c>
      <c r="AT12" s="14"/>
      <c r="AU12" s="55">
        <f>1-(1-50%)*(1-80%)</f>
        <v>0.9</v>
      </c>
    </row>
    <row r="13" spans="2:47" x14ac:dyDescent="0.35">
      <c r="B13" s="14" t="s">
        <v>29</v>
      </c>
      <c r="C13" s="17">
        <v>0.01</v>
      </c>
      <c r="D13" s="14">
        <v>5.0999999999999997E-2</v>
      </c>
      <c r="L13" t="s">
        <v>28</v>
      </c>
      <c r="M13" s="1" t="s">
        <v>5</v>
      </c>
      <c r="N13" t="s">
        <v>7</v>
      </c>
      <c r="O13" t="s">
        <v>8</v>
      </c>
      <c r="P13" s="40">
        <v>1935</v>
      </c>
      <c r="Q13" s="15">
        <f>G44*10+H44*100+I44*350</f>
        <v>5880</v>
      </c>
      <c r="R13" s="15">
        <f t="shared" si="3"/>
        <v>7815</v>
      </c>
      <c r="S13" s="41">
        <f>R12+R13</f>
        <v>15175</v>
      </c>
      <c r="T13" s="40">
        <f t="shared" ref="T13" si="11">(1-Z13)*$T$5</f>
        <v>1.7999999999999995E-3</v>
      </c>
      <c r="U13" s="41">
        <f>T12+T13</f>
        <v>1.4799999999999997E-2</v>
      </c>
      <c r="V13" s="42">
        <f>$J$51*E43</f>
        <v>2625</v>
      </c>
      <c r="W13" s="42">
        <f>$J$54*I44</f>
        <v>264210</v>
      </c>
      <c r="X13" s="42">
        <f t="shared" si="4"/>
        <v>266835</v>
      </c>
      <c r="Y13" s="42">
        <f>X12+X13</f>
        <v>533670</v>
      </c>
      <c r="Z13" s="55">
        <f>1-(1-50%)*(1-80%)</f>
        <v>0.9</v>
      </c>
      <c r="AG13" t="s">
        <v>28</v>
      </c>
      <c r="AH13" s="1" t="s">
        <v>5</v>
      </c>
      <c r="AI13" t="s">
        <v>7</v>
      </c>
      <c r="AJ13" t="s">
        <v>8</v>
      </c>
      <c r="AK13" s="14">
        <f t="shared" si="0"/>
        <v>50310</v>
      </c>
      <c r="AL13" s="14">
        <f t="shared" si="1"/>
        <v>152880</v>
      </c>
      <c r="AM13" s="14">
        <f t="shared" si="5"/>
        <v>203190</v>
      </c>
      <c r="AN13" s="14">
        <f>AM12+AM13</f>
        <v>394550</v>
      </c>
      <c r="AO13" s="14">
        <f t="shared" si="2"/>
        <v>0.30599999999999994</v>
      </c>
      <c r="AP13" s="14">
        <f>AO12+AO13</f>
        <v>2.5159999999999996</v>
      </c>
      <c r="AQ13" s="57">
        <v>2625</v>
      </c>
      <c r="AR13" s="57">
        <v>264210</v>
      </c>
      <c r="AS13" s="57">
        <v>266835</v>
      </c>
      <c r="AT13" s="57">
        <v>533670</v>
      </c>
      <c r="AU13" s="55">
        <f>1-(1-50%)*(1-80%)</f>
        <v>0.9</v>
      </c>
    </row>
    <row r="14" spans="2:47" x14ac:dyDescent="0.35">
      <c r="B14" s="14"/>
      <c r="C14" s="14" t="s">
        <v>34</v>
      </c>
      <c r="D14" s="14" t="s">
        <v>37</v>
      </c>
      <c r="H14" t="s">
        <v>38</v>
      </c>
      <c r="K14">
        <v>6</v>
      </c>
      <c r="L14" t="s">
        <v>28</v>
      </c>
      <c r="M14" t="s">
        <v>3</v>
      </c>
      <c r="N14" t="s">
        <v>9</v>
      </c>
      <c r="O14" t="s">
        <v>6</v>
      </c>
      <c r="P14" s="43">
        <f>C38*10+D38*100</f>
        <v>2750</v>
      </c>
      <c r="Q14" s="13">
        <v>2500</v>
      </c>
      <c r="R14" s="13">
        <f t="shared" si="3"/>
        <v>5250</v>
      </c>
      <c r="S14" s="44"/>
      <c r="T14" s="43">
        <f t="shared" ref="T14" si="12">(1-Z14)*$T$4</f>
        <v>1.2999999999999998E-2</v>
      </c>
      <c r="U14" s="44"/>
      <c r="V14" s="45">
        <f>$J$50*E38</f>
        <v>4200</v>
      </c>
      <c r="W14" s="45">
        <f>$J$53*I37</f>
        <v>165131.25</v>
      </c>
      <c r="X14" s="45">
        <f t="shared" si="4"/>
        <v>169331.25</v>
      </c>
      <c r="Y14" s="13"/>
      <c r="Z14" s="55">
        <f>1-(1-80%)*(1-50%)</f>
        <v>0.9</v>
      </c>
      <c r="AF14">
        <v>6</v>
      </c>
      <c r="AG14" t="s">
        <v>28</v>
      </c>
      <c r="AH14" t="s">
        <v>3</v>
      </c>
      <c r="AI14" t="s">
        <v>9</v>
      </c>
      <c r="AJ14" t="s">
        <v>6</v>
      </c>
      <c r="AK14" s="14">
        <f t="shared" si="0"/>
        <v>71500</v>
      </c>
      <c r="AL14" s="14">
        <f t="shared" si="1"/>
        <v>65000</v>
      </c>
      <c r="AM14" s="14">
        <f t="shared" si="5"/>
        <v>136500</v>
      </c>
      <c r="AN14" s="14"/>
      <c r="AO14" s="14">
        <f t="shared" si="2"/>
        <v>2.2099999999999995</v>
      </c>
      <c r="AP14" s="14"/>
      <c r="AQ14" s="57">
        <v>4200</v>
      </c>
      <c r="AR14" s="57">
        <v>165131.25</v>
      </c>
      <c r="AS14" s="57">
        <v>169331.25</v>
      </c>
      <c r="AT14" s="14"/>
      <c r="AU14" s="55">
        <f>1-(1-80%)*(1-50%)</f>
        <v>0.9</v>
      </c>
    </row>
    <row r="15" spans="2:47" x14ac:dyDescent="0.35">
      <c r="B15" s="14"/>
      <c r="C15" s="14"/>
      <c r="D15" s="14" t="s">
        <v>39</v>
      </c>
      <c r="H15" t="s">
        <v>40</v>
      </c>
      <c r="I15" s="14">
        <v>0.13</v>
      </c>
      <c r="L15" t="s">
        <v>28</v>
      </c>
      <c r="M15" t="s">
        <v>5</v>
      </c>
      <c r="N15" t="s">
        <v>8</v>
      </c>
      <c r="O15" t="s">
        <v>6</v>
      </c>
      <c r="P15" s="40">
        <f>C44*10+D44*100+E44*350</f>
        <v>3030</v>
      </c>
      <c r="Q15" s="15">
        <v>2675</v>
      </c>
      <c r="R15" s="15">
        <f t="shared" si="3"/>
        <v>5705</v>
      </c>
      <c r="S15" s="41">
        <f>R14+R15</f>
        <v>10955</v>
      </c>
      <c r="T15" s="40">
        <f t="shared" ref="T15" si="13">(1-Z15)*$T$5</f>
        <v>1.7999999999999995E-3</v>
      </c>
      <c r="U15" s="41">
        <f>T14+T15</f>
        <v>1.4799999999999997E-2</v>
      </c>
      <c r="V15" s="42">
        <f>$J$51*E44</f>
        <v>4200</v>
      </c>
      <c r="W15" s="42">
        <f>$J$54*I43</f>
        <v>165131.25</v>
      </c>
      <c r="X15" s="42">
        <f t="shared" si="4"/>
        <v>169331.25</v>
      </c>
      <c r="Y15" s="42">
        <f>X14+X15</f>
        <v>338662.5</v>
      </c>
      <c r="Z15" s="55">
        <f>1-(1-80%)*(1-50%)</f>
        <v>0.9</v>
      </c>
      <c r="AG15" t="s">
        <v>28</v>
      </c>
      <c r="AH15" t="s">
        <v>5</v>
      </c>
      <c r="AI15" t="s">
        <v>8</v>
      </c>
      <c r="AJ15" t="s">
        <v>6</v>
      </c>
      <c r="AK15" s="14">
        <f t="shared" si="0"/>
        <v>78780</v>
      </c>
      <c r="AL15" s="14">
        <f t="shared" si="1"/>
        <v>69550</v>
      </c>
      <c r="AM15" s="14">
        <f t="shared" si="5"/>
        <v>148330</v>
      </c>
      <c r="AN15" s="14">
        <f>AM14+AM15</f>
        <v>284830</v>
      </c>
      <c r="AO15" s="14">
        <f t="shared" si="2"/>
        <v>0.30599999999999994</v>
      </c>
      <c r="AP15" s="14">
        <f>AO14+AO15</f>
        <v>2.5159999999999996</v>
      </c>
      <c r="AQ15" s="57">
        <v>4200</v>
      </c>
      <c r="AR15" s="57">
        <v>165131.25</v>
      </c>
      <c r="AS15" s="57">
        <v>169331.25</v>
      </c>
      <c r="AT15" s="57">
        <v>338662.5</v>
      </c>
      <c r="AU15" s="55">
        <f>1-(1-80%)*(1-50%)</f>
        <v>0.9</v>
      </c>
    </row>
    <row r="16" spans="2:47" x14ac:dyDescent="0.35">
      <c r="B16" s="15" t="s">
        <v>32</v>
      </c>
      <c r="C16" s="16">
        <v>0.01</v>
      </c>
      <c r="D16" s="15">
        <v>7.5</v>
      </c>
      <c r="H16" t="s">
        <v>41</v>
      </c>
      <c r="I16">
        <v>1.7999999999999999E-2</v>
      </c>
      <c r="K16">
        <v>7</v>
      </c>
      <c r="L16" t="s">
        <v>28</v>
      </c>
      <c r="M16" s="1" t="s">
        <v>3</v>
      </c>
      <c r="N16" t="s">
        <v>8</v>
      </c>
      <c r="O16" t="s">
        <v>8</v>
      </c>
      <c r="P16" s="43">
        <v>2750</v>
      </c>
      <c r="Q16" s="13">
        <v>5600</v>
      </c>
      <c r="R16" s="13">
        <f t="shared" si="3"/>
        <v>8350</v>
      </c>
      <c r="S16" s="44"/>
      <c r="T16" s="43">
        <f t="shared" ref="T16" si="14">(1-Z16)*$T$4</f>
        <v>5.200000000000005E-3</v>
      </c>
      <c r="U16" s="44"/>
      <c r="V16" s="45">
        <f>$J$50*E38</f>
        <v>4200</v>
      </c>
      <c r="W16" s="45">
        <f>$J$53*I38</f>
        <v>264210</v>
      </c>
      <c r="X16" s="45">
        <f t="shared" si="4"/>
        <v>268410</v>
      </c>
      <c r="Y16" s="13"/>
      <c r="Z16" s="55">
        <f>1-(1-80%)*(1-80%)</f>
        <v>0.96</v>
      </c>
      <c r="AF16">
        <v>7</v>
      </c>
      <c r="AG16" t="s">
        <v>28</v>
      </c>
      <c r="AH16" s="1" t="s">
        <v>3</v>
      </c>
      <c r="AI16" t="s">
        <v>8</v>
      </c>
      <c r="AJ16" t="s">
        <v>8</v>
      </c>
      <c r="AK16" s="14">
        <f t="shared" si="0"/>
        <v>71500</v>
      </c>
      <c r="AL16" s="14">
        <f t="shared" si="1"/>
        <v>145600</v>
      </c>
      <c r="AM16" s="14">
        <f t="shared" si="5"/>
        <v>217100</v>
      </c>
      <c r="AN16" s="14"/>
      <c r="AO16" s="14">
        <f>T16*170</f>
        <v>0.8840000000000009</v>
      </c>
      <c r="AP16" s="14"/>
      <c r="AQ16" s="57">
        <v>4200</v>
      </c>
      <c r="AR16" s="57">
        <v>264210</v>
      </c>
      <c r="AS16" s="57">
        <v>268410</v>
      </c>
      <c r="AT16" s="14"/>
      <c r="AU16" s="55">
        <f>1-(1-90%)*(1-90%)</f>
        <v>0.99</v>
      </c>
    </row>
    <row r="17" spans="2:47" x14ac:dyDescent="0.35">
      <c r="B17" t="s">
        <v>42</v>
      </c>
      <c r="L17" t="s">
        <v>28</v>
      </c>
      <c r="M17" s="1" t="s">
        <v>5</v>
      </c>
      <c r="N17" t="s">
        <v>8</v>
      </c>
      <c r="O17" t="s">
        <v>8</v>
      </c>
      <c r="P17" s="40">
        <v>3030</v>
      </c>
      <c r="Q17" s="15">
        <v>5880</v>
      </c>
      <c r="R17" s="15">
        <f t="shared" si="3"/>
        <v>8910</v>
      </c>
      <c r="S17" s="41">
        <f>R16+R17</f>
        <v>17260</v>
      </c>
      <c r="T17" s="40">
        <f t="shared" ref="T17" si="15">(1-Z17)*$T$5</f>
        <v>7.2000000000000059E-4</v>
      </c>
      <c r="U17" s="41">
        <f>T16+T17</f>
        <v>5.9200000000000051E-3</v>
      </c>
      <c r="V17" s="42">
        <f>$J$51*E44</f>
        <v>4200</v>
      </c>
      <c r="W17" s="42">
        <f>$J$54*I44</f>
        <v>264210</v>
      </c>
      <c r="X17" s="42">
        <f t="shared" si="4"/>
        <v>268410</v>
      </c>
      <c r="Y17" s="42">
        <f>X16+X17</f>
        <v>536820</v>
      </c>
      <c r="Z17" s="55">
        <f>1-(1-80%)*(1-80%)</f>
        <v>0.96</v>
      </c>
      <c r="AG17" t="s">
        <v>28</v>
      </c>
      <c r="AH17" s="1" t="s">
        <v>5</v>
      </c>
      <c r="AI17" t="s">
        <v>8</v>
      </c>
      <c r="AJ17" t="s">
        <v>8</v>
      </c>
      <c r="AK17" s="14">
        <f t="shared" si="0"/>
        <v>78780</v>
      </c>
      <c r="AL17" s="14">
        <f t="shared" si="1"/>
        <v>152880</v>
      </c>
      <c r="AM17" s="14">
        <f t="shared" si="5"/>
        <v>231660</v>
      </c>
      <c r="AN17" s="14">
        <f>AM16+AM17</f>
        <v>448760</v>
      </c>
      <c r="AO17" s="14">
        <f t="shared" si="2"/>
        <v>0.12240000000000011</v>
      </c>
      <c r="AP17" s="14">
        <f>AO16+AO17</f>
        <v>1.0064000000000011</v>
      </c>
      <c r="AQ17" s="57">
        <v>4200</v>
      </c>
      <c r="AR17" s="57">
        <v>264210</v>
      </c>
      <c r="AS17" s="57">
        <v>268410</v>
      </c>
      <c r="AT17" s="57">
        <v>536820</v>
      </c>
      <c r="AU17" s="55">
        <f>1-(1-90%)*(1-90%)</f>
        <v>0.99</v>
      </c>
    </row>
    <row r="18" spans="2:47" x14ac:dyDescent="0.35">
      <c r="C18" t="s">
        <v>43</v>
      </c>
      <c r="D18" t="s">
        <v>35</v>
      </c>
      <c r="K18">
        <v>8</v>
      </c>
      <c r="L18" t="s">
        <v>28</v>
      </c>
      <c r="M18" t="s">
        <v>3</v>
      </c>
      <c r="N18" t="s">
        <v>4</v>
      </c>
      <c r="O18" t="s">
        <v>8</v>
      </c>
      <c r="P18" s="43">
        <v>0</v>
      </c>
      <c r="Q18" s="13">
        <v>5600</v>
      </c>
      <c r="R18" s="13">
        <f t="shared" si="3"/>
        <v>5600</v>
      </c>
      <c r="S18" s="44"/>
      <c r="T18" s="43">
        <f t="shared" ref="T18" si="16">(1-Z18)*$T$4</f>
        <v>2.5999999999999995E-2</v>
      </c>
      <c r="U18" s="44"/>
      <c r="V18" s="45">
        <v>0</v>
      </c>
      <c r="W18" s="45">
        <f>$J$53*I38</f>
        <v>264210</v>
      </c>
      <c r="X18" s="45">
        <f t="shared" si="4"/>
        <v>264210</v>
      </c>
      <c r="Y18" s="13"/>
      <c r="Z18" s="3">
        <v>0.8</v>
      </c>
      <c r="AF18">
        <v>8</v>
      </c>
      <c r="AG18" t="s">
        <v>28</v>
      </c>
      <c r="AH18" t="s">
        <v>3</v>
      </c>
      <c r="AI18" t="s">
        <v>4</v>
      </c>
      <c r="AJ18" t="s">
        <v>8</v>
      </c>
      <c r="AK18" s="14">
        <f t="shared" si="0"/>
        <v>0</v>
      </c>
      <c r="AL18" s="14">
        <f t="shared" si="1"/>
        <v>145600</v>
      </c>
      <c r="AM18" s="14">
        <f t="shared" si="5"/>
        <v>145600</v>
      </c>
      <c r="AN18" s="14"/>
      <c r="AO18" s="14">
        <f t="shared" si="2"/>
        <v>4.419999999999999</v>
      </c>
      <c r="AP18" s="14"/>
      <c r="AQ18" s="57">
        <v>0</v>
      </c>
      <c r="AR18" s="57">
        <v>264210</v>
      </c>
      <c r="AS18" s="57">
        <v>264210</v>
      </c>
      <c r="AT18" s="14"/>
      <c r="AU18" s="3">
        <v>0.8</v>
      </c>
    </row>
    <row r="19" spans="2:47" x14ac:dyDescent="0.35">
      <c r="D19" t="s">
        <v>44</v>
      </c>
      <c r="L19" t="s">
        <v>28</v>
      </c>
      <c r="M19" t="s">
        <v>5</v>
      </c>
      <c r="N19" t="s">
        <v>4</v>
      </c>
      <c r="O19" t="s">
        <v>8</v>
      </c>
      <c r="P19" s="40">
        <v>0</v>
      </c>
      <c r="Q19" s="15">
        <v>5880</v>
      </c>
      <c r="R19" s="15">
        <f t="shared" si="3"/>
        <v>5880</v>
      </c>
      <c r="S19" s="41">
        <f>R18+R19</f>
        <v>11480</v>
      </c>
      <c r="T19" s="40">
        <f t="shared" ref="T19" si="17">(1-Z19)*$T$5</f>
        <v>3.599999999999999E-3</v>
      </c>
      <c r="U19" s="41">
        <f>T18+T19</f>
        <v>2.9599999999999994E-2</v>
      </c>
      <c r="V19" s="42">
        <v>0</v>
      </c>
      <c r="W19" s="42">
        <f>$J$54*I38</f>
        <v>264210</v>
      </c>
      <c r="X19" s="42">
        <f t="shared" si="4"/>
        <v>264210</v>
      </c>
      <c r="Y19" s="42">
        <f>X18+X19</f>
        <v>528420</v>
      </c>
      <c r="Z19" s="3">
        <v>0.8</v>
      </c>
      <c r="AG19" t="s">
        <v>28</v>
      </c>
      <c r="AH19" t="s">
        <v>5</v>
      </c>
      <c r="AI19" t="s">
        <v>4</v>
      </c>
      <c r="AJ19" t="s">
        <v>8</v>
      </c>
      <c r="AK19" s="14">
        <f t="shared" si="0"/>
        <v>0</v>
      </c>
      <c r="AL19" s="14">
        <f t="shared" si="1"/>
        <v>152880</v>
      </c>
      <c r="AM19" s="14">
        <f t="shared" si="5"/>
        <v>152880</v>
      </c>
      <c r="AN19" s="14">
        <f>AM18+AM19</f>
        <v>298480</v>
      </c>
      <c r="AO19" s="14">
        <f t="shared" si="2"/>
        <v>0.61199999999999988</v>
      </c>
      <c r="AP19" s="14">
        <f>AO18+AO19</f>
        <v>5.0319999999999991</v>
      </c>
      <c r="AQ19" s="57">
        <v>0</v>
      </c>
      <c r="AR19" s="57">
        <v>264210</v>
      </c>
      <c r="AS19" s="57">
        <v>264210</v>
      </c>
      <c r="AT19" s="57">
        <v>528420</v>
      </c>
      <c r="AU19" s="3">
        <v>0.8</v>
      </c>
    </row>
    <row r="20" spans="2:47" x14ac:dyDescent="0.35">
      <c r="B20" t="s">
        <v>29</v>
      </c>
      <c r="C20" s="3">
        <v>0.04</v>
      </c>
      <c r="D20">
        <v>4.1000000000000002E-2</v>
      </c>
      <c r="K20">
        <v>9</v>
      </c>
      <c r="L20" t="s">
        <v>28</v>
      </c>
      <c r="M20" s="1" t="s">
        <v>3</v>
      </c>
      <c r="N20" t="s">
        <v>9</v>
      </c>
      <c r="O20" t="s">
        <v>4</v>
      </c>
      <c r="P20" s="43">
        <v>2750</v>
      </c>
      <c r="Q20" s="13">
        <v>0</v>
      </c>
      <c r="R20" s="13">
        <f t="shared" si="3"/>
        <v>2750</v>
      </c>
      <c r="S20" s="44"/>
      <c r="T20" s="43">
        <f t="shared" ref="T20" si="18">(1-Z20)*$T$4</f>
        <v>2.5999999999999995E-2</v>
      </c>
      <c r="U20" s="44"/>
      <c r="V20" s="45">
        <f>$J$50*E38</f>
        <v>4200</v>
      </c>
      <c r="W20" s="45">
        <v>0</v>
      </c>
      <c r="X20" s="45">
        <f t="shared" si="4"/>
        <v>4200</v>
      </c>
      <c r="Y20" s="13"/>
      <c r="Z20" s="3">
        <v>0.8</v>
      </c>
      <c r="AF20">
        <v>9</v>
      </c>
      <c r="AG20" t="s">
        <v>28</v>
      </c>
      <c r="AH20" s="1" t="s">
        <v>3</v>
      </c>
      <c r="AI20" t="s">
        <v>9</v>
      </c>
      <c r="AJ20" t="s">
        <v>4</v>
      </c>
      <c r="AK20" s="14">
        <f t="shared" si="0"/>
        <v>71500</v>
      </c>
      <c r="AL20" s="14">
        <f t="shared" si="1"/>
        <v>0</v>
      </c>
      <c r="AM20" s="14">
        <f t="shared" si="5"/>
        <v>71500</v>
      </c>
      <c r="AN20" s="14"/>
      <c r="AO20" s="14">
        <f t="shared" si="2"/>
        <v>4.419999999999999</v>
      </c>
      <c r="AP20" s="14"/>
      <c r="AQ20" s="57">
        <v>4200</v>
      </c>
      <c r="AR20" s="57">
        <v>0</v>
      </c>
      <c r="AS20" s="57">
        <v>4200</v>
      </c>
      <c r="AT20" s="14"/>
      <c r="AU20" s="3">
        <v>0.8</v>
      </c>
    </row>
    <row r="21" spans="2:47" x14ac:dyDescent="0.35">
      <c r="C21" t="s">
        <v>43</v>
      </c>
      <c r="D21" t="s">
        <v>37</v>
      </c>
      <c r="L21" t="s">
        <v>28</v>
      </c>
      <c r="M21" s="1" t="s">
        <v>5</v>
      </c>
      <c r="N21" t="s">
        <v>8</v>
      </c>
      <c r="O21" t="s">
        <v>4</v>
      </c>
      <c r="P21" s="40">
        <v>3030</v>
      </c>
      <c r="Q21" s="15">
        <v>0</v>
      </c>
      <c r="R21" s="15">
        <f t="shared" si="3"/>
        <v>3030</v>
      </c>
      <c r="S21" s="41">
        <f>R20+R21</f>
        <v>5780</v>
      </c>
      <c r="T21" s="40">
        <f t="shared" ref="T21" si="19">(1-Z21)*$T$5</f>
        <v>3.599999999999999E-3</v>
      </c>
      <c r="U21" s="41">
        <f>T20+T21</f>
        <v>2.9599999999999994E-2</v>
      </c>
      <c r="V21" s="42">
        <f>$J$51*E44</f>
        <v>4200</v>
      </c>
      <c r="W21" s="42">
        <v>0</v>
      </c>
      <c r="X21" s="42">
        <f t="shared" si="4"/>
        <v>4200</v>
      </c>
      <c r="Y21" s="42">
        <f>X20+X21</f>
        <v>8400</v>
      </c>
      <c r="Z21" s="3">
        <v>0.8</v>
      </c>
      <c r="AG21" t="s">
        <v>28</v>
      </c>
      <c r="AH21" s="1" t="s">
        <v>5</v>
      </c>
      <c r="AI21" t="s">
        <v>8</v>
      </c>
      <c r="AJ21" t="s">
        <v>4</v>
      </c>
      <c r="AK21" s="14">
        <f t="shared" si="0"/>
        <v>78780</v>
      </c>
      <c r="AL21" s="14">
        <f t="shared" si="1"/>
        <v>0</v>
      </c>
      <c r="AM21" s="14">
        <f t="shared" si="5"/>
        <v>78780</v>
      </c>
      <c r="AN21" s="14">
        <f>AM20+AM21</f>
        <v>150280</v>
      </c>
      <c r="AO21" s="14">
        <f t="shared" si="2"/>
        <v>0.61199999999999988</v>
      </c>
      <c r="AP21" s="14">
        <f>AO20+AO21</f>
        <v>5.0319999999999991</v>
      </c>
      <c r="AQ21" s="57">
        <v>4200</v>
      </c>
      <c r="AR21" s="57">
        <v>0</v>
      </c>
      <c r="AS21" s="57">
        <v>4200</v>
      </c>
      <c r="AT21" s="57">
        <v>8400</v>
      </c>
      <c r="AU21" s="3">
        <v>0.8</v>
      </c>
    </row>
    <row r="22" spans="2:47" x14ac:dyDescent="0.35">
      <c r="D22" t="s">
        <v>45</v>
      </c>
      <c r="K22">
        <v>10</v>
      </c>
      <c r="L22" t="s">
        <v>28</v>
      </c>
      <c r="M22" t="s">
        <v>3</v>
      </c>
      <c r="N22" t="s">
        <v>8</v>
      </c>
      <c r="O22" t="s">
        <v>10</v>
      </c>
      <c r="P22" s="43">
        <v>2750</v>
      </c>
      <c r="Q22" s="13">
        <f>G39*10+H39*100</f>
        <v>7980</v>
      </c>
      <c r="R22" s="47">
        <f t="shared" si="3"/>
        <v>10730</v>
      </c>
      <c r="S22" s="51"/>
      <c r="T22" s="43">
        <f t="shared" ref="T22" si="20">(1-Z22)*$T$4</f>
        <v>2.6000000000000025E-3</v>
      </c>
      <c r="U22" s="44"/>
      <c r="V22" s="45">
        <f>$J$50*E38</f>
        <v>4200</v>
      </c>
      <c r="W22" s="45">
        <f>$J$53*I39</f>
        <v>297236.25</v>
      </c>
      <c r="X22" s="45">
        <f t="shared" si="4"/>
        <v>301436.25</v>
      </c>
      <c r="Y22" s="13"/>
      <c r="Z22" s="55">
        <f>1-(1-80%)*(1-90%)</f>
        <v>0.98</v>
      </c>
      <c r="AF22">
        <v>10</v>
      </c>
      <c r="AG22" t="s">
        <v>28</v>
      </c>
      <c r="AH22" t="s">
        <v>3</v>
      </c>
      <c r="AI22" t="s">
        <v>8</v>
      </c>
      <c r="AJ22" t="s">
        <v>10</v>
      </c>
      <c r="AK22" s="14">
        <f t="shared" si="0"/>
        <v>71500</v>
      </c>
      <c r="AL22" s="14">
        <f t="shared" si="1"/>
        <v>207480</v>
      </c>
      <c r="AM22" s="56">
        <f t="shared" si="5"/>
        <v>278980</v>
      </c>
      <c r="AN22" s="14"/>
      <c r="AO22" s="14">
        <f t="shared" si="2"/>
        <v>0.44200000000000045</v>
      </c>
      <c r="AP22" s="14"/>
      <c r="AQ22" s="57">
        <v>4200</v>
      </c>
      <c r="AR22" s="57">
        <v>297236.25</v>
      </c>
      <c r="AS22" s="57">
        <v>301436.25</v>
      </c>
      <c r="AT22" s="14"/>
      <c r="AU22" s="55">
        <f>1-(1-80%)*(1-90%)</f>
        <v>0.98</v>
      </c>
    </row>
    <row r="23" spans="2:47" x14ac:dyDescent="0.35">
      <c r="B23" s="15" t="s">
        <v>32</v>
      </c>
      <c r="C23" s="16">
        <v>0.04</v>
      </c>
      <c r="D23" s="15">
        <v>2.25</v>
      </c>
      <c r="L23" t="s">
        <v>28</v>
      </c>
      <c r="M23" t="s">
        <v>5</v>
      </c>
      <c r="N23" t="s">
        <v>8</v>
      </c>
      <c r="O23" t="s">
        <v>10</v>
      </c>
      <c r="P23" s="40">
        <v>3030</v>
      </c>
      <c r="Q23" s="15">
        <f>G45*10+H45*100+350*I45</f>
        <v>8295</v>
      </c>
      <c r="R23" s="49">
        <f t="shared" si="3"/>
        <v>11325</v>
      </c>
      <c r="S23" s="52">
        <f>R22+R23</f>
        <v>22055</v>
      </c>
      <c r="T23" s="40">
        <f t="shared" ref="T23" si="21">(1-Z23)*$T$5</f>
        <v>3.6000000000000029E-4</v>
      </c>
      <c r="U23" s="41">
        <f>T22+T23</f>
        <v>2.9600000000000026E-3</v>
      </c>
      <c r="V23" s="42">
        <f>$J$51*E44</f>
        <v>4200</v>
      </c>
      <c r="W23" s="42">
        <f>$J$54*I45</f>
        <v>297236.25</v>
      </c>
      <c r="X23" s="42">
        <f t="shared" si="4"/>
        <v>301436.25</v>
      </c>
      <c r="Y23" s="42">
        <f>X22+X23</f>
        <v>602872.5</v>
      </c>
      <c r="Z23" s="55">
        <f>1-(1-80%)*(1-90%)</f>
        <v>0.98</v>
      </c>
      <c r="AG23" t="s">
        <v>28</v>
      </c>
      <c r="AH23" t="s">
        <v>5</v>
      </c>
      <c r="AI23" t="s">
        <v>8</v>
      </c>
      <c r="AJ23" t="s">
        <v>10</v>
      </c>
      <c r="AK23" s="14">
        <f t="shared" si="0"/>
        <v>78780</v>
      </c>
      <c r="AL23" s="14">
        <f t="shared" si="1"/>
        <v>215670</v>
      </c>
      <c r="AM23" s="56">
        <f t="shared" si="5"/>
        <v>294450</v>
      </c>
      <c r="AN23" s="14">
        <f>AM22+AM23</f>
        <v>573430</v>
      </c>
      <c r="AO23" s="14">
        <f t="shared" si="2"/>
        <v>6.1200000000000053E-2</v>
      </c>
      <c r="AP23" s="14">
        <f>AO22+AO23</f>
        <v>0.50320000000000054</v>
      </c>
      <c r="AQ23" s="57">
        <v>4200</v>
      </c>
      <c r="AR23" s="57">
        <v>297236.25</v>
      </c>
      <c r="AS23" s="57">
        <v>301436.25</v>
      </c>
      <c r="AT23" s="57">
        <v>602872.5</v>
      </c>
      <c r="AU23" s="55">
        <f>1-(1-80%)*(1-90%)</f>
        <v>0.98</v>
      </c>
    </row>
    <row r="24" spans="2:47" x14ac:dyDescent="0.35">
      <c r="K24">
        <v>11</v>
      </c>
      <c r="L24" t="s">
        <v>28</v>
      </c>
      <c r="M24" s="1" t="s">
        <v>3</v>
      </c>
      <c r="N24" t="s">
        <v>11</v>
      </c>
      <c r="O24" t="s">
        <v>8</v>
      </c>
      <c r="P24" s="43">
        <f>C39*10+D39*100</f>
        <v>3080</v>
      </c>
      <c r="Q24" s="13">
        <v>5600</v>
      </c>
      <c r="R24" s="47">
        <f t="shared" si="3"/>
        <v>8680</v>
      </c>
      <c r="S24" s="51"/>
      <c r="T24" s="43">
        <f t="shared" ref="T24" si="22">(1-Z24)*$T$4</f>
        <v>2.6000000000000025E-3</v>
      </c>
      <c r="U24" s="44"/>
      <c r="V24" s="45">
        <f>$J$50*E39</f>
        <v>4725</v>
      </c>
      <c r="W24" s="45">
        <f>$J$53*I38</f>
        <v>264210</v>
      </c>
      <c r="X24" s="45">
        <f t="shared" si="4"/>
        <v>268935</v>
      </c>
      <c r="Y24" s="13"/>
      <c r="Z24" s="55">
        <f>1-(1-90%)*(1-80%)</f>
        <v>0.98</v>
      </c>
      <c r="AF24">
        <v>11</v>
      </c>
      <c r="AG24" t="s">
        <v>28</v>
      </c>
      <c r="AH24" s="1" t="s">
        <v>3</v>
      </c>
      <c r="AI24" t="s">
        <v>11</v>
      </c>
      <c r="AJ24" t="s">
        <v>8</v>
      </c>
      <c r="AK24" s="14">
        <f t="shared" si="0"/>
        <v>80080</v>
      </c>
      <c r="AL24" s="14">
        <f t="shared" si="1"/>
        <v>145600</v>
      </c>
      <c r="AM24" s="56">
        <f t="shared" si="5"/>
        <v>225680</v>
      </c>
      <c r="AN24" s="14"/>
      <c r="AO24" s="14">
        <f t="shared" si="2"/>
        <v>0.44200000000000045</v>
      </c>
      <c r="AP24" s="14"/>
      <c r="AQ24" s="57">
        <v>4725</v>
      </c>
      <c r="AR24" s="57">
        <v>264210</v>
      </c>
      <c r="AS24" s="57">
        <v>268935</v>
      </c>
      <c r="AT24" s="14"/>
      <c r="AU24" s="55">
        <f>1-(1-90%)*(1-80%)</f>
        <v>0.98</v>
      </c>
    </row>
    <row r="25" spans="2:47" x14ac:dyDescent="0.35">
      <c r="B25" t="s">
        <v>46</v>
      </c>
      <c r="L25" t="s">
        <v>28</v>
      </c>
      <c r="M25" s="1" t="s">
        <v>5</v>
      </c>
      <c r="N25" t="s">
        <v>11</v>
      </c>
      <c r="O25" t="s">
        <v>8</v>
      </c>
      <c r="P25" s="40">
        <f>C45*10+D45*100+350*E45</f>
        <v>3395</v>
      </c>
      <c r="Q25" s="15">
        <v>5880</v>
      </c>
      <c r="R25" s="49">
        <f t="shared" si="3"/>
        <v>9275</v>
      </c>
      <c r="S25" s="52">
        <f>R24+R25</f>
        <v>17955</v>
      </c>
      <c r="T25" s="40">
        <f t="shared" ref="T25" si="23">(1-Z25)*$T$5</f>
        <v>3.6000000000000029E-4</v>
      </c>
      <c r="U25" s="41">
        <f>T24+T25</f>
        <v>2.9600000000000026E-3</v>
      </c>
      <c r="V25" s="42">
        <f>$J$51*E45</f>
        <v>4725</v>
      </c>
      <c r="W25" s="42">
        <f>$J$54*I44</f>
        <v>264210</v>
      </c>
      <c r="X25" s="42">
        <f t="shared" si="4"/>
        <v>268935</v>
      </c>
      <c r="Y25" s="42">
        <f>X24+X25</f>
        <v>537870</v>
      </c>
      <c r="Z25" s="55">
        <f>1-(1-90%)*(1-80%)</f>
        <v>0.98</v>
      </c>
      <c r="AG25" t="s">
        <v>28</v>
      </c>
      <c r="AH25" s="1" t="s">
        <v>5</v>
      </c>
      <c r="AI25" t="s">
        <v>11</v>
      </c>
      <c r="AJ25" t="s">
        <v>8</v>
      </c>
      <c r="AK25" s="14">
        <f t="shared" si="0"/>
        <v>88270</v>
      </c>
      <c r="AL25" s="14">
        <f t="shared" si="1"/>
        <v>152880</v>
      </c>
      <c r="AM25" s="56">
        <f t="shared" si="5"/>
        <v>241150</v>
      </c>
      <c r="AN25" s="14">
        <f>AM24+AM25</f>
        <v>466830</v>
      </c>
      <c r="AO25" s="14">
        <f t="shared" si="2"/>
        <v>6.1200000000000053E-2</v>
      </c>
      <c r="AP25" s="14">
        <f>AO24+AO25</f>
        <v>0.50320000000000054</v>
      </c>
      <c r="AQ25" s="57">
        <v>4725</v>
      </c>
      <c r="AR25" s="57">
        <v>264210</v>
      </c>
      <c r="AS25" s="57">
        <v>268935</v>
      </c>
      <c r="AT25" s="57">
        <v>537870</v>
      </c>
      <c r="AU25" s="55">
        <f>1-(1-90%)*(1-80%)</f>
        <v>0.98</v>
      </c>
    </row>
    <row r="26" spans="2:47" x14ac:dyDescent="0.35">
      <c r="B26" s="6" t="s">
        <v>47</v>
      </c>
      <c r="C26" s="7" t="s">
        <v>48</v>
      </c>
      <c r="D26" s="7" t="s">
        <v>49</v>
      </c>
      <c r="E26" s="7" t="s">
        <v>50</v>
      </c>
      <c r="K26">
        <v>12</v>
      </c>
      <c r="L26" t="s">
        <v>28</v>
      </c>
      <c r="M26" t="s">
        <v>3</v>
      </c>
      <c r="N26" t="s">
        <v>11</v>
      </c>
      <c r="O26" t="s">
        <v>10</v>
      </c>
      <c r="P26" s="43">
        <v>3080</v>
      </c>
      <c r="Q26" s="13">
        <v>7980</v>
      </c>
      <c r="R26" s="47">
        <f t="shared" si="3"/>
        <v>11060</v>
      </c>
      <c r="S26" s="51"/>
      <c r="T26" s="43">
        <f t="shared" ref="T26" si="24">(1-Z26)*$T$4</f>
        <v>1.3000000000000012E-3</v>
      </c>
      <c r="U26" s="44"/>
      <c r="V26" s="45">
        <f>$J$50*E39</f>
        <v>4725</v>
      </c>
      <c r="W26" s="45">
        <f>$J$53*I39</f>
        <v>297236.25</v>
      </c>
      <c r="X26" s="45">
        <f t="shared" si="4"/>
        <v>301961.25</v>
      </c>
      <c r="Y26" s="13"/>
      <c r="Z26" s="55">
        <f>1-(1-90%)*(1-90%)</f>
        <v>0.99</v>
      </c>
      <c r="AF26">
        <v>12</v>
      </c>
      <c r="AG26" t="s">
        <v>28</v>
      </c>
      <c r="AH26" t="s">
        <v>3</v>
      </c>
      <c r="AI26" t="s">
        <v>11</v>
      </c>
      <c r="AJ26" t="s">
        <v>10</v>
      </c>
      <c r="AK26" s="14">
        <f t="shared" si="0"/>
        <v>80080</v>
      </c>
      <c r="AL26" s="14">
        <f t="shared" si="1"/>
        <v>207480</v>
      </c>
      <c r="AM26" s="56">
        <f t="shared" si="5"/>
        <v>287560</v>
      </c>
      <c r="AN26" s="14"/>
      <c r="AO26" s="14">
        <f t="shared" si="2"/>
        <v>0.22100000000000022</v>
      </c>
      <c r="AP26" s="14"/>
      <c r="AQ26" s="57">
        <v>4725</v>
      </c>
      <c r="AR26" s="57">
        <v>297236.25</v>
      </c>
      <c r="AS26" s="57">
        <v>301961.25</v>
      </c>
      <c r="AT26" s="14"/>
      <c r="AU26" s="55">
        <f>1-(1-90%)*(1-90%)</f>
        <v>0.99</v>
      </c>
    </row>
    <row r="27" spans="2:47" x14ac:dyDescent="0.35">
      <c r="B27" s="8" t="s">
        <v>51</v>
      </c>
      <c r="C27" s="12">
        <v>40</v>
      </c>
      <c r="D27" s="12">
        <v>10</v>
      </c>
      <c r="E27" s="8">
        <v>10</v>
      </c>
      <c r="L27" t="s">
        <v>28</v>
      </c>
      <c r="M27" t="s">
        <v>5</v>
      </c>
      <c r="N27" t="s">
        <v>11</v>
      </c>
      <c r="O27" t="s">
        <v>11</v>
      </c>
      <c r="P27" s="40">
        <v>3395</v>
      </c>
      <c r="Q27" s="15">
        <v>8295</v>
      </c>
      <c r="R27" s="49">
        <f t="shared" si="3"/>
        <v>11690</v>
      </c>
      <c r="S27" s="52">
        <f>R26+R27</f>
        <v>22750</v>
      </c>
      <c r="T27" s="40">
        <f t="shared" ref="T27" si="25">(1-Z27)*$T$5</f>
        <v>1.8000000000000015E-4</v>
      </c>
      <c r="U27" s="41">
        <f>T26+T27</f>
        <v>1.4800000000000013E-3</v>
      </c>
      <c r="V27" s="42">
        <f>$J$51*E45</f>
        <v>4725</v>
      </c>
      <c r="W27" s="42">
        <f>$J$54*I45</f>
        <v>297236.25</v>
      </c>
      <c r="X27" s="42">
        <f t="shared" si="4"/>
        <v>301961.25</v>
      </c>
      <c r="Y27" s="42">
        <f>X26+X27</f>
        <v>603922.5</v>
      </c>
      <c r="Z27" s="55">
        <f>1-(1-90%)*(1-90%)</f>
        <v>0.99</v>
      </c>
      <c r="AG27" t="s">
        <v>28</v>
      </c>
      <c r="AH27" t="s">
        <v>5</v>
      </c>
      <c r="AI27" t="s">
        <v>11</v>
      </c>
      <c r="AJ27" t="s">
        <v>11</v>
      </c>
      <c r="AK27" s="14">
        <f t="shared" si="0"/>
        <v>88270</v>
      </c>
      <c r="AL27" s="14">
        <f t="shared" si="1"/>
        <v>215670</v>
      </c>
      <c r="AM27" s="56">
        <f t="shared" si="5"/>
        <v>303940</v>
      </c>
      <c r="AN27" s="14">
        <f>AM26+AM27</f>
        <v>591500</v>
      </c>
      <c r="AO27" s="14">
        <f t="shared" si="2"/>
        <v>3.0600000000000026E-2</v>
      </c>
      <c r="AP27" s="14">
        <f>AO26+AO27</f>
        <v>0.25160000000000027</v>
      </c>
      <c r="AQ27" s="57">
        <v>4725</v>
      </c>
      <c r="AR27" s="57">
        <v>297236.25</v>
      </c>
      <c r="AS27" s="57">
        <v>301961.25</v>
      </c>
      <c r="AT27" s="57">
        <v>603922.5</v>
      </c>
      <c r="AU27" s="55">
        <f>1-(1-90%)*(1-90%)</f>
        <v>0.99</v>
      </c>
    </row>
    <row r="28" spans="2:47" x14ac:dyDescent="0.35">
      <c r="B28" s="8" t="s">
        <v>52</v>
      </c>
      <c r="C28" s="8">
        <v>1</v>
      </c>
      <c r="D28" s="8">
        <v>1</v>
      </c>
      <c r="E28" s="9"/>
      <c r="K28">
        <v>13</v>
      </c>
      <c r="L28" t="s">
        <v>28</v>
      </c>
      <c r="M28" s="1" t="s">
        <v>3</v>
      </c>
      <c r="N28" t="s">
        <v>11</v>
      </c>
      <c r="O28" t="s">
        <v>6</v>
      </c>
      <c r="P28" s="43">
        <v>3080</v>
      </c>
      <c r="Q28" s="13">
        <v>2500</v>
      </c>
      <c r="R28" s="47">
        <f t="shared" ref="R28:R35" si="26">P28+Q28</f>
        <v>5580</v>
      </c>
      <c r="S28" s="51"/>
      <c r="T28" s="43">
        <f t="shared" ref="T28" si="27">(1-Z28)*$T$4</f>
        <v>6.5000000000000058E-3</v>
      </c>
      <c r="U28" s="44"/>
      <c r="V28" s="45">
        <f>$J$50*E39</f>
        <v>4725</v>
      </c>
      <c r="W28" s="45">
        <f>$J$53*I37</f>
        <v>165131.25</v>
      </c>
      <c r="X28" s="45">
        <f t="shared" si="4"/>
        <v>169856.25</v>
      </c>
      <c r="Y28" s="13"/>
      <c r="Z28" s="55">
        <f>1-(1-90%)*(1-50%)</f>
        <v>0.95</v>
      </c>
      <c r="AF28">
        <v>13</v>
      </c>
      <c r="AG28" t="s">
        <v>28</v>
      </c>
      <c r="AH28" s="1" t="s">
        <v>3</v>
      </c>
      <c r="AI28" t="s">
        <v>11</v>
      </c>
      <c r="AJ28" t="s">
        <v>6</v>
      </c>
      <c r="AK28" s="14">
        <f t="shared" si="0"/>
        <v>80080</v>
      </c>
      <c r="AL28" s="14">
        <f t="shared" si="1"/>
        <v>65000</v>
      </c>
      <c r="AM28" s="56">
        <f t="shared" ref="AM28:AM35" si="28">AK28+AL28</f>
        <v>145080</v>
      </c>
      <c r="AN28" s="14"/>
      <c r="AO28" s="14">
        <f t="shared" si="2"/>
        <v>1.1050000000000009</v>
      </c>
      <c r="AP28" s="14"/>
      <c r="AQ28" s="57">
        <v>4725</v>
      </c>
      <c r="AR28" s="57">
        <v>165131.25</v>
      </c>
      <c r="AS28" s="57">
        <v>169856.25</v>
      </c>
      <c r="AT28" s="14"/>
      <c r="AU28" s="55">
        <f>1-(1-90%)*(1-50%)</f>
        <v>0.95</v>
      </c>
    </row>
    <row r="29" spans="2:47" x14ac:dyDescent="0.35">
      <c r="B29" s="8" t="s">
        <v>53</v>
      </c>
      <c r="C29" s="10" t="s">
        <v>54</v>
      </c>
      <c r="D29" s="10" t="s">
        <v>54</v>
      </c>
      <c r="E29" s="8">
        <v>100</v>
      </c>
      <c r="L29" t="s">
        <v>28</v>
      </c>
      <c r="M29" s="1" t="s">
        <v>5</v>
      </c>
      <c r="N29" t="s">
        <v>11</v>
      </c>
      <c r="O29" t="s">
        <v>6</v>
      </c>
      <c r="P29" s="40">
        <v>3395</v>
      </c>
      <c r="Q29" s="15">
        <v>2675</v>
      </c>
      <c r="R29" s="49">
        <f t="shared" si="26"/>
        <v>6070</v>
      </c>
      <c r="S29" s="52">
        <f>R28+R29</f>
        <v>11650</v>
      </c>
      <c r="T29" s="40">
        <f t="shared" ref="T29" si="29">(1-Z29)*$T$5</f>
        <v>9.0000000000000073E-4</v>
      </c>
      <c r="U29" s="41">
        <f>T28+T29</f>
        <v>7.4000000000000064E-3</v>
      </c>
      <c r="V29" s="42">
        <f>$J$51*E45</f>
        <v>4725</v>
      </c>
      <c r="W29" s="42">
        <f>$J$54*I43</f>
        <v>165131.25</v>
      </c>
      <c r="X29" s="42">
        <f t="shared" si="4"/>
        <v>169856.25</v>
      </c>
      <c r="Y29" s="42">
        <f>X28+X29</f>
        <v>339712.5</v>
      </c>
      <c r="Z29" s="55">
        <f>1-(1-90%)*(1-50%)</f>
        <v>0.95</v>
      </c>
      <c r="AG29" t="s">
        <v>28</v>
      </c>
      <c r="AH29" s="1" t="s">
        <v>5</v>
      </c>
      <c r="AI29" t="s">
        <v>11</v>
      </c>
      <c r="AJ29" t="s">
        <v>6</v>
      </c>
      <c r="AK29" s="14">
        <f t="shared" si="0"/>
        <v>88270</v>
      </c>
      <c r="AL29" s="14">
        <f t="shared" si="1"/>
        <v>69550</v>
      </c>
      <c r="AM29" s="56">
        <f t="shared" si="28"/>
        <v>157820</v>
      </c>
      <c r="AN29" s="14">
        <f>AM28+AM29</f>
        <v>302900</v>
      </c>
      <c r="AO29" s="14">
        <f t="shared" si="2"/>
        <v>0.15300000000000014</v>
      </c>
      <c r="AP29" s="14">
        <f>AO28+AO29</f>
        <v>1.2580000000000009</v>
      </c>
      <c r="AQ29" s="57">
        <v>4725</v>
      </c>
      <c r="AR29" s="57">
        <v>165131.25</v>
      </c>
      <c r="AS29" s="57">
        <v>169856.25</v>
      </c>
      <c r="AT29" s="57">
        <v>339712.5</v>
      </c>
      <c r="AU29" s="55">
        <f>1-(1-90%)*(1-50%)</f>
        <v>0.95</v>
      </c>
    </row>
    <row r="30" spans="2:47" x14ac:dyDescent="0.35">
      <c r="B30" s="8" t="s">
        <v>55</v>
      </c>
      <c r="C30" s="8" t="s">
        <v>56</v>
      </c>
      <c r="D30" s="8" t="s">
        <v>56</v>
      </c>
      <c r="E30" s="8">
        <v>100</v>
      </c>
      <c r="K30">
        <v>14</v>
      </c>
      <c r="L30" t="s">
        <v>28</v>
      </c>
      <c r="M30" t="s">
        <v>3</v>
      </c>
      <c r="N30" t="s">
        <v>6</v>
      </c>
      <c r="O30" t="s">
        <v>10</v>
      </c>
      <c r="P30" s="43">
        <v>1760</v>
      </c>
      <c r="Q30" s="13">
        <v>7980</v>
      </c>
      <c r="R30" s="47">
        <f t="shared" si="26"/>
        <v>9740</v>
      </c>
      <c r="S30" s="51"/>
      <c r="T30" s="43">
        <f t="shared" ref="T30" si="30">(1-Z30)*$T$4</f>
        <v>6.5000000000000058E-3</v>
      </c>
      <c r="U30" s="44"/>
      <c r="V30" s="45">
        <f>$J$50*E37</f>
        <v>2625</v>
      </c>
      <c r="W30" s="45">
        <f>$J$53*I39</f>
        <v>297236.25</v>
      </c>
      <c r="X30" s="45">
        <f t="shared" ref="X30:X35" si="31">V30+W30</f>
        <v>299861.25</v>
      </c>
      <c r="Y30" s="13"/>
      <c r="Z30" s="55">
        <f>1-(1-50%)*(1-90%)</f>
        <v>0.95</v>
      </c>
      <c r="AF30">
        <v>14</v>
      </c>
      <c r="AG30" t="s">
        <v>28</v>
      </c>
      <c r="AH30" t="s">
        <v>3</v>
      </c>
      <c r="AI30" t="s">
        <v>6</v>
      </c>
      <c r="AJ30" t="s">
        <v>10</v>
      </c>
      <c r="AK30" s="14">
        <f t="shared" si="0"/>
        <v>45760</v>
      </c>
      <c r="AL30" s="14">
        <f t="shared" si="1"/>
        <v>207480</v>
      </c>
      <c r="AM30" s="56">
        <f t="shared" si="28"/>
        <v>253240</v>
      </c>
      <c r="AN30" s="14"/>
      <c r="AO30" s="14">
        <f t="shared" si="2"/>
        <v>1.1050000000000009</v>
      </c>
      <c r="AP30" s="14"/>
      <c r="AQ30" s="57">
        <v>2625</v>
      </c>
      <c r="AR30" s="57">
        <v>297236.25</v>
      </c>
      <c r="AS30" s="57">
        <v>299861.25</v>
      </c>
      <c r="AT30" s="14"/>
      <c r="AU30" s="55">
        <f>1-(1-50%)*(1-90%)</f>
        <v>0.95</v>
      </c>
    </row>
    <row r="31" spans="2:47" x14ac:dyDescent="0.35">
      <c r="B31" s="11" t="s">
        <v>57</v>
      </c>
      <c r="C31" s="11" t="s">
        <v>58</v>
      </c>
      <c r="D31" s="11" t="s">
        <v>58</v>
      </c>
      <c r="E31" s="11">
        <v>350</v>
      </c>
      <c r="L31" t="s">
        <v>28</v>
      </c>
      <c r="M31" t="s">
        <v>5</v>
      </c>
      <c r="N31" t="s">
        <v>6</v>
      </c>
      <c r="O31" t="s">
        <v>10</v>
      </c>
      <c r="P31" s="40">
        <v>1935</v>
      </c>
      <c r="Q31" s="15">
        <v>8295</v>
      </c>
      <c r="R31" s="49">
        <f t="shared" si="26"/>
        <v>10230</v>
      </c>
      <c r="S31" s="52">
        <f>R30+R31</f>
        <v>19970</v>
      </c>
      <c r="T31" s="40">
        <f t="shared" ref="T31" si="32">(1-Z31)*$T$5</f>
        <v>9.0000000000000073E-4</v>
      </c>
      <c r="U31" s="41">
        <f>T30+T31</f>
        <v>7.4000000000000064E-3</v>
      </c>
      <c r="V31" s="42">
        <f>$J$51*E43</f>
        <v>2625</v>
      </c>
      <c r="W31" s="42">
        <f>$J$54*I45</f>
        <v>297236.25</v>
      </c>
      <c r="X31" s="42">
        <f t="shared" si="31"/>
        <v>299861.25</v>
      </c>
      <c r="Y31" s="42">
        <f>X30+X31</f>
        <v>599722.5</v>
      </c>
      <c r="Z31" s="55">
        <f>1-(1-50%)*(1-90%)</f>
        <v>0.95</v>
      </c>
      <c r="AG31" t="s">
        <v>28</v>
      </c>
      <c r="AH31" t="s">
        <v>5</v>
      </c>
      <c r="AI31" t="s">
        <v>6</v>
      </c>
      <c r="AJ31" t="s">
        <v>10</v>
      </c>
      <c r="AK31" s="14">
        <f t="shared" si="0"/>
        <v>50310</v>
      </c>
      <c r="AL31" s="14">
        <f t="shared" si="1"/>
        <v>215670</v>
      </c>
      <c r="AM31" s="56">
        <f t="shared" si="28"/>
        <v>265980</v>
      </c>
      <c r="AN31" s="14">
        <f>AM30+AM31</f>
        <v>519220</v>
      </c>
      <c r="AO31" s="14">
        <f t="shared" si="2"/>
        <v>0.15300000000000014</v>
      </c>
      <c r="AP31" s="14">
        <f>AO30+AO31</f>
        <v>1.2580000000000009</v>
      </c>
      <c r="AQ31" s="57">
        <v>2625</v>
      </c>
      <c r="AR31" s="57">
        <v>297236.25</v>
      </c>
      <c r="AS31" s="57">
        <v>299861.25</v>
      </c>
      <c r="AT31" s="57">
        <v>599722.5</v>
      </c>
      <c r="AU31" s="55">
        <f>1-(1-50%)*(1-90%)</f>
        <v>0.95</v>
      </c>
    </row>
    <row r="32" spans="2:47" x14ac:dyDescent="0.35">
      <c r="B32" s="5"/>
      <c r="K32">
        <v>15</v>
      </c>
      <c r="L32" t="s">
        <v>28</v>
      </c>
      <c r="M32" s="1" t="s">
        <v>3</v>
      </c>
      <c r="N32" t="s">
        <v>4</v>
      </c>
      <c r="O32" t="s">
        <v>10</v>
      </c>
      <c r="P32" s="43">
        <v>0</v>
      </c>
      <c r="Q32" s="13">
        <v>7980</v>
      </c>
      <c r="R32" s="47">
        <f t="shared" si="26"/>
        <v>7980</v>
      </c>
      <c r="S32" s="51"/>
      <c r="T32" s="43">
        <f t="shared" ref="T32" si="33">(1-Z32)*$T$4</f>
        <v>1.2999999999999998E-2</v>
      </c>
      <c r="U32" s="44"/>
      <c r="V32" s="45">
        <v>0</v>
      </c>
      <c r="W32" s="45">
        <f>$J$53*I39</f>
        <v>297236.25</v>
      </c>
      <c r="X32" s="45">
        <f t="shared" si="31"/>
        <v>297236.25</v>
      </c>
      <c r="Y32" s="13"/>
      <c r="Z32" s="3">
        <v>0.9</v>
      </c>
      <c r="AF32">
        <v>15</v>
      </c>
      <c r="AG32" t="s">
        <v>28</v>
      </c>
      <c r="AH32" s="1" t="s">
        <v>3</v>
      </c>
      <c r="AI32" t="s">
        <v>4</v>
      </c>
      <c r="AJ32" t="s">
        <v>10</v>
      </c>
      <c r="AK32" s="14">
        <f t="shared" si="0"/>
        <v>0</v>
      </c>
      <c r="AL32" s="14">
        <f t="shared" si="1"/>
        <v>207480</v>
      </c>
      <c r="AM32" s="56">
        <f t="shared" si="28"/>
        <v>207480</v>
      </c>
      <c r="AN32" s="14"/>
      <c r="AO32" s="14">
        <f t="shared" si="2"/>
        <v>2.2099999999999995</v>
      </c>
      <c r="AP32" s="14"/>
      <c r="AQ32" s="57">
        <v>0</v>
      </c>
      <c r="AR32" s="57">
        <v>297236.25</v>
      </c>
      <c r="AS32" s="57">
        <v>297236.25</v>
      </c>
      <c r="AT32" s="14"/>
      <c r="AU32" s="3">
        <v>0.9</v>
      </c>
    </row>
    <row r="33" spans="2:47" x14ac:dyDescent="0.35">
      <c r="B33" s="34" t="s">
        <v>59</v>
      </c>
      <c r="L33" t="s">
        <v>28</v>
      </c>
      <c r="M33" s="1" t="s">
        <v>5</v>
      </c>
      <c r="N33" t="s">
        <v>4</v>
      </c>
      <c r="O33" t="s">
        <v>11</v>
      </c>
      <c r="P33" s="40">
        <v>0</v>
      </c>
      <c r="Q33" s="15">
        <v>8295</v>
      </c>
      <c r="R33" s="49">
        <f t="shared" si="26"/>
        <v>8295</v>
      </c>
      <c r="S33" s="52">
        <f>R32+R33</f>
        <v>16275</v>
      </c>
      <c r="T33" s="40">
        <f t="shared" ref="T33" si="34">(1-Z33)*$T$5</f>
        <v>1.7999999999999995E-3</v>
      </c>
      <c r="U33" s="41">
        <f>T32+T33</f>
        <v>1.4799999999999997E-2</v>
      </c>
      <c r="V33" s="42">
        <v>0</v>
      </c>
      <c r="W33" s="42">
        <f>$J$54*I45</f>
        <v>297236.25</v>
      </c>
      <c r="X33" s="42">
        <f t="shared" si="31"/>
        <v>297236.25</v>
      </c>
      <c r="Y33" s="42">
        <f>X32+X33</f>
        <v>594472.5</v>
      </c>
      <c r="Z33" s="3">
        <v>0.9</v>
      </c>
      <c r="AG33" t="s">
        <v>28</v>
      </c>
      <c r="AH33" s="1" t="s">
        <v>5</v>
      </c>
      <c r="AI33" t="s">
        <v>4</v>
      </c>
      <c r="AJ33" t="s">
        <v>11</v>
      </c>
      <c r="AK33" s="14">
        <f t="shared" si="0"/>
        <v>0</v>
      </c>
      <c r="AL33" s="14">
        <f t="shared" si="1"/>
        <v>215670</v>
      </c>
      <c r="AM33" s="56">
        <f t="shared" si="28"/>
        <v>215670</v>
      </c>
      <c r="AN33" s="14">
        <f>AM32+AM33</f>
        <v>423150</v>
      </c>
      <c r="AO33" s="14">
        <f t="shared" si="2"/>
        <v>0.30599999999999994</v>
      </c>
      <c r="AP33" s="14">
        <f>AO32+AO33</f>
        <v>2.5159999999999996</v>
      </c>
      <c r="AQ33" s="57">
        <v>0</v>
      </c>
      <c r="AR33" s="57">
        <v>297236.25</v>
      </c>
      <c r="AS33" s="57">
        <v>297236.25</v>
      </c>
      <c r="AT33" s="57">
        <v>594472.5</v>
      </c>
      <c r="AU33" s="3">
        <v>0.9</v>
      </c>
    </row>
    <row r="34" spans="2:47" x14ac:dyDescent="0.35">
      <c r="B34" s="20" t="s">
        <v>48</v>
      </c>
      <c r="C34" s="21" t="s">
        <v>60</v>
      </c>
      <c r="D34" s="21" t="s">
        <v>61</v>
      </c>
      <c r="E34" s="20" t="s">
        <v>62</v>
      </c>
      <c r="F34" s="20" t="s">
        <v>49</v>
      </c>
      <c r="G34" s="21" t="s">
        <v>63</v>
      </c>
      <c r="H34" s="21" t="s">
        <v>64</v>
      </c>
      <c r="I34" s="20" t="s">
        <v>65</v>
      </c>
      <c r="K34">
        <v>16</v>
      </c>
      <c r="L34" t="s">
        <v>28</v>
      </c>
      <c r="M34" t="s">
        <v>3</v>
      </c>
      <c r="N34" t="s">
        <v>11</v>
      </c>
      <c r="O34" t="s">
        <v>4</v>
      </c>
      <c r="P34" s="43">
        <v>3080</v>
      </c>
      <c r="Q34" s="13">
        <v>0</v>
      </c>
      <c r="R34" s="47">
        <f t="shared" si="26"/>
        <v>3080</v>
      </c>
      <c r="S34" s="51"/>
      <c r="T34" s="43">
        <f t="shared" ref="T34" si="35">(1-Z34)*$T$4</f>
        <v>1.2999999999999998E-2</v>
      </c>
      <c r="U34" s="44"/>
      <c r="V34" s="45">
        <f>$J$50*E39</f>
        <v>4725</v>
      </c>
      <c r="W34" s="45">
        <v>0</v>
      </c>
      <c r="X34" s="45">
        <f t="shared" si="31"/>
        <v>4725</v>
      </c>
      <c r="Y34" s="13"/>
      <c r="Z34" s="3">
        <v>0.9</v>
      </c>
      <c r="AF34">
        <v>16</v>
      </c>
      <c r="AG34" t="s">
        <v>28</v>
      </c>
      <c r="AH34" t="s">
        <v>3</v>
      </c>
      <c r="AI34" t="s">
        <v>11</v>
      </c>
      <c r="AJ34" t="s">
        <v>4</v>
      </c>
      <c r="AK34" s="14">
        <f t="shared" si="0"/>
        <v>80080</v>
      </c>
      <c r="AL34" s="14">
        <f t="shared" si="1"/>
        <v>0</v>
      </c>
      <c r="AM34" s="56">
        <f t="shared" si="28"/>
        <v>80080</v>
      </c>
      <c r="AN34" s="14"/>
      <c r="AO34" s="14">
        <f t="shared" si="2"/>
        <v>2.2099999999999995</v>
      </c>
      <c r="AP34" s="14"/>
      <c r="AQ34" s="57">
        <v>4725</v>
      </c>
      <c r="AR34" s="57">
        <v>0</v>
      </c>
      <c r="AS34" s="57">
        <v>4725</v>
      </c>
      <c r="AT34" s="14"/>
      <c r="AU34" s="3">
        <v>0.9</v>
      </c>
    </row>
    <row r="35" spans="2:47" x14ac:dyDescent="0.35">
      <c r="B35" s="22" t="s">
        <v>3</v>
      </c>
      <c r="C35" s="4"/>
      <c r="D35" s="4"/>
      <c r="E35" s="2"/>
      <c r="F35" s="2"/>
      <c r="G35" s="4"/>
      <c r="H35" s="4"/>
      <c r="I35" s="2"/>
      <c r="L35" t="s">
        <v>28</v>
      </c>
      <c r="M35" t="s">
        <v>5</v>
      </c>
      <c r="N35" t="s">
        <v>11</v>
      </c>
      <c r="O35" t="s">
        <v>4</v>
      </c>
      <c r="P35" s="37">
        <v>3395</v>
      </c>
      <c r="Q35" s="14">
        <v>0</v>
      </c>
      <c r="R35" s="56">
        <f t="shared" si="26"/>
        <v>3395</v>
      </c>
      <c r="S35" s="58">
        <f>R34+R35</f>
        <v>6475</v>
      </c>
      <c r="T35" s="37">
        <f t="shared" ref="T35" si="36">(1-Z35)*$T$5</f>
        <v>1.7999999999999995E-3</v>
      </c>
      <c r="U35" s="38">
        <f>T34+T35</f>
        <v>1.4799999999999997E-2</v>
      </c>
      <c r="V35" s="57">
        <f>$J$51*E45</f>
        <v>4725</v>
      </c>
      <c r="W35" s="57">
        <v>0</v>
      </c>
      <c r="X35" s="57">
        <f t="shared" si="31"/>
        <v>4725</v>
      </c>
      <c r="Y35" s="57">
        <f>X34+X35</f>
        <v>9450</v>
      </c>
      <c r="Z35" s="3">
        <v>0.9</v>
      </c>
      <c r="AG35" t="s">
        <v>28</v>
      </c>
      <c r="AH35" t="s">
        <v>5</v>
      </c>
      <c r="AI35" t="s">
        <v>11</v>
      </c>
      <c r="AJ35" t="s">
        <v>4</v>
      </c>
      <c r="AK35" s="14">
        <f t="shared" si="0"/>
        <v>88270</v>
      </c>
      <c r="AL35" s="14">
        <f t="shared" si="1"/>
        <v>0</v>
      </c>
      <c r="AM35" s="56">
        <f t="shared" si="28"/>
        <v>88270</v>
      </c>
      <c r="AN35" s="14">
        <f>AM34+AM35</f>
        <v>168350</v>
      </c>
      <c r="AO35" s="14">
        <f t="shared" si="2"/>
        <v>0.30599999999999994</v>
      </c>
      <c r="AP35" s="14">
        <f>AO34+AO35</f>
        <v>2.5159999999999996</v>
      </c>
      <c r="AQ35" s="57">
        <v>4725</v>
      </c>
      <c r="AR35" s="57">
        <v>0</v>
      </c>
      <c r="AS35" s="57">
        <v>4725</v>
      </c>
      <c r="AT35" s="57">
        <v>9450</v>
      </c>
      <c r="AU35" s="3">
        <v>0.9</v>
      </c>
    </row>
    <row r="36" spans="2:47" x14ac:dyDescent="0.35">
      <c r="B36" s="23" t="s">
        <v>66</v>
      </c>
      <c r="C36" s="24">
        <v>0</v>
      </c>
      <c r="D36" s="24">
        <v>0</v>
      </c>
      <c r="E36" s="25">
        <v>0</v>
      </c>
      <c r="F36" s="23" t="s">
        <v>66</v>
      </c>
      <c r="G36" s="24">
        <v>0</v>
      </c>
      <c r="H36" s="24">
        <v>0</v>
      </c>
      <c r="I36" s="25">
        <v>0</v>
      </c>
      <c r="K36" s="59"/>
      <c r="L36" s="59"/>
      <c r="M36" s="60"/>
      <c r="N36" s="59"/>
      <c r="O36" s="59"/>
      <c r="P36" s="59"/>
      <c r="Q36" s="59"/>
      <c r="R36" s="60"/>
      <c r="S36" s="59"/>
      <c r="T36" s="59"/>
      <c r="U36" s="59"/>
      <c r="V36" s="61"/>
      <c r="W36" s="61"/>
      <c r="X36" s="61"/>
      <c r="Y36" s="59"/>
      <c r="Z36" s="62"/>
    </row>
    <row r="37" spans="2:47" x14ac:dyDescent="0.35">
      <c r="B37" s="23" t="s">
        <v>7</v>
      </c>
      <c r="C37" s="24">
        <v>16</v>
      </c>
      <c r="D37" s="24">
        <v>16</v>
      </c>
      <c r="E37" s="26">
        <v>0.5</v>
      </c>
      <c r="F37" s="23" t="s">
        <v>7</v>
      </c>
      <c r="G37" s="24">
        <v>70</v>
      </c>
      <c r="H37" s="24">
        <v>18</v>
      </c>
      <c r="I37" s="26">
        <v>0.5</v>
      </c>
      <c r="K37" s="14"/>
      <c r="L37" s="14"/>
      <c r="M37" s="56"/>
      <c r="N37" s="14"/>
      <c r="O37" s="14"/>
      <c r="P37" s="14"/>
      <c r="Q37" s="14"/>
      <c r="R37" s="14"/>
      <c r="S37" s="14"/>
      <c r="T37" s="14"/>
      <c r="U37" s="14"/>
      <c r="V37" s="57"/>
      <c r="X37" s="57"/>
      <c r="Y37" s="57"/>
      <c r="Z37" s="17"/>
    </row>
    <row r="38" spans="2:47" x14ac:dyDescent="0.35">
      <c r="B38" s="23" t="s">
        <v>67</v>
      </c>
      <c r="C38" s="24">
        <v>25</v>
      </c>
      <c r="D38" s="24">
        <v>25</v>
      </c>
      <c r="E38" s="26">
        <v>0.8</v>
      </c>
      <c r="F38" s="23" t="s">
        <v>67</v>
      </c>
      <c r="G38" s="24">
        <v>160</v>
      </c>
      <c r="H38" s="24">
        <v>40</v>
      </c>
      <c r="I38" s="26">
        <v>0.8</v>
      </c>
      <c r="M38" s="82"/>
      <c r="P38" s="83" t="s">
        <v>108</v>
      </c>
      <c r="Q38" s="83"/>
      <c r="R38" s="83"/>
      <c r="S38" s="83"/>
      <c r="T38" s="83"/>
      <c r="U38" s="83"/>
      <c r="V38" s="83"/>
      <c r="W38" s="1"/>
      <c r="X38" s="1"/>
      <c r="AC38" s="14"/>
    </row>
    <row r="39" spans="2:47" x14ac:dyDescent="0.35">
      <c r="B39" s="23" t="s">
        <v>10</v>
      </c>
      <c r="C39" s="24">
        <v>28</v>
      </c>
      <c r="D39" s="24">
        <v>28</v>
      </c>
      <c r="E39" s="26">
        <v>0.9</v>
      </c>
      <c r="F39" s="23" t="s">
        <v>10</v>
      </c>
      <c r="G39" s="24">
        <v>228</v>
      </c>
      <c r="H39" s="24">
        <v>57</v>
      </c>
      <c r="I39" s="26">
        <v>0.9</v>
      </c>
      <c r="M39" s="82"/>
      <c r="O39" s="14"/>
      <c r="P39" s="78" t="s">
        <v>68</v>
      </c>
      <c r="Q39" s="78"/>
      <c r="R39" s="78"/>
      <c r="S39" s="80" t="s">
        <v>17</v>
      </c>
      <c r="T39" s="80"/>
      <c r="U39" s="80"/>
      <c r="V39" s="78" t="s">
        <v>69</v>
      </c>
      <c r="W39" s="81" t="s">
        <v>19</v>
      </c>
      <c r="X39" s="81"/>
      <c r="Y39" s="81"/>
      <c r="Z39" s="78" t="s">
        <v>20</v>
      </c>
      <c r="AC39" s="77"/>
    </row>
    <row r="40" spans="2:47" x14ac:dyDescent="0.35">
      <c r="B40" s="23"/>
      <c r="C40" s="24"/>
      <c r="D40" s="24"/>
      <c r="E40" s="26"/>
      <c r="F40" s="23"/>
      <c r="G40" s="24"/>
      <c r="H40" s="24"/>
      <c r="I40" s="26"/>
      <c r="M40" s="82"/>
      <c r="O40" s="77"/>
      <c r="P40" s="72"/>
      <c r="Q40" s="77" t="s">
        <v>1</v>
      </c>
      <c r="R40" s="77" t="s">
        <v>2</v>
      </c>
      <c r="S40" s="13" t="s">
        <v>1</v>
      </c>
      <c r="T40" s="13" t="s">
        <v>2</v>
      </c>
      <c r="U40" s="13" t="s">
        <v>23</v>
      </c>
      <c r="V40" s="79"/>
      <c r="W40" s="13" t="s">
        <v>1</v>
      </c>
      <c r="X40" s="13" t="s">
        <v>2</v>
      </c>
      <c r="Y40" s="13" t="s">
        <v>23</v>
      </c>
      <c r="Z40" s="79"/>
      <c r="AC40" s="14"/>
    </row>
    <row r="41" spans="2:47" x14ac:dyDescent="0.35">
      <c r="B41" s="22" t="s">
        <v>70</v>
      </c>
      <c r="C41" s="4"/>
      <c r="D41" s="4"/>
      <c r="E41" s="2"/>
      <c r="F41" s="2"/>
      <c r="G41" s="4"/>
      <c r="H41" s="4"/>
      <c r="I41" s="2"/>
      <c r="O41" s="14"/>
      <c r="P41">
        <v>1</v>
      </c>
      <c r="Q41" s="59" t="s">
        <v>6</v>
      </c>
      <c r="R41" s="59" t="s">
        <v>6</v>
      </c>
      <c r="S41" s="59">
        <v>45760</v>
      </c>
      <c r="T41" s="74">
        <v>65000</v>
      </c>
      <c r="U41" s="74">
        <v>110760</v>
      </c>
      <c r="V41" s="59">
        <v>5.5250000000000004</v>
      </c>
      <c r="W41" s="61">
        <v>2625</v>
      </c>
      <c r="X41" s="61">
        <v>165131.25</v>
      </c>
      <c r="Y41" s="75">
        <f>W41+X41</f>
        <v>167756.25</v>
      </c>
      <c r="Z41" s="76">
        <v>0.75</v>
      </c>
      <c r="AB41" s="56"/>
    </row>
    <row r="42" spans="2:47" x14ac:dyDescent="0.35">
      <c r="B42" s="23" t="s">
        <v>66</v>
      </c>
      <c r="C42" s="24">
        <v>0</v>
      </c>
      <c r="D42" s="24">
        <v>0</v>
      </c>
      <c r="E42" s="25">
        <v>0</v>
      </c>
      <c r="F42" s="23" t="s">
        <v>66</v>
      </c>
      <c r="G42" s="24">
        <v>0</v>
      </c>
      <c r="H42" s="24">
        <v>0</v>
      </c>
      <c r="I42" s="25">
        <v>0</v>
      </c>
      <c r="O42" s="14"/>
      <c r="P42">
        <v>2</v>
      </c>
      <c r="Q42" s="14" t="s">
        <v>6</v>
      </c>
      <c r="R42" s="14" t="s">
        <v>8</v>
      </c>
      <c r="S42" s="14">
        <v>45760</v>
      </c>
      <c r="T42" s="14">
        <v>145600</v>
      </c>
      <c r="U42" s="14">
        <v>191360</v>
      </c>
      <c r="V42" s="14">
        <v>2.2099999999999995</v>
      </c>
      <c r="W42" s="57">
        <v>2625</v>
      </c>
      <c r="X42" s="57">
        <v>264210</v>
      </c>
      <c r="Y42" s="66">
        <f t="shared" ref="Y42:Y50" si="37">W42+X42</f>
        <v>266835</v>
      </c>
      <c r="Z42" s="64">
        <v>0.9</v>
      </c>
      <c r="AB42" s="66"/>
    </row>
    <row r="43" spans="2:47" x14ac:dyDescent="0.35">
      <c r="B43" s="23" t="s">
        <v>7</v>
      </c>
      <c r="C43" s="24">
        <v>16</v>
      </c>
      <c r="D43" s="24">
        <v>16</v>
      </c>
      <c r="E43" s="26">
        <v>0.5</v>
      </c>
      <c r="F43" s="23" t="s">
        <v>7</v>
      </c>
      <c r="G43" s="24">
        <v>70</v>
      </c>
      <c r="H43" s="24">
        <v>18</v>
      </c>
      <c r="I43" s="26">
        <v>0.5</v>
      </c>
      <c r="O43" s="14"/>
      <c r="P43">
        <v>3</v>
      </c>
      <c r="Q43" s="14" t="s">
        <v>9</v>
      </c>
      <c r="R43" s="14" t="s">
        <v>6</v>
      </c>
      <c r="S43" s="14">
        <v>71500</v>
      </c>
      <c r="T43" s="65">
        <v>65000</v>
      </c>
      <c r="U43" s="65">
        <v>136500</v>
      </c>
      <c r="V43" s="14">
        <v>2.2099999999999995</v>
      </c>
      <c r="W43" s="57">
        <v>4200</v>
      </c>
      <c r="X43" s="57">
        <v>165131.25</v>
      </c>
      <c r="Y43" s="66">
        <f t="shared" si="37"/>
        <v>169331.25</v>
      </c>
      <c r="Z43" s="64">
        <v>0.9</v>
      </c>
      <c r="AB43" s="14"/>
    </row>
    <row r="44" spans="2:47" x14ac:dyDescent="0.35">
      <c r="B44" s="23" t="s">
        <v>67</v>
      </c>
      <c r="C44" s="24">
        <v>25</v>
      </c>
      <c r="D44" s="24">
        <v>25</v>
      </c>
      <c r="E44" s="26">
        <v>0.8</v>
      </c>
      <c r="F44" s="23" t="s">
        <v>67</v>
      </c>
      <c r="G44" s="24">
        <v>160</v>
      </c>
      <c r="H44" s="24">
        <v>40</v>
      </c>
      <c r="I44" s="26">
        <v>0.8</v>
      </c>
      <c r="O44" s="14"/>
      <c r="P44">
        <v>4</v>
      </c>
      <c r="Q44" s="14" t="s">
        <v>8</v>
      </c>
      <c r="R44" s="14" t="s">
        <v>8</v>
      </c>
      <c r="S44" s="14">
        <v>71500</v>
      </c>
      <c r="T44" s="14">
        <v>145600</v>
      </c>
      <c r="U44" s="14">
        <v>217100</v>
      </c>
      <c r="V44" s="14">
        <v>0.22100000000000022</v>
      </c>
      <c r="W44" s="57">
        <v>4200</v>
      </c>
      <c r="X44" s="57">
        <v>264210</v>
      </c>
      <c r="Y44" s="66">
        <f t="shared" si="37"/>
        <v>268410</v>
      </c>
      <c r="Z44" s="64">
        <v>0.99</v>
      </c>
      <c r="AB44" s="57"/>
    </row>
    <row r="45" spans="2:47" x14ac:dyDescent="0.35">
      <c r="B45" s="23" t="s">
        <v>10</v>
      </c>
      <c r="C45" s="24">
        <v>28</v>
      </c>
      <c r="D45" s="24">
        <v>28</v>
      </c>
      <c r="E45" s="26">
        <v>0.9</v>
      </c>
      <c r="F45" s="23" t="s">
        <v>10</v>
      </c>
      <c r="G45" s="24">
        <v>228</v>
      </c>
      <c r="H45" s="24">
        <v>57</v>
      </c>
      <c r="I45" s="26">
        <v>0.9</v>
      </c>
      <c r="O45" s="14"/>
      <c r="P45">
        <v>5</v>
      </c>
      <c r="Q45" s="14" t="s">
        <v>8</v>
      </c>
      <c r="R45" s="14" t="s">
        <v>10</v>
      </c>
      <c r="S45" s="14">
        <v>71500</v>
      </c>
      <c r="T45" s="14">
        <v>207480</v>
      </c>
      <c r="U45" s="14">
        <v>278980</v>
      </c>
      <c r="V45" s="14">
        <v>0.44200000000000045</v>
      </c>
      <c r="W45" s="57">
        <v>4200</v>
      </c>
      <c r="X45" s="57">
        <v>297236.25</v>
      </c>
      <c r="Y45" s="66">
        <f t="shared" si="37"/>
        <v>301436.25</v>
      </c>
      <c r="Z45" s="64">
        <v>0.98</v>
      </c>
      <c r="AB45" s="14"/>
    </row>
    <row r="46" spans="2:47" x14ac:dyDescent="0.35">
      <c r="B46" s="27"/>
      <c r="C46" s="28"/>
      <c r="D46" s="28"/>
      <c r="E46" s="29"/>
      <c r="F46" s="27"/>
      <c r="G46" s="28"/>
      <c r="H46" s="28"/>
      <c r="I46" s="30"/>
      <c r="O46" s="14"/>
      <c r="P46">
        <v>6</v>
      </c>
      <c r="Q46" s="14" t="s">
        <v>11</v>
      </c>
      <c r="R46" s="14" t="s">
        <v>8</v>
      </c>
      <c r="S46" s="14">
        <v>80080</v>
      </c>
      <c r="T46" s="14">
        <v>145600</v>
      </c>
      <c r="U46" s="14">
        <v>225680</v>
      </c>
      <c r="V46" s="14">
        <v>0.44200000000000045</v>
      </c>
      <c r="W46" s="57">
        <v>4725</v>
      </c>
      <c r="X46" s="57">
        <v>264210</v>
      </c>
      <c r="Y46" s="66">
        <f t="shared" si="37"/>
        <v>268935</v>
      </c>
      <c r="Z46" s="64">
        <v>0.98</v>
      </c>
      <c r="AB46" s="57"/>
    </row>
    <row r="47" spans="2:47" x14ac:dyDescent="0.35">
      <c r="B47" s="5"/>
      <c r="O47" s="14"/>
      <c r="P47">
        <v>7</v>
      </c>
      <c r="Q47" s="14" t="s">
        <v>11</v>
      </c>
      <c r="R47" s="14" t="s">
        <v>10</v>
      </c>
      <c r="S47" s="14">
        <v>80080</v>
      </c>
      <c r="T47" s="14">
        <v>207480</v>
      </c>
      <c r="U47" s="14">
        <v>287560</v>
      </c>
      <c r="V47" s="14">
        <v>0.22100000000000022</v>
      </c>
      <c r="W47" s="57">
        <v>4725</v>
      </c>
      <c r="X47" s="57">
        <v>297236.25</v>
      </c>
      <c r="Y47" s="66">
        <f t="shared" si="37"/>
        <v>301961.25</v>
      </c>
      <c r="Z47" s="64">
        <v>0.99</v>
      </c>
      <c r="AB47" s="14"/>
    </row>
    <row r="48" spans="2:47" ht="15.5" x14ac:dyDescent="0.35">
      <c r="B48" s="31" t="s">
        <v>71</v>
      </c>
      <c r="I48" s="84" t="s">
        <v>107</v>
      </c>
      <c r="O48" s="14"/>
      <c r="P48">
        <v>8</v>
      </c>
      <c r="Q48" s="14" t="s">
        <v>11</v>
      </c>
      <c r="R48" s="14" t="s">
        <v>6</v>
      </c>
      <c r="S48" s="14">
        <v>80080</v>
      </c>
      <c r="T48" s="14">
        <v>65000</v>
      </c>
      <c r="U48" s="14">
        <v>145080</v>
      </c>
      <c r="V48" s="14">
        <v>1.1050000000000009</v>
      </c>
      <c r="W48" s="57">
        <v>4725</v>
      </c>
      <c r="X48" s="57">
        <v>165131.25</v>
      </c>
      <c r="Y48" s="66">
        <f t="shared" si="37"/>
        <v>169856.25</v>
      </c>
      <c r="Z48" s="64">
        <v>0.95</v>
      </c>
      <c r="AB48" s="57"/>
    </row>
    <row r="49" spans="2:30" x14ac:dyDescent="0.35">
      <c r="B49" s="7" t="s">
        <v>72</v>
      </c>
      <c r="C49" s="7" t="s">
        <v>73</v>
      </c>
      <c r="D49" s="7" t="s">
        <v>74</v>
      </c>
      <c r="E49" s="7" t="s">
        <v>75</v>
      </c>
      <c r="J49" t="s">
        <v>76</v>
      </c>
      <c r="O49" s="14"/>
      <c r="P49">
        <v>9</v>
      </c>
      <c r="Q49" s="14" t="s">
        <v>6</v>
      </c>
      <c r="R49" s="14" t="s">
        <v>10</v>
      </c>
      <c r="S49" s="14">
        <v>45760</v>
      </c>
      <c r="T49" s="14">
        <v>207480</v>
      </c>
      <c r="U49" s="56">
        <v>253240</v>
      </c>
      <c r="V49" s="14">
        <v>1.1050000000000009</v>
      </c>
      <c r="W49" s="57">
        <v>2625</v>
      </c>
      <c r="X49" s="57">
        <v>297236.25</v>
      </c>
      <c r="Y49" s="66">
        <f t="shared" si="37"/>
        <v>299861.25</v>
      </c>
      <c r="Z49" s="64">
        <v>0.95</v>
      </c>
      <c r="AB49" s="14"/>
    </row>
    <row r="50" spans="2:30" x14ac:dyDescent="0.35">
      <c r="B50" s="32" t="s">
        <v>77</v>
      </c>
      <c r="C50" s="8">
        <v>350</v>
      </c>
      <c r="D50" s="8" t="s">
        <v>78</v>
      </c>
      <c r="E50" s="8" t="s">
        <v>79</v>
      </c>
      <c r="I50" t="s">
        <v>80</v>
      </c>
      <c r="J50">
        <f>C50*C57*C52*C53*C5</f>
        <v>5250</v>
      </c>
      <c r="K50" t="s">
        <v>81</v>
      </c>
      <c r="O50" s="14"/>
      <c r="P50" s="53">
        <v>10</v>
      </c>
      <c r="Q50" s="53" t="s">
        <v>4</v>
      </c>
      <c r="R50" s="53" t="s">
        <v>4</v>
      </c>
      <c r="S50" s="53">
        <v>0</v>
      </c>
      <c r="T50" s="53">
        <v>0</v>
      </c>
      <c r="U50" s="67">
        <v>0</v>
      </c>
      <c r="V50" s="53">
        <v>22.1</v>
      </c>
      <c r="W50" s="68">
        <v>0</v>
      </c>
      <c r="X50" s="68">
        <v>0</v>
      </c>
      <c r="Y50" s="73">
        <f t="shared" si="37"/>
        <v>0</v>
      </c>
      <c r="Z50" s="63">
        <v>0</v>
      </c>
      <c r="AB50" s="57"/>
    </row>
    <row r="51" spans="2:30" x14ac:dyDescent="0.35">
      <c r="B51" s="32" t="s">
        <v>82</v>
      </c>
      <c r="C51" s="8">
        <v>1.7</v>
      </c>
      <c r="D51" s="8" t="s">
        <v>78</v>
      </c>
      <c r="E51" s="8" t="s">
        <v>83</v>
      </c>
      <c r="I51" t="s">
        <v>84</v>
      </c>
      <c r="J51">
        <f>C50*C57*C52*C53*C8</f>
        <v>5250</v>
      </c>
      <c r="K51" t="s">
        <v>85</v>
      </c>
      <c r="O51" s="14"/>
      <c r="P51" s="14"/>
      <c r="Q51" s="65"/>
      <c r="R51" s="14"/>
      <c r="S51" s="14"/>
      <c r="T51" s="14"/>
      <c r="U51" s="65"/>
      <c r="V51" s="65"/>
      <c r="W51" s="14"/>
      <c r="X51" s="14"/>
      <c r="Y51" s="14"/>
      <c r="Z51" s="57"/>
      <c r="AA51" s="57"/>
      <c r="AB51" s="66"/>
      <c r="AC51" s="56"/>
      <c r="AD51" s="64"/>
    </row>
    <row r="52" spans="2:30" x14ac:dyDescent="0.35">
      <c r="B52" s="32" t="s">
        <v>86</v>
      </c>
      <c r="C52" s="8">
        <v>10</v>
      </c>
      <c r="D52" s="8" t="s">
        <v>87</v>
      </c>
      <c r="E52" s="8" t="s">
        <v>88</v>
      </c>
      <c r="J52" t="s">
        <v>89</v>
      </c>
      <c r="O52" s="14"/>
      <c r="P52" s="14"/>
      <c r="Q52" s="65"/>
      <c r="R52" s="14"/>
      <c r="S52" s="14"/>
      <c r="T52" s="14"/>
      <c r="U52" s="14"/>
      <c r="V52" s="56"/>
      <c r="W52" s="14"/>
      <c r="X52" s="14"/>
      <c r="Y52" s="14"/>
      <c r="Z52" s="57"/>
      <c r="AA52" s="57"/>
      <c r="AB52" s="57"/>
      <c r="AC52" s="57"/>
      <c r="AD52" s="64"/>
    </row>
    <row r="53" spans="2:30" x14ac:dyDescent="0.35">
      <c r="B53" s="32" t="s">
        <v>90</v>
      </c>
      <c r="C53" s="8">
        <v>30</v>
      </c>
      <c r="D53" s="9"/>
      <c r="E53" s="8" t="s">
        <v>91</v>
      </c>
      <c r="I53" t="s">
        <v>92</v>
      </c>
      <c r="J53">
        <f>((C50*(C55+C56+C57)*C5*C52*C53+C54*C13*C52*C58))</f>
        <v>330262.5</v>
      </c>
      <c r="K53" t="s">
        <v>93</v>
      </c>
      <c r="O53" s="14"/>
      <c r="P53" s="14"/>
      <c r="Q53" s="14"/>
      <c r="R53" s="14"/>
      <c r="S53" s="14"/>
      <c r="T53" s="14"/>
      <c r="U53" s="14"/>
      <c r="V53" s="56"/>
      <c r="W53" s="14"/>
      <c r="X53" s="14"/>
      <c r="Y53" s="14"/>
      <c r="Z53" s="57"/>
      <c r="AA53" s="57"/>
      <c r="AB53" s="57"/>
      <c r="AC53" s="14"/>
      <c r="AD53" s="64"/>
    </row>
    <row r="54" spans="2:30" x14ac:dyDescent="0.35">
      <c r="B54" s="32" t="s">
        <v>94</v>
      </c>
      <c r="C54" s="8">
        <v>15000</v>
      </c>
      <c r="D54" s="9"/>
      <c r="E54" s="8" t="s">
        <v>95</v>
      </c>
      <c r="I54" t="s">
        <v>96</v>
      </c>
      <c r="J54">
        <f>((C50*(C55+C56+C57)*C8*C52*C53+C54*C16*C52*C58))</f>
        <v>330262.5</v>
      </c>
      <c r="K54" t="s">
        <v>97</v>
      </c>
      <c r="O54" s="14"/>
      <c r="P54" s="14"/>
      <c r="Q54" s="56"/>
      <c r="R54" s="14"/>
      <c r="S54" s="14"/>
      <c r="T54" s="14"/>
      <c r="U54" s="14"/>
      <c r="V54" s="56"/>
      <c r="W54" s="14"/>
      <c r="X54" s="14"/>
      <c r="Y54" s="14"/>
      <c r="Z54" s="57"/>
      <c r="AA54" s="57"/>
      <c r="AB54" s="57"/>
      <c r="AC54" s="57"/>
      <c r="AD54" s="64"/>
    </row>
    <row r="55" spans="2:30" x14ac:dyDescent="0.35">
      <c r="B55" s="32" t="s">
        <v>98</v>
      </c>
      <c r="C55" s="8">
        <v>58</v>
      </c>
      <c r="D55" s="8" t="s">
        <v>99</v>
      </c>
      <c r="E55" s="8" t="s">
        <v>100</v>
      </c>
      <c r="O55" s="14"/>
      <c r="P55" s="14"/>
      <c r="Q55" s="56"/>
      <c r="R55" s="14"/>
      <c r="S55" s="14"/>
      <c r="T55" s="14"/>
      <c r="U55" s="14"/>
      <c r="V55" s="56"/>
      <c r="W55" s="14"/>
      <c r="X55" s="14"/>
      <c r="Y55" s="14"/>
      <c r="Z55" s="57"/>
      <c r="AA55" s="57"/>
      <c r="AB55" s="57"/>
      <c r="AC55" s="14"/>
      <c r="AD55" s="64"/>
    </row>
    <row r="56" spans="2:30" x14ac:dyDescent="0.35">
      <c r="B56" s="32" t="s">
        <v>101</v>
      </c>
      <c r="C56" s="8">
        <v>251</v>
      </c>
      <c r="D56" s="8" t="s">
        <v>99</v>
      </c>
      <c r="E56" s="8" t="s">
        <v>102</v>
      </c>
      <c r="O56" s="14"/>
      <c r="P56" s="14"/>
      <c r="Q56" s="56"/>
      <c r="R56" s="14"/>
      <c r="S56" s="14"/>
      <c r="T56" s="14"/>
      <c r="U56" s="14"/>
      <c r="V56" s="56"/>
      <c r="W56" s="14"/>
      <c r="X56" s="14"/>
      <c r="Y56" s="14"/>
      <c r="Z56" s="57"/>
      <c r="AA56" s="57"/>
      <c r="AB56" s="57"/>
      <c r="AC56" s="57"/>
      <c r="AD56" s="64"/>
    </row>
    <row r="57" spans="2:30" x14ac:dyDescent="0.35">
      <c r="B57" s="32" t="s">
        <v>103</v>
      </c>
      <c r="C57" s="8">
        <v>5</v>
      </c>
      <c r="D57" s="8" t="s">
        <v>99</v>
      </c>
      <c r="E57" s="8" t="s">
        <v>104</v>
      </c>
      <c r="O57" s="14"/>
      <c r="P57" s="14"/>
      <c r="Q57" s="14"/>
      <c r="R57" s="14"/>
      <c r="S57" s="14"/>
      <c r="T57" s="14"/>
      <c r="U57" s="14"/>
      <c r="V57" s="56"/>
      <c r="W57" s="14"/>
      <c r="X57" s="14"/>
      <c r="Y57" s="14"/>
      <c r="Z57" s="57"/>
      <c r="AA57" s="57"/>
      <c r="AB57" s="57"/>
      <c r="AC57" s="14"/>
      <c r="AD57" s="64"/>
    </row>
    <row r="58" spans="2:30" ht="15" thickBot="1" x14ac:dyDescent="0.4">
      <c r="B58" s="33" t="s">
        <v>105</v>
      </c>
      <c r="C58" s="11">
        <v>0.375</v>
      </c>
      <c r="D58" s="11" t="s">
        <v>99</v>
      </c>
      <c r="E58" s="11" t="s">
        <v>106</v>
      </c>
      <c r="O58" s="14"/>
      <c r="P58" s="14"/>
      <c r="Q58" s="14"/>
      <c r="R58" s="14"/>
      <c r="S58" s="14"/>
      <c r="T58" s="14"/>
      <c r="U58" s="14"/>
      <c r="V58" s="56"/>
      <c r="W58" s="14"/>
      <c r="X58" s="14"/>
      <c r="Y58" s="14"/>
      <c r="Z58" s="57"/>
      <c r="AA58" s="57"/>
      <c r="AB58" s="57"/>
      <c r="AC58" s="57"/>
      <c r="AD58" s="64"/>
    </row>
  </sheetData>
  <mergeCells count="15">
    <mergeCell ref="AK1:AT1"/>
    <mergeCell ref="AF2:AJ2"/>
    <mergeCell ref="AK2:AN2"/>
    <mergeCell ref="AO2:AP2"/>
    <mergeCell ref="AQ2:AT2"/>
    <mergeCell ref="K2:O2"/>
    <mergeCell ref="S39:U39"/>
    <mergeCell ref="W39:Y39"/>
    <mergeCell ref="P39:R39"/>
    <mergeCell ref="V39:V40"/>
    <mergeCell ref="Z39:Z40"/>
    <mergeCell ref="P1:Y1"/>
    <mergeCell ref="P2:S2"/>
    <mergeCell ref="T2:U2"/>
    <mergeCell ref="V2:Y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A453BA68EDB34B8D2075B9536C0C1F" ma:contentTypeVersion="6" ma:contentTypeDescription="Een nieuw document maken." ma:contentTypeScope="" ma:versionID="32f1a6aca692c6d6e36666031cbec034">
  <xsd:schema xmlns:xsd="http://www.w3.org/2001/XMLSchema" xmlns:xs="http://www.w3.org/2001/XMLSchema" xmlns:p="http://schemas.microsoft.com/office/2006/metadata/properties" xmlns:ns2="5bd12809-b4c9-442d-b85b-2d5e82797b62" xmlns:ns3="b48a9945-683f-4525-b8f3-13bb6e9715d6" targetNamespace="http://schemas.microsoft.com/office/2006/metadata/properties" ma:root="true" ma:fieldsID="aac6907e5656dc3397e938eeca1e7225" ns2:_="" ns3:_="">
    <xsd:import namespace="5bd12809-b4c9-442d-b85b-2d5e82797b62"/>
    <xsd:import namespace="b48a9945-683f-4525-b8f3-13bb6e9715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2809-b4c9-442d-b85b-2d5e82797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a9945-683f-4525-b8f3-13bb6e9715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BB8B06-A54E-4180-A9DC-B850F7234F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12809-b4c9-442d-b85b-2d5e82797b62"/>
    <ds:schemaRef ds:uri="b48a9945-683f-4525-b8f3-13bb6e9715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264684-E23F-4F7B-A212-B3A05EF8FC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38AFDE-B3A8-4427-8861-1E3BA1F1E5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quantitative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Ackermans</dc:creator>
  <cp:keywords/>
  <dc:description/>
  <cp:lastModifiedBy>Wang, Zhengcong</cp:lastModifiedBy>
  <cp:revision/>
  <dcterms:created xsi:type="dcterms:W3CDTF">2021-01-08T14:45:51Z</dcterms:created>
  <dcterms:modified xsi:type="dcterms:W3CDTF">2021-07-10T11:24:47Z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0x01010061A453BA68EDB34B8D2075B9536C0C1F</vt:lpwstr>
  </property>
</Properties>
</file>