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firstSheet="5" activeTab="9"/>
  </bookViews>
  <sheets>
    <sheet name="Solar PV Grid" sheetId="1" r:id="rId1"/>
    <sheet name="Energy" sheetId="2" r:id="rId2"/>
    <sheet name="Depriciation" sheetId="6" r:id="rId3"/>
    <sheet name="Breakeven" sheetId="3" r:id="rId4"/>
    <sheet name="Sensitivity" sheetId="4" r:id="rId5"/>
    <sheet name="Monte Carlo" sheetId="9" r:id="rId6"/>
    <sheet name="Tracking System" sheetId="10" r:id="rId7"/>
    <sheet name="Energy Tracking System" sheetId="11" r:id="rId8"/>
    <sheet name="Breakeven_Tracking" sheetId="15" r:id="rId9"/>
    <sheet name="Windfarm Alternative" sheetId="12" r:id="rId10"/>
    <sheet name="Breakeven_Windfarm" sheetId="17" r:id="rId11"/>
    <sheet name="Comparison" sheetId="13" r:id="rId12"/>
  </sheets>
  <definedNames>
    <definedName name="_xlnm.Print_Area" localSheetId="1">Energy!$C$2:$K$37</definedName>
    <definedName name="_xlnm.Print_Area" localSheetId="7">'Energy Tracking System'!$C$2:$K$37</definedName>
  </definedNames>
  <calcPr calcId="144525"/>
</workbook>
</file>

<file path=xl/sharedStrings.xml><?xml version="1.0" encoding="utf-8"?>
<sst xmlns="http://schemas.openxmlformats.org/spreadsheetml/2006/main" count="381" uniqueCount="203">
  <si>
    <t xml:space="preserve">Material Cost </t>
  </si>
  <si>
    <t>Item</t>
  </si>
  <si>
    <t>Qty</t>
  </si>
  <si>
    <t>Rate</t>
  </si>
  <si>
    <t>Cost</t>
  </si>
  <si>
    <t xml:space="preserve">Considering 1800kWhr/m2 irridiance received </t>
  </si>
  <si>
    <t>MARR</t>
  </si>
  <si>
    <t>Solar Panels</t>
  </si>
  <si>
    <t>Steel Columns</t>
  </si>
  <si>
    <t xml:space="preserve">Total Initial Expense </t>
  </si>
  <si>
    <t>N</t>
  </si>
  <si>
    <t>Net Cashflow</t>
  </si>
  <si>
    <t>Steel Cross Beam</t>
  </si>
  <si>
    <t>Purlin</t>
  </si>
  <si>
    <t>Concrete Piers 2'dia x 10'w/rebar &amp; bolts</t>
  </si>
  <si>
    <t>Annual Maintenance Cost for the whole System</t>
  </si>
  <si>
    <t>Conduit (per ft)</t>
  </si>
  <si>
    <t>Cable (per ft)</t>
  </si>
  <si>
    <t>Lamps</t>
  </si>
  <si>
    <t>Annual Energy Savings</t>
  </si>
  <si>
    <t>EV charging Stations</t>
  </si>
  <si>
    <t>Inverters, Breaker Boxes</t>
  </si>
  <si>
    <t>Solar Controller, Meters</t>
  </si>
  <si>
    <t>Annual Revenue from Charging Stations</t>
  </si>
  <si>
    <t>Main Transformer, Collector Box</t>
  </si>
  <si>
    <t>Material Cost</t>
  </si>
  <si>
    <t>Total</t>
  </si>
  <si>
    <t>Annually Total Revenue</t>
  </si>
  <si>
    <t>Equipment Cost</t>
  </si>
  <si>
    <t>Items</t>
  </si>
  <si>
    <t>Rate/hr</t>
  </si>
  <si>
    <t>Working hrs</t>
  </si>
  <si>
    <t xml:space="preserve">Digger Truck </t>
  </si>
  <si>
    <t xml:space="preserve">Scissor Lift </t>
  </si>
  <si>
    <t xml:space="preserve">Drivable Crane </t>
  </si>
  <si>
    <t xml:space="preserve">Trenching Tractor </t>
  </si>
  <si>
    <t>Human Resources Cost</t>
  </si>
  <si>
    <t>Name</t>
  </si>
  <si>
    <t>Project Manager</t>
  </si>
  <si>
    <t>ISE Engineer</t>
  </si>
  <si>
    <t>Civil Engineer</t>
  </si>
  <si>
    <t>Electrical Engineer</t>
  </si>
  <si>
    <t>PW(Cost)</t>
  </si>
  <si>
    <t>PW(Benefit)</t>
  </si>
  <si>
    <t>PW</t>
  </si>
  <si>
    <t>B-C Ratio</t>
  </si>
  <si>
    <t>Job Supervisor</t>
  </si>
  <si>
    <t>Supply Chain Manager</t>
  </si>
  <si>
    <t>PW &gt; 0</t>
  </si>
  <si>
    <t>General Laborer 1</t>
  </si>
  <si>
    <t>General Laborer 2</t>
  </si>
  <si>
    <t>General Laborer 3</t>
  </si>
  <si>
    <t>General Laborer 4</t>
  </si>
  <si>
    <t>General Laborer 5</t>
  </si>
  <si>
    <t>General Laborer 6</t>
  </si>
  <si>
    <t>General Laborer 7</t>
  </si>
  <si>
    <t>General Laborer 8</t>
  </si>
  <si>
    <t>Iron Worker 1</t>
  </si>
  <si>
    <t>Iron Worker 2</t>
  </si>
  <si>
    <t>Iron Worker 3</t>
  </si>
  <si>
    <t>Iron Worker 4</t>
  </si>
  <si>
    <t>Iron Worker 5</t>
  </si>
  <si>
    <t>Iron Worker 6</t>
  </si>
  <si>
    <t>Electrician 1</t>
  </si>
  <si>
    <t>Electrician 2</t>
  </si>
  <si>
    <t>Electrician 3</t>
  </si>
  <si>
    <t>Electrician 4</t>
  </si>
  <si>
    <t>Electrician 5</t>
  </si>
  <si>
    <t>Electrician 6</t>
  </si>
  <si>
    <t>Project Buffer</t>
  </si>
  <si>
    <t>Equipment &amp; Human Resources Cost</t>
  </si>
  <si>
    <t>Calculation of the solar PV energy ouput of a photovoltaic system</t>
  </si>
  <si>
    <t>Blue cell = enter your own data</t>
  </si>
  <si>
    <t>Green cell = result (do not change the value)</t>
  </si>
  <si>
    <t>White cell = calculated value (do not change the value)</t>
  </si>
  <si>
    <t>Global formula :</t>
  </si>
  <si>
    <t>E = A * r * H * PR</t>
  </si>
  <si>
    <t>E = Energy   (kWh)</t>
  </si>
  <si>
    <t>kWh/yr</t>
  </si>
  <si>
    <t>Rate ($/kWh)</t>
  </si>
  <si>
    <t>A = Total solar panel Area  (m²)</t>
  </si>
  <si>
    <t>m²</t>
  </si>
  <si>
    <t>Annual Savings</t>
  </si>
  <si>
    <t>r = solar panel yield (%) or Efficiency</t>
  </si>
  <si>
    <t>H = Annual average irradiation on tilted panels (shadings not included)*</t>
  </si>
  <si>
    <t>kWh/m².yr</t>
  </si>
  <si>
    <t>PR = Performance ratio, coefficient for losses  (range between 0.9 and 0.5, default value =  0.75)</t>
  </si>
  <si>
    <t>Total power of the system</t>
  </si>
  <si>
    <t>kWp</t>
  </si>
  <si>
    <t>Losses details (depend of site, technology, and sizing of the system)</t>
  </si>
  <si>
    <t>-</t>
  </si>
  <si>
    <t>Inverter losses (6% to 15 %)</t>
  </si>
  <si>
    <t>Température losses (5% to 15%)</t>
  </si>
  <si>
    <t>DC cables losses (1 to 3 %)</t>
  </si>
  <si>
    <t>AC cables losses (1 to 3 %)</t>
  </si>
  <si>
    <t>Shadings  0 % to 40% (depends of site)</t>
  </si>
  <si>
    <t>Losses weak irradiation 3% yo 7%</t>
  </si>
  <si>
    <t>Losses due to dust, snow... (2%)</t>
  </si>
  <si>
    <t>Other Losses</t>
  </si>
  <si>
    <t xml:space="preserve">*You can find this value on the map below or here : </t>
  </si>
  <si>
    <t>solar radiation data</t>
  </si>
  <si>
    <t xml:space="preserve">You have to find the global annual irradiation incident on your PV panels with your specific inclination (slope, tilt) </t>
  </si>
  <si>
    <t>and orientation (azimut).</t>
  </si>
  <si>
    <r>
      <rPr>
        <u/>
        <sz val="10"/>
        <rFont val="Arial"/>
        <charset val="134"/>
      </rPr>
      <t>More info 
Source :</t>
    </r>
    <r>
      <rPr>
        <u/>
        <sz val="10"/>
        <color indexed="12"/>
        <rFont val="Arial"/>
        <charset val="134"/>
      </rPr>
      <t xml:space="preserve"> www.photovoltaic-software.com</t>
    </r>
  </si>
  <si>
    <t>Basis Cost</t>
  </si>
  <si>
    <t>GDS Method</t>
  </si>
  <si>
    <t>Depriciation rate</t>
  </si>
  <si>
    <t>Depriciation</t>
  </si>
  <si>
    <t>Purchase Price</t>
  </si>
  <si>
    <t xml:space="preserve">Maintenance </t>
  </si>
  <si>
    <t>Revenue from Charging station</t>
  </si>
  <si>
    <t xml:space="preserve">Annual Earning from Energy Generation </t>
  </si>
  <si>
    <t>i</t>
  </si>
  <si>
    <t>Breaeven Point [Reduced Puchase Price = Energy Saving]</t>
  </si>
  <si>
    <t xml:space="preserve">Solving Above Equastion </t>
  </si>
  <si>
    <t>N (Years)</t>
  </si>
  <si>
    <t>PW(6%)</t>
  </si>
  <si>
    <t>Expense</t>
  </si>
  <si>
    <t>PW(11%)</t>
  </si>
  <si>
    <t xml:space="preserve">Initial Investment </t>
  </si>
  <si>
    <t>Annaul Maintenance Cost</t>
  </si>
  <si>
    <t>Annual Revenue from EV chargers</t>
  </si>
  <si>
    <t>Useful Life</t>
  </si>
  <si>
    <t>%  change in factor</t>
  </si>
  <si>
    <t>Annual Revenue</t>
  </si>
  <si>
    <t>O&amp;M cost</t>
  </si>
  <si>
    <t>Simulation</t>
  </si>
  <si>
    <t>Outcome</t>
  </si>
  <si>
    <t>Mean</t>
  </si>
  <si>
    <t>SD</t>
  </si>
  <si>
    <t>Net annual revenue</t>
  </si>
  <si>
    <t xml:space="preserve">1st Simulation </t>
  </si>
  <si>
    <t>Probability of revenue generated as expected</t>
  </si>
  <si>
    <t>Maximum</t>
  </si>
  <si>
    <t>Minimum</t>
  </si>
  <si>
    <t>Std Dev</t>
  </si>
  <si>
    <t>Considering panel cost to be 90% more then fixed system</t>
  </si>
  <si>
    <t>Considering system generates 30%(2340kWh Irridiance) more power</t>
  </si>
  <si>
    <t>Solar Panels with Tracking System</t>
  </si>
  <si>
    <t>Considering Maintenance cost to be more</t>
  </si>
  <si>
    <t xml:space="preserve">Solving Above Equation </t>
  </si>
  <si>
    <t>Total Cost Estimation</t>
  </si>
  <si>
    <t>Site assessment and Development Cost</t>
  </si>
  <si>
    <t>Approximate expense</t>
  </si>
  <si>
    <t>Wind Resource Assessment</t>
  </si>
  <si>
    <t>Total Initial Capital Investment</t>
  </si>
  <si>
    <t>Cashflow</t>
  </si>
  <si>
    <t>Environmental Impact Studies</t>
  </si>
  <si>
    <t>Land Acquisition and Permits</t>
  </si>
  <si>
    <t>Total Annual Operating &amp; Insurance Cost</t>
  </si>
  <si>
    <t>Turbines and Equipments Cost</t>
  </si>
  <si>
    <t>Cost per turbine</t>
  </si>
  <si>
    <t>Wind Turbine/MW</t>
  </si>
  <si>
    <t>Total Annual Energy Generated by 1MW windfarm in MWh</t>
  </si>
  <si>
    <t>Foundation &amp; Tower Cost</t>
  </si>
  <si>
    <t>Nacelle and Rotor Expenses</t>
  </si>
  <si>
    <t>Electrical Infrastructure</t>
  </si>
  <si>
    <t>Total Gross Annual Revenue Generated by 1MW windfarm</t>
  </si>
  <si>
    <t>Infrastructure and Construction Cost</t>
  </si>
  <si>
    <t>Efficiency</t>
  </si>
  <si>
    <t>Hrs/Day</t>
  </si>
  <si>
    <t>Access Road per mile</t>
  </si>
  <si>
    <t>Days/yr</t>
  </si>
  <si>
    <t>Substation Construction</t>
  </si>
  <si>
    <t>MW plant</t>
  </si>
  <si>
    <t>Transmission Lines per mile</t>
  </si>
  <si>
    <t>Total Net Annual Revenue Generated by 1MW windfarm</t>
  </si>
  <si>
    <t>Civil and Electrical works per MW</t>
  </si>
  <si>
    <t>Project Management &amp; Engineering</t>
  </si>
  <si>
    <t>Design and Engineering Costs</t>
  </si>
  <si>
    <t>Project Management Fees</t>
  </si>
  <si>
    <t>2% to 5% of total project cost</t>
  </si>
  <si>
    <t>Legal and Permitting Cost</t>
  </si>
  <si>
    <t>Financial Cost</t>
  </si>
  <si>
    <t>Financing Fees</t>
  </si>
  <si>
    <t>Insurance Cost per year</t>
  </si>
  <si>
    <t>Operation and Maintenance Cost</t>
  </si>
  <si>
    <t>Cost per turbine/year</t>
  </si>
  <si>
    <t>Routine Maintenance Cost</t>
  </si>
  <si>
    <t>Spare Parts and Repair</t>
  </si>
  <si>
    <t>Monitoring and Control Systems</t>
  </si>
  <si>
    <t>Grid Connection</t>
  </si>
  <si>
    <t>Interconnection cost</t>
  </si>
  <si>
    <t>Grid Connection Studies and Fees</t>
  </si>
  <si>
    <t>Transformer Stations</t>
  </si>
  <si>
    <t>Miscellaneous Cost</t>
  </si>
  <si>
    <t>Decommissioning and Site Restoratrion</t>
  </si>
  <si>
    <t>per turbine</t>
  </si>
  <si>
    <t>Land Lease Paymenyts</t>
  </si>
  <si>
    <t>Varies based on agreement</t>
  </si>
  <si>
    <t>Community benefit payments</t>
  </si>
  <si>
    <t>Contingency and Risk Management</t>
  </si>
  <si>
    <t>Contingency Reserve</t>
  </si>
  <si>
    <t>5% to 10% of total project cost</t>
  </si>
  <si>
    <t>Risk Mitigation Strategies</t>
  </si>
  <si>
    <t>Varies based on Identified risks</t>
  </si>
  <si>
    <t>Total Cost</t>
  </si>
  <si>
    <t>Breaeven Point [Puchase Price = Energy Saving]</t>
  </si>
  <si>
    <t>Alternatives</t>
  </si>
  <si>
    <t>Solar PV Grid System</t>
  </si>
  <si>
    <t>Solar PV Tracking System</t>
  </si>
  <si>
    <t>Windfarm</t>
  </si>
  <si>
    <t>Breakeven Year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</si>
</sst>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_-[$$-409]* #,##0.00_ ;_-[$$-409]* \-#,##0.00\ ;_-[$$-409]* &quot;-&quot;??_ ;_-@_ "/>
    <numFmt numFmtId="182" formatCode="0.0000"/>
    <numFmt numFmtId="183" formatCode="0.00000"/>
    <numFmt numFmtId="184" formatCode="_(&quot;$&quot;* #,##0_);_(&quot;$&quot;* \(#,##0\);_(&quot;$&quot;* &quot;-&quot;??_);_(@_)"/>
    <numFmt numFmtId="185" formatCode="&quot;$&quot;#,##0.00_);[Red]\(&quot;$&quot;#,##0.00\)"/>
    <numFmt numFmtId="186" formatCode="_([$$-409]* #,##0.00_);_([$$-409]* \(#,##0.00\);_([$$-409]* &quot;-&quot;??_);_(@_)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name val="Arial"/>
      <charset val="134"/>
    </font>
    <font>
      <b/>
      <sz val="16"/>
      <color indexed="11"/>
      <name val="Arial"/>
      <charset val="134"/>
    </font>
    <font>
      <sz val="10"/>
      <color theme="1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u/>
      <sz val="10"/>
      <color indexed="12"/>
      <name val="Arial"/>
      <charset val="134"/>
    </font>
    <font>
      <u/>
      <sz val="10"/>
      <name val="Arial"/>
      <charset val="134"/>
    </font>
    <font>
      <sz val="2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0" fillId="8" borderId="3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36" applyNumberFormat="0" applyAlignment="0" applyProtection="0">
      <alignment vertical="center"/>
    </xf>
    <xf numFmtId="0" fontId="23" fillId="10" borderId="37" applyNumberFormat="0" applyAlignment="0" applyProtection="0">
      <alignment vertical="center"/>
    </xf>
    <xf numFmtId="0" fontId="24" fillId="10" borderId="36" applyNumberFormat="0" applyAlignment="0" applyProtection="0">
      <alignment vertical="center"/>
    </xf>
    <xf numFmtId="0" fontId="25" fillId="11" borderId="38" applyNumberFormat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6" fillId="0" borderId="0"/>
  </cellStyleXfs>
  <cellXfs count="218">
    <xf numFmtId="0" fontId="0" fillId="0" borderId="0" xfId="0"/>
    <xf numFmtId="0" fontId="1" fillId="0" borderId="1" xfId="0" applyFont="1" applyBorder="1"/>
    <xf numFmtId="0" fontId="0" fillId="0" borderId="1" xfId="0" applyBorder="1"/>
    <xf numFmtId="177" fontId="0" fillId="0" borderId="1" xfId="2" applyFont="1" applyBorder="1"/>
    <xf numFmtId="2" fontId="0" fillId="0" borderId="1" xfId="0" applyNumberFormat="1" applyBorder="1"/>
    <xf numFmtId="177" fontId="0" fillId="0" borderId="1" xfId="0" applyNumberFormat="1" applyBorder="1"/>
    <xf numFmtId="180" fontId="0" fillId="0" borderId="1" xfId="0" applyNumberFormat="1" applyBorder="1"/>
    <xf numFmtId="0" fontId="0" fillId="0" borderId="0" xfId="0" applyBorder="1"/>
    <xf numFmtId="177" fontId="0" fillId="0" borderId="0" xfId="0" applyNumberFormat="1" applyBorder="1"/>
    <xf numFmtId="177" fontId="0" fillId="0" borderId="0" xfId="2" applyFont="1"/>
    <xf numFmtId="9" fontId="0" fillId="0" borderId="0" xfId="3" applyFont="1"/>
    <xf numFmtId="0" fontId="1" fillId="0" borderId="0" xfId="0" applyFont="1"/>
    <xf numFmtId="176" fontId="0" fillId="0" borderId="0" xfId="1" applyFont="1"/>
    <xf numFmtId="181" fontId="0" fillId="0" borderId="0" xfId="0" applyNumberFormat="1"/>
    <xf numFmtId="176" fontId="0" fillId="0" borderId="0" xfId="0" applyNumberFormat="1"/>
    <xf numFmtId="0" fontId="0" fillId="2" borderId="0" xfId="0" applyFill="1"/>
    <xf numFmtId="180" fontId="0" fillId="2" borderId="0" xfId="0" applyNumberFormat="1" applyFill="1"/>
    <xf numFmtId="182" fontId="0" fillId="0" borderId="0" xfId="0" applyNumberFormat="1"/>
    <xf numFmtId="180" fontId="0" fillId="0" borderId="0" xfId="0" applyNumberFormat="1"/>
    <xf numFmtId="183" fontId="0" fillId="0" borderId="0" xfId="0" applyNumberFormat="1"/>
    <xf numFmtId="9" fontId="0" fillId="0" borderId="0" xfId="0" applyNumberFormat="1"/>
    <xf numFmtId="2" fontId="0" fillId="0" borderId="0" xfId="0" applyNumberFormat="1"/>
    <xf numFmtId="177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84" fontId="0" fillId="0" borderId="0" xfId="2" applyNumberFormat="1" applyFont="1" applyBorder="1"/>
    <xf numFmtId="0" fontId="3" fillId="4" borderId="2" xfId="0" applyFont="1" applyFill="1" applyBorder="1" applyAlignment="1">
      <alignment horizontal="center" vertical="center"/>
    </xf>
    <xf numFmtId="177" fontId="1" fillId="0" borderId="7" xfId="2" applyFont="1" applyBorder="1" applyAlignment="1">
      <alignment horizontal="center" vertical="center"/>
    </xf>
    <xf numFmtId="184" fontId="1" fillId="0" borderId="5" xfId="2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7" xfId="2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77" fontId="0" fillId="0" borderId="7" xfId="2" applyFont="1" applyBorder="1" applyAlignment="1">
      <alignment horizontal="center"/>
    </xf>
    <xf numFmtId="0" fontId="0" fillId="0" borderId="7" xfId="0" applyBorder="1"/>
    <xf numFmtId="184" fontId="0" fillId="0" borderId="8" xfId="2" applyNumberFormat="1" applyFon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7" fontId="0" fillId="0" borderId="0" xfId="2" applyFont="1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/>
    <xf numFmtId="184" fontId="1" fillId="0" borderId="8" xfId="0" applyNumberFormat="1" applyFont="1" applyBorder="1"/>
    <xf numFmtId="0" fontId="1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77" fontId="1" fillId="0" borderId="8" xfId="2" applyFont="1" applyBorder="1" applyAlignment="1">
      <alignment horizontal="center" vertical="center"/>
    </xf>
    <xf numFmtId="177" fontId="1" fillId="0" borderId="9" xfId="2" applyFont="1" applyBorder="1" applyAlignment="1">
      <alignment horizontal="center" vertical="center"/>
    </xf>
    <xf numFmtId="184" fontId="1" fillId="0" borderId="0" xfId="2" applyNumberFormat="1" applyFont="1" applyBorder="1" applyAlignment="1">
      <alignment vertical="center"/>
    </xf>
    <xf numFmtId="184" fontId="1" fillId="0" borderId="6" xfId="2" applyNumberFormat="1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8" xfId="2" applyFont="1" applyBorder="1" applyAlignment="1">
      <alignment horizontal="center" vertical="center"/>
    </xf>
    <xf numFmtId="177" fontId="0" fillId="0" borderId="9" xfId="2" applyFont="1" applyBorder="1" applyAlignment="1">
      <alignment horizontal="center" vertical="center"/>
    </xf>
    <xf numFmtId="9" fontId="5" fillId="0" borderId="2" xfId="0" applyNumberFormat="1" applyFont="1" applyBorder="1"/>
    <xf numFmtId="0" fontId="5" fillId="0" borderId="4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177" fontId="0" fillId="0" borderId="8" xfId="2" applyFont="1" applyBorder="1" applyAlignment="1">
      <alignment horizontal="center"/>
    </xf>
    <xf numFmtId="177" fontId="0" fillId="0" borderId="9" xfId="2" applyFont="1" applyBorder="1" applyAlignment="1">
      <alignment horizontal="center"/>
    </xf>
    <xf numFmtId="0" fontId="5" fillId="0" borderId="7" xfId="0" applyFont="1" applyBorder="1"/>
    <xf numFmtId="0" fontId="5" fillId="0" borderId="9" xfId="0" applyFont="1" applyBorder="1"/>
    <xf numFmtId="181" fontId="0" fillId="0" borderId="0" xfId="3" applyNumberFormat="1" applyFont="1"/>
    <xf numFmtId="0" fontId="6" fillId="0" borderId="0" xfId="49" applyAlignment="1">
      <alignment vertical="center"/>
    </xf>
    <xf numFmtId="0" fontId="6" fillId="5" borderId="0" xfId="49" applyFill="1"/>
    <xf numFmtId="0" fontId="6" fillId="0" borderId="0" xfId="49"/>
    <xf numFmtId="0" fontId="6" fillId="6" borderId="0" xfId="49" applyFill="1"/>
    <xf numFmtId="0" fontId="7" fillId="7" borderId="0" xfId="49" applyFont="1" applyFill="1" applyAlignment="1">
      <alignment horizontal="center"/>
    </xf>
    <xf numFmtId="0" fontId="6" fillId="3" borderId="1" xfId="49" applyFill="1" applyBorder="1"/>
    <xf numFmtId="1" fontId="8" fillId="2" borderId="1" xfId="49" applyNumberFormat="1" applyFont="1" applyFill="1" applyBorder="1"/>
    <xf numFmtId="1" fontId="6" fillId="0" borderId="1" xfId="49" applyNumberFormat="1" applyBorder="1"/>
    <xf numFmtId="0" fontId="9" fillId="0" borderId="2" xfId="49" applyFont="1" applyBorder="1"/>
    <xf numFmtId="0" fontId="6" fillId="0" borderId="3" xfId="49" applyBorder="1"/>
    <xf numFmtId="0" fontId="9" fillId="0" borderId="3" xfId="49" applyFont="1" applyBorder="1"/>
    <xf numFmtId="0" fontId="6" fillId="0" borderId="5" xfId="49" applyBorder="1"/>
    <xf numFmtId="0" fontId="6" fillId="0" borderId="0" xfId="49" applyBorder="1"/>
    <xf numFmtId="0" fontId="6" fillId="5" borderId="0" xfId="49" applyFill="1" applyAlignment="1">
      <alignment vertical="center"/>
    </xf>
    <xf numFmtId="0" fontId="6" fillId="0" borderId="10" xfId="49" applyBorder="1" applyAlignment="1">
      <alignment vertical="center"/>
    </xf>
    <xf numFmtId="0" fontId="6" fillId="0" borderId="11" xfId="49" applyBorder="1" applyAlignment="1">
      <alignment vertical="center"/>
    </xf>
    <xf numFmtId="0" fontId="6" fillId="0" borderId="12" xfId="49" applyBorder="1" applyAlignment="1">
      <alignment vertical="center"/>
    </xf>
    <xf numFmtId="0" fontId="6" fillId="0" borderId="13" xfId="49" applyBorder="1" applyAlignment="1">
      <alignment vertical="center"/>
    </xf>
    <xf numFmtId="0" fontId="10" fillId="0" borderId="0" xfId="49" applyFont="1"/>
    <xf numFmtId="0" fontId="6" fillId="0" borderId="0" xfId="49" applyAlignment="1">
      <alignment horizontal="right"/>
    </xf>
    <xf numFmtId="0" fontId="6" fillId="0" borderId="0" xfId="49" applyAlignment="1">
      <alignment horizontal="left" indent="1"/>
    </xf>
    <xf numFmtId="0" fontId="11" fillId="0" borderId="14" xfId="49" applyFont="1" applyBorder="1"/>
    <xf numFmtId="0" fontId="6" fillId="0" borderId="14" xfId="49" applyBorder="1"/>
    <xf numFmtId="0" fontId="12" fillId="0" borderId="14" xfId="6" applyBorder="1" applyAlignment="1" applyProtection="1">
      <alignment horizontal="left"/>
    </xf>
    <xf numFmtId="0" fontId="11" fillId="0" borderId="15" xfId="49" applyFont="1" applyBorder="1"/>
    <xf numFmtId="0" fontId="11" fillId="0" borderId="0" xfId="49" applyFont="1"/>
    <xf numFmtId="0" fontId="11" fillId="0" borderId="16" xfId="49" applyFont="1" applyBorder="1"/>
    <xf numFmtId="0" fontId="11" fillId="0" borderId="17" xfId="49" applyFont="1" applyBorder="1"/>
    <xf numFmtId="0" fontId="13" fillId="2" borderId="0" xfId="6" applyFont="1" applyFill="1" applyAlignment="1" applyProtection="1">
      <alignment horizontal="left" wrapText="1"/>
    </xf>
    <xf numFmtId="0" fontId="13" fillId="2" borderId="0" xfId="6" applyFont="1" applyFill="1" applyAlignment="1" applyProtection="1">
      <alignment horizontal="left"/>
    </xf>
    <xf numFmtId="0" fontId="6" fillId="6" borderId="3" xfId="49" applyFill="1" applyBorder="1"/>
    <xf numFmtId="0" fontId="6" fillId="6" borderId="4" xfId="49" applyFill="1" applyBorder="1"/>
    <xf numFmtId="0" fontId="6" fillId="6" borderId="6" xfId="49" applyFill="1" applyBorder="1"/>
    <xf numFmtId="0" fontId="6" fillId="0" borderId="18" xfId="49" applyBorder="1" applyAlignment="1">
      <alignment vertical="center"/>
    </xf>
    <xf numFmtId="2" fontId="6" fillId="2" borderId="1" xfId="49" applyNumberFormat="1" applyFill="1" applyBorder="1" applyAlignment="1">
      <alignment vertical="center"/>
    </xf>
    <xf numFmtId="0" fontId="6" fillId="0" borderId="0" xfId="49" applyBorder="1" applyAlignment="1">
      <alignment vertical="center"/>
    </xf>
    <xf numFmtId="0" fontId="6" fillId="0" borderId="1" xfId="49" applyBorder="1"/>
    <xf numFmtId="0" fontId="6" fillId="6" borderId="6" xfId="49" applyFill="1" applyBorder="1" applyAlignment="1">
      <alignment vertical="center"/>
    </xf>
    <xf numFmtId="0" fontId="6" fillId="3" borderId="1" xfId="49" applyFill="1" applyBorder="1" applyAlignment="1">
      <alignment vertical="center"/>
    </xf>
    <xf numFmtId="0" fontId="6" fillId="0" borderId="1" xfId="49" applyBorder="1" applyAlignment="1">
      <alignment vertical="center"/>
    </xf>
    <xf numFmtId="9" fontId="6" fillId="3" borderId="1" xfId="49" applyNumberFormat="1" applyFill="1" applyBorder="1" applyAlignment="1">
      <alignment vertical="center"/>
    </xf>
    <xf numFmtId="181" fontId="6" fillId="0" borderId="0" xfId="49" applyNumberFormat="1" applyBorder="1" applyAlignment="1">
      <alignment vertical="center"/>
    </xf>
    <xf numFmtId="0" fontId="6" fillId="6" borderId="0" xfId="49" applyFill="1" applyBorder="1" applyAlignment="1">
      <alignment vertical="center"/>
    </xf>
    <xf numFmtId="2" fontId="6" fillId="6" borderId="0" xfId="49" applyNumberFormat="1" applyFill="1" applyBorder="1" applyAlignment="1">
      <alignment vertical="center"/>
    </xf>
    <xf numFmtId="0" fontId="6" fillId="0" borderId="19" xfId="49" applyBorder="1" applyAlignment="1">
      <alignment vertical="center"/>
    </xf>
    <xf numFmtId="2" fontId="6" fillId="0" borderId="20" xfId="49" applyNumberFormat="1" applyBorder="1" applyAlignment="1">
      <alignment vertical="center"/>
    </xf>
    <xf numFmtId="0" fontId="6" fillId="0" borderId="8" xfId="49" applyBorder="1" applyAlignment="1">
      <alignment vertical="center"/>
    </xf>
    <xf numFmtId="0" fontId="6" fillId="6" borderId="8" xfId="49" applyFill="1" applyBorder="1" applyAlignment="1">
      <alignment vertical="center"/>
    </xf>
    <xf numFmtId="0" fontId="6" fillId="6" borderId="9" xfId="49" applyFill="1" applyBorder="1" applyAlignment="1">
      <alignment vertical="center"/>
    </xf>
    <xf numFmtId="0" fontId="6" fillId="0" borderId="0" xfId="49" applyAlignment="1">
      <alignment horizontal="right" indent="1"/>
    </xf>
    <xf numFmtId="180" fontId="6" fillId="0" borderId="1" xfId="49" applyNumberFormat="1" applyBorder="1"/>
    <xf numFmtId="9" fontId="6" fillId="3" borderId="1" xfId="49" applyNumberFormat="1" applyFill="1" applyBorder="1"/>
    <xf numFmtId="0" fontId="6" fillId="6" borderId="14" xfId="49" applyFill="1" applyBorder="1"/>
    <xf numFmtId="0" fontId="6" fillId="6" borderId="17" xfId="49" applyFill="1" applyBorder="1"/>
    <xf numFmtId="0" fontId="6" fillId="2" borderId="0" xfId="49" applyFill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0" borderId="21" xfId="0" applyFont="1" applyBorder="1"/>
    <xf numFmtId="0" fontId="1" fillId="0" borderId="17" xfId="0" applyFont="1" applyBorder="1"/>
    <xf numFmtId="0" fontId="1" fillId="0" borderId="22" xfId="0" applyFont="1" applyBorder="1"/>
    <xf numFmtId="181" fontId="0" fillId="0" borderId="0" xfId="0" applyNumberFormat="1" applyBorder="1"/>
    <xf numFmtId="181" fontId="0" fillId="0" borderId="6" xfId="0" applyNumberFormat="1" applyBorder="1"/>
    <xf numFmtId="0" fontId="3" fillId="4" borderId="23" xfId="0" applyFont="1" applyFill="1" applyBorder="1" applyAlignment="1">
      <alignment horizontal="center"/>
    </xf>
    <xf numFmtId="177" fontId="1" fillId="0" borderId="24" xfId="2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181" fontId="0" fillId="0" borderId="17" xfId="0" applyNumberFormat="1" applyBorder="1"/>
    <xf numFmtId="181" fontId="0" fillId="0" borderId="22" xfId="0" applyNumberFormat="1" applyBorder="1"/>
    <xf numFmtId="0" fontId="0" fillId="0" borderId="25" xfId="0" applyBorder="1"/>
    <xf numFmtId="0" fontId="0" fillId="0" borderId="26" xfId="0" applyBorder="1"/>
    <xf numFmtId="0" fontId="0" fillId="0" borderId="14" xfId="0" applyBorder="1"/>
    <xf numFmtId="181" fontId="0" fillId="0" borderId="14" xfId="0" applyNumberFormat="1" applyBorder="1"/>
    <xf numFmtId="181" fontId="0" fillId="0" borderId="27" xfId="0" applyNumberFormat="1" applyBorder="1"/>
    <xf numFmtId="0" fontId="0" fillId="0" borderId="0" xfId="1" applyNumberFormat="1" applyFont="1" applyBorder="1"/>
    <xf numFmtId="0" fontId="3" fillId="2" borderId="23" xfId="0" applyFont="1" applyFill="1" applyBorder="1" applyAlignment="1">
      <alignment horizontal="center"/>
    </xf>
    <xf numFmtId="177" fontId="1" fillId="0" borderId="24" xfId="2" applyFont="1" applyBorder="1"/>
    <xf numFmtId="0" fontId="1" fillId="4" borderId="7" xfId="0" applyFont="1" applyFill="1" applyBorder="1"/>
    <xf numFmtId="0" fontId="0" fillId="4" borderId="8" xfId="0" applyFill="1" applyBorder="1"/>
    <xf numFmtId="0" fontId="1" fillId="4" borderId="8" xfId="0" applyFont="1" applyFill="1" applyBorder="1"/>
    <xf numFmtId="181" fontId="1" fillId="4" borderId="9" xfId="0" applyNumberFormat="1" applyFont="1" applyFill="1" applyBorder="1"/>
    <xf numFmtId="185" fontId="0" fillId="0" borderId="0" xfId="0" applyNumberFormat="1" applyBorder="1"/>
    <xf numFmtId="0" fontId="1" fillId="0" borderId="8" xfId="0" applyFont="1" applyBorder="1"/>
    <xf numFmtId="181" fontId="1" fillId="0" borderId="9" xfId="0" applyNumberFormat="1" applyFont="1" applyBorder="1"/>
    <xf numFmtId="0" fontId="1" fillId="0" borderId="0" xfId="0" applyFont="1" applyBorder="1"/>
    <xf numFmtId="181" fontId="1" fillId="0" borderId="6" xfId="0" applyNumberFormat="1" applyFont="1" applyBorder="1"/>
    <xf numFmtId="0" fontId="1" fillId="2" borderId="7" xfId="0" applyFont="1" applyFill="1" applyBorder="1"/>
    <xf numFmtId="0" fontId="1" fillId="2" borderId="8" xfId="0" applyFont="1" applyFill="1" applyBorder="1"/>
    <xf numFmtId="181" fontId="1" fillId="2" borderId="9" xfId="0" applyNumberFormat="1" applyFont="1" applyFill="1" applyBorder="1"/>
    <xf numFmtId="0" fontId="0" fillId="0" borderId="0" xfId="0" applyAlignment="1">
      <alignment horizontal="center"/>
    </xf>
    <xf numFmtId="181" fontId="0" fillId="0" borderId="1" xfId="0" applyNumberFormat="1" applyBorder="1"/>
    <xf numFmtId="1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1" xfId="3" applyFont="1" applyBorder="1"/>
    <xf numFmtId="186" fontId="0" fillId="0" borderId="0" xfId="0" applyNumberFormat="1"/>
    <xf numFmtId="0" fontId="14" fillId="3" borderId="28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14" fillId="3" borderId="30" xfId="0" applyFont="1" applyFill="1" applyBorder="1" applyAlignment="1">
      <alignment horizontal="center"/>
    </xf>
    <xf numFmtId="0" fontId="14" fillId="0" borderId="31" xfId="0" applyFont="1" applyBorder="1"/>
    <xf numFmtId="0" fontId="14" fillId="0" borderId="1" xfId="0" applyFont="1" applyBorder="1"/>
    <xf numFmtId="10" fontId="14" fillId="0" borderId="1" xfId="3" applyNumberFormat="1" applyFont="1" applyBorder="1" applyAlignment="1">
      <alignment horizontal="right"/>
    </xf>
    <xf numFmtId="177" fontId="14" fillId="0" borderId="1" xfId="2" applyFont="1" applyBorder="1"/>
    <xf numFmtId="10" fontId="14" fillId="0" borderId="1" xfId="3" applyNumberFormat="1" applyFont="1" applyBorder="1" applyAlignment="1">
      <alignment horizontal="right" vertical="center" wrapText="1"/>
    </xf>
    <xf numFmtId="0" fontId="6" fillId="0" borderId="7" xfId="49" applyBorder="1"/>
    <xf numFmtId="0" fontId="6" fillId="0" borderId="8" xfId="49" applyBorder="1"/>
    <xf numFmtId="0" fontId="13" fillId="2" borderId="2" xfId="6" applyFont="1" applyFill="1" applyBorder="1" applyAlignment="1" applyProtection="1">
      <alignment horizontal="left" wrapText="1"/>
    </xf>
    <xf numFmtId="0" fontId="13" fillId="2" borderId="3" xfId="6" applyFont="1" applyFill="1" applyBorder="1" applyAlignment="1" applyProtection="1">
      <alignment horizontal="left"/>
    </xf>
    <xf numFmtId="0" fontId="13" fillId="2" borderId="5" xfId="6" applyFont="1" applyFill="1" applyBorder="1" applyAlignment="1" applyProtection="1">
      <alignment horizontal="left"/>
    </xf>
    <xf numFmtId="0" fontId="13" fillId="2" borderId="0" xfId="6" applyFont="1" applyFill="1" applyBorder="1" applyAlignment="1" applyProtection="1">
      <alignment horizontal="left"/>
    </xf>
    <xf numFmtId="0" fontId="6" fillId="6" borderId="5" xfId="49" applyFill="1" applyBorder="1"/>
    <xf numFmtId="0" fontId="6" fillId="6" borderId="7" xfId="49" applyFill="1" applyBorder="1"/>
    <xf numFmtId="0" fontId="6" fillId="6" borderId="8" xfId="49" applyFill="1" applyBorder="1"/>
    <xf numFmtId="0" fontId="6" fillId="0" borderId="32" xfId="49" applyBorder="1"/>
    <xf numFmtId="0" fontId="6" fillId="0" borderId="32" xfId="49" applyBorder="1" applyAlignment="1">
      <alignment vertical="center"/>
    </xf>
    <xf numFmtId="181" fontId="6" fillId="0" borderId="0" xfId="49" applyNumberFormat="1" applyAlignment="1">
      <alignment vertical="center"/>
    </xf>
    <xf numFmtId="0" fontId="6" fillId="6" borderId="0" xfId="49" applyFill="1" applyAlignment="1">
      <alignment vertical="center"/>
    </xf>
    <xf numFmtId="2" fontId="6" fillId="6" borderId="0" xfId="49" applyNumberFormat="1" applyFill="1" applyAlignment="1">
      <alignment vertical="center"/>
    </xf>
    <xf numFmtId="2" fontId="6" fillId="0" borderId="1" xfId="49" applyNumberFormat="1" applyBorder="1" applyAlignment="1">
      <alignment vertical="center"/>
    </xf>
    <xf numFmtId="0" fontId="6" fillId="6" borderId="9" xfId="49" applyFill="1" applyBorder="1"/>
    <xf numFmtId="180" fontId="6" fillId="0" borderId="31" xfId="49" applyNumberFormat="1" applyBorder="1"/>
    <xf numFmtId="0" fontId="6" fillId="2" borderId="4" xfId="49" applyFill="1" applyBorder="1"/>
    <xf numFmtId="0" fontId="6" fillId="2" borderId="6" xfId="49" applyFill="1" applyBorder="1"/>
    <xf numFmtId="0" fontId="5" fillId="3" borderId="28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185" fontId="0" fillId="0" borderId="0" xfId="0" applyNumberForma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181" fontId="0" fillId="6" borderId="5" xfId="0" applyNumberFormat="1" applyFill="1" applyBorder="1"/>
    <xf numFmtId="181" fontId="0" fillId="6" borderId="0" xfId="0" applyNumberFormat="1" applyFill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6" fillId="0" borderId="0" xfId="49" applyAlignment="1" quotePrefix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F54D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4" Type="http://schemas.microsoft.com/office/2011/relationships/chartColorStyle" Target="colors4.xml"/><Relationship Id="rId3" Type="http://schemas.microsoft.com/office/2011/relationships/chartStyle" Target="style4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4" Type="http://schemas.microsoft.com/office/2011/relationships/chartColorStyle" Target="colors6.xml"/><Relationship Id="rId3" Type="http://schemas.microsoft.com/office/2011/relationships/chartStyle" Target="style6.xml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8" Type="http://schemas.microsoft.com/office/2011/relationships/chartColorStyle" Target="colors10.xml"/><Relationship Id="rId7" Type="http://schemas.microsoft.com/office/2011/relationships/chartStyle" Target="style10.xml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Cashflow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'Solar PV Grid'!$I$6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'Solar PV Grid'!$I$7:$I$32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'Solar PV Grid'!$J$6</c:f>
              <c:strCache>
                <c:ptCount val="1"/>
                <c:pt idx="0">
                  <c:v>Net Cashflow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'Solar PV Grid'!$J$7:$J$32</c:f>
              <c:numCache>
                <c:formatCode>_("$"* #,##0.00_);_("$"* \(#,##0.00\);_("$"* "-"??_);_(@_)</c:formatCode>
                <c:ptCount val="26"/>
                <c:pt idx="0">
                  <c:v>-3055800</c:v>
                </c:pt>
                <c:pt idx="1">
                  <c:v>605125.118416217</c:v>
                </c:pt>
                <c:pt idx="2">
                  <c:v>605125.118416217</c:v>
                </c:pt>
                <c:pt idx="3">
                  <c:v>605125.118416217</c:v>
                </c:pt>
                <c:pt idx="4">
                  <c:v>605125.118416217</c:v>
                </c:pt>
                <c:pt idx="5">
                  <c:v>605125.118416217</c:v>
                </c:pt>
                <c:pt idx="6">
                  <c:v>605125.118416217</c:v>
                </c:pt>
                <c:pt idx="7">
                  <c:v>605125.118416217</c:v>
                </c:pt>
                <c:pt idx="8">
                  <c:v>605125.118416217</c:v>
                </c:pt>
                <c:pt idx="9">
                  <c:v>605125.118416217</c:v>
                </c:pt>
                <c:pt idx="10">
                  <c:v>605125.118416217</c:v>
                </c:pt>
                <c:pt idx="11">
                  <c:v>605125.118416217</c:v>
                </c:pt>
                <c:pt idx="12">
                  <c:v>605125.118416217</c:v>
                </c:pt>
                <c:pt idx="13">
                  <c:v>605125.118416217</c:v>
                </c:pt>
                <c:pt idx="14">
                  <c:v>605125.118416217</c:v>
                </c:pt>
                <c:pt idx="15">
                  <c:v>605125.118416217</c:v>
                </c:pt>
                <c:pt idx="16">
                  <c:v>605125.118416217</c:v>
                </c:pt>
                <c:pt idx="17">
                  <c:v>605125.118416217</c:v>
                </c:pt>
                <c:pt idx="18">
                  <c:v>605125.118416217</c:v>
                </c:pt>
                <c:pt idx="19">
                  <c:v>605125.118416217</c:v>
                </c:pt>
                <c:pt idx="20">
                  <c:v>605125.118416217</c:v>
                </c:pt>
                <c:pt idx="21">
                  <c:v>605125.118416217</c:v>
                </c:pt>
                <c:pt idx="22">
                  <c:v>605125.118416217</c:v>
                </c:pt>
                <c:pt idx="23">
                  <c:v>605125.118416217</c:v>
                </c:pt>
                <c:pt idx="24">
                  <c:v>605125.118416217</c:v>
                </c:pt>
                <c:pt idx="25">
                  <c:v>605125.118416217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6503231"/>
        <c:axId val="2033253391"/>
      </c:barChart>
      <c:catAx>
        <c:axId val="1866503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3253391"/>
        <c:crosses val="autoZero"/>
        <c:auto val="1"/>
        <c:lblAlgn val="ctr"/>
        <c:lblOffset val="100"/>
        <c:noMultiLvlLbl val="0"/>
      </c:catAx>
      <c:valAx>
        <c:axId val="20332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650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Breakeven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Breakeven!$C$20</c:f>
              <c:strCache>
                <c:ptCount val="1"/>
                <c:pt idx="0">
                  <c:v>PW(6%)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Breakeven!$B$21:$B$46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Breakeven!$C$21:$C$46</c:f>
              <c:numCache>
                <c:formatCode>_("$"* #,##0.00_);_("$"* \(#,##0.00\);_("$"* "-"??_);_(@_)</c:formatCode>
                <c:ptCount val="26"/>
                <c:pt idx="0">
                  <c:v>-3055800</c:v>
                </c:pt>
                <c:pt idx="1">
                  <c:v>-2484927.24677715</c:v>
                </c:pt>
                <c:pt idx="2">
                  <c:v>-1946368.04562352</c:v>
                </c:pt>
                <c:pt idx="3">
                  <c:v>-1438293.32755406</c:v>
                </c:pt>
                <c:pt idx="4">
                  <c:v>-958977.55579042</c:v>
                </c:pt>
                <c:pt idx="5">
                  <c:v>-506792.86544736</c:v>
                </c:pt>
                <c:pt idx="6">
                  <c:v>-80203.5349350406</c:v>
                </c:pt>
                <c:pt idx="7">
                  <c:v>322239.229699224</c:v>
                </c:pt>
                <c:pt idx="8">
                  <c:v>701902.215203246</c:v>
                </c:pt>
                <c:pt idx="9">
                  <c:v>1060074.84303723</c:v>
                </c:pt>
                <c:pt idx="10">
                  <c:v>1397973.54854099</c:v>
                </c:pt>
                <c:pt idx="11">
                  <c:v>1716745.91222378</c:v>
                </c:pt>
                <c:pt idx="12">
                  <c:v>2017474.55720754</c:v>
                </c:pt>
                <c:pt idx="13">
                  <c:v>2301180.82606015</c:v>
                </c:pt>
                <c:pt idx="14">
                  <c:v>2568828.24950601</c:v>
                </c:pt>
                <c:pt idx="15">
                  <c:v>2821325.81879455</c:v>
                </c:pt>
                <c:pt idx="16">
                  <c:v>3059531.07284035</c:v>
                </c:pt>
                <c:pt idx="17">
                  <c:v>3284253.0106194</c:v>
                </c:pt>
                <c:pt idx="18">
                  <c:v>3496254.83871285</c:v>
                </c:pt>
                <c:pt idx="19">
                  <c:v>3696256.56332931</c:v>
                </c:pt>
                <c:pt idx="20">
                  <c:v>3884937.43560899</c:v>
                </c:pt>
                <c:pt idx="21">
                  <c:v>4062938.25851434</c:v>
                </c:pt>
                <c:pt idx="22">
                  <c:v>4230863.56314204</c:v>
                </c:pt>
                <c:pt idx="23">
                  <c:v>4389283.66184741</c:v>
                </c:pt>
                <c:pt idx="24">
                  <c:v>4538736.58515436</c:v>
                </c:pt>
                <c:pt idx="25">
                  <c:v>4679729.90902885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Breakeven!$D$20</c:f>
              <c:strCache>
                <c:ptCount val="1"/>
                <c:pt idx="0">
                  <c:v>Expense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Breakeven!$B$21:$B$46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Breakeven!$D$21:$D$46</c:f>
              <c:numCache>
                <c:formatCode>_("$"* #,##0.00_);_("$"* \(#,##0.00\);_("$"* "-"??_);_(@_)</c:formatCode>
                <c:ptCount val="26"/>
                <c:pt idx="0">
                  <c:v>3055800</c:v>
                </c:pt>
                <c:pt idx="1">
                  <c:v>50000</c:v>
                </c:pt>
                <c:pt idx="2">
                  <c:v>50000</c:v>
                </c:pt>
                <c:pt idx="3">
                  <c:v>50000</c:v>
                </c:pt>
                <c:pt idx="4">
                  <c:v>50000</c:v>
                </c:pt>
                <c:pt idx="5">
                  <c:v>50000</c:v>
                </c:pt>
                <c:pt idx="6">
                  <c:v>50000</c:v>
                </c:pt>
                <c:pt idx="7">
                  <c:v>50000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50000</c:v>
                </c:pt>
                <c:pt idx="14">
                  <c:v>50000</c:v>
                </c:pt>
                <c:pt idx="15">
                  <c:v>50000</c:v>
                </c:pt>
                <c:pt idx="16">
                  <c:v>50000</c:v>
                </c:pt>
                <c:pt idx="17">
                  <c:v>50000</c:v>
                </c:pt>
                <c:pt idx="18">
                  <c:v>50000</c:v>
                </c:pt>
                <c:pt idx="19">
                  <c:v>50000</c:v>
                </c:pt>
                <c:pt idx="20">
                  <c:v>50000</c:v>
                </c:pt>
                <c:pt idx="21">
                  <c:v>50000</c:v>
                </c:pt>
                <c:pt idx="22">
                  <c:v>50000</c:v>
                </c:pt>
                <c:pt idx="23">
                  <c:v>50000</c:v>
                </c:pt>
                <c:pt idx="24">
                  <c:v>50000</c:v>
                </c:pt>
                <c:pt idx="25">
                  <c:v>50000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30511"/>
        <c:axId val="676452751"/>
      </c:scatterChart>
      <c:valAx>
        <c:axId val="54083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452751"/>
        <c:crosses val="autoZero"/>
        <c:crossBetween val="midCat"/>
      </c:valAx>
      <c:valAx>
        <c:axId val="67645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83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Spider Plot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Sensitivity!$B$8</c:f>
              <c:strCache>
                <c:ptCount val="1"/>
                <c:pt idx="0">
                  <c:v>Initial Investment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Sensitivity!$A$9:$A$25</c:f>
              <c:numCache>
                <c:formatCode>0%</c:formatCode>
                <c:ptCount val="17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Sensitivity!$B$9:$B$25</c:f>
              <c:numCache>
                <c:formatCode>_("$"* #,##0.00_);_("$"* \(#,##0.00\);_("$"* "-"??_);_(@_)</c:formatCode>
                <c:ptCount val="17"/>
                <c:pt idx="0">
                  <c:v>7124369.90902885</c:v>
                </c:pt>
                <c:pt idx="1">
                  <c:v>6818789.90902885</c:v>
                </c:pt>
                <c:pt idx="2">
                  <c:v>6513209.90902885</c:v>
                </c:pt>
                <c:pt idx="3">
                  <c:v>6207629.90902885</c:v>
                </c:pt>
                <c:pt idx="4">
                  <c:v>5902049.90902885</c:v>
                </c:pt>
                <c:pt idx="5">
                  <c:v>5596469.90902885</c:v>
                </c:pt>
                <c:pt idx="6">
                  <c:v>5290889.90902885</c:v>
                </c:pt>
                <c:pt idx="7">
                  <c:v>4985309.90902885</c:v>
                </c:pt>
                <c:pt idx="8">
                  <c:v>4679729.90902885</c:v>
                </c:pt>
                <c:pt idx="9">
                  <c:v>4374149.90902885</c:v>
                </c:pt>
                <c:pt idx="10">
                  <c:v>4068569.90902885</c:v>
                </c:pt>
                <c:pt idx="11">
                  <c:v>3762989.90902885</c:v>
                </c:pt>
                <c:pt idx="12">
                  <c:v>3457409.90902885</c:v>
                </c:pt>
                <c:pt idx="13">
                  <c:v>3151829.90902885</c:v>
                </c:pt>
                <c:pt idx="14">
                  <c:v>2846249.90902885</c:v>
                </c:pt>
                <c:pt idx="15">
                  <c:v>2540669.90902885</c:v>
                </c:pt>
                <c:pt idx="16">
                  <c:v>2235089.90902885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Sensitivity!$C$8</c:f>
              <c:strCache>
                <c:ptCount val="1"/>
                <c:pt idx="0">
                  <c:v>Annual 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Sensitivity!$A$9:$A$25</c:f>
              <c:numCache>
                <c:formatCode>0%</c:formatCode>
                <c:ptCount val="17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Sensitivity!$C$9:$C$25</c:f>
              <c:numCache>
                <c:formatCode>_("$"* #,##0.00_);_("$"* \(#,##0.00\);_("$"* "-"??_);_(@_)</c:formatCode>
                <c:ptCount val="17"/>
                <c:pt idx="0">
                  <c:v>-2020028.26452497</c:v>
                </c:pt>
                <c:pt idx="1">
                  <c:v>-1182558.49283074</c:v>
                </c:pt>
                <c:pt idx="2">
                  <c:v>-345088.721136512</c:v>
                </c:pt>
                <c:pt idx="3">
                  <c:v>492381.050557715</c:v>
                </c:pt>
                <c:pt idx="4">
                  <c:v>1329850.82225194</c:v>
                </c:pt>
                <c:pt idx="5">
                  <c:v>2167320.59394617</c:v>
                </c:pt>
                <c:pt idx="6">
                  <c:v>3004790.3656404</c:v>
                </c:pt>
                <c:pt idx="7">
                  <c:v>3842260.13733462</c:v>
                </c:pt>
                <c:pt idx="8">
                  <c:v>4679729.90902885</c:v>
                </c:pt>
                <c:pt idx="9">
                  <c:v>5517199.68072308</c:v>
                </c:pt>
                <c:pt idx="10">
                  <c:v>6354669.4524173</c:v>
                </c:pt>
                <c:pt idx="11">
                  <c:v>7192139.22411153</c:v>
                </c:pt>
                <c:pt idx="12">
                  <c:v>8029608.99580576</c:v>
                </c:pt>
                <c:pt idx="13">
                  <c:v>8867078.76749999</c:v>
                </c:pt>
                <c:pt idx="14">
                  <c:v>9704548.53919421</c:v>
                </c:pt>
                <c:pt idx="15">
                  <c:v>10542018.3108884</c:v>
                </c:pt>
                <c:pt idx="16">
                  <c:v>11379488.0825827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Sensitivity!$D$8</c:f>
              <c:strCache>
                <c:ptCount val="1"/>
                <c:pt idx="0">
                  <c:v>Annaul Maintenance Cost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Sensitivity!$A$9:$A$25</c:f>
              <c:numCache>
                <c:formatCode>0%</c:formatCode>
                <c:ptCount val="17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Sensitivity!$D$9:$D$25</c:f>
              <c:numCache>
                <c:formatCode>_("$"* #,##0.00_);_("$"* \(#,##0.00\);_("$"* "-"??_);_(@_)</c:formatCode>
                <c:ptCount val="17"/>
                <c:pt idx="0">
                  <c:v>5191064.15535959</c:v>
                </c:pt>
                <c:pt idx="1">
                  <c:v>5127147.37456825</c:v>
                </c:pt>
                <c:pt idx="2">
                  <c:v>5063230.5937769</c:v>
                </c:pt>
                <c:pt idx="3">
                  <c:v>4999313.81298556</c:v>
                </c:pt>
                <c:pt idx="4">
                  <c:v>4935397.03219422</c:v>
                </c:pt>
                <c:pt idx="5">
                  <c:v>4871480.25140288</c:v>
                </c:pt>
                <c:pt idx="6">
                  <c:v>4807563.47061154</c:v>
                </c:pt>
                <c:pt idx="7">
                  <c:v>4743646.68982019</c:v>
                </c:pt>
                <c:pt idx="8">
                  <c:v>4679729.90902885</c:v>
                </c:pt>
                <c:pt idx="9">
                  <c:v>4615813.12823751</c:v>
                </c:pt>
                <c:pt idx="10">
                  <c:v>4551896.34744617</c:v>
                </c:pt>
                <c:pt idx="11">
                  <c:v>4487979.56665482</c:v>
                </c:pt>
                <c:pt idx="12">
                  <c:v>4424062.78586348</c:v>
                </c:pt>
                <c:pt idx="13">
                  <c:v>4360146.00507214</c:v>
                </c:pt>
                <c:pt idx="14">
                  <c:v>4296229.2242808</c:v>
                </c:pt>
                <c:pt idx="15">
                  <c:v>4232312.44348946</c:v>
                </c:pt>
                <c:pt idx="16">
                  <c:v>4168395.66269811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Sensitivity!$E$8</c:f>
              <c:strCache>
                <c:ptCount val="1"/>
                <c:pt idx="0">
                  <c:v>MARR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Sensitivity!$A$9:$A$25</c:f>
              <c:numCache>
                <c:formatCode>0%</c:formatCode>
                <c:ptCount val="17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Sensitivity!$E$9:$E$25</c:f>
              <c:numCache>
                <c:formatCode>_("$"* #,##0.00_);_("$"* \(#,##0.00\);_("$"* "-"??_);_(@_)</c:formatCode>
                <c:ptCount val="17"/>
                <c:pt idx="0">
                  <c:v>9947214.13606873</c:v>
                </c:pt>
                <c:pt idx="1">
                  <c:v>9040480.25717739</c:v>
                </c:pt>
                <c:pt idx="2">
                  <c:v>8221846.54850521</c:v>
                </c:pt>
                <c:pt idx="3">
                  <c:v>7481333.05868368</c:v>
                </c:pt>
                <c:pt idx="4">
                  <c:v>6810205.01839612</c:v>
                </c:pt>
                <c:pt idx="5">
                  <c:v>6200806.10195305</c:v>
                </c:pt>
                <c:pt idx="6">
                  <c:v>5646415.31242485</c:v>
                </c:pt>
                <c:pt idx="7">
                  <c:v>5141123.98026409</c:v>
                </c:pt>
                <c:pt idx="8">
                  <c:v>4679729.90902885</c:v>
                </c:pt>
                <c:pt idx="9">
                  <c:v>4257646.15809003</c:v>
                </c:pt>
                <c:pt idx="10">
                  <c:v>3870822.33560872</c:v>
                </c:pt>
                <c:pt idx="11">
                  <c:v>3515676.59764551</c:v>
                </c:pt>
                <c:pt idx="12">
                  <c:v>3189036.82100281</c:v>
                </c:pt>
                <c:pt idx="13">
                  <c:v>2888089.64659717</c:v>
                </c:pt>
                <c:pt idx="14">
                  <c:v>2610336.28371109</c:v>
                </c:pt>
                <c:pt idx="15">
                  <c:v>2353554.12912337</c:v>
                </c:pt>
                <c:pt idx="16">
                  <c:v>2115763.39365312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23311"/>
        <c:axId val="759928223"/>
      </c:scatterChart>
      <c:valAx>
        <c:axId val="540823311"/>
        <c:scaling>
          <c:orientation val="minMax"/>
          <c:max val="0.8"/>
          <c:min val="-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928223"/>
        <c:crosses val="autoZero"/>
        <c:crossBetween val="midCat"/>
      </c:valAx>
      <c:valAx>
        <c:axId val="75992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82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'Tracking System'!$I$6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'Tracking System'!$I$7:$I$32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'Tracking System'!$J$6</c:f>
              <c:strCache>
                <c:ptCount val="1"/>
                <c:pt idx="0">
                  <c:v>Net Cashflow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'Tracking System'!$J$7:$J$32</c:f>
              <c:numCache>
                <c:formatCode>_("$"* #,##0.00_);_("$"* \(#,##0.00\);_("$"* "-"??_);_(@_)</c:formatCode>
                <c:ptCount val="26"/>
                <c:pt idx="0">
                  <c:v>-3768600</c:v>
                </c:pt>
                <c:pt idx="1">
                  <c:v>737720.653941082</c:v>
                </c:pt>
                <c:pt idx="2">
                  <c:v>737720.653941082</c:v>
                </c:pt>
                <c:pt idx="3">
                  <c:v>737720.653941082</c:v>
                </c:pt>
                <c:pt idx="4">
                  <c:v>737720.653941082</c:v>
                </c:pt>
                <c:pt idx="5">
                  <c:v>737720.653941082</c:v>
                </c:pt>
                <c:pt idx="6">
                  <c:v>737720.653941082</c:v>
                </c:pt>
                <c:pt idx="7">
                  <c:v>737720.653941082</c:v>
                </c:pt>
                <c:pt idx="8">
                  <c:v>737720.653941082</c:v>
                </c:pt>
                <c:pt idx="9">
                  <c:v>737720.653941082</c:v>
                </c:pt>
                <c:pt idx="10">
                  <c:v>737720.653941082</c:v>
                </c:pt>
                <c:pt idx="11">
                  <c:v>737720.653941082</c:v>
                </c:pt>
                <c:pt idx="12">
                  <c:v>737720.653941082</c:v>
                </c:pt>
                <c:pt idx="13">
                  <c:v>737720.653941082</c:v>
                </c:pt>
                <c:pt idx="14">
                  <c:v>737720.653941082</c:v>
                </c:pt>
                <c:pt idx="15">
                  <c:v>737720.653941082</c:v>
                </c:pt>
                <c:pt idx="16">
                  <c:v>737720.653941082</c:v>
                </c:pt>
                <c:pt idx="17">
                  <c:v>737720.653941082</c:v>
                </c:pt>
                <c:pt idx="18">
                  <c:v>737720.653941082</c:v>
                </c:pt>
                <c:pt idx="19">
                  <c:v>737720.653941082</c:v>
                </c:pt>
                <c:pt idx="20">
                  <c:v>737720.653941082</c:v>
                </c:pt>
                <c:pt idx="21">
                  <c:v>737720.653941082</c:v>
                </c:pt>
                <c:pt idx="22">
                  <c:v>737720.653941082</c:v>
                </c:pt>
                <c:pt idx="23">
                  <c:v>737720.653941082</c:v>
                </c:pt>
                <c:pt idx="24">
                  <c:v>737720.653941082</c:v>
                </c:pt>
                <c:pt idx="25">
                  <c:v>737720.653941082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6503231"/>
        <c:axId val="2033253391"/>
      </c:barChart>
      <c:catAx>
        <c:axId val="1866503231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3253391"/>
        <c:crosses val="autoZero"/>
        <c:auto val="1"/>
        <c:lblAlgn val="ctr"/>
        <c:lblOffset val="100"/>
        <c:noMultiLvlLbl val="0"/>
      </c:catAx>
      <c:valAx>
        <c:axId val="20332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650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Breakeven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Breakeven_Tracking!$C$20</c:f>
              <c:strCache>
                <c:ptCount val="1"/>
                <c:pt idx="0">
                  <c:v>PW(6%)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Breakeven_Tracking!$B$21:$B$46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Breakeven_Tracking!$C$21:$C$46</c:f>
              <c:numCache>
                <c:formatCode>_("$"* #,##0.00_);_("$"* \(#,##0.00\);_("$"* "-"??_);_(@_)</c:formatCode>
                <c:ptCount val="26"/>
                <c:pt idx="0">
                  <c:v>-3768600</c:v>
                </c:pt>
                <c:pt idx="1">
                  <c:v>-3072637.11892351</c:v>
                </c:pt>
                <c:pt idx="2">
                  <c:v>-2416068.36319097</c:v>
                </c:pt>
                <c:pt idx="3">
                  <c:v>-1796663.87665083</c:v>
                </c:pt>
                <c:pt idx="4">
                  <c:v>-1212320.02142429</c:v>
                </c:pt>
                <c:pt idx="5">
                  <c:v>-661052.233474726</c:v>
                </c:pt>
                <c:pt idx="6">
                  <c:v>-140988.282578908</c:v>
                </c:pt>
                <c:pt idx="7">
                  <c:v>349638.086190731</c:v>
                </c:pt>
                <c:pt idx="8">
                  <c:v>812493.151067747</c:v>
                </c:pt>
                <c:pt idx="9">
                  <c:v>1249148.87264984</c:v>
                </c:pt>
                <c:pt idx="10">
                  <c:v>1661088.23263295</c:v>
                </c:pt>
                <c:pt idx="11">
                  <c:v>2049710.27035286</c:v>
                </c:pt>
                <c:pt idx="12">
                  <c:v>2416334.83423957</c:v>
                </c:pt>
                <c:pt idx="13">
                  <c:v>2762207.06432137</c:v>
                </c:pt>
                <c:pt idx="14">
                  <c:v>3088501.62100231</c:v>
                </c:pt>
                <c:pt idx="15">
                  <c:v>3396326.6744749</c:v>
                </c:pt>
                <c:pt idx="16">
                  <c:v>3686727.66831696</c:v>
                </c:pt>
                <c:pt idx="17">
                  <c:v>3960690.87005476</c:v>
                </c:pt>
                <c:pt idx="18">
                  <c:v>4219146.72075079</c:v>
                </c:pt>
                <c:pt idx="19">
                  <c:v>4462972.99499234</c:v>
                </c:pt>
                <c:pt idx="20">
                  <c:v>4692997.78201266</c:v>
                </c:pt>
                <c:pt idx="21">
                  <c:v>4910002.29806957</c:v>
                </c:pt>
                <c:pt idx="22">
                  <c:v>5114723.53963269</c:v>
                </c:pt>
                <c:pt idx="23">
                  <c:v>5307856.78639035</c:v>
                </c:pt>
                <c:pt idx="24">
                  <c:v>5490057.96257682</c:v>
                </c:pt>
                <c:pt idx="25">
                  <c:v>5661945.86463953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Breakeven_Tracking!$D$20</c:f>
              <c:strCache>
                <c:ptCount val="1"/>
                <c:pt idx="0">
                  <c:v>Expense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Breakeven_Tracking!$B$21:$B$46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Breakeven_Tracking!$D$21:$D$46</c:f>
              <c:numCache>
                <c:formatCode>_("$"* #,##0.00_);_("$"* \(#,##0.00\);_("$"* "-"??_);_(@_)</c:formatCode>
                <c:ptCount val="26"/>
                <c:pt idx="0">
                  <c:v>3768600</c:v>
                </c:pt>
                <c:pt idx="1">
                  <c:v>110000</c:v>
                </c:pt>
                <c:pt idx="2">
                  <c:v>110000</c:v>
                </c:pt>
                <c:pt idx="3">
                  <c:v>110000</c:v>
                </c:pt>
                <c:pt idx="4">
                  <c:v>110000</c:v>
                </c:pt>
                <c:pt idx="5">
                  <c:v>110000</c:v>
                </c:pt>
                <c:pt idx="6">
                  <c:v>110000</c:v>
                </c:pt>
                <c:pt idx="7">
                  <c:v>110000</c:v>
                </c:pt>
                <c:pt idx="8">
                  <c:v>110000</c:v>
                </c:pt>
                <c:pt idx="9">
                  <c:v>110000</c:v>
                </c:pt>
                <c:pt idx="10">
                  <c:v>110000</c:v>
                </c:pt>
                <c:pt idx="11">
                  <c:v>110000</c:v>
                </c:pt>
                <c:pt idx="12">
                  <c:v>110000</c:v>
                </c:pt>
                <c:pt idx="13">
                  <c:v>110000</c:v>
                </c:pt>
                <c:pt idx="14">
                  <c:v>110000</c:v>
                </c:pt>
                <c:pt idx="15">
                  <c:v>110000</c:v>
                </c:pt>
                <c:pt idx="16">
                  <c:v>110000</c:v>
                </c:pt>
                <c:pt idx="17">
                  <c:v>110000</c:v>
                </c:pt>
                <c:pt idx="18">
                  <c:v>110000</c:v>
                </c:pt>
                <c:pt idx="19">
                  <c:v>110000</c:v>
                </c:pt>
                <c:pt idx="20">
                  <c:v>110000</c:v>
                </c:pt>
                <c:pt idx="21">
                  <c:v>110000</c:v>
                </c:pt>
                <c:pt idx="22">
                  <c:v>110000</c:v>
                </c:pt>
                <c:pt idx="23">
                  <c:v>110000</c:v>
                </c:pt>
                <c:pt idx="24">
                  <c:v>110000</c:v>
                </c:pt>
                <c:pt idx="25">
                  <c:v>110000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30511"/>
        <c:axId val="676452751"/>
      </c:scatterChart>
      <c:valAx>
        <c:axId val="540830511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Usefull</a:t>
                </a:r>
                <a:r>
                  <a:rPr lang="en-IN" baseline="0"/>
                  <a:t> Life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452751"/>
        <c:crosses val="autoZero"/>
        <c:crossBetween val="midCat"/>
      </c:valAx>
      <c:valAx>
        <c:axId val="67645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Present Worth &amp; Expenses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83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Cashflow</a:t>
            </a:r>
            <a:r>
              <a:rPr lang="en-IN" baseline="0"/>
              <a:t> Diagram for Windfarm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'Windfarm Alternative'!$Q$7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'Windfarm Alternative'!$Q$8:$Q$33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'Windfarm Alternative'!$R$7</c:f>
              <c:strCache>
                <c:ptCount val="1"/>
                <c:pt idx="0">
                  <c:v>Cashflow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'Windfarm Alternative'!$R$8:$R$33</c:f>
              <c:numCache>
                <c:formatCode>_("$"* #,##0.00_);_("$"* \(#,##0.00\);_("$"* "-"??_);_(@_)</c:formatCode>
                <c:ptCount val="26"/>
                <c:pt idx="0">
                  <c:v>-8823550</c:v>
                </c:pt>
                <c:pt idx="1">
                  <c:v>638337.76</c:v>
                </c:pt>
                <c:pt idx="2">
                  <c:v>638337.76</c:v>
                </c:pt>
                <c:pt idx="3">
                  <c:v>638337.76</c:v>
                </c:pt>
                <c:pt idx="4">
                  <c:v>638337.76</c:v>
                </c:pt>
                <c:pt idx="5">
                  <c:v>638337.76</c:v>
                </c:pt>
                <c:pt idx="6">
                  <c:v>638337.76</c:v>
                </c:pt>
                <c:pt idx="7">
                  <c:v>638337.76</c:v>
                </c:pt>
                <c:pt idx="8">
                  <c:v>638337.76</c:v>
                </c:pt>
                <c:pt idx="9">
                  <c:v>638337.76</c:v>
                </c:pt>
                <c:pt idx="10">
                  <c:v>638337.76</c:v>
                </c:pt>
                <c:pt idx="11">
                  <c:v>638337.76</c:v>
                </c:pt>
                <c:pt idx="12">
                  <c:v>638337.76</c:v>
                </c:pt>
                <c:pt idx="13">
                  <c:v>638337.76</c:v>
                </c:pt>
                <c:pt idx="14">
                  <c:v>638337.76</c:v>
                </c:pt>
                <c:pt idx="15">
                  <c:v>638337.76</c:v>
                </c:pt>
                <c:pt idx="16">
                  <c:v>638337.76</c:v>
                </c:pt>
                <c:pt idx="17">
                  <c:v>638337.76</c:v>
                </c:pt>
                <c:pt idx="18">
                  <c:v>638337.76</c:v>
                </c:pt>
                <c:pt idx="19">
                  <c:v>638337.76</c:v>
                </c:pt>
                <c:pt idx="20">
                  <c:v>638337.76</c:v>
                </c:pt>
                <c:pt idx="21">
                  <c:v>638337.76</c:v>
                </c:pt>
                <c:pt idx="22">
                  <c:v>638337.76</c:v>
                </c:pt>
                <c:pt idx="23">
                  <c:v>638337.76</c:v>
                </c:pt>
                <c:pt idx="24">
                  <c:v>638337.76</c:v>
                </c:pt>
                <c:pt idx="25">
                  <c:v>638337.76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3479136"/>
        <c:axId val="1130715072"/>
      </c:barChart>
      <c:catAx>
        <c:axId val="146347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0715072"/>
        <c:crosses val="autoZero"/>
        <c:auto val="1"/>
        <c:lblAlgn val="ctr"/>
        <c:lblOffset val="100"/>
        <c:noMultiLvlLbl val="0"/>
      </c:catAx>
      <c:valAx>
        <c:axId val="1130715072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3479136"/>
        <c:crosses val="autoZero"/>
        <c:crossBetween val="between"/>
        <c:majorUnit val="5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Breakeven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Breakeven_Windfarm!$C$20</c:f>
              <c:strCache>
                <c:ptCount val="1"/>
                <c:pt idx="0">
                  <c:v>PW(6%)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Breakeven_Windfarm!$B$21:$B$56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Breakeven_Windfarm!$C$21:$C$56</c:f>
              <c:numCache>
                <c:formatCode>_("$"* #,##0.00_);_("$"* \(#,##0.00\);_("$"* "-"??_);_(@_)</c:formatCode>
                <c:ptCount val="36"/>
                <c:pt idx="0">
                  <c:v>-8823550</c:v>
                </c:pt>
                <c:pt idx="1">
                  <c:v>-8221344.56603773</c:v>
                </c:pt>
                <c:pt idx="2">
                  <c:v>-7653226.23211107</c:v>
                </c:pt>
                <c:pt idx="3">
                  <c:v>-7117265.53972742</c:v>
                </c:pt>
                <c:pt idx="4">
                  <c:v>-6611642.24502587</c:v>
                </c:pt>
                <c:pt idx="5">
                  <c:v>-6134639.13681686</c:v>
                </c:pt>
                <c:pt idx="6">
                  <c:v>-5684636.20454421</c:v>
                </c:pt>
                <c:pt idx="7">
                  <c:v>-5260105.13636246</c:v>
                </c:pt>
                <c:pt idx="8">
                  <c:v>-4859604.12864383</c:v>
                </c:pt>
                <c:pt idx="9">
                  <c:v>-4481772.98928663</c:v>
                </c:pt>
                <c:pt idx="10">
                  <c:v>-4125328.51819493</c:v>
                </c:pt>
                <c:pt idx="11">
                  <c:v>-3789060.1492405</c:v>
                </c:pt>
                <c:pt idx="12">
                  <c:v>-3471825.83890613</c:v>
                </c:pt>
                <c:pt idx="13">
                  <c:v>-3172548.1876473</c:v>
                </c:pt>
                <c:pt idx="14">
                  <c:v>-2890210.78079934</c:v>
                </c:pt>
                <c:pt idx="15">
                  <c:v>-2623854.73660315</c:v>
                </c:pt>
                <c:pt idx="16">
                  <c:v>-2372575.44962561</c:v>
                </c:pt>
                <c:pt idx="17">
                  <c:v>-2135519.51851473</c:v>
                </c:pt>
                <c:pt idx="18">
                  <c:v>-1911881.8476554</c:v>
                </c:pt>
                <c:pt idx="19">
                  <c:v>-1700902.91288245</c:v>
                </c:pt>
                <c:pt idx="20">
                  <c:v>-1501866.18196458</c:v>
                </c:pt>
                <c:pt idx="21">
                  <c:v>-1314095.68109866</c:v>
                </c:pt>
                <c:pt idx="22">
                  <c:v>-1136953.69914968</c:v>
                </c:pt>
                <c:pt idx="23">
                  <c:v>-969838.621839318</c:v>
                </c:pt>
                <c:pt idx="24">
                  <c:v>-812182.888527661</c:v>
                </c:pt>
                <c:pt idx="25">
                  <c:v>-663451.064648737</c:v>
                </c:pt>
                <c:pt idx="26">
                  <c:v>-523138.023253525</c:v>
                </c:pt>
                <c:pt idx="27">
                  <c:v>-390767.229484457</c:v>
                </c:pt>
                <c:pt idx="28">
                  <c:v>-265889.122155147</c:v>
                </c:pt>
                <c:pt idx="29">
                  <c:v>-148079.586938818</c:v>
                </c:pt>
                <c:pt idx="30">
                  <c:v>-36938.5159800178</c:v>
                </c:pt>
                <c:pt idx="31">
                  <c:v>67911.5509622488</c:v>
                </c:pt>
                <c:pt idx="32">
                  <c:v>166826.708454952</c:v>
                </c:pt>
                <c:pt idx="33">
                  <c:v>260142.894768824</c:v>
                </c:pt>
                <c:pt idx="34">
                  <c:v>348177.032800777</c:v>
                </c:pt>
                <c:pt idx="35">
                  <c:v>431228.106415826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Breakeven_Windfarm!$D$20</c:f>
              <c:strCache>
                <c:ptCount val="1"/>
                <c:pt idx="0">
                  <c:v>Expense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Breakeven_Windfarm!$B$21:$B$56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Breakeven_Windfarm!$D$21:$D$56</c:f>
              <c:numCache>
                <c:formatCode>_("$"* #,##0.00_);_("$"* \(#,##0.00\);_("$"* "-"??_);_(@_)</c:formatCode>
                <c:ptCount val="36"/>
                <c:pt idx="0">
                  <c:v>8823550</c:v>
                </c:pt>
                <c:pt idx="1">
                  <c:v>220000</c:v>
                </c:pt>
                <c:pt idx="2">
                  <c:v>220000</c:v>
                </c:pt>
                <c:pt idx="3">
                  <c:v>220000</c:v>
                </c:pt>
                <c:pt idx="4">
                  <c:v>220000</c:v>
                </c:pt>
                <c:pt idx="5">
                  <c:v>220000</c:v>
                </c:pt>
                <c:pt idx="6">
                  <c:v>220000</c:v>
                </c:pt>
                <c:pt idx="7">
                  <c:v>220000</c:v>
                </c:pt>
                <c:pt idx="8">
                  <c:v>220000</c:v>
                </c:pt>
                <c:pt idx="9">
                  <c:v>220000</c:v>
                </c:pt>
                <c:pt idx="10">
                  <c:v>220000</c:v>
                </c:pt>
                <c:pt idx="11">
                  <c:v>220000</c:v>
                </c:pt>
                <c:pt idx="12">
                  <c:v>220000</c:v>
                </c:pt>
                <c:pt idx="13">
                  <c:v>220000</c:v>
                </c:pt>
                <c:pt idx="14">
                  <c:v>220000</c:v>
                </c:pt>
                <c:pt idx="15">
                  <c:v>220000</c:v>
                </c:pt>
                <c:pt idx="16">
                  <c:v>220000</c:v>
                </c:pt>
                <c:pt idx="17">
                  <c:v>220000</c:v>
                </c:pt>
                <c:pt idx="18">
                  <c:v>220000</c:v>
                </c:pt>
                <c:pt idx="19">
                  <c:v>220000</c:v>
                </c:pt>
                <c:pt idx="20">
                  <c:v>220000</c:v>
                </c:pt>
                <c:pt idx="21">
                  <c:v>220000</c:v>
                </c:pt>
                <c:pt idx="22">
                  <c:v>220000</c:v>
                </c:pt>
                <c:pt idx="23">
                  <c:v>220000</c:v>
                </c:pt>
                <c:pt idx="24">
                  <c:v>220000</c:v>
                </c:pt>
                <c:pt idx="25">
                  <c:v>220000</c:v>
                </c:pt>
                <c:pt idx="26">
                  <c:v>220000</c:v>
                </c:pt>
                <c:pt idx="27">
                  <c:v>220000</c:v>
                </c:pt>
                <c:pt idx="28">
                  <c:v>220000</c:v>
                </c:pt>
                <c:pt idx="29">
                  <c:v>220000</c:v>
                </c:pt>
                <c:pt idx="30">
                  <c:v>220000</c:v>
                </c:pt>
                <c:pt idx="31">
                  <c:v>220000</c:v>
                </c:pt>
                <c:pt idx="32">
                  <c:v>220000</c:v>
                </c:pt>
                <c:pt idx="33">
                  <c:v>220000</c:v>
                </c:pt>
                <c:pt idx="34">
                  <c:v>220000</c:v>
                </c:pt>
                <c:pt idx="35">
                  <c:v>220000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Breakeven_Windfarm!$E$20</c:f>
              <c:strCache>
                <c:ptCount val="1"/>
                <c:pt idx="0">
                  <c:v>PW(11%)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Breakeven_Windfarm!$B$21:$B$56</c:f>
            </c:numRef>
          </c:xVal>
          <c:yVal>
            <c:numRef>
              <c:f>Breakeven_Windfarm!$E$21:$E$56</c:f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30511"/>
        <c:axId val="676452751"/>
      </c:scatterChart>
      <c:valAx>
        <c:axId val="54083051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452751"/>
        <c:crosses val="autoZero"/>
        <c:crossBetween val="midCat"/>
      </c:valAx>
      <c:valAx>
        <c:axId val="67645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83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PW Comparison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Comparison!$B$5</c:f>
              <c:strCache>
                <c:ptCount val="1"/>
                <c:pt idx="0">
                  <c:v>PW(Cost)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Comparison!$C$4:$E$4</c:f>
              <c:strCache>
                <c:ptCount val="3"/>
                <c:pt idx="0">
                  <c:v>Solar PV Grid System</c:v>
                </c:pt>
                <c:pt idx="1">
                  <c:v>Solar PV Tracking System</c:v>
                </c:pt>
                <c:pt idx="2">
                  <c:v>Windfarm</c:v>
                </c:pt>
              </c:strCache>
            </c:strRef>
          </c:cat>
          <c:val>
            <c:numRef>
              <c:f>Comparison!$C$5:$E$5</c:f>
              <c:numCache>
                <c:formatCode>_("$"* #,##0.00_);_("$"* \(#,##0.00\);_("$"* "-"??_);_(@_)</c:formatCode>
                <c:ptCount val="3"/>
                <c:pt idx="0">
                  <c:v>3694967.80791342</c:v>
                </c:pt>
                <c:pt idx="1">
                  <c:v>5174769.17740953</c:v>
                </c:pt>
                <c:pt idx="2">
                  <c:v>11635888.3548191</c:v>
                </c:pt>
              </c:numCache>
            </c:numRef>
          </c:val>
        </c:ser>
        <c:ser>
          <c:idx val="1"/>
          <c:order val="1"/>
          <c:tx>
            <c:strRef>
              <c:f>Comparison!$B$7</c:f>
              <c:strCache>
                <c:ptCount val="1"/>
                <c:pt idx="0">
                  <c:v>PW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Comparison!$C$4:$E$4</c:f>
              <c:strCache>
                <c:ptCount val="3"/>
                <c:pt idx="0">
                  <c:v>Solar PV Grid System</c:v>
                </c:pt>
                <c:pt idx="1">
                  <c:v>Solar PV Tracking System</c:v>
                </c:pt>
                <c:pt idx="2">
                  <c:v>Windfarm</c:v>
                </c:pt>
              </c:strCache>
            </c:strRef>
          </c:cat>
          <c:val>
            <c:numRef>
              <c:f>Comparison!$C$7:$E$7</c:f>
              <c:numCache>
                <c:formatCode>_("$"* #,##0.00_);_("$"* \(#,##0.00\);_("$"* "-"??_);_(@_)</c:formatCode>
                <c:ptCount val="3"/>
                <c:pt idx="0">
                  <c:v>12069665.5248557</c:v>
                </c:pt>
                <c:pt idx="1">
                  <c:v>16011484.2194586</c:v>
                </c:pt>
                <c:pt idx="2">
                  <c:v>30129256.7724272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0653568"/>
        <c:axId val="1660165680"/>
      </c:barChart>
      <c:catAx>
        <c:axId val="156065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0165680"/>
        <c:crosses val="autoZero"/>
        <c:auto val="1"/>
        <c:lblAlgn val="ctr"/>
        <c:lblOffset val="100"/>
        <c:noMultiLvlLbl val="0"/>
      </c:catAx>
      <c:valAx>
        <c:axId val="16601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065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Comparison!$B$8</c:f>
              <c:strCache>
                <c:ptCount val="1"/>
                <c:pt idx="0">
                  <c:v>B-C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Comparison!$C$4:$E$4</c:f>
              <c:strCache>
                <c:ptCount val="3"/>
                <c:pt idx="0">
                  <c:v>Solar PV Grid System</c:v>
                </c:pt>
                <c:pt idx="1">
                  <c:v>Solar PV Tracking System</c:v>
                </c:pt>
                <c:pt idx="2">
                  <c:v>Windfarm</c:v>
                </c:pt>
              </c:strCache>
            </c:strRef>
          </c:cat>
          <c:val>
            <c:numRef>
              <c:f>Comparison!$C$8:$E$8</c:f>
              <c:numCache>
                <c:formatCode>0.00</c:formatCode>
                <c:ptCount val="3"/>
                <c:pt idx="0">
                  <c:v>2.26651439263054</c:v>
                </c:pt>
                <c:pt idx="1">
                  <c:v>2.09414462182328</c:v>
                </c:pt>
                <c:pt idx="2">
                  <c:v>1.58933876414765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4347488"/>
        <c:axId val="1751288576"/>
      </c:barChart>
      <c:catAx>
        <c:axId val="156434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1288576"/>
        <c:crosses val="autoZero"/>
        <c:auto val="1"/>
        <c:lblAlgn val="ctr"/>
        <c:lblOffset val="100"/>
        <c:noMultiLvlLbl val="0"/>
      </c:catAx>
      <c:valAx>
        <c:axId val="17512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434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Cashflow</a:t>
            </a:r>
            <a:r>
              <a:rPr lang="en-IN" baseline="0"/>
              <a:t> Diagram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Comparison!$C$29</c:f>
              <c:strCache>
                <c:ptCount val="1"/>
                <c:pt idx="0">
                  <c:v>Solar PV Grid System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Comparison!$C$30:$C$55</c:f>
              <c:numCache>
                <c:formatCode>_("$"* #,##0.00_);_("$"* \(#,##0.00\);_("$"* "-"??_);_(@_)</c:formatCode>
                <c:ptCount val="26"/>
                <c:pt idx="0">
                  <c:v>-3055800</c:v>
                </c:pt>
                <c:pt idx="1">
                  <c:v>605125.118416217</c:v>
                </c:pt>
                <c:pt idx="2">
                  <c:v>605125.118416217</c:v>
                </c:pt>
                <c:pt idx="3">
                  <c:v>605125.118416217</c:v>
                </c:pt>
                <c:pt idx="4">
                  <c:v>605125.118416217</c:v>
                </c:pt>
                <c:pt idx="5">
                  <c:v>605125.118416217</c:v>
                </c:pt>
                <c:pt idx="6">
                  <c:v>605125.118416217</c:v>
                </c:pt>
                <c:pt idx="7">
                  <c:v>605125.118416217</c:v>
                </c:pt>
                <c:pt idx="8">
                  <c:v>605125.118416217</c:v>
                </c:pt>
                <c:pt idx="9">
                  <c:v>605125.118416217</c:v>
                </c:pt>
                <c:pt idx="10">
                  <c:v>605125.118416217</c:v>
                </c:pt>
                <c:pt idx="11">
                  <c:v>605125.118416217</c:v>
                </c:pt>
                <c:pt idx="12">
                  <c:v>605125.118416217</c:v>
                </c:pt>
                <c:pt idx="13">
                  <c:v>605125.118416217</c:v>
                </c:pt>
                <c:pt idx="14">
                  <c:v>605125.118416217</c:v>
                </c:pt>
                <c:pt idx="15">
                  <c:v>605125.118416217</c:v>
                </c:pt>
                <c:pt idx="16">
                  <c:v>605125.118416217</c:v>
                </c:pt>
                <c:pt idx="17">
                  <c:v>605125.118416217</c:v>
                </c:pt>
                <c:pt idx="18">
                  <c:v>605125.118416217</c:v>
                </c:pt>
                <c:pt idx="19">
                  <c:v>605125.118416217</c:v>
                </c:pt>
                <c:pt idx="20">
                  <c:v>605125.118416217</c:v>
                </c:pt>
                <c:pt idx="21">
                  <c:v>605125.118416217</c:v>
                </c:pt>
                <c:pt idx="22">
                  <c:v>605125.118416217</c:v>
                </c:pt>
                <c:pt idx="23">
                  <c:v>605125.118416217</c:v>
                </c:pt>
                <c:pt idx="24">
                  <c:v>605125.118416217</c:v>
                </c:pt>
                <c:pt idx="25">
                  <c:v>605125.118416217</c:v>
                </c:pt>
              </c:numCache>
            </c:numRef>
          </c:val>
        </c:ser>
        <c:ser>
          <c:idx val="1"/>
          <c:order val="1"/>
          <c:tx>
            <c:strRef>
              <c:f>Comparison!$D$29</c:f>
              <c:strCache>
                <c:ptCount val="1"/>
                <c:pt idx="0">
                  <c:v>Solar PV Tracking System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Comparison!$D$30:$D$55</c:f>
              <c:numCache>
                <c:formatCode>_("$"* #,##0.00_);_("$"* \(#,##0.00\);_("$"* "-"??_);_(@_)</c:formatCode>
                <c:ptCount val="26"/>
                <c:pt idx="0">
                  <c:v>-3768600</c:v>
                </c:pt>
                <c:pt idx="1">
                  <c:v>737720.653941082</c:v>
                </c:pt>
                <c:pt idx="2">
                  <c:v>737720.653941082</c:v>
                </c:pt>
                <c:pt idx="3">
                  <c:v>737720.653941082</c:v>
                </c:pt>
                <c:pt idx="4">
                  <c:v>737720.653941082</c:v>
                </c:pt>
                <c:pt idx="5">
                  <c:v>737720.653941082</c:v>
                </c:pt>
                <c:pt idx="6">
                  <c:v>737720.653941082</c:v>
                </c:pt>
                <c:pt idx="7">
                  <c:v>737720.653941082</c:v>
                </c:pt>
                <c:pt idx="8">
                  <c:v>737720.653941082</c:v>
                </c:pt>
                <c:pt idx="9">
                  <c:v>737720.653941082</c:v>
                </c:pt>
                <c:pt idx="10">
                  <c:v>737720.653941082</c:v>
                </c:pt>
                <c:pt idx="11">
                  <c:v>737720.653941082</c:v>
                </c:pt>
                <c:pt idx="12">
                  <c:v>737720.653941082</c:v>
                </c:pt>
                <c:pt idx="13">
                  <c:v>737720.653941082</c:v>
                </c:pt>
                <c:pt idx="14">
                  <c:v>737720.653941082</c:v>
                </c:pt>
                <c:pt idx="15">
                  <c:v>737720.653941082</c:v>
                </c:pt>
                <c:pt idx="16">
                  <c:v>737720.653941082</c:v>
                </c:pt>
                <c:pt idx="17">
                  <c:v>737720.653941082</c:v>
                </c:pt>
                <c:pt idx="18">
                  <c:v>737720.653941082</c:v>
                </c:pt>
                <c:pt idx="19">
                  <c:v>737720.653941082</c:v>
                </c:pt>
                <c:pt idx="20">
                  <c:v>737720.653941082</c:v>
                </c:pt>
                <c:pt idx="21">
                  <c:v>737720.653941082</c:v>
                </c:pt>
                <c:pt idx="22">
                  <c:v>737720.653941082</c:v>
                </c:pt>
                <c:pt idx="23">
                  <c:v>737720.653941082</c:v>
                </c:pt>
                <c:pt idx="24">
                  <c:v>737720.653941082</c:v>
                </c:pt>
                <c:pt idx="25">
                  <c:v>737720.653941082</c:v>
                </c:pt>
              </c:numCache>
            </c:numRef>
          </c:val>
        </c:ser>
        <c:ser>
          <c:idx val="2"/>
          <c:order val="2"/>
          <c:tx>
            <c:strRef>
              <c:f>Comparison!$E$29</c:f>
              <c:strCache>
                <c:ptCount val="1"/>
                <c:pt idx="0">
                  <c:v>Windfarm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Comparison!$E$30:$E$55</c:f>
              <c:numCache>
                <c:formatCode>_("$"* #,##0.00_);_("$"* \(#,##0.00\);_("$"* "-"??_);_(@_)</c:formatCode>
                <c:ptCount val="26"/>
                <c:pt idx="0">
                  <c:v>-8823550</c:v>
                </c:pt>
                <c:pt idx="1">
                  <c:v>638337.76</c:v>
                </c:pt>
                <c:pt idx="2">
                  <c:v>638337.76</c:v>
                </c:pt>
                <c:pt idx="3">
                  <c:v>638337.76</c:v>
                </c:pt>
                <c:pt idx="4">
                  <c:v>638337.76</c:v>
                </c:pt>
                <c:pt idx="5">
                  <c:v>638337.76</c:v>
                </c:pt>
                <c:pt idx="6">
                  <c:v>638337.76</c:v>
                </c:pt>
                <c:pt idx="7">
                  <c:v>638337.76</c:v>
                </c:pt>
                <c:pt idx="8">
                  <c:v>638337.76</c:v>
                </c:pt>
                <c:pt idx="9">
                  <c:v>638337.76</c:v>
                </c:pt>
                <c:pt idx="10">
                  <c:v>638337.76</c:v>
                </c:pt>
                <c:pt idx="11">
                  <c:v>638337.76</c:v>
                </c:pt>
                <c:pt idx="12">
                  <c:v>638337.76</c:v>
                </c:pt>
                <c:pt idx="13">
                  <c:v>638337.76</c:v>
                </c:pt>
                <c:pt idx="14">
                  <c:v>638337.76</c:v>
                </c:pt>
                <c:pt idx="15">
                  <c:v>638337.76</c:v>
                </c:pt>
                <c:pt idx="16">
                  <c:v>638337.76</c:v>
                </c:pt>
                <c:pt idx="17">
                  <c:v>638337.76</c:v>
                </c:pt>
                <c:pt idx="18">
                  <c:v>638337.76</c:v>
                </c:pt>
                <c:pt idx="19">
                  <c:v>638337.76</c:v>
                </c:pt>
                <c:pt idx="20">
                  <c:v>638337.76</c:v>
                </c:pt>
                <c:pt idx="21">
                  <c:v>638337.76</c:v>
                </c:pt>
                <c:pt idx="22">
                  <c:v>638337.76</c:v>
                </c:pt>
                <c:pt idx="23">
                  <c:v>638337.76</c:v>
                </c:pt>
                <c:pt idx="24">
                  <c:v>638337.76</c:v>
                </c:pt>
                <c:pt idx="25">
                  <c:v>638337.76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685024"/>
        <c:axId val="1745603888"/>
      </c:barChart>
      <c:catAx>
        <c:axId val="156468502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5603888"/>
        <c:crosses val="autoZero"/>
        <c:auto val="1"/>
        <c:lblAlgn val="ctr"/>
        <c:lblOffset val="100"/>
        <c:noMultiLvlLbl val="0"/>
      </c:catAx>
      <c:valAx>
        <c:axId val="17456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4685024"/>
        <c:crosses val="autoZero"/>
        <c:crossBetween val="between"/>
        <c:majorUnit val="5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Comparison!$B$60</c:f>
              <c:strCache>
                <c:ptCount val="1"/>
                <c:pt idx="0">
                  <c:v>Breakeven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Comparison!$C$59:$E$59</c:f>
              <c:strCache>
                <c:ptCount val="3"/>
                <c:pt idx="0">
                  <c:v>Solar PV Grid System</c:v>
                </c:pt>
                <c:pt idx="1">
                  <c:v>Solar PV Tracking System</c:v>
                </c:pt>
                <c:pt idx="2">
                  <c:v>Windfarm</c:v>
                </c:pt>
              </c:strCache>
            </c:strRef>
          </c:cat>
          <c:val>
            <c:numRef>
              <c:f>Comparison!$C$60:$E$60</c:f>
              <c:numCache>
                <c:formatCode>0.0</c:formatCode>
                <c:ptCount val="3"/>
                <c:pt idx="0">
                  <c:v>6.19469690558975</c:v>
                </c:pt>
                <c:pt idx="1">
                  <c:v>6.28144718229349</c:v>
                </c:pt>
                <c:pt idx="2">
                  <c:v>30.3456892522537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2900895"/>
        <c:axId val="2012818255"/>
      </c:barChart>
      <c:catAx>
        <c:axId val="201290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2818255"/>
        <c:crosses val="autoZero"/>
        <c:auto val="1"/>
        <c:lblAlgn val="ctr"/>
        <c:lblOffset val="100"/>
        <c:noMultiLvlLbl val="0"/>
      </c:catAx>
      <c:valAx>
        <c:axId val="201281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290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1.xml"/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198120</xdr:colOff>
      <xdr:row>5</xdr:row>
      <xdr:rowOff>11430</xdr:rowOff>
    </xdr:from>
    <xdr:to>
      <xdr:col>15</xdr:col>
      <xdr:colOff>1104900</xdr:colOff>
      <xdr:row>31</xdr:row>
      <xdr:rowOff>175260</xdr:rowOff>
    </xdr:to>
    <xdr:graphicFrame>
      <xdr:nvGraphicFramePr>
        <xdr:cNvPr id="10" name="Chart 1"/>
        <xdr:cNvGraphicFramePr/>
      </xdr:nvGraphicFramePr>
      <xdr:xfrm>
        <a:off x="13754100" y="1000125"/>
        <a:ext cx="6225540" cy="5219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365760</xdr:colOff>
      <xdr:row>37</xdr:row>
      <xdr:rowOff>22860</xdr:rowOff>
    </xdr:from>
    <xdr:ext cx="7368540" cy="3413760"/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8760" y="6640830"/>
          <a:ext cx="7368540" cy="3413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411481</xdr:colOff>
      <xdr:row>0</xdr:row>
      <xdr:rowOff>76200</xdr:rowOff>
    </xdr:from>
    <xdr:to>
      <xdr:col>8</xdr:col>
      <xdr:colOff>464820</xdr:colOff>
      <xdr:row>12</xdr:row>
      <xdr:rowOff>109018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rcRect r="8021"/>
        <a:stretch>
          <a:fillRect/>
        </a:stretch>
      </xdr:blipFill>
      <xdr:spPr>
        <a:xfrm>
          <a:off x="3726180" y="76200"/>
          <a:ext cx="4099560" cy="2051685"/>
        </a:xfrm>
        <a:prstGeom prst="rect">
          <a:avLst/>
        </a:prstGeom>
      </xdr:spPr>
    </xdr:pic>
    <xdr:clientData/>
  </xdr:twoCellAnchor>
  <xdr:twoCellAnchor>
    <xdr:from>
      <xdr:col>5</xdr:col>
      <xdr:colOff>594360</xdr:colOff>
      <xdr:row>19</xdr:row>
      <xdr:rowOff>11430</xdr:rowOff>
    </xdr:from>
    <xdr:to>
      <xdr:col>15</xdr:col>
      <xdr:colOff>83820</xdr:colOff>
      <xdr:row>40</xdr:row>
      <xdr:rowOff>53340</xdr:rowOff>
    </xdr:to>
    <xdr:graphicFrame>
      <xdr:nvGraphicFramePr>
        <xdr:cNvPr id="3" name="Chart 2"/>
        <xdr:cNvGraphicFramePr/>
      </xdr:nvGraphicFramePr>
      <xdr:xfrm>
        <a:off x="5920740" y="3318510"/>
        <a:ext cx="5844540" cy="3882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251460</xdr:colOff>
      <xdr:row>7</xdr:row>
      <xdr:rowOff>3810</xdr:rowOff>
    </xdr:from>
    <xdr:to>
      <xdr:col>13</xdr:col>
      <xdr:colOff>304800</xdr:colOff>
      <xdr:row>24</xdr:row>
      <xdr:rowOff>175260</xdr:rowOff>
    </xdr:to>
    <xdr:graphicFrame>
      <xdr:nvGraphicFramePr>
        <xdr:cNvPr id="2" name="Chart 1"/>
        <xdr:cNvGraphicFramePr/>
      </xdr:nvGraphicFramePr>
      <xdr:xfrm>
        <a:off x="6934200" y="1283970"/>
        <a:ext cx="5882640" cy="3463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198120</xdr:colOff>
      <xdr:row>5</xdr:row>
      <xdr:rowOff>11430</xdr:rowOff>
    </xdr:from>
    <xdr:to>
      <xdr:col>15</xdr:col>
      <xdr:colOff>1104900</xdr:colOff>
      <xdr:row>31</xdr:row>
      <xdr:rowOff>175260</xdr:rowOff>
    </xdr:to>
    <xdr:graphicFrame>
      <xdr:nvGraphicFramePr>
        <xdr:cNvPr id="2" name="Chart 1"/>
        <xdr:cNvGraphicFramePr/>
      </xdr:nvGraphicFramePr>
      <xdr:xfrm>
        <a:off x="13647420" y="990600"/>
        <a:ext cx="6225540" cy="5200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45720</xdr:colOff>
      <xdr:row>37</xdr:row>
      <xdr:rowOff>38100</xdr:rowOff>
    </xdr:from>
    <xdr:ext cx="7368540" cy="3413760"/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6240" y="6637020"/>
          <a:ext cx="7368540" cy="3413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411481</xdr:colOff>
      <xdr:row>0</xdr:row>
      <xdr:rowOff>76200</xdr:rowOff>
    </xdr:from>
    <xdr:to>
      <xdr:col>8</xdr:col>
      <xdr:colOff>464820</xdr:colOff>
      <xdr:row>12</xdr:row>
      <xdr:rowOff>109018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rcRect r="8021"/>
        <a:stretch>
          <a:fillRect/>
        </a:stretch>
      </xdr:blipFill>
      <xdr:spPr>
        <a:xfrm>
          <a:off x="3726180" y="76200"/>
          <a:ext cx="4099560" cy="2051685"/>
        </a:xfrm>
        <a:prstGeom prst="rect">
          <a:avLst/>
        </a:prstGeom>
      </xdr:spPr>
    </xdr:pic>
    <xdr:clientData/>
  </xdr:twoCellAnchor>
  <xdr:twoCellAnchor>
    <xdr:from>
      <xdr:col>5</xdr:col>
      <xdr:colOff>594360</xdr:colOff>
      <xdr:row>19</xdr:row>
      <xdr:rowOff>11430</xdr:rowOff>
    </xdr:from>
    <xdr:to>
      <xdr:col>15</xdr:col>
      <xdr:colOff>83820</xdr:colOff>
      <xdr:row>40</xdr:row>
      <xdr:rowOff>53340</xdr:rowOff>
    </xdr:to>
    <xdr:graphicFrame>
      <xdr:nvGraphicFramePr>
        <xdr:cNvPr id="3" name="Chart 2"/>
        <xdr:cNvGraphicFramePr/>
      </xdr:nvGraphicFramePr>
      <xdr:xfrm>
        <a:off x="5920740" y="3318510"/>
        <a:ext cx="5844540" cy="3882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594360</xdr:colOff>
      <xdr:row>6</xdr:row>
      <xdr:rowOff>11430</xdr:rowOff>
    </xdr:from>
    <xdr:to>
      <xdr:col>30</xdr:col>
      <xdr:colOff>594360</xdr:colOff>
      <xdr:row>32</xdr:row>
      <xdr:rowOff>144780</xdr:rowOff>
    </xdr:to>
    <xdr:graphicFrame>
      <xdr:nvGraphicFramePr>
        <xdr:cNvPr id="3" name="Chart 2"/>
        <xdr:cNvGraphicFramePr/>
      </xdr:nvGraphicFramePr>
      <xdr:xfrm>
        <a:off x="17213580" y="1127760"/>
        <a:ext cx="7406640" cy="5261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411481</xdr:colOff>
      <xdr:row>0</xdr:row>
      <xdr:rowOff>76200</xdr:rowOff>
    </xdr:from>
    <xdr:to>
      <xdr:col>8</xdr:col>
      <xdr:colOff>464820</xdr:colOff>
      <xdr:row>12</xdr:row>
      <xdr:rowOff>109018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rcRect r="8021"/>
        <a:stretch>
          <a:fillRect/>
        </a:stretch>
      </xdr:blipFill>
      <xdr:spPr>
        <a:xfrm>
          <a:off x="3726180" y="76200"/>
          <a:ext cx="4099560" cy="2051685"/>
        </a:xfrm>
        <a:prstGeom prst="rect">
          <a:avLst/>
        </a:prstGeom>
      </xdr:spPr>
    </xdr:pic>
    <xdr:clientData/>
  </xdr:twoCellAnchor>
  <xdr:twoCellAnchor>
    <xdr:from>
      <xdr:col>5</xdr:col>
      <xdr:colOff>594360</xdr:colOff>
      <xdr:row>19</xdr:row>
      <xdr:rowOff>11430</xdr:rowOff>
    </xdr:from>
    <xdr:to>
      <xdr:col>15</xdr:col>
      <xdr:colOff>83820</xdr:colOff>
      <xdr:row>40</xdr:row>
      <xdr:rowOff>53340</xdr:rowOff>
    </xdr:to>
    <xdr:graphicFrame>
      <xdr:nvGraphicFramePr>
        <xdr:cNvPr id="3" name="Chart 2"/>
        <xdr:cNvGraphicFramePr/>
      </xdr:nvGraphicFramePr>
      <xdr:xfrm>
        <a:off x="5920740" y="3318510"/>
        <a:ext cx="6057900" cy="3882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</xdr:colOff>
      <xdr:row>2</xdr:row>
      <xdr:rowOff>179070</xdr:rowOff>
    </xdr:from>
    <xdr:to>
      <xdr:col>14</xdr:col>
      <xdr:colOff>586740</xdr:colOff>
      <xdr:row>23</xdr:row>
      <xdr:rowOff>175260</xdr:rowOff>
    </xdr:to>
    <xdr:graphicFrame>
      <xdr:nvGraphicFramePr>
        <xdr:cNvPr id="4" name="Chart 3"/>
        <xdr:cNvGraphicFramePr/>
      </xdr:nvGraphicFramePr>
      <xdr:xfrm>
        <a:off x="6850380" y="544830"/>
        <a:ext cx="5516880" cy="3836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9</xdr:row>
      <xdr:rowOff>0</xdr:rowOff>
    </xdr:from>
    <xdr:to>
      <xdr:col>4</xdr:col>
      <xdr:colOff>1135380</xdr:colOff>
      <xdr:row>23</xdr:row>
      <xdr:rowOff>167640</xdr:rowOff>
    </xdr:to>
    <xdr:graphicFrame>
      <xdr:nvGraphicFramePr>
        <xdr:cNvPr id="5" name="Chart 4"/>
        <xdr:cNvGraphicFramePr/>
      </xdr:nvGraphicFramePr>
      <xdr:xfrm>
        <a:off x="624840" y="1645920"/>
        <a:ext cx="5593080" cy="272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</xdr:colOff>
      <xdr:row>28</xdr:row>
      <xdr:rowOff>19050</xdr:rowOff>
    </xdr:from>
    <xdr:to>
      <xdr:col>16</xdr:col>
      <xdr:colOff>594360</xdr:colOff>
      <xdr:row>54</xdr:row>
      <xdr:rowOff>167640</xdr:rowOff>
    </xdr:to>
    <xdr:graphicFrame>
      <xdr:nvGraphicFramePr>
        <xdr:cNvPr id="8" name="Chart 7"/>
        <xdr:cNvGraphicFramePr/>
      </xdr:nvGraphicFramePr>
      <xdr:xfrm>
        <a:off x="6865620" y="5139690"/>
        <a:ext cx="6743700" cy="4903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</xdr:colOff>
      <xdr:row>60</xdr:row>
      <xdr:rowOff>171450</xdr:rowOff>
    </xdr:from>
    <xdr:to>
      <xdr:col>4</xdr:col>
      <xdr:colOff>121920</xdr:colOff>
      <xdr:row>75</xdr:row>
      <xdr:rowOff>171450</xdr:rowOff>
    </xdr:to>
    <xdr:graphicFrame>
      <xdr:nvGraphicFramePr>
        <xdr:cNvPr id="2" name="Chart 1"/>
        <xdr:cNvGraphicFramePr/>
      </xdr:nvGraphicFramePr>
      <xdr:xfrm>
        <a:off x="632460" y="11144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www.photovoltaic-software.com/solar-radiation-database.php" TargetMode="External"/><Relationship Id="rId3" Type="http://schemas.openxmlformats.org/officeDocument/2006/relationships/hyperlink" Target="http://www.photovoltaic-software.com/" TargetMode="External"/><Relationship Id="rId2" Type="http://schemas.openxmlformats.org/officeDocument/2006/relationships/hyperlink" Target="http://www.photovoltaic-software.com/solar-irradiation-database.php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http://www.photovoltaic-software.com/solar-radiation-database.php" TargetMode="External"/><Relationship Id="rId3" Type="http://schemas.openxmlformats.org/officeDocument/2006/relationships/hyperlink" Target="http://www.photovoltaic-software.com/" TargetMode="External"/><Relationship Id="rId2" Type="http://schemas.openxmlformats.org/officeDocument/2006/relationships/hyperlink" Target="http://www.photovoltaic-software.com/solar-irradiation-database.php" TargetMode="Externa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60"/>
  <sheetViews>
    <sheetView topLeftCell="A43" workbookViewId="0">
      <selection activeCell="H59" sqref="H59"/>
    </sheetView>
  </sheetViews>
  <sheetFormatPr defaultColWidth="9" defaultRowHeight="14.4"/>
  <cols>
    <col min="2" max="2" width="39.3333333333333" customWidth="1"/>
    <col min="3" max="3" width="9.88888888888889" customWidth="1"/>
    <col min="4" max="4" width="13.5555555555556" customWidth="1"/>
    <col min="5" max="5" width="15.5555555555556" customWidth="1"/>
    <col min="7" max="7" width="57.5555555555556" customWidth="1"/>
    <col min="9" max="9" width="14.6666666666667" customWidth="1"/>
    <col min="10" max="10" width="20.1111111111111" customWidth="1"/>
    <col min="11" max="11" width="18.4444444444444" customWidth="1"/>
    <col min="12" max="12" width="16.6666666666667" customWidth="1"/>
    <col min="13" max="13" width="16.8888888888889" customWidth="1"/>
    <col min="14" max="14" width="16.5555555555556" customWidth="1"/>
    <col min="16" max="16" width="16.4444444444444" customWidth="1"/>
    <col min="17" max="17" width="12" customWidth="1"/>
    <col min="19" max="19" width="21.3333333333333" customWidth="1"/>
  </cols>
  <sheetData>
    <row r="1" ht="15.15"/>
    <row r="2" ht="18.75" spans="2:5">
      <c r="B2" s="203" t="s">
        <v>0</v>
      </c>
      <c r="C2" s="204"/>
      <c r="D2" s="204"/>
      <c r="E2" s="205"/>
    </row>
    <row r="3" spans="2:5">
      <c r="B3" s="29"/>
      <c r="E3" s="30"/>
    </row>
    <row r="4" spans="2:10">
      <c r="B4" s="137" t="s">
        <v>1</v>
      </c>
      <c r="C4" s="138" t="s">
        <v>2</v>
      </c>
      <c r="D4" s="138" t="s">
        <v>3</v>
      </c>
      <c r="E4" s="139" t="s">
        <v>4</v>
      </c>
      <c r="G4" t="s">
        <v>5</v>
      </c>
      <c r="I4" t="s">
        <v>6</v>
      </c>
      <c r="J4" s="10">
        <v>0.06</v>
      </c>
    </row>
    <row r="5" ht="15.15" spans="2:5">
      <c r="B5" s="29" t="s">
        <v>7</v>
      </c>
      <c r="C5">
        <v>1980</v>
      </c>
      <c r="D5" s="13">
        <v>400</v>
      </c>
      <c r="E5" s="141">
        <f>C5*D5</f>
        <v>792000</v>
      </c>
    </row>
    <row r="6" ht="15.6" spans="2:11">
      <c r="B6" s="29" t="s">
        <v>8</v>
      </c>
      <c r="C6">
        <v>98</v>
      </c>
      <c r="D6" s="13">
        <v>5000</v>
      </c>
      <c r="E6" s="141">
        <f t="shared" ref="E6:E16" si="0">C6*D6</f>
        <v>490000</v>
      </c>
      <c r="G6" s="142" t="s">
        <v>9</v>
      </c>
      <c r="I6" s="2" t="s">
        <v>10</v>
      </c>
      <c r="J6" s="2" t="s">
        <v>11</v>
      </c>
      <c r="K6" s="168"/>
    </row>
    <row r="7" ht="15.15" spans="2:12">
      <c r="B7" s="29" t="s">
        <v>12</v>
      </c>
      <c r="C7">
        <v>165</v>
      </c>
      <c r="D7" s="13">
        <v>2000</v>
      </c>
      <c r="E7" s="141">
        <f t="shared" si="0"/>
        <v>330000</v>
      </c>
      <c r="G7" s="143">
        <f>E18+E60</f>
        <v>3055800</v>
      </c>
      <c r="I7" s="2">
        <v>0</v>
      </c>
      <c r="J7" s="3">
        <f>-G7</f>
        <v>-3055800</v>
      </c>
      <c r="L7" s="13"/>
    </row>
    <row r="8" ht="15.15" spans="2:12">
      <c r="B8" s="144" t="s">
        <v>13</v>
      </c>
      <c r="C8" s="145">
        <v>330</v>
      </c>
      <c r="D8" s="146">
        <v>500</v>
      </c>
      <c r="E8" s="147">
        <f t="shared" si="0"/>
        <v>165000</v>
      </c>
      <c r="G8" s="148"/>
      <c r="I8" s="2">
        <v>1</v>
      </c>
      <c r="J8" s="3">
        <f>$G$19-$G$10</f>
        <v>605125.118416217</v>
      </c>
      <c r="L8" s="13"/>
    </row>
    <row r="9" ht="15.6" spans="2:12">
      <c r="B9" s="149" t="s">
        <v>14</v>
      </c>
      <c r="C9" s="150">
        <v>120</v>
      </c>
      <c r="D9" s="151">
        <v>700</v>
      </c>
      <c r="E9" s="152">
        <f t="shared" si="0"/>
        <v>84000</v>
      </c>
      <c r="G9" s="142" t="s">
        <v>15</v>
      </c>
      <c r="I9" s="2">
        <v>2</v>
      </c>
      <c r="J9" s="3">
        <f t="shared" ref="J9:J32" si="1">$G$19-$G$10</f>
        <v>605125.118416217</v>
      </c>
      <c r="L9" s="13"/>
    </row>
    <row r="10" ht="15.15" spans="2:12">
      <c r="B10" s="29" t="s">
        <v>16</v>
      </c>
      <c r="C10" s="153">
        <v>10000</v>
      </c>
      <c r="D10" s="13">
        <v>3</v>
      </c>
      <c r="E10" s="141">
        <f t="shared" si="0"/>
        <v>30000</v>
      </c>
      <c r="G10" s="143">
        <v>50000</v>
      </c>
      <c r="I10" s="2">
        <v>3</v>
      </c>
      <c r="J10" s="3">
        <f t="shared" si="1"/>
        <v>605125.118416217</v>
      </c>
      <c r="L10" s="13"/>
    </row>
    <row r="11" ht="15.15" spans="2:14">
      <c r="B11" s="144" t="s">
        <v>17</v>
      </c>
      <c r="C11" s="145">
        <v>10000</v>
      </c>
      <c r="D11" s="146">
        <v>1</v>
      </c>
      <c r="E11" s="147">
        <f t="shared" si="0"/>
        <v>10000</v>
      </c>
      <c r="G11" s="148"/>
      <c r="I11" s="2">
        <v>4</v>
      </c>
      <c r="J11" s="3">
        <f t="shared" si="1"/>
        <v>605125.118416217</v>
      </c>
      <c r="L11" s="13"/>
      <c r="N11" s="21"/>
    </row>
    <row r="12" ht="15.6" spans="2:16">
      <c r="B12" s="149" t="s">
        <v>18</v>
      </c>
      <c r="C12" s="150">
        <v>100</v>
      </c>
      <c r="D12" s="151">
        <v>100</v>
      </c>
      <c r="E12" s="152">
        <f t="shared" si="0"/>
        <v>10000</v>
      </c>
      <c r="G12" s="154" t="s">
        <v>19</v>
      </c>
      <c r="I12" s="2">
        <v>5</v>
      </c>
      <c r="J12" s="3">
        <f t="shared" si="1"/>
        <v>605125.118416217</v>
      </c>
      <c r="L12" s="13"/>
      <c r="N12" s="21"/>
      <c r="P12" s="13"/>
    </row>
    <row r="13" ht="15.15" spans="2:20">
      <c r="B13" s="29" t="s">
        <v>20</v>
      </c>
      <c r="C13">
        <v>12</v>
      </c>
      <c r="D13" s="13">
        <v>5000</v>
      </c>
      <c r="E13" s="141">
        <f t="shared" si="0"/>
        <v>60000</v>
      </c>
      <c r="G13" s="143">
        <f>Energy!M11</f>
        <v>641985.118416217</v>
      </c>
      <c r="I13" s="2">
        <v>6</v>
      </c>
      <c r="J13" s="3">
        <f t="shared" si="1"/>
        <v>605125.118416217</v>
      </c>
      <c r="L13" s="13"/>
      <c r="M13" s="13"/>
      <c r="T13" s="10"/>
    </row>
    <row r="14" ht="15.15" spans="2:20">
      <c r="B14" s="29" t="s">
        <v>21</v>
      </c>
      <c r="C14">
        <v>8</v>
      </c>
      <c r="D14" s="13">
        <v>5000</v>
      </c>
      <c r="E14" s="141">
        <f t="shared" si="0"/>
        <v>40000</v>
      </c>
      <c r="G14" s="148"/>
      <c r="I14" s="2">
        <v>7</v>
      </c>
      <c r="J14" s="3">
        <f t="shared" si="1"/>
        <v>605125.118416217</v>
      </c>
      <c r="L14" s="13"/>
      <c r="M14" s="13"/>
      <c r="T14" s="10"/>
    </row>
    <row r="15" ht="15.6" spans="2:13">
      <c r="B15" s="29" t="s">
        <v>22</v>
      </c>
      <c r="C15">
        <v>1</v>
      </c>
      <c r="D15" s="13">
        <v>15000</v>
      </c>
      <c r="E15" s="141">
        <f t="shared" si="0"/>
        <v>15000</v>
      </c>
      <c r="G15" s="154" t="s">
        <v>23</v>
      </c>
      <c r="I15" s="2">
        <v>8</v>
      </c>
      <c r="J15" s="3">
        <f t="shared" si="1"/>
        <v>605125.118416217</v>
      </c>
      <c r="L15" s="13"/>
      <c r="M15" s="13"/>
    </row>
    <row r="16" ht="15.15" spans="2:12">
      <c r="B16" s="144" t="s">
        <v>24</v>
      </c>
      <c r="C16" s="145">
        <v>1</v>
      </c>
      <c r="D16" s="146">
        <v>50000</v>
      </c>
      <c r="E16" s="147">
        <f t="shared" si="0"/>
        <v>50000</v>
      </c>
      <c r="G16" s="155">
        <f>7.2*5*365</f>
        <v>13140</v>
      </c>
      <c r="I16" s="2">
        <v>9</v>
      </c>
      <c r="J16" s="3">
        <f t="shared" si="1"/>
        <v>605125.118416217</v>
      </c>
      <c r="L16" s="13"/>
    </row>
    <row r="17" ht="15.15" spans="2:12">
      <c r="B17" s="29"/>
      <c r="E17" s="30"/>
      <c r="G17" s="148"/>
      <c r="I17" s="2">
        <v>10</v>
      </c>
      <c r="J17" s="3">
        <f t="shared" si="1"/>
        <v>605125.118416217</v>
      </c>
      <c r="L17" s="13"/>
    </row>
    <row r="18" ht="16.35" spans="2:12">
      <c r="B18" s="156" t="s">
        <v>25</v>
      </c>
      <c r="C18" s="157"/>
      <c r="D18" s="158" t="s">
        <v>26</v>
      </c>
      <c r="E18" s="159">
        <f>SUM(E5:E16)</f>
        <v>2076000</v>
      </c>
      <c r="G18" s="154" t="s">
        <v>27</v>
      </c>
      <c r="I18" s="2">
        <v>11</v>
      </c>
      <c r="J18" s="3">
        <f t="shared" si="1"/>
        <v>605125.118416217</v>
      </c>
      <c r="L18" s="13"/>
    </row>
    <row r="19" ht="15.15" spans="7:12">
      <c r="G19" s="155">
        <f>SUM(G13+G16)</f>
        <v>655125.118416217</v>
      </c>
      <c r="I19" s="2">
        <v>12</v>
      </c>
      <c r="J19" s="3">
        <f t="shared" si="1"/>
        <v>605125.118416217</v>
      </c>
      <c r="L19" s="13"/>
    </row>
    <row r="20" ht="18.75" spans="2:12">
      <c r="B20" s="203" t="s">
        <v>28</v>
      </c>
      <c r="C20" s="204"/>
      <c r="D20" s="204"/>
      <c r="E20" s="205"/>
      <c r="I20" s="2">
        <v>13</v>
      </c>
      <c r="J20" s="3">
        <f t="shared" si="1"/>
        <v>605125.118416217</v>
      </c>
      <c r="L20" s="13"/>
    </row>
    <row r="21" spans="2:20">
      <c r="B21" s="137" t="s">
        <v>29</v>
      </c>
      <c r="C21" s="138" t="s">
        <v>30</v>
      </c>
      <c r="D21" s="138" t="s">
        <v>31</v>
      </c>
      <c r="E21" s="139" t="s">
        <v>4</v>
      </c>
      <c r="I21" s="2">
        <v>14</v>
      </c>
      <c r="J21" s="3">
        <f t="shared" si="1"/>
        <v>605125.118416217</v>
      </c>
      <c r="L21" s="13"/>
      <c r="T21" s="21"/>
    </row>
    <row r="22" spans="2:12">
      <c r="B22" s="29" t="s">
        <v>32</v>
      </c>
      <c r="C22" s="206">
        <v>100</v>
      </c>
      <c r="D22">
        <f>40*24</f>
        <v>960</v>
      </c>
      <c r="E22" s="141">
        <f>C22*D22</f>
        <v>96000</v>
      </c>
      <c r="I22" s="2">
        <v>15</v>
      </c>
      <c r="J22" s="3">
        <f t="shared" si="1"/>
        <v>605125.118416217</v>
      </c>
      <c r="L22" s="13"/>
    </row>
    <row r="23" spans="2:12">
      <c r="B23" s="29" t="s">
        <v>33</v>
      </c>
      <c r="C23" s="206">
        <v>100</v>
      </c>
      <c r="D23">
        <f>20*24</f>
        <v>480</v>
      </c>
      <c r="E23" s="141">
        <f t="shared" ref="E23:E25" si="2">C23*D23</f>
        <v>48000</v>
      </c>
      <c r="I23" s="2">
        <v>16</v>
      </c>
      <c r="J23" s="3">
        <f t="shared" si="1"/>
        <v>605125.118416217</v>
      </c>
      <c r="L23" s="13"/>
    </row>
    <row r="24" spans="2:12">
      <c r="B24" s="29" t="s">
        <v>34</v>
      </c>
      <c r="C24" s="206">
        <v>100</v>
      </c>
      <c r="D24">
        <f>5*24</f>
        <v>120</v>
      </c>
      <c r="E24" s="141">
        <f t="shared" si="2"/>
        <v>12000</v>
      </c>
      <c r="I24" s="2">
        <v>17</v>
      </c>
      <c r="J24" s="3">
        <f t="shared" si="1"/>
        <v>605125.118416217</v>
      </c>
      <c r="L24" s="13"/>
    </row>
    <row r="25" spans="2:12">
      <c r="B25" s="29" t="s">
        <v>35</v>
      </c>
      <c r="C25" s="206">
        <v>100</v>
      </c>
      <c r="D25">
        <f>20*24</f>
        <v>480</v>
      </c>
      <c r="E25" s="141">
        <f t="shared" si="2"/>
        <v>48000</v>
      </c>
      <c r="I25" s="2">
        <v>18</v>
      </c>
      <c r="J25" s="3">
        <f t="shared" si="1"/>
        <v>605125.118416217</v>
      </c>
      <c r="L25" s="13"/>
    </row>
    <row r="26" spans="2:12">
      <c r="B26" s="29"/>
      <c r="E26" s="30"/>
      <c r="I26" s="2">
        <v>19</v>
      </c>
      <c r="J26" s="3">
        <f t="shared" si="1"/>
        <v>605125.118416217</v>
      </c>
      <c r="L26" s="13"/>
    </row>
    <row r="27" ht="15.15" spans="2:12">
      <c r="B27" s="43"/>
      <c r="C27" s="45"/>
      <c r="D27" s="161" t="s">
        <v>26</v>
      </c>
      <c r="E27" s="162">
        <f>SUM(E22:E25)</f>
        <v>204000</v>
      </c>
      <c r="I27" s="2">
        <v>20</v>
      </c>
      <c r="J27" s="3">
        <f t="shared" si="1"/>
        <v>605125.118416217</v>
      </c>
      <c r="L27" s="13"/>
    </row>
    <row r="28" spans="9:12">
      <c r="I28" s="2">
        <v>21</v>
      </c>
      <c r="J28" s="3">
        <f t="shared" si="1"/>
        <v>605125.118416217</v>
      </c>
      <c r="L28" s="13"/>
    </row>
    <row r="29" ht="15.15" spans="9:12">
      <c r="I29" s="2">
        <v>22</v>
      </c>
      <c r="J29" s="3">
        <f t="shared" si="1"/>
        <v>605125.118416217</v>
      </c>
      <c r="L29" s="13"/>
    </row>
    <row r="30" ht="18.75" spans="2:12">
      <c r="B30" s="203" t="s">
        <v>36</v>
      </c>
      <c r="C30" s="204"/>
      <c r="D30" s="204"/>
      <c r="E30" s="205"/>
      <c r="I30" s="2">
        <v>23</v>
      </c>
      <c r="J30" s="3">
        <f t="shared" si="1"/>
        <v>605125.118416217</v>
      </c>
      <c r="L30" s="13"/>
    </row>
    <row r="31" spans="2:12">
      <c r="B31" s="29" t="s">
        <v>37</v>
      </c>
      <c r="C31" t="s">
        <v>30</v>
      </c>
      <c r="D31" t="s">
        <v>31</v>
      </c>
      <c r="E31" s="30" t="s">
        <v>4</v>
      </c>
      <c r="I31" s="2">
        <v>24</v>
      </c>
      <c r="J31" s="3">
        <f t="shared" si="1"/>
        <v>605125.118416217</v>
      </c>
      <c r="L31" s="13"/>
    </row>
    <row r="32" spans="2:12">
      <c r="B32" s="29" t="s">
        <v>38</v>
      </c>
      <c r="C32" s="13">
        <v>100</v>
      </c>
      <c r="D32">
        <f>33*8</f>
        <v>264</v>
      </c>
      <c r="E32" s="141">
        <f>C32*D32</f>
        <v>26400</v>
      </c>
      <c r="I32" s="2">
        <v>25</v>
      </c>
      <c r="J32" s="3">
        <f t="shared" si="1"/>
        <v>605125.118416217</v>
      </c>
      <c r="L32" s="13"/>
    </row>
    <row r="33" spans="2:12">
      <c r="B33" s="29" t="s">
        <v>39</v>
      </c>
      <c r="C33" s="13">
        <v>100</v>
      </c>
      <c r="D33">
        <f>70*8</f>
        <v>560</v>
      </c>
      <c r="E33" s="141">
        <f t="shared" ref="E33:E57" si="3">C33*D33</f>
        <v>56000</v>
      </c>
      <c r="L33" s="13"/>
    </row>
    <row r="34" ht="15.15" spans="2:5">
      <c r="B34" s="29" t="s">
        <v>40</v>
      </c>
      <c r="C34" s="13">
        <v>100</v>
      </c>
      <c r="D34">
        <f>75*8</f>
        <v>600</v>
      </c>
      <c r="E34" s="141">
        <f t="shared" si="3"/>
        <v>60000</v>
      </c>
    </row>
    <row r="35" spans="2:12">
      <c r="B35" s="29" t="s">
        <v>41</v>
      </c>
      <c r="C35" s="13">
        <v>100</v>
      </c>
      <c r="D35">
        <f>70*8</f>
        <v>560</v>
      </c>
      <c r="E35" s="141">
        <f t="shared" si="3"/>
        <v>56000</v>
      </c>
      <c r="I35" s="207" t="s">
        <v>42</v>
      </c>
      <c r="J35" s="208" t="s">
        <v>43</v>
      </c>
      <c r="K35" s="208" t="s">
        <v>44</v>
      </c>
      <c r="L35" s="209" t="s">
        <v>45</v>
      </c>
    </row>
    <row r="36" spans="2:12">
      <c r="B36" s="29" t="s">
        <v>46</v>
      </c>
      <c r="C36" s="13">
        <v>100</v>
      </c>
      <c r="D36">
        <f>75*8</f>
        <v>600</v>
      </c>
      <c r="E36" s="141">
        <f t="shared" si="3"/>
        <v>60000</v>
      </c>
      <c r="I36" s="210">
        <f>G7+(G10*(((1+$J$4)^25)-1)/($J$4*(1+$J$4)^25))</f>
        <v>3694967.80791342</v>
      </c>
      <c r="J36" s="211">
        <f>(G13+G16)*(((1+$J$4)^25)-1)/($J$4*(1+$J$4)^25)</f>
        <v>8374697.71694227</v>
      </c>
      <c r="K36" s="211">
        <f>SUM(I36+J36)</f>
        <v>12069665.5248557</v>
      </c>
      <c r="L36" s="212">
        <f>J36/I36</f>
        <v>2.26651439263054</v>
      </c>
    </row>
    <row r="37" ht="15.15" spans="2:12">
      <c r="B37" s="29" t="s">
        <v>47</v>
      </c>
      <c r="C37" s="13">
        <v>80</v>
      </c>
      <c r="D37">
        <f>50*8</f>
        <v>400</v>
      </c>
      <c r="E37" s="141">
        <f t="shared" si="3"/>
        <v>32000</v>
      </c>
      <c r="I37" s="213" t="s">
        <v>48</v>
      </c>
      <c r="J37" s="214"/>
      <c r="K37" s="214"/>
      <c r="L37" s="215"/>
    </row>
    <row r="38" spans="2:12">
      <c r="B38" s="29" t="s">
        <v>49</v>
      </c>
      <c r="C38" s="13">
        <v>35</v>
      </c>
      <c r="D38">
        <f>70*8</f>
        <v>560</v>
      </c>
      <c r="E38" s="141">
        <f t="shared" si="3"/>
        <v>19600</v>
      </c>
      <c r="J38" s="216"/>
      <c r="K38" s="216"/>
      <c r="L38" s="217"/>
    </row>
    <row r="39" spans="2:5">
      <c r="B39" s="29" t="s">
        <v>50</v>
      </c>
      <c r="C39" s="13">
        <v>35</v>
      </c>
      <c r="D39">
        <f>70*8</f>
        <v>560</v>
      </c>
      <c r="E39" s="141">
        <f t="shared" si="3"/>
        <v>19600</v>
      </c>
    </row>
    <row r="40" spans="2:5">
      <c r="B40" s="29" t="s">
        <v>51</v>
      </c>
      <c r="C40" s="13">
        <v>35</v>
      </c>
      <c r="D40">
        <f>70*8</f>
        <v>560</v>
      </c>
      <c r="E40" s="141">
        <f t="shared" si="3"/>
        <v>19600</v>
      </c>
    </row>
    <row r="41" spans="2:5">
      <c r="B41" s="29" t="s">
        <v>52</v>
      </c>
      <c r="C41" s="13">
        <v>35</v>
      </c>
      <c r="D41">
        <f>70*8</f>
        <v>560</v>
      </c>
      <c r="E41" s="141">
        <f t="shared" si="3"/>
        <v>19600</v>
      </c>
    </row>
    <row r="42" spans="2:5">
      <c r="B42" s="29" t="s">
        <v>53</v>
      </c>
      <c r="C42" s="13">
        <v>35</v>
      </c>
      <c r="D42">
        <f>20*8</f>
        <v>160</v>
      </c>
      <c r="E42" s="141">
        <f t="shared" si="3"/>
        <v>5600</v>
      </c>
    </row>
    <row r="43" spans="2:5">
      <c r="B43" s="29" t="s">
        <v>54</v>
      </c>
      <c r="C43" s="13">
        <v>35</v>
      </c>
      <c r="D43">
        <f>20*8</f>
        <v>160</v>
      </c>
      <c r="E43" s="141">
        <f t="shared" si="3"/>
        <v>5600</v>
      </c>
    </row>
    <row r="44" spans="2:5">
      <c r="B44" s="29" t="s">
        <v>55</v>
      </c>
      <c r="C44" s="13">
        <v>35</v>
      </c>
      <c r="D44">
        <f>20*8</f>
        <v>160</v>
      </c>
      <c r="E44" s="141">
        <f t="shared" si="3"/>
        <v>5600</v>
      </c>
    </row>
    <row r="45" spans="2:5">
      <c r="B45" s="29" t="s">
        <v>56</v>
      </c>
      <c r="C45" s="13">
        <v>35</v>
      </c>
      <c r="D45">
        <f>20*8</f>
        <v>160</v>
      </c>
      <c r="E45" s="141">
        <f t="shared" si="3"/>
        <v>5600</v>
      </c>
    </row>
    <row r="46" spans="2:5">
      <c r="B46" s="29" t="s">
        <v>57</v>
      </c>
      <c r="C46" s="13">
        <v>80</v>
      </c>
      <c r="D46">
        <f>60*8</f>
        <v>480</v>
      </c>
      <c r="E46" s="141">
        <f t="shared" si="3"/>
        <v>38400</v>
      </c>
    </row>
    <row r="47" spans="2:5">
      <c r="B47" s="29" t="s">
        <v>58</v>
      </c>
      <c r="C47" s="13">
        <v>80</v>
      </c>
      <c r="D47">
        <f>60*8</f>
        <v>480</v>
      </c>
      <c r="E47" s="141">
        <f t="shared" si="3"/>
        <v>38400</v>
      </c>
    </row>
    <row r="48" spans="2:5">
      <c r="B48" s="29" t="s">
        <v>59</v>
      </c>
      <c r="C48" s="13">
        <v>80</v>
      </c>
      <c r="D48">
        <f>60*8</f>
        <v>480</v>
      </c>
      <c r="E48" s="141">
        <f t="shared" si="3"/>
        <v>38400</v>
      </c>
    </row>
    <row r="49" spans="2:5">
      <c r="B49" s="29" t="s">
        <v>60</v>
      </c>
      <c r="C49" s="13">
        <v>80</v>
      </c>
      <c r="D49">
        <f>60*8</f>
        <v>480</v>
      </c>
      <c r="E49" s="141">
        <f t="shared" si="3"/>
        <v>38400</v>
      </c>
    </row>
    <row r="50" spans="2:5">
      <c r="B50" s="29" t="s">
        <v>61</v>
      </c>
      <c r="C50" s="13">
        <v>80</v>
      </c>
      <c r="D50">
        <f>70*8</f>
        <v>560</v>
      </c>
      <c r="E50" s="141">
        <f t="shared" si="3"/>
        <v>44800</v>
      </c>
    </row>
    <row r="51" spans="2:5">
      <c r="B51" s="29" t="s">
        <v>62</v>
      </c>
      <c r="C51" s="13">
        <v>80</v>
      </c>
      <c r="D51">
        <f>70*8</f>
        <v>560</v>
      </c>
      <c r="E51" s="141">
        <f t="shared" si="3"/>
        <v>44800</v>
      </c>
    </row>
    <row r="52" spans="2:5">
      <c r="B52" s="29" t="s">
        <v>63</v>
      </c>
      <c r="C52" s="13">
        <v>80</v>
      </c>
      <c r="D52">
        <f>15*8</f>
        <v>120</v>
      </c>
      <c r="E52" s="141">
        <f t="shared" si="3"/>
        <v>9600</v>
      </c>
    </row>
    <row r="53" spans="2:5">
      <c r="B53" s="29" t="s">
        <v>64</v>
      </c>
      <c r="C53" s="13">
        <v>80</v>
      </c>
      <c r="D53">
        <f>15*8</f>
        <v>120</v>
      </c>
      <c r="E53" s="141">
        <f t="shared" si="3"/>
        <v>9600</v>
      </c>
    </row>
    <row r="54" spans="2:5">
      <c r="B54" s="29" t="s">
        <v>65</v>
      </c>
      <c r="C54" s="13">
        <v>80</v>
      </c>
      <c r="D54">
        <f>15*8</f>
        <v>120</v>
      </c>
      <c r="E54" s="141">
        <f t="shared" si="3"/>
        <v>9600</v>
      </c>
    </row>
    <row r="55" spans="2:5">
      <c r="B55" s="29" t="s">
        <v>66</v>
      </c>
      <c r="C55" s="13">
        <v>80</v>
      </c>
      <c r="D55">
        <f>55*8</f>
        <v>440</v>
      </c>
      <c r="E55" s="141">
        <f t="shared" si="3"/>
        <v>35200</v>
      </c>
    </row>
    <row r="56" spans="2:5">
      <c r="B56" s="29" t="s">
        <v>67</v>
      </c>
      <c r="C56" s="13">
        <v>80</v>
      </c>
      <c r="D56">
        <f>55*8</f>
        <v>440</v>
      </c>
      <c r="E56" s="141">
        <f t="shared" si="3"/>
        <v>35200</v>
      </c>
    </row>
    <row r="57" spans="2:5">
      <c r="B57" s="29" t="s">
        <v>68</v>
      </c>
      <c r="C57" s="13">
        <v>80</v>
      </c>
      <c r="D57">
        <f>55*8</f>
        <v>440</v>
      </c>
      <c r="E57" s="141">
        <f t="shared" si="3"/>
        <v>35200</v>
      </c>
    </row>
    <row r="58" spans="2:5">
      <c r="B58" s="29"/>
      <c r="D58" s="11" t="s">
        <v>26</v>
      </c>
      <c r="E58" s="164">
        <f>SUM(E32:E57)</f>
        <v>768800</v>
      </c>
    </row>
    <row r="59" spans="2:5">
      <c r="B59" s="29" t="s">
        <v>69</v>
      </c>
      <c r="C59" s="13">
        <v>500</v>
      </c>
      <c r="D59">
        <v>14</v>
      </c>
      <c r="E59" s="141">
        <f>C59*D59</f>
        <v>7000</v>
      </c>
    </row>
    <row r="60" ht="15.15" spans="2:5">
      <c r="B60" s="156" t="s">
        <v>70</v>
      </c>
      <c r="C60" s="158"/>
      <c r="D60" s="158"/>
      <c r="E60" s="159">
        <f>SUM(E27,E58,E59)</f>
        <v>979800</v>
      </c>
    </row>
  </sheetData>
  <mergeCells count="4">
    <mergeCell ref="B2:E2"/>
    <mergeCell ref="B20:E20"/>
    <mergeCell ref="B30:E30"/>
    <mergeCell ref="I37:L37"/>
  </mergeCells>
  <pageMargins left="0.7" right="0.7" top="0.75" bottom="0.75" header="0.3" footer="0.3"/>
  <headerFooter/>
  <ignoredErrors>
    <ignoredError sqref="D24 D34:D35 E5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2"/>
  <sheetViews>
    <sheetView showGridLines="0" topLeftCell="B1" workbookViewId="0">
      <selection activeCell="P11" sqref="P11"/>
    </sheetView>
  </sheetViews>
  <sheetFormatPr defaultColWidth="11.5555555555556" defaultRowHeight="13.2"/>
  <cols>
    <col min="1" max="2" width="2.55555555555556" style="81" customWidth="1"/>
    <col min="3" max="3" width="11.5555555555556" style="81" customWidth="1"/>
    <col min="4" max="4" width="13.3333333333333" style="81" customWidth="1"/>
    <col min="5" max="5" width="12.1111111111111" style="81" customWidth="1"/>
    <col min="6" max="8" width="11.5555555555556" style="81" customWidth="1"/>
    <col min="9" max="9" width="12.5555555555556" style="81" customWidth="1"/>
    <col min="10" max="10" width="14" style="81" customWidth="1"/>
    <col min="11" max="11" width="11.5555555555556" style="81"/>
    <col min="12" max="12" width="18.5555555555556" style="81" customWidth="1"/>
    <col min="13" max="13" width="16.6666666666667" style="81" customWidth="1"/>
    <col min="14" max="14" width="1.77777777777778" style="81" customWidth="1"/>
    <col min="15" max="16384" width="11.5555555555556" style="81"/>
  </cols>
  <sheetData>
    <row r="1" spans="1:27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ht="21" spans="1:27">
      <c r="A2" s="80"/>
      <c r="B2" s="80"/>
      <c r="C2" s="83" t="s">
        <v>71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</row>
    <row r="3" spans="1:27">
      <c r="A3" s="80"/>
      <c r="B3" s="80"/>
      <c r="M3" s="82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1:27">
      <c r="A4" s="80"/>
      <c r="B4" s="80"/>
      <c r="C4" s="84"/>
      <c r="D4" s="81" t="s">
        <v>72</v>
      </c>
      <c r="M4" s="82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</row>
    <row r="5" spans="1:27">
      <c r="A5" s="80"/>
      <c r="B5" s="80"/>
      <c r="C5" s="85"/>
      <c r="D5" s="81" t="s">
        <v>73</v>
      </c>
      <c r="M5" s="82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</row>
    <row r="6" spans="1:27">
      <c r="A6" s="80"/>
      <c r="B6" s="80"/>
      <c r="C6" s="86"/>
      <c r="D6" s="81" t="s">
        <v>74</v>
      </c>
      <c r="M6" s="82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</row>
    <row r="7" ht="13.95" spans="1:27">
      <c r="A7" s="80"/>
      <c r="B7" s="80"/>
      <c r="M7" s="82"/>
      <c r="N7" s="82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</row>
    <row r="8" ht="15.6" spans="1:27">
      <c r="A8" s="80"/>
      <c r="B8" s="80"/>
      <c r="C8" s="87" t="s">
        <v>75</v>
      </c>
      <c r="D8" s="88"/>
      <c r="E8" s="89" t="s">
        <v>76</v>
      </c>
      <c r="F8" s="88"/>
      <c r="G8" s="88"/>
      <c r="H8" s="88"/>
      <c r="I8" s="88"/>
      <c r="J8" s="88"/>
      <c r="K8" s="88"/>
      <c r="L8" s="88"/>
      <c r="M8" s="109"/>
      <c r="N8" s="11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</row>
    <row r="9" spans="1:27">
      <c r="A9" s="80"/>
      <c r="B9" s="80"/>
      <c r="C9" s="90"/>
      <c r="N9" s="111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</row>
    <row r="10" s="79" customFormat="1" ht="17.25" customHeight="1" spans="1:27">
      <c r="A10" s="92"/>
      <c r="B10" s="92"/>
      <c r="C10" s="93" t="s">
        <v>77</v>
      </c>
      <c r="D10" s="94"/>
      <c r="E10" s="94"/>
      <c r="F10" s="94"/>
      <c r="G10" s="94"/>
      <c r="H10" s="94"/>
      <c r="I10" s="112"/>
      <c r="J10" s="113">
        <f>J11*J12*J13*J14</f>
        <v>4274201.8536366</v>
      </c>
      <c r="K10" s="79" t="s">
        <v>78</v>
      </c>
      <c r="L10" s="193" t="s">
        <v>79</v>
      </c>
      <c r="M10" s="84">
        <v>0.1502</v>
      </c>
      <c r="N10" s="116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s="79" customFormat="1" ht="17.25" customHeight="1" spans="1:27">
      <c r="A11" s="92"/>
      <c r="B11" s="92"/>
      <c r="C11" s="93" t="s">
        <v>80</v>
      </c>
      <c r="D11" s="94"/>
      <c r="E11" s="94"/>
      <c r="F11" s="94"/>
      <c r="G11" s="94"/>
      <c r="H11" s="94"/>
      <c r="I11" s="112"/>
      <c r="J11" s="117">
        <f>1980*8</f>
        <v>15840</v>
      </c>
      <c r="K11" s="79" t="s">
        <v>81</v>
      </c>
      <c r="L11" s="194" t="s">
        <v>82</v>
      </c>
      <c r="M11" s="113">
        <f>J10*M10</f>
        <v>641985.118416217</v>
      </c>
      <c r="N11" s="116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s="79" customFormat="1" ht="17.25" customHeight="1" spans="1:27">
      <c r="A12" s="92"/>
      <c r="B12" s="92"/>
      <c r="C12" s="93" t="s">
        <v>83</v>
      </c>
      <c r="D12" s="94"/>
      <c r="E12" s="94"/>
      <c r="F12" s="94"/>
      <c r="G12" s="94"/>
      <c r="H12" s="94"/>
      <c r="I12" s="112"/>
      <c r="J12" s="119">
        <v>0.2</v>
      </c>
      <c r="M12" s="195"/>
      <c r="N12" s="116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s="79" customFormat="1" ht="17.25" customHeight="1" spans="1:27">
      <c r="A13" s="92"/>
      <c r="B13" s="92"/>
      <c r="C13" s="93" t="s">
        <v>84</v>
      </c>
      <c r="D13" s="94"/>
      <c r="E13" s="94"/>
      <c r="F13" s="94"/>
      <c r="G13" s="94"/>
      <c r="H13" s="94"/>
      <c r="I13" s="112"/>
      <c r="J13" s="117">
        <v>1800</v>
      </c>
      <c r="K13" s="79" t="s">
        <v>85</v>
      </c>
      <c r="L13" s="196"/>
      <c r="M13" s="197"/>
      <c r="N13" s="116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s="79" customFormat="1" ht="17.25" customHeight="1" spans="1:27">
      <c r="A14" s="92"/>
      <c r="B14" s="92"/>
      <c r="C14" s="93" t="s">
        <v>86</v>
      </c>
      <c r="D14" s="94"/>
      <c r="E14" s="94"/>
      <c r="F14" s="94"/>
      <c r="G14" s="94"/>
      <c r="H14" s="94"/>
      <c r="I14" s="112"/>
      <c r="J14" s="198">
        <f>(1-J19)*(1-J20)*(1-J21)*(1-J22)*(1-J23)*(1-J24)*(1-J25)*(1-J26)</f>
        <v>0.74954437668992</v>
      </c>
      <c r="M14" s="196"/>
      <c r="N14" s="116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ht="13.95" spans="1:27">
      <c r="A15" s="80"/>
      <c r="B15" s="80"/>
      <c r="C15" s="184"/>
      <c r="D15" s="185"/>
      <c r="E15" s="185"/>
      <c r="F15" s="185"/>
      <c r="G15" s="185"/>
      <c r="H15" s="185"/>
      <c r="I15" s="185"/>
      <c r="J15" s="185"/>
      <c r="K15" s="185"/>
      <c r="L15" s="185"/>
      <c r="M15" s="192"/>
      <c r="N15" s="199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</row>
    <row r="16" spans="1:27">
      <c r="A16" s="80"/>
      <c r="B16" s="80"/>
      <c r="I16" s="128" t="s">
        <v>87</v>
      </c>
      <c r="J16" s="200">
        <f>J11*J12</f>
        <v>3168</v>
      </c>
      <c r="K16" s="81" t="s">
        <v>88</v>
      </c>
      <c r="M16" s="82"/>
      <c r="N16" s="82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</row>
    <row r="17" spans="1:27">
      <c r="A17" s="80"/>
      <c r="B17" s="80"/>
      <c r="M17" s="82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</row>
    <row r="18" spans="1:27">
      <c r="A18" s="80"/>
      <c r="B18" s="80"/>
      <c r="C18" s="97" t="s">
        <v>89</v>
      </c>
      <c r="M18" s="82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</row>
    <row r="19" spans="1:27">
      <c r="A19" s="80"/>
      <c r="B19" s="80"/>
      <c r="C19" s="218" t="s">
        <v>90</v>
      </c>
      <c r="D19" s="99" t="s">
        <v>91</v>
      </c>
      <c r="J19" s="130">
        <v>0.08</v>
      </c>
      <c r="M19" s="82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</row>
    <row r="20" spans="1:27">
      <c r="A20" s="80"/>
      <c r="B20" s="80"/>
      <c r="C20" s="218" t="s">
        <v>90</v>
      </c>
      <c r="D20" s="99" t="s">
        <v>92</v>
      </c>
      <c r="J20" s="130">
        <v>0.08</v>
      </c>
      <c r="M20" s="82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</row>
    <row r="21" spans="1:27">
      <c r="A21" s="80"/>
      <c r="B21" s="80"/>
      <c r="C21" s="218" t="s">
        <v>90</v>
      </c>
      <c r="D21" s="99" t="s">
        <v>93</v>
      </c>
      <c r="J21" s="130">
        <v>0.02</v>
      </c>
      <c r="M21" s="82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  <row r="22" spans="1:27">
      <c r="A22" s="80"/>
      <c r="B22" s="80"/>
      <c r="C22" s="218" t="s">
        <v>90</v>
      </c>
      <c r="D22" s="99" t="s">
        <v>94</v>
      </c>
      <c r="J22" s="130">
        <v>0.02</v>
      </c>
      <c r="M22" s="82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</row>
    <row r="23" spans="1:27">
      <c r="A23" s="80"/>
      <c r="B23" s="80"/>
      <c r="C23" s="218" t="s">
        <v>90</v>
      </c>
      <c r="D23" s="99" t="s">
        <v>95</v>
      </c>
      <c r="J23" s="130">
        <v>0.03</v>
      </c>
      <c r="M23" s="82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</row>
    <row r="24" spans="1:27">
      <c r="A24" s="80"/>
      <c r="B24" s="80"/>
      <c r="C24" s="218" t="s">
        <v>90</v>
      </c>
      <c r="D24" s="99" t="s">
        <v>96</v>
      </c>
      <c r="J24" s="130">
        <v>0.03</v>
      </c>
      <c r="M24" s="82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</row>
    <row r="25" spans="1:27">
      <c r="A25" s="80"/>
      <c r="B25" s="80"/>
      <c r="C25" s="218" t="s">
        <v>90</v>
      </c>
      <c r="D25" s="99" t="s">
        <v>97</v>
      </c>
      <c r="J25" s="130">
        <v>0.02</v>
      </c>
      <c r="M25" s="82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</row>
    <row r="26" spans="1:27">
      <c r="A26" s="80"/>
      <c r="B26" s="80"/>
      <c r="C26" s="218" t="s">
        <v>90</v>
      </c>
      <c r="D26" s="99" t="s">
        <v>98</v>
      </c>
      <c r="J26" s="130">
        <v>0</v>
      </c>
      <c r="M26" s="82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</row>
    <row r="27" spans="1:27">
      <c r="A27" s="80"/>
      <c r="B27" s="80"/>
      <c r="M27" s="82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</row>
    <row r="28" spans="1:27">
      <c r="A28" s="80"/>
      <c r="B28" s="80"/>
      <c r="M28" s="82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>
      <c r="A29" s="80"/>
      <c r="B29" s="80"/>
      <c r="M29" s="82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</row>
    <row r="30" spans="1:27">
      <c r="A30" s="80"/>
      <c r="B30" s="80"/>
      <c r="M30" s="82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</row>
    <row r="31" spans="1:27">
      <c r="A31" s="80"/>
      <c r="B31" s="80"/>
      <c r="C31" s="100" t="s">
        <v>99</v>
      </c>
      <c r="D31" s="100"/>
      <c r="E31" s="101"/>
      <c r="F31" s="102" t="s">
        <v>100</v>
      </c>
      <c r="G31" s="102"/>
      <c r="H31" s="100"/>
      <c r="I31" s="101"/>
      <c r="J31" s="101"/>
      <c r="K31" s="100"/>
      <c r="L31" s="100"/>
      <c r="M31" s="131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</row>
    <row r="32" spans="1:27">
      <c r="A32" s="80"/>
      <c r="B32" s="80"/>
      <c r="C32" s="103" t="s">
        <v>101</v>
      </c>
      <c r="D32" s="104"/>
      <c r="E32" s="104"/>
      <c r="F32" s="104"/>
      <c r="G32" s="104"/>
      <c r="H32" s="104"/>
      <c r="I32" s="104"/>
      <c r="J32" s="104"/>
      <c r="K32" s="104"/>
      <c r="L32" s="104"/>
      <c r="M32" s="82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</row>
    <row r="33" spans="1:27">
      <c r="A33" s="80"/>
      <c r="B33" s="80"/>
      <c r="C33" s="105" t="s">
        <v>102</v>
      </c>
      <c r="D33" s="106"/>
      <c r="E33" s="106"/>
      <c r="F33" s="106"/>
      <c r="G33" s="106"/>
      <c r="H33" s="106"/>
      <c r="I33" s="106"/>
      <c r="J33" s="106"/>
      <c r="K33" s="106"/>
      <c r="L33" s="106"/>
      <c r="M33" s="132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</row>
    <row r="34" spans="1:27">
      <c r="A34" s="80"/>
      <c r="B34" s="80"/>
      <c r="M34" s="82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</row>
    <row r="35" ht="13.95" spans="1:27">
      <c r="A35" s="80"/>
      <c r="B35" s="80"/>
      <c r="M35" s="82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</row>
    <row r="36" spans="1:27">
      <c r="A36" s="80"/>
      <c r="B36" s="80"/>
      <c r="C36" s="186" t="s">
        <v>103</v>
      </c>
      <c r="D36" s="187"/>
      <c r="E36" s="187"/>
      <c r="F36" s="187"/>
      <c r="G36" s="187"/>
      <c r="H36" s="187"/>
      <c r="I36" s="187"/>
      <c r="J36" s="187"/>
      <c r="K36" s="187"/>
      <c r="L36" s="187"/>
      <c r="M36" s="201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</row>
    <row r="37" spans="1:27">
      <c r="A37" s="80"/>
      <c r="B37" s="80"/>
      <c r="C37" s="188"/>
      <c r="D37" s="189"/>
      <c r="E37" s="189"/>
      <c r="F37" s="189"/>
      <c r="G37" s="189"/>
      <c r="H37" s="189"/>
      <c r="I37" s="189"/>
      <c r="J37" s="189"/>
      <c r="K37" s="189"/>
      <c r="L37" s="189"/>
      <c r="M37" s="202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</row>
    <row r="38" s="80" customFormat="1" spans="3:13">
      <c r="C38" s="190"/>
      <c r="D38" s="82"/>
      <c r="E38" s="82"/>
      <c r="F38" s="82"/>
      <c r="G38" s="82"/>
      <c r="H38" s="82"/>
      <c r="I38" s="82"/>
      <c r="J38" s="82"/>
      <c r="K38" s="82"/>
      <c r="L38" s="82"/>
      <c r="M38" s="111"/>
    </row>
    <row r="39" s="80" customFormat="1" spans="3:13">
      <c r="C39" s="190"/>
      <c r="D39" s="82"/>
      <c r="E39" s="82"/>
      <c r="F39" s="82"/>
      <c r="G39" s="82"/>
      <c r="H39" s="82"/>
      <c r="I39" s="82"/>
      <c r="J39" s="82"/>
      <c r="K39" s="82"/>
      <c r="L39" s="82"/>
      <c r="M39" s="111"/>
    </row>
    <row r="40" s="80" customFormat="1" spans="3:13">
      <c r="C40" s="190"/>
      <c r="D40" s="82"/>
      <c r="E40" s="82"/>
      <c r="F40" s="82"/>
      <c r="G40" s="82"/>
      <c r="H40" s="82"/>
      <c r="I40" s="82"/>
      <c r="J40" s="82"/>
      <c r="K40" s="82"/>
      <c r="L40" s="82"/>
      <c r="M40" s="111"/>
    </row>
    <row r="41" s="80" customFormat="1" spans="3:13">
      <c r="C41" s="190"/>
      <c r="D41" s="82"/>
      <c r="E41" s="82"/>
      <c r="F41" s="82"/>
      <c r="G41" s="82"/>
      <c r="H41" s="82"/>
      <c r="I41" s="82"/>
      <c r="J41" s="82"/>
      <c r="K41" s="82"/>
      <c r="L41" s="82"/>
      <c r="M41" s="111"/>
    </row>
    <row r="42" s="80" customFormat="1" spans="3:13">
      <c r="C42" s="190"/>
      <c r="D42" s="82"/>
      <c r="E42" s="82"/>
      <c r="F42" s="82"/>
      <c r="G42" s="82"/>
      <c r="H42" s="82"/>
      <c r="I42" s="82"/>
      <c r="J42" s="82"/>
      <c r="K42" s="82"/>
      <c r="L42" s="82"/>
      <c r="M42" s="111"/>
    </row>
    <row r="43" s="80" customFormat="1" spans="3:13">
      <c r="C43" s="190"/>
      <c r="D43" s="82"/>
      <c r="E43" s="82"/>
      <c r="F43" s="82"/>
      <c r="G43" s="82"/>
      <c r="H43" s="82"/>
      <c r="I43" s="82"/>
      <c r="J43" s="82"/>
      <c r="K43" s="82"/>
      <c r="L43" s="82"/>
      <c r="M43" s="111"/>
    </row>
    <row r="44" s="80" customFormat="1" spans="3:13">
      <c r="C44" s="190"/>
      <c r="D44" s="82"/>
      <c r="E44" s="82"/>
      <c r="F44" s="82"/>
      <c r="G44" s="82"/>
      <c r="H44" s="82"/>
      <c r="I44" s="82"/>
      <c r="J44" s="82"/>
      <c r="K44" s="82"/>
      <c r="L44" s="82"/>
      <c r="M44" s="111"/>
    </row>
    <row r="45" s="80" customFormat="1" spans="3:13">
      <c r="C45" s="190"/>
      <c r="D45" s="82"/>
      <c r="E45" s="82"/>
      <c r="F45" s="82"/>
      <c r="G45" s="82"/>
      <c r="H45" s="82"/>
      <c r="I45" s="82"/>
      <c r="J45" s="82"/>
      <c r="K45" s="82"/>
      <c r="L45" s="82"/>
      <c r="M45" s="111"/>
    </row>
    <row r="46" s="80" customFormat="1" spans="3:13">
      <c r="C46" s="190"/>
      <c r="D46" s="82"/>
      <c r="E46" s="82"/>
      <c r="F46" s="82"/>
      <c r="G46" s="82"/>
      <c r="H46" s="82"/>
      <c r="I46" s="82"/>
      <c r="J46" s="82"/>
      <c r="K46" s="82"/>
      <c r="L46" s="82"/>
      <c r="M46" s="111"/>
    </row>
    <row r="47" s="80" customFormat="1" spans="3:13">
      <c r="C47" s="190"/>
      <c r="D47" s="82"/>
      <c r="E47" s="82"/>
      <c r="F47" s="82"/>
      <c r="G47" s="82"/>
      <c r="H47" s="82"/>
      <c r="I47" s="82"/>
      <c r="J47" s="82"/>
      <c r="K47" s="82"/>
      <c r="L47" s="82"/>
      <c r="M47" s="111"/>
    </row>
    <row r="48" s="80" customFormat="1" spans="3:13">
      <c r="C48" s="190"/>
      <c r="D48" s="82"/>
      <c r="E48" s="82"/>
      <c r="F48" s="82"/>
      <c r="G48" s="82"/>
      <c r="H48" s="82"/>
      <c r="I48" s="82"/>
      <c r="J48" s="82"/>
      <c r="K48" s="82"/>
      <c r="L48" s="82"/>
      <c r="M48" s="111"/>
    </row>
    <row r="49" s="80" customFormat="1" spans="3:13">
      <c r="C49" s="190"/>
      <c r="D49" s="82"/>
      <c r="E49" s="82"/>
      <c r="F49" s="82"/>
      <c r="G49" s="82"/>
      <c r="H49" s="82"/>
      <c r="I49" s="82"/>
      <c r="J49" s="82"/>
      <c r="K49" s="82"/>
      <c r="L49" s="82"/>
      <c r="M49" s="111"/>
    </row>
    <row r="50" s="80" customFormat="1" spans="3:13">
      <c r="C50" s="190"/>
      <c r="D50" s="82"/>
      <c r="E50" s="82"/>
      <c r="F50" s="82"/>
      <c r="G50" s="82"/>
      <c r="H50" s="82"/>
      <c r="I50" s="82"/>
      <c r="J50" s="82"/>
      <c r="K50" s="82"/>
      <c r="L50" s="82"/>
      <c r="M50" s="111"/>
    </row>
    <row r="51" s="80" customFormat="1" spans="3:13">
      <c r="C51" s="190"/>
      <c r="D51" s="82"/>
      <c r="E51" s="82"/>
      <c r="F51" s="82"/>
      <c r="G51" s="82"/>
      <c r="H51" s="82"/>
      <c r="I51" s="82"/>
      <c r="J51" s="82"/>
      <c r="K51" s="82"/>
      <c r="L51" s="82"/>
      <c r="M51" s="111"/>
    </row>
    <row r="52" s="80" customFormat="1" spans="3:13">
      <c r="C52" s="190"/>
      <c r="D52" s="82"/>
      <c r="E52" s="82"/>
      <c r="F52" s="82"/>
      <c r="G52" s="82"/>
      <c r="H52" s="82"/>
      <c r="I52" s="82"/>
      <c r="J52" s="82"/>
      <c r="K52" s="82"/>
      <c r="L52" s="82"/>
      <c r="M52" s="111"/>
    </row>
    <row r="53" s="80" customFormat="1" spans="3:13">
      <c r="C53" s="190"/>
      <c r="D53" s="82"/>
      <c r="E53" s="82"/>
      <c r="F53" s="82"/>
      <c r="G53" s="82"/>
      <c r="H53" s="82"/>
      <c r="I53" s="82"/>
      <c r="J53" s="82"/>
      <c r="K53" s="82"/>
      <c r="L53" s="82"/>
      <c r="M53" s="111"/>
    </row>
    <row r="54" s="80" customFormat="1" spans="3:13">
      <c r="C54" s="190"/>
      <c r="D54" s="82"/>
      <c r="E54" s="82"/>
      <c r="F54" s="82"/>
      <c r="G54" s="82"/>
      <c r="H54" s="82"/>
      <c r="I54" s="82"/>
      <c r="J54" s="82"/>
      <c r="K54" s="82"/>
      <c r="L54" s="82"/>
      <c r="M54" s="111"/>
    </row>
    <row r="55" s="80" customFormat="1" spans="3:13">
      <c r="C55" s="190"/>
      <c r="D55" s="82"/>
      <c r="E55" s="82"/>
      <c r="F55" s="82"/>
      <c r="G55" s="82"/>
      <c r="H55" s="82"/>
      <c r="I55" s="82"/>
      <c r="J55" s="82"/>
      <c r="K55" s="82"/>
      <c r="L55" s="82"/>
      <c r="M55" s="111"/>
    </row>
    <row r="56" s="80" customFormat="1" spans="3:13">
      <c r="C56" s="190"/>
      <c r="D56" s="82"/>
      <c r="E56" s="82"/>
      <c r="F56" s="82"/>
      <c r="G56" s="82"/>
      <c r="H56" s="82"/>
      <c r="I56" s="82"/>
      <c r="J56" s="82"/>
      <c r="K56" s="82"/>
      <c r="L56" s="82"/>
      <c r="M56" s="111"/>
    </row>
    <row r="57" s="80" customFormat="1" spans="3:13">
      <c r="C57" s="190"/>
      <c r="D57" s="82"/>
      <c r="E57" s="82"/>
      <c r="F57" s="82"/>
      <c r="G57" s="82"/>
      <c r="H57" s="82"/>
      <c r="I57" s="82"/>
      <c r="J57" s="82"/>
      <c r="K57" s="82"/>
      <c r="L57" s="82"/>
      <c r="M57" s="111"/>
    </row>
    <row r="58" s="80" customFormat="1" ht="13.95" spans="3:13">
      <c r="C58" s="191"/>
      <c r="D58" s="192"/>
      <c r="E58" s="192"/>
      <c r="F58" s="192"/>
      <c r="G58" s="192"/>
      <c r="H58" s="192"/>
      <c r="I58" s="192"/>
      <c r="J58" s="192"/>
      <c r="K58" s="192"/>
      <c r="L58" s="192"/>
      <c r="M58" s="199"/>
    </row>
    <row r="59" s="80" customFormat="1"/>
    <row r="60" s="80" customFormat="1"/>
    <row r="61" s="80" customFormat="1"/>
    <row r="62" s="80" customFormat="1"/>
    <row r="63" s="80" customFormat="1"/>
    <row r="64" s="80" customFormat="1"/>
    <row r="65" s="80" customFormat="1"/>
    <row r="66" s="80" customFormat="1"/>
    <row r="67" s="80" customFormat="1"/>
    <row r="68" s="80" customFormat="1"/>
    <row r="69" s="80" customFormat="1"/>
    <row r="70" s="80" customFormat="1"/>
    <row r="71" s="80" customFormat="1"/>
    <row r="72" s="80" customFormat="1"/>
    <row r="73" s="80" customFormat="1"/>
    <row r="74" s="80" customFormat="1"/>
    <row r="75" s="80" customFormat="1"/>
    <row r="76" s="80" customFormat="1"/>
    <row r="77" s="80" customFormat="1"/>
    <row r="78" s="80" customFormat="1"/>
    <row r="79" s="80" customFormat="1"/>
    <row r="80" s="80" customFormat="1"/>
    <row r="81" s="80" customFormat="1"/>
    <row r="82" s="80" customFormat="1"/>
    <row r="83" s="80" customFormat="1"/>
    <row r="84" s="80" customFormat="1"/>
    <row r="85" s="80" customFormat="1"/>
    <row r="86" s="80" customFormat="1"/>
    <row r="87" s="80" customFormat="1"/>
    <row r="88" s="80" customFormat="1"/>
    <row r="89" s="80" customFormat="1"/>
    <row r="90" s="80" customFormat="1"/>
    <row r="91" s="80" customFormat="1"/>
    <row r="92" s="80" customFormat="1"/>
    <row r="93" s="80" customFormat="1"/>
    <row r="94" s="80" customFormat="1"/>
    <row r="95" s="80" customFormat="1"/>
    <row r="96" s="80" customFormat="1"/>
    <row r="97" s="80" customFormat="1"/>
    <row r="98" s="80" customFormat="1"/>
    <row r="99" s="80" customFormat="1"/>
    <row r="100" s="80" customFormat="1"/>
    <row r="101" s="80" customFormat="1"/>
    <row r="102" s="80" customFormat="1"/>
    <row r="103" s="80" customFormat="1"/>
    <row r="104" s="80" customFormat="1"/>
    <row r="105" s="80" customFormat="1"/>
    <row r="106" s="80" customFormat="1"/>
    <row r="107" s="80" customFormat="1"/>
    <row r="108" s="80" customFormat="1"/>
    <row r="109" s="80" customFormat="1"/>
    <row r="110" s="80" customFormat="1"/>
    <row r="111" s="80" customFormat="1"/>
    <row r="112" s="80" customFormat="1"/>
    <row r="113" s="80" customFormat="1"/>
    <row r="114" s="80" customFormat="1"/>
    <row r="115" s="80" customFormat="1"/>
    <row r="116" s="80" customFormat="1"/>
    <row r="117" s="80" customFormat="1"/>
    <row r="118" s="80" customFormat="1"/>
    <row r="119" s="80" customFormat="1"/>
    <row r="120" s="80" customFormat="1"/>
    <row r="121" s="80" customFormat="1"/>
    <row r="122" s="80" customFormat="1"/>
    <row r="123" s="80" customFormat="1"/>
    <row r="124" s="80" customFormat="1"/>
    <row r="125" s="80" customFormat="1"/>
    <row r="126" s="80" customFormat="1"/>
    <row r="127" s="80" customFormat="1"/>
    <row r="128" s="80" customFormat="1"/>
    <row r="129" s="80" customFormat="1"/>
    <row r="130" s="80" customFormat="1"/>
    <row r="131" s="80" customFormat="1"/>
    <row r="132" s="80" customFormat="1"/>
    <row r="133" s="80" customFormat="1"/>
    <row r="134" s="80" customFormat="1"/>
    <row r="135" s="80" customFormat="1"/>
    <row r="136" s="80" customFormat="1"/>
    <row r="137" s="80" customFormat="1"/>
    <row r="138" s="80" customFormat="1"/>
    <row r="139" s="80" customFormat="1"/>
    <row r="140" s="80" customFormat="1"/>
    <row r="141" s="80" customFormat="1"/>
    <row r="142" s="80" customFormat="1"/>
    <row r="143" s="80" customFormat="1"/>
    <row r="144" s="80" customFormat="1"/>
    <row r="145" s="80" customFormat="1"/>
    <row r="146" s="80" customFormat="1"/>
    <row r="147" s="80" customFormat="1"/>
    <row r="148" s="80" customFormat="1"/>
    <row r="149" s="80" customFormat="1"/>
    <row r="150" s="80" customFormat="1"/>
    <row r="151" s="80" customFormat="1"/>
    <row r="152" s="80" customFormat="1"/>
    <row r="153" s="80" customFormat="1"/>
    <row r="154" s="80" customFormat="1"/>
    <row r="155" s="80" customFormat="1"/>
    <row r="156" s="80" customFormat="1"/>
    <row r="157" s="80" customFormat="1"/>
    <row r="158" s="80" customFormat="1"/>
    <row r="159" s="80" customFormat="1"/>
    <row r="160" s="80" customFormat="1"/>
    <row r="161" s="80" customFormat="1"/>
    <row r="162" s="80" customFormat="1"/>
    <row r="163" s="80" customFormat="1"/>
    <row r="164" s="80" customFormat="1"/>
    <row r="165" s="80" customFormat="1"/>
    <row r="166" s="80" customFormat="1"/>
    <row r="167" s="80" customFormat="1"/>
    <row r="168" s="80" customFormat="1"/>
    <row r="169" s="80" customFormat="1"/>
    <row r="170" s="80" customFormat="1"/>
    <row r="171" s="80" customFormat="1"/>
    <row r="172" s="80" customFormat="1"/>
    <row r="173" s="80" customFormat="1"/>
    <row r="174" s="80" customFormat="1"/>
    <row r="175" s="80" customFormat="1"/>
    <row r="176" s="80" customFormat="1"/>
    <row r="177" s="80" customFormat="1"/>
    <row r="178" s="80" customFormat="1"/>
    <row r="179" s="80" customFormat="1"/>
    <row r="180" s="80" customFormat="1"/>
    <row r="181" s="80" customFormat="1"/>
    <row r="182" s="80" customFormat="1"/>
    <row r="183" s="80" customFormat="1"/>
    <row r="184" s="80" customFormat="1"/>
    <row r="185" s="80" customFormat="1"/>
    <row r="186" s="80" customFormat="1"/>
    <row r="187" s="80" customFormat="1"/>
    <row r="188" s="80" customFormat="1"/>
    <row r="189" s="80" customFormat="1"/>
    <row r="190" s="80" customFormat="1"/>
    <row r="191" s="80" customFormat="1"/>
    <row r="192" s="80" customFormat="1"/>
    <row r="193" s="80" customFormat="1"/>
    <row r="194" s="80" customFormat="1"/>
    <row r="195" s="80" customFormat="1"/>
    <row r="196" s="80" customFormat="1"/>
    <row r="197" s="80" customFormat="1"/>
    <row r="198" s="80" customFormat="1"/>
    <row r="199" s="80" customFormat="1"/>
    <row r="200" s="80" customFormat="1"/>
    <row r="201" s="80" customFormat="1"/>
    <row r="202" s="80" customFormat="1"/>
    <row r="203" s="80" customFormat="1"/>
    <row r="204" s="80" customFormat="1"/>
    <row r="205" s="80" customFormat="1"/>
    <row r="206" s="80" customFormat="1"/>
    <row r="207" s="80" customFormat="1"/>
    <row r="208" s="80" customFormat="1"/>
    <row r="209" s="80" customFormat="1"/>
    <row r="210" s="80" customFormat="1"/>
    <row r="211" s="80" customFormat="1"/>
    <row r="212" s="80" customFormat="1"/>
    <row r="213" s="80" customFormat="1"/>
    <row r="214" s="80" customFormat="1"/>
    <row r="215" s="80" customFormat="1"/>
    <row r="216" s="80" customFormat="1"/>
    <row r="217" s="80" customFormat="1"/>
    <row r="218" s="80" customFormat="1"/>
    <row r="219" s="80" customFormat="1"/>
    <row r="220" s="80" customFormat="1"/>
    <row r="221" s="80" customFormat="1"/>
    <row r="222" s="80" customFormat="1"/>
    <row r="223" s="80" customFormat="1"/>
    <row r="224" s="80" customFormat="1"/>
    <row r="225" s="80" customFormat="1"/>
    <row r="226" s="80" customFormat="1"/>
    <row r="227" s="80" customFormat="1"/>
    <row r="228" s="80" customFormat="1"/>
    <row r="229" s="80" customFormat="1"/>
    <row r="230" s="80" customFormat="1"/>
    <row r="231" s="80" customFormat="1"/>
    <row r="232" s="80" customFormat="1"/>
    <row r="233" s="80" customFormat="1"/>
    <row r="234" s="80" customFormat="1"/>
    <row r="235" s="80" customFormat="1"/>
    <row r="236" s="80" customFormat="1"/>
    <row r="237" s="80" customFormat="1"/>
    <row r="238" s="80" customFormat="1"/>
    <row r="239" s="80" customFormat="1"/>
    <row r="240" s="80" customFormat="1"/>
    <row r="241" s="80" customFormat="1"/>
    <row r="242" s="80" customFormat="1"/>
    <row r="243" s="80" customFormat="1"/>
    <row r="244" s="80" customFormat="1"/>
    <row r="245" s="80" customFormat="1"/>
    <row r="246" s="80" customFormat="1"/>
    <row r="247" s="80" customFormat="1"/>
    <row r="248" s="80" customFormat="1"/>
    <row r="249" s="80" customFormat="1"/>
    <row r="250" s="80" customFormat="1"/>
    <row r="251" s="80" customFormat="1"/>
    <row r="252" s="80" customFormat="1"/>
    <row r="253" s="80" customFormat="1"/>
    <row r="254" s="80" customFormat="1"/>
    <row r="255" s="80" customFormat="1"/>
    <row r="256" s="80" customFormat="1"/>
    <row r="257" s="80" customFormat="1"/>
    <row r="258" s="80" customFormat="1"/>
    <row r="259" s="80" customFormat="1"/>
    <row r="260" s="80" customFormat="1"/>
    <row r="261" s="80" customFormat="1"/>
    <row r="262" s="80" customFormat="1"/>
    <row r="263" s="80" customFormat="1"/>
    <row r="264" s="80" customFormat="1"/>
    <row r="265" s="80" customFormat="1"/>
    <row r="266" s="80" customFormat="1"/>
    <row r="267" s="80" customFormat="1"/>
    <row r="268" s="80" customFormat="1"/>
    <row r="269" s="80" customFormat="1"/>
    <row r="270" s="80" customFormat="1"/>
    <row r="271" s="80" customFormat="1"/>
    <row r="272" s="80" customFormat="1"/>
    <row r="273" s="80" customFormat="1"/>
    <row r="274" s="80" customFormat="1"/>
    <row r="275" s="80" customFormat="1"/>
    <row r="276" s="80" customFormat="1"/>
    <row r="277" s="80" customFormat="1"/>
    <row r="278" s="80" customFormat="1"/>
    <row r="279" s="80" customFormat="1"/>
    <row r="280" s="80" customFormat="1"/>
    <row r="281" s="80" customFormat="1"/>
    <row r="282" s="80" customFormat="1"/>
  </sheetData>
  <mergeCells count="3">
    <mergeCell ref="C2:M2"/>
    <mergeCell ref="F31:G31"/>
    <mergeCell ref="C36:K37"/>
  </mergeCells>
  <hyperlinks>
    <hyperlink ref="F31" r:id="rId2" display="solar radiation data"/>
    <hyperlink ref="C36" r:id="rId3" display="More info &#10;Source : www.photovoltaic-software.com"/>
    <hyperlink ref="F31:G31" r:id="rId4" display="solar radiation data"/>
  </hyperlinks>
  <pageMargins left="0.75" right="0.75" top="1" bottom="1" header="0.4921259845" footer="0.4921259845"/>
  <pageSetup paperSize="9" scale="82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5" sqref="D5"/>
    </sheetView>
  </sheetViews>
  <sheetFormatPr defaultColWidth="9" defaultRowHeight="14.4" outlineLevelCol="3"/>
  <cols>
    <col min="1" max="1" width="14.4444444444444" customWidth="1"/>
    <col min="2" max="2" width="24.5555555555556" customWidth="1"/>
    <col min="3" max="3" width="35.2222222222222" customWidth="1"/>
    <col min="4" max="4" width="29" customWidth="1"/>
  </cols>
  <sheetData>
    <row r="1" spans="1:2">
      <c r="A1" t="s">
        <v>104</v>
      </c>
      <c r="B1" s="9">
        <f>'Solar PV Grid'!G7</f>
        <v>3055800</v>
      </c>
    </row>
    <row r="2" ht="15.15"/>
    <row r="3" ht="29.55" spans="2:4">
      <c r="B3" s="176" t="s">
        <v>105</v>
      </c>
      <c r="C3" s="177"/>
      <c r="D3" s="178"/>
    </row>
    <row r="4" ht="28.8" spans="2:4">
      <c r="B4" s="179" t="s">
        <v>10</v>
      </c>
      <c r="C4" s="179" t="s">
        <v>106</v>
      </c>
      <c r="D4" s="179" t="s">
        <v>107</v>
      </c>
    </row>
    <row r="5" ht="28.8" spans="2:4">
      <c r="B5" s="180">
        <v>1</v>
      </c>
      <c r="C5" s="181">
        <v>0.2</v>
      </c>
      <c r="D5" s="182">
        <f t="shared" ref="D5:D10" si="0">$B$1*C5</f>
        <v>611160</v>
      </c>
    </row>
    <row r="6" ht="28.8" spans="2:4">
      <c r="B6" s="180">
        <v>2</v>
      </c>
      <c r="C6" s="181">
        <v>0.32</v>
      </c>
      <c r="D6" s="182">
        <f t="shared" si="0"/>
        <v>977856</v>
      </c>
    </row>
    <row r="7" ht="28.8" spans="2:4">
      <c r="B7" s="180">
        <v>3</v>
      </c>
      <c r="C7" s="181">
        <v>0.192</v>
      </c>
      <c r="D7" s="182">
        <f t="shared" si="0"/>
        <v>586713.6</v>
      </c>
    </row>
    <row r="8" ht="28.8" spans="2:4">
      <c r="B8" s="180">
        <v>4</v>
      </c>
      <c r="C8" s="183">
        <v>0.1152</v>
      </c>
      <c r="D8" s="182">
        <f t="shared" si="0"/>
        <v>352028.16</v>
      </c>
    </row>
    <row r="9" ht="28.8" spans="2:4">
      <c r="B9" s="180">
        <v>5</v>
      </c>
      <c r="C9" s="181">
        <v>0.1152</v>
      </c>
      <c r="D9" s="182">
        <f t="shared" si="0"/>
        <v>352028.16</v>
      </c>
    </row>
    <row r="10" ht="28.8" spans="2:4">
      <c r="B10" s="180">
        <v>6</v>
      </c>
      <c r="C10" s="181">
        <v>0.0576</v>
      </c>
      <c r="D10" s="182">
        <f t="shared" si="0"/>
        <v>176014.08</v>
      </c>
    </row>
    <row r="11" spans="2:3">
      <c r="B11" s="13"/>
      <c r="C11" s="13"/>
    </row>
    <row r="12" spans="2:3">
      <c r="B12" s="13"/>
      <c r="C12" s="13"/>
    </row>
    <row r="13" spans="2:3">
      <c r="B13" s="13"/>
      <c r="C13" s="13"/>
    </row>
    <row r="14" spans="2:3">
      <c r="B14" s="13"/>
      <c r="C14" s="13"/>
    </row>
    <row r="15" spans="2:3">
      <c r="B15" s="13"/>
      <c r="C15" s="13"/>
    </row>
    <row r="16" spans="2:3">
      <c r="B16" s="13"/>
      <c r="C16" s="13"/>
    </row>
    <row r="17" spans="2:3">
      <c r="B17" s="13"/>
      <c r="C17" s="13"/>
    </row>
    <row r="18" spans="2:3">
      <c r="B18" s="13"/>
      <c r="C18" s="13"/>
    </row>
    <row r="19" spans="2:3">
      <c r="B19" s="13"/>
      <c r="C19" s="13"/>
    </row>
    <row r="20" spans="2:3">
      <c r="B20" s="13"/>
      <c r="C20" s="13"/>
    </row>
    <row r="21" spans="2:3">
      <c r="B21" s="13"/>
      <c r="C21" s="13"/>
    </row>
    <row r="22" spans="2:3">
      <c r="B22" s="13"/>
      <c r="C22" s="13"/>
    </row>
    <row r="23" spans="2:3">
      <c r="B23" s="13"/>
      <c r="C23" s="13"/>
    </row>
    <row r="24" spans="2:3">
      <c r="B24" s="13"/>
      <c r="C24" s="13"/>
    </row>
    <row r="25" spans="2:3">
      <c r="B25" s="13"/>
      <c r="C25" s="13"/>
    </row>
    <row r="26" spans="2:3">
      <c r="B26" s="13"/>
      <c r="C26" s="13"/>
    </row>
    <row r="27" spans="2:3">
      <c r="B27" s="13"/>
      <c r="C27" s="13"/>
    </row>
    <row r="28" spans="2:3">
      <c r="B28" s="13"/>
      <c r="C28" s="13"/>
    </row>
    <row r="29" spans="2:3">
      <c r="B29" s="13"/>
      <c r="C29" s="13"/>
    </row>
    <row r="30" spans="2:3">
      <c r="B30" s="13"/>
      <c r="C30" s="13"/>
    </row>
    <row r="31" spans="2:3">
      <c r="B31" s="13"/>
      <c r="C31" s="13"/>
    </row>
    <row r="32" spans="2:3">
      <c r="B32" s="13"/>
      <c r="C32" s="13"/>
    </row>
    <row r="33" spans="2:3">
      <c r="B33" s="13"/>
      <c r="C33" s="13"/>
    </row>
    <row r="34" spans="2:3">
      <c r="B34" s="13"/>
      <c r="C34" s="13"/>
    </row>
  </sheetData>
  <mergeCells count="1">
    <mergeCell ref="B3:D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M12" sqref="M12"/>
    </sheetView>
  </sheetViews>
  <sheetFormatPr defaultColWidth="9" defaultRowHeight="15" customHeight="1" outlineLevelCol="7"/>
  <cols>
    <col min="1" max="1" width="34" customWidth="1"/>
    <col min="2" max="2" width="14.3333333333333" customWidth="1"/>
    <col min="3" max="4" width="14.6666666666667" customWidth="1"/>
    <col min="5" max="5" width="15.3333333333333" hidden="1" customWidth="1"/>
    <col min="8" max="8" width="11.6666666666667" customWidth="1"/>
  </cols>
  <sheetData>
    <row r="1" ht="14.4" spans="1:2">
      <c r="A1" t="s">
        <v>108</v>
      </c>
      <c r="B1" s="9">
        <f>'Solar PV Grid'!G7</f>
        <v>3055800</v>
      </c>
    </row>
    <row r="2" ht="14.4" spans="1:2">
      <c r="A2" t="s">
        <v>109</v>
      </c>
      <c r="B2" s="9">
        <f>'Solar PV Grid'!G10</f>
        <v>50000</v>
      </c>
    </row>
    <row r="3" ht="14.4" spans="1:2">
      <c r="A3" t="s">
        <v>110</v>
      </c>
      <c r="B3" s="9">
        <f>'Solar PV Grid'!G16</f>
        <v>13140</v>
      </c>
    </row>
    <row r="4" ht="14.4" spans="1:2">
      <c r="A4" t="s">
        <v>111</v>
      </c>
      <c r="B4" s="9">
        <f>Energy!M11</f>
        <v>641985.118416217</v>
      </c>
    </row>
    <row r="5" ht="14.4" spans="1:2">
      <c r="A5" t="s">
        <v>112</v>
      </c>
      <c r="B5" s="10">
        <v>0.06</v>
      </c>
    </row>
    <row r="6" ht="14.4" hidden="1" spans="1:2">
      <c r="A6" t="s">
        <v>112</v>
      </c>
      <c r="B6" s="10">
        <v>0.11</v>
      </c>
    </row>
    <row r="7" ht="14.4" spans="1:1">
      <c r="A7" s="11" t="s">
        <v>113</v>
      </c>
    </row>
    <row r="8" ht="14.4" spans="1:1">
      <c r="A8">
        <v>1.06</v>
      </c>
    </row>
    <row r="9" ht="14.4" spans="1:2">
      <c r="A9" s="12">
        <f>(B1/(B3+B4-B2))*0.06</f>
        <v>0.302991884521127</v>
      </c>
      <c r="B9" s="13"/>
    </row>
    <row r="10" ht="14.4" spans="1:1">
      <c r="A10" s="14">
        <f>1-A9</f>
        <v>0.697008115478873</v>
      </c>
    </row>
    <row r="11" ht="14.4" spans="1:1">
      <c r="A11" s="14">
        <f>1/A10</f>
        <v>1.43470352466837</v>
      </c>
    </row>
    <row r="13" ht="14.4" spans="1:1">
      <c r="A13" t="s">
        <v>114</v>
      </c>
    </row>
    <row r="14" ht="14.4" spans="1:5">
      <c r="A14" s="15" t="s">
        <v>115</v>
      </c>
      <c r="B14" s="16">
        <f>LN(A11)/LN(A8)</f>
        <v>6.19469690558975</v>
      </c>
      <c r="C14" s="13"/>
      <c r="D14" s="13"/>
      <c r="E14" s="17">
        <f>LN(1.2055)</f>
        <v>0.186894418639089</v>
      </c>
    </row>
    <row r="15" ht="14.4" spans="2:5">
      <c r="B15" s="18"/>
      <c r="C15" s="13"/>
      <c r="D15" s="13"/>
      <c r="E15" s="19">
        <f>LN(1.06)</f>
        <v>0.0582689081239758</v>
      </c>
    </row>
    <row r="16" ht="14.4" spans="1:4">
      <c r="A16" s="20"/>
      <c r="C16" s="13"/>
      <c r="D16" s="13"/>
    </row>
    <row r="17" ht="14.4" spans="2:4">
      <c r="B17" s="17"/>
      <c r="C17" s="13"/>
      <c r="D17" s="13"/>
    </row>
    <row r="18" ht="14.4" spans="3:4">
      <c r="C18" s="13"/>
      <c r="D18" s="13"/>
    </row>
    <row r="20" ht="14.4" spans="2:5">
      <c r="B20" s="2" t="str">
        <f>'Solar PV Grid'!I6</f>
        <v>N</v>
      </c>
      <c r="C20" s="2" t="s">
        <v>116</v>
      </c>
      <c r="D20" s="2" t="s">
        <v>117</v>
      </c>
      <c r="E20" t="s">
        <v>118</v>
      </c>
    </row>
    <row r="21" ht="14.4" spans="2:5">
      <c r="B21" s="2">
        <f>'Solar PV Grid'!I7</f>
        <v>0</v>
      </c>
      <c r="C21" s="3">
        <f>-$B$1+(($B$4+$B$3)*(((1+$B$5)^B21)-1)/($B$5*(1+$B$5)^B21))-($B$2*(((1+$B$5)^B21)-1)/($B$5*(1+$B$5)^B21))</f>
        <v>-3055800</v>
      </c>
      <c r="D21" s="3">
        <f>$B$1</f>
        <v>3055800</v>
      </c>
      <c r="E21" s="13">
        <f>-$B$1+($B$4*(((1+$B$6)^B21)-1)/($B$6*(1+$B$6)^B21))-($B$2*(((1+$B$6)^B21)-1)/($B$6*(1+$B$6)^B21))</f>
        <v>-3055800</v>
      </c>
    </row>
    <row r="22" ht="14.4" spans="2:5">
      <c r="B22" s="2">
        <f>'Solar PV Grid'!I8</f>
        <v>1</v>
      </c>
      <c r="C22" s="3">
        <f>-$B$1+(($B$4+$B$3)*(((1+$B$5)^B22)-1)/($B$5*(1+$B$5)^B22))-($B$2*(((1+$B$5)^B22)-1)/($B$5*(1+$B$5)^B22))</f>
        <v>-2484927.24677715</v>
      </c>
      <c r="D22" s="3">
        <f>$B$2</f>
        <v>50000</v>
      </c>
      <c r="E22" s="13">
        <f t="shared" ref="E22:E46" si="0">-$B$1+($B$4*(((1+$B$6)^B22)-1)/($B$6*(1+$B$6)^B22))-($B$2*(((1+$B$6)^B22)-1)/($B$6*(1+$B$6)^B22))</f>
        <v>-2522480.0734989</v>
      </c>
    </row>
    <row r="23" ht="14.4" spans="2:5">
      <c r="B23" s="2">
        <f>'Solar PV Grid'!I9</f>
        <v>2</v>
      </c>
      <c r="C23" s="3">
        <f t="shared" ref="C23:C46" si="1">-$B$1+(($B$4+$B$3)*(((1+$B$5)^B23)-1)/($B$5*(1+$B$5)^B23))-($B$2*(((1+$B$5)^B23)-1)/($B$5*(1+$B$5)^B23))</f>
        <v>-1946368.04562352</v>
      </c>
      <c r="D23" s="3">
        <f t="shared" ref="D23:D46" si="2">$B$2</f>
        <v>50000</v>
      </c>
      <c r="E23" s="13">
        <f t="shared" si="0"/>
        <v>-2042011.67124566</v>
      </c>
    </row>
    <row r="24" ht="14.4" spans="2:8">
      <c r="B24" s="2">
        <f>'Solar PV Grid'!I10</f>
        <v>3</v>
      </c>
      <c r="C24" s="3">
        <f t="shared" si="1"/>
        <v>-1438293.32755406</v>
      </c>
      <c r="D24" s="3">
        <f t="shared" si="2"/>
        <v>50000</v>
      </c>
      <c r="E24" s="13">
        <f t="shared" si="0"/>
        <v>-1609157.2548013</v>
      </c>
      <c r="H24" s="21"/>
    </row>
    <row r="25" ht="14.4" spans="2:5">
      <c r="B25" s="2">
        <f>'Solar PV Grid'!I11</f>
        <v>4</v>
      </c>
      <c r="C25" s="3">
        <f t="shared" si="1"/>
        <v>-958977.55579042</v>
      </c>
      <c r="D25" s="3">
        <f t="shared" si="2"/>
        <v>50000</v>
      </c>
      <c r="E25" s="13">
        <f t="shared" si="0"/>
        <v>-1219198.32106764</v>
      </c>
    </row>
    <row r="26" ht="14.4" spans="2:5">
      <c r="B26" s="2">
        <f>'Solar PV Grid'!I12</f>
        <v>5</v>
      </c>
      <c r="C26" s="3">
        <f t="shared" si="1"/>
        <v>-506792.86544736</v>
      </c>
      <c r="D26" s="3">
        <f t="shared" si="2"/>
        <v>50000</v>
      </c>
      <c r="E26" s="13">
        <f t="shared" si="0"/>
        <v>-867883.966352637</v>
      </c>
    </row>
    <row r="27" ht="14.4" spans="2:5">
      <c r="B27" s="2">
        <f>'Solar PV Grid'!I13</f>
        <v>6</v>
      </c>
      <c r="C27" s="3">
        <f t="shared" si="1"/>
        <v>-80203.5349350406</v>
      </c>
      <c r="D27" s="3">
        <f t="shared" si="2"/>
        <v>50000</v>
      </c>
      <c r="E27" s="13">
        <f t="shared" si="0"/>
        <v>-551384.547690468</v>
      </c>
    </row>
    <row r="28" ht="14.4" spans="2:5">
      <c r="B28" s="2">
        <f>'Solar PV Grid'!I14</f>
        <v>7</v>
      </c>
      <c r="C28" s="3">
        <f t="shared" si="1"/>
        <v>322239.229699224</v>
      </c>
      <c r="D28" s="3">
        <f t="shared" si="2"/>
        <v>50000</v>
      </c>
      <c r="E28" s="13">
        <f t="shared" si="0"/>
        <v>-266249.936283109</v>
      </c>
    </row>
    <row r="29" ht="14.4" spans="2:5">
      <c r="B29" s="2">
        <f>'Solar PV Grid'!I15</f>
        <v>8</v>
      </c>
      <c r="C29" s="3">
        <f t="shared" si="1"/>
        <v>701902.215203246</v>
      </c>
      <c r="D29" s="3">
        <f t="shared" si="2"/>
        <v>50000</v>
      </c>
      <c r="E29" s="13">
        <f t="shared" si="0"/>
        <v>-9371.90798819033</v>
      </c>
    </row>
    <row r="30" ht="14.4" spans="2:5">
      <c r="B30" s="2">
        <f>'Solar PV Grid'!I16</f>
        <v>9</v>
      </c>
      <c r="C30" s="3">
        <f t="shared" si="1"/>
        <v>1060074.84303723</v>
      </c>
      <c r="D30" s="3">
        <f t="shared" si="2"/>
        <v>50000</v>
      </c>
      <c r="E30" s="13">
        <f t="shared" si="0"/>
        <v>222049.739124348</v>
      </c>
    </row>
    <row r="31" ht="14.4" spans="2:5">
      <c r="B31" s="2">
        <f>'Solar PV Grid'!I17</f>
        <v>10</v>
      </c>
      <c r="C31" s="3">
        <f t="shared" si="1"/>
        <v>1397973.54854099</v>
      </c>
      <c r="D31" s="3">
        <f t="shared" si="2"/>
        <v>50000</v>
      </c>
      <c r="E31" s="13">
        <f t="shared" si="0"/>
        <v>430537.709496005</v>
      </c>
    </row>
    <row r="32" ht="14.4" spans="2:5">
      <c r="B32" s="2">
        <f>'Solar PV Grid'!I18</f>
        <v>11</v>
      </c>
      <c r="C32" s="3">
        <f t="shared" si="1"/>
        <v>1716745.91222378</v>
      </c>
      <c r="D32" s="3">
        <f t="shared" si="2"/>
        <v>50000</v>
      </c>
      <c r="E32" s="13">
        <f t="shared" si="0"/>
        <v>618364.709830831</v>
      </c>
    </row>
    <row r="33" ht="14.4" spans="2:5">
      <c r="B33" s="2">
        <f>'Solar PV Grid'!I19</f>
        <v>12</v>
      </c>
      <c r="C33" s="3">
        <f t="shared" si="1"/>
        <v>2017474.55720754</v>
      </c>
      <c r="D33" s="3">
        <f t="shared" si="2"/>
        <v>50000</v>
      </c>
      <c r="E33" s="13">
        <f t="shared" si="0"/>
        <v>787578.22364599</v>
      </c>
    </row>
    <row r="34" ht="14.4" spans="2:5">
      <c r="B34" s="2">
        <f>'Solar PV Grid'!I20</f>
        <v>13</v>
      </c>
      <c r="C34" s="3">
        <f t="shared" si="1"/>
        <v>2301180.82606015</v>
      </c>
      <c r="D34" s="3">
        <f t="shared" si="2"/>
        <v>50000</v>
      </c>
      <c r="E34" s="13">
        <f t="shared" si="0"/>
        <v>940022.830686672</v>
      </c>
    </row>
    <row r="35" ht="14.4" spans="2:5">
      <c r="B35" s="2">
        <f>'Solar PV Grid'!I21</f>
        <v>14</v>
      </c>
      <c r="C35" s="3">
        <f t="shared" si="1"/>
        <v>2568828.24950601</v>
      </c>
      <c r="D35" s="3">
        <f t="shared" si="2"/>
        <v>50000</v>
      </c>
      <c r="E35" s="13">
        <f t="shared" si="0"/>
        <v>1077360.31450711</v>
      </c>
    </row>
    <row r="36" ht="14.4" spans="2:5">
      <c r="B36" s="2">
        <f>'Solar PV Grid'!I22</f>
        <v>15</v>
      </c>
      <c r="C36" s="3">
        <f t="shared" si="1"/>
        <v>2821325.81879455</v>
      </c>
      <c r="D36" s="3">
        <f t="shared" si="2"/>
        <v>50000</v>
      </c>
      <c r="E36" s="13">
        <f t="shared" si="0"/>
        <v>1201087.7774084</v>
      </c>
    </row>
    <row r="37" ht="14.4" spans="2:5">
      <c r="B37" s="2">
        <f>'Solar PV Grid'!I23</f>
        <v>16</v>
      </c>
      <c r="C37" s="3">
        <f t="shared" si="1"/>
        <v>3059531.07284035</v>
      </c>
      <c r="D37" s="3">
        <f t="shared" si="2"/>
        <v>50000</v>
      </c>
      <c r="E37" s="13">
        <f t="shared" si="0"/>
        <v>1312553.96020236</v>
      </c>
    </row>
    <row r="38" ht="14.4" spans="2:5">
      <c r="B38" s="2">
        <f>'Solar PV Grid'!I24</f>
        <v>17</v>
      </c>
      <c r="C38" s="3">
        <f t="shared" si="1"/>
        <v>3284253.0106194</v>
      </c>
      <c r="D38" s="3">
        <f t="shared" si="2"/>
        <v>50000</v>
      </c>
      <c r="E38" s="13">
        <f t="shared" si="0"/>
        <v>1412973.94470142</v>
      </c>
    </row>
    <row r="39" ht="14.4" spans="2:5">
      <c r="B39" s="2">
        <f>'Solar PV Grid'!I25</f>
        <v>18</v>
      </c>
      <c r="C39" s="3">
        <f t="shared" si="1"/>
        <v>3496254.83871285</v>
      </c>
      <c r="D39" s="3">
        <f t="shared" si="2"/>
        <v>50000</v>
      </c>
      <c r="E39" s="13">
        <f t="shared" si="0"/>
        <v>1503442.39920508</v>
      </c>
    </row>
    <row r="40" ht="14.4" spans="2:5">
      <c r="B40" s="2">
        <f>'Solar PV Grid'!I26</f>
        <v>19</v>
      </c>
      <c r="C40" s="3">
        <f t="shared" si="1"/>
        <v>3696256.56332931</v>
      </c>
      <c r="D40" s="3">
        <f t="shared" si="2"/>
        <v>50000</v>
      </c>
      <c r="E40" s="13">
        <f t="shared" si="0"/>
        <v>1584945.51137054</v>
      </c>
    </row>
    <row r="41" ht="14.4" spans="2:5">
      <c r="B41" s="2">
        <f>'Solar PV Grid'!I27</f>
        <v>20</v>
      </c>
      <c r="C41" s="3">
        <f t="shared" si="1"/>
        <v>3884937.43560899</v>
      </c>
      <c r="D41" s="3">
        <f t="shared" si="2"/>
        <v>50000</v>
      </c>
      <c r="E41" s="13">
        <f t="shared" si="0"/>
        <v>1658371.73854662</v>
      </c>
    </row>
    <row r="42" ht="14.4" spans="2:5">
      <c r="B42" s="2">
        <f>'Solar PV Grid'!I28</f>
        <v>21</v>
      </c>
      <c r="C42" s="3">
        <f t="shared" si="1"/>
        <v>4062938.25851434</v>
      </c>
      <c r="D42" s="3">
        <f t="shared" si="2"/>
        <v>50000</v>
      </c>
      <c r="E42" s="13">
        <f t="shared" si="0"/>
        <v>1724521.49275932</v>
      </c>
    </row>
    <row r="43" ht="14.4" spans="2:5">
      <c r="B43" s="2">
        <f>'Solar PV Grid'!I29</f>
        <v>22</v>
      </c>
      <c r="C43" s="3">
        <f t="shared" si="1"/>
        <v>4230863.56314204</v>
      </c>
      <c r="D43" s="3">
        <f t="shared" si="2"/>
        <v>50000</v>
      </c>
      <c r="E43" s="13">
        <f t="shared" si="0"/>
        <v>1784115.8659239</v>
      </c>
    </row>
    <row r="44" ht="14.4" spans="2:5">
      <c r="B44" s="2">
        <f>'Solar PV Grid'!I30</f>
        <v>23</v>
      </c>
      <c r="C44" s="3">
        <f t="shared" si="1"/>
        <v>4389283.66184741</v>
      </c>
      <c r="D44" s="3">
        <f t="shared" si="2"/>
        <v>50000</v>
      </c>
      <c r="E44" s="13">
        <f t="shared" si="0"/>
        <v>1837804.49039651</v>
      </c>
    </row>
    <row r="45" ht="14.4" spans="2:5">
      <c r="B45" s="2">
        <f>'Solar PV Grid'!I31</f>
        <v>24</v>
      </c>
      <c r="C45" s="3">
        <f t="shared" si="1"/>
        <v>4538736.58515436</v>
      </c>
      <c r="D45" s="3">
        <f t="shared" si="2"/>
        <v>50000</v>
      </c>
      <c r="E45" s="13">
        <f t="shared" si="0"/>
        <v>1886172.620552</v>
      </c>
    </row>
    <row r="46" ht="14.4" spans="2:5">
      <c r="B46" s="2">
        <f>'Solar PV Grid'!I32</f>
        <v>25</v>
      </c>
      <c r="C46" s="3">
        <f t="shared" si="1"/>
        <v>4679729.90902885</v>
      </c>
      <c r="D46" s="3">
        <f t="shared" si="2"/>
        <v>50000</v>
      </c>
      <c r="E46" s="13">
        <f t="shared" si="0"/>
        <v>1929747.51258398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4" workbookViewId="0">
      <selection activeCell="M5" sqref="M5"/>
    </sheetView>
  </sheetViews>
  <sheetFormatPr defaultColWidth="9" defaultRowHeight="14.4" outlineLevelCol="6"/>
  <cols>
    <col min="1" max="1" width="29.5555555555556" customWidth="1"/>
    <col min="2" max="2" width="17.1111111111111" customWidth="1"/>
    <col min="3" max="3" width="18.3333333333333" customWidth="1"/>
    <col min="4" max="4" width="18" customWidth="1"/>
    <col min="5" max="5" width="14.4444444444444" customWidth="1"/>
    <col min="6" max="6" width="14.7777777777778" customWidth="1"/>
    <col min="7" max="7" width="16.2222222222222" customWidth="1"/>
  </cols>
  <sheetData>
    <row r="1" spans="1:2">
      <c r="A1" t="s">
        <v>119</v>
      </c>
      <c r="B1" s="9">
        <f>'Solar PV Grid'!G7</f>
        <v>3055800</v>
      </c>
    </row>
    <row r="2" spans="1:2">
      <c r="A2" t="s">
        <v>120</v>
      </c>
      <c r="B2" s="9">
        <f>'Solar PV Grid'!G10</f>
        <v>50000</v>
      </c>
    </row>
    <row r="3" spans="1:2">
      <c r="A3" t="s">
        <v>82</v>
      </c>
      <c r="B3" s="9">
        <f>'Solar PV Grid'!G13</f>
        <v>641985.118416217</v>
      </c>
    </row>
    <row r="4" spans="1:2">
      <c r="A4" t="s">
        <v>121</v>
      </c>
      <c r="B4" s="9">
        <f>'Solar PV Grid'!G16</f>
        <v>13140</v>
      </c>
    </row>
    <row r="5" spans="1:2">
      <c r="A5" t="s">
        <v>122</v>
      </c>
      <c r="B5">
        <v>25</v>
      </c>
    </row>
    <row r="6" spans="1:2">
      <c r="A6" t="s">
        <v>6</v>
      </c>
      <c r="B6">
        <v>0.06</v>
      </c>
    </row>
    <row r="8" ht="28.8" spans="1:7">
      <c r="A8" s="171" t="s">
        <v>123</v>
      </c>
      <c r="B8" s="171" t="s">
        <v>119</v>
      </c>
      <c r="C8" s="172" t="s">
        <v>124</v>
      </c>
      <c r="D8" s="172" t="str">
        <f>A2</f>
        <v>Annaul Maintenance Cost</v>
      </c>
      <c r="E8" s="171" t="str">
        <f>A6</f>
        <v>MARR</v>
      </c>
      <c r="F8" s="173"/>
      <c r="G8" s="173"/>
    </row>
    <row r="9" spans="1:6">
      <c r="A9" s="174">
        <v>-0.8</v>
      </c>
      <c r="B9" s="3">
        <f>-$B$1*(1+A9)+PV($B$6,$B$5,-($B$3+$B$4-$B$2))</f>
        <v>7124369.90902885</v>
      </c>
      <c r="C9" s="3">
        <f>-$B$1+PV($B$6,$B$5,-((($B$3+$B$4)*(1+A9))-$B$2))</f>
        <v>-2020028.26452497</v>
      </c>
      <c r="D9" s="3">
        <f>-$B$1+PV($B$6,$B$5,-(($B$3+$B$4)-($B$2*(1+A9))))</f>
        <v>5191064.15535959</v>
      </c>
      <c r="E9" s="3">
        <f>-$B$1+PV($B$6*(1+A9),$B$5,-(($B$3+$B$4)-$B$2))</f>
        <v>9947214.13606873</v>
      </c>
      <c r="F9" s="175"/>
    </row>
    <row r="10" spans="1:6">
      <c r="A10" s="174">
        <v>-0.7</v>
      </c>
      <c r="B10" s="3">
        <f t="shared" ref="B10:B12" si="0">-$B$1*(1+A10)+PV($B$6,$B$5,-($B$3+$B$4-$B$2))</f>
        <v>6818789.90902885</v>
      </c>
      <c r="C10" s="3">
        <f t="shared" ref="C10:C12" si="1">-$B$1+PV($B$6,$B$5,-((($B$3+$B$4)*(1+A10))-$B$2))</f>
        <v>-1182558.49283074</v>
      </c>
      <c r="D10" s="3">
        <f t="shared" ref="D10:D12" si="2">-$B$1+PV($B$6,$B$5,-(($B$3+$B$4)-($B$2*(1+A10))))</f>
        <v>5127147.37456825</v>
      </c>
      <c r="E10" s="3">
        <f t="shared" ref="E10:E25" si="3">-$B$1+PV($B$6*(1+A10),$B$5,-(($B$3+$B$4)-$B$2))</f>
        <v>9040480.25717739</v>
      </c>
      <c r="F10" s="175"/>
    </row>
    <row r="11" spans="1:6">
      <c r="A11" s="174">
        <v>-0.6</v>
      </c>
      <c r="B11" s="3">
        <f>-$B$1*(1+A11)+PV($B$6,$B$5,-($B$3+$B$4-$B$2))</f>
        <v>6513209.90902885</v>
      </c>
      <c r="C11" s="3">
        <f t="shared" si="1"/>
        <v>-345088.721136512</v>
      </c>
      <c r="D11" s="3">
        <f t="shared" si="2"/>
        <v>5063230.5937769</v>
      </c>
      <c r="E11" s="3">
        <f t="shared" si="3"/>
        <v>8221846.54850521</v>
      </c>
      <c r="F11" s="175"/>
    </row>
    <row r="12" spans="1:6">
      <c r="A12" s="174">
        <v>-0.5</v>
      </c>
      <c r="B12" s="3">
        <f t="shared" si="0"/>
        <v>6207629.90902885</v>
      </c>
      <c r="C12" s="3">
        <f t="shared" si="1"/>
        <v>492381.050557715</v>
      </c>
      <c r="D12" s="3">
        <f t="shared" si="2"/>
        <v>4999313.81298556</v>
      </c>
      <c r="E12" s="3">
        <f t="shared" si="3"/>
        <v>7481333.05868368</v>
      </c>
      <c r="F12" s="175"/>
    </row>
    <row r="13" spans="1:6">
      <c r="A13" s="174">
        <v>-0.4</v>
      </c>
      <c r="B13" s="3">
        <f>-$B$1*(1+A13)+PV($B$6,$B$5,-($B$3+$B$4-$B$2))</f>
        <v>5902049.90902885</v>
      </c>
      <c r="C13" s="3">
        <f>-$B$1+PV($B$6,$B$5,-((($B$3+$B$4)*(1+A13))-$B$2))</f>
        <v>1329850.82225194</v>
      </c>
      <c r="D13" s="3">
        <f>-$B$1+PV($B$6,$B$5,-(($B$3+$B$4)-($B$2*(1+A13))))</f>
        <v>4935397.03219422</v>
      </c>
      <c r="E13" s="3">
        <f t="shared" si="3"/>
        <v>6810205.01839612</v>
      </c>
      <c r="F13" s="175"/>
    </row>
    <row r="14" spans="1:6">
      <c r="A14" s="174">
        <v>-0.3</v>
      </c>
      <c r="B14" s="3">
        <f t="shared" ref="B14:B25" si="4">-$B$1*(1+A14)+PV($B$6,$B$5,-($B$3+$B$4-$B$2))</f>
        <v>5596469.90902885</v>
      </c>
      <c r="C14" s="3">
        <f t="shared" ref="C14:C25" si="5">-$B$1+PV($B$6,$B$5,-((($B$3+$B$4)*(1+A14))-$B$2))</f>
        <v>2167320.59394617</v>
      </c>
      <c r="D14" s="3">
        <f t="shared" ref="D14:D25" si="6">-$B$1+PV($B$6,$B$5,-(($B$3+$B$4)-($B$2*(1+A14))))</f>
        <v>4871480.25140288</v>
      </c>
      <c r="E14" s="3">
        <f t="shared" si="3"/>
        <v>6200806.10195305</v>
      </c>
      <c r="F14" s="175"/>
    </row>
    <row r="15" spans="1:6">
      <c r="A15" s="174">
        <v>-0.2</v>
      </c>
      <c r="B15" s="3">
        <f t="shared" si="4"/>
        <v>5290889.90902885</v>
      </c>
      <c r="C15" s="3">
        <f t="shared" si="5"/>
        <v>3004790.3656404</v>
      </c>
      <c r="D15" s="3">
        <f t="shared" si="6"/>
        <v>4807563.47061154</v>
      </c>
      <c r="E15" s="3">
        <f t="shared" si="3"/>
        <v>5646415.31242485</v>
      </c>
      <c r="F15" s="175"/>
    </row>
    <row r="16" spans="1:6">
      <c r="A16" s="174">
        <v>-0.1</v>
      </c>
      <c r="B16" s="3">
        <f t="shared" si="4"/>
        <v>4985309.90902885</v>
      </c>
      <c r="C16" s="3">
        <f t="shared" si="5"/>
        <v>3842260.13733462</v>
      </c>
      <c r="D16" s="3">
        <f t="shared" si="6"/>
        <v>4743646.68982019</v>
      </c>
      <c r="E16" s="3">
        <f t="shared" si="3"/>
        <v>5141123.98026409</v>
      </c>
      <c r="F16" s="175"/>
    </row>
    <row r="17" spans="1:6">
      <c r="A17" s="174">
        <v>0</v>
      </c>
      <c r="B17" s="3">
        <f t="shared" si="4"/>
        <v>4679729.90902885</v>
      </c>
      <c r="C17" s="3">
        <f t="shared" si="5"/>
        <v>4679729.90902885</v>
      </c>
      <c r="D17" s="3">
        <f t="shared" si="6"/>
        <v>4679729.90902885</v>
      </c>
      <c r="E17" s="3">
        <f t="shared" si="3"/>
        <v>4679729.90902885</v>
      </c>
      <c r="F17" s="175"/>
    </row>
    <row r="18" spans="1:6">
      <c r="A18" s="174">
        <v>0.1</v>
      </c>
      <c r="B18" s="3">
        <f t="shared" si="4"/>
        <v>4374149.90902885</v>
      </c>
      <c r="C18" s="3">
        <f t="shared" si="5"/>
        <v>5517199.68072308</v>
      </c>
      <c r="D18" s="3">
        <f t="shared" si="6"/>
        <v>4615813.12823751</v>
      </c>
      <c r="E18" s="3">
        <f t="shared" si="3"/>
        <v>4257646.15809003</v>
      </c>
      <c r="F18" s="175"/>
    </row>
    <row r="19" spans="1:6">
      <c r="A19" s="174">
        <v>0.2</v>
      </c>
      <c r="B19" s="3">
        <f t="shared" si="4"/>
        <v>4068569.90902885</v>
      </c>
      <c r="C19" s="3">
        <f t="shared" si="5"/>
        <v>6354669.4524173</v>
      </c>
      <c r="D19" s="3">
        <f t="shared" si="6"/>
        <v>4551896.34744617</v>
      </c>
      <c r="E19" s="3">
        <f t="shared" si="3"/>
        <v>3870822.33560872</v>
      </c>
      <c r="F19" s="175"/>
    </row>
    <row r="20" spans="1:6">
      <c r="A20" s="174">
        <v>0.3</v>
      </c>
      <c r="B20" s="3">
        <f t="shared" si="4"/>
        <v>3762989.90902885</v>
      </c>
      <c r="C20" s="3">
        <f t="shared" si="5"/>
        <v>7192139.22411153</v>
      </c>
      <c r="D20" s="3">
        <f t="shared" si="6"/>
        <v>4487979.56665482</v>
      </c>
      <c r="E20" s="3">
        <f t="shared" si="3"/>
        <v>3515676.59764551</v>
      </c>
      <c r="F20" s="175"/>
    </row>
    <row r="21" spans="1:6">
      <c r="A21" s="174">
        <v>0.4</v>
      </c>
      <c r="B21" s="3">
        <f t="shared" si="4"/>
        <v>3457409.90902885</v>
      </c>
      <c r="C21" s="3">
        <f t="shared" si="5"/>
        <v>8029608.99580576</v>
      </c>
      <c r="D21" s="3">
        <f t="shared" si="6"/>
        <v>4424062.78586348</v>
      </c>
      <c r="E21" s="3">
        <f t="shared" si="3"/>
        <v>3189036.82100281</v>
      </c>
      <c r="F21" s="175"/>
    </row>
    <row r="22" spans="1:6">
      <c r="A22" s="174">
        <v>0.5</v>
      </c>
      <c r="B22" s="3">
        <f>-$B$1*(1+A22)+PV($B$6,$B$5,-($B$3+$B$4-$B$2))</f>
        <v>3151829.90902885</v>
      </c>
      <c r="C22" s="3">
        <f t="shared" si="5"/>
        <v>8867078.76749999</v>
      </c>
      <c r="D22" s="3">
        <f t="shared" si="6"/>
        <v>4360146.00507214</v>
      </c>
      <c r="E22" s="3">
        <f t="shared" si="3"/>
        <v>2888089.64659717</v>
      </c>
      <c r="F22" s="175"/>
    </row>
    <row r="23" spans="1:6">
      <c r="A23" s="174">
        <v>0.6</v>
      </c>
      <c r="B23" s="3">
        <f t="shared" si="4"/>
        <v>2846249.90902885</v>
      </c>
      <c r="C23" s="3">
        <f t="shared" si="5"/>
        <v>9704548.53919421</v>
      </c>
      <c r="D23" s="3">
        <f t="shared" si="6"/>
        <v>4296229.2242808</v>
      </c>
      <c r="E23" s="3">
        <f t="shared" si="3"/>
        <v>2610336.28371109</v>
      </c>
      <c r="F23" s="175"/>
    </row>
    <row r="24" spans="1:6">
      <c r="A24" s="174">
        <v>0.7</v>
      </c>
      <c r="B24" s="3">
        <f t="shared" si="4"/>
        <v>2540669.90902885</v>
      </c>
      <c r="C24" s="3">
        <f t="shared" si="5"/>
        <v>10542018.3108884</v>
      </c>
      <c r="D24" s="3">
        <f t="shared" si="6"/>
        <v>4232312.44348946</v>
      </c>
      <c r="E24" s="3">
        <f t="shared" si="3"/>
        <v>2353554.12912337</v>
      </c>
      <c r="F24" s="175"/>
    </row>
    <row r="25" spans="1:6">
      <c r="A25" s="174">
        <v>0.8</v>
      </c>
      <c r="B25" s="3">
        <f t="shared" si="4"/>
        <v>2235089.90902885</v>
      </c>
      <c r="C25" s="3">
        <f t="shared" si="5"/>
        <v>11379488.0825827</v>
      </c>
      <c r="D25" s="3">
        <f t="shared" si="6"/>
        <v>4168395.66269811</v>
      </c>
      <c r="E25" s="3">
        <f t="shared" si="3"/>
        <v>2115763.39365312</v>
      </c>
      <c r="F25" s="175"/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1"/>
  <sheetViews>
    <sheetView workbookViewId="0">
      <selection activeCell="B14" sqref="B14"/>
    </sheetView>
  </sheetViews>
  <sheetFormatPr defaultColWidth="9" defaultRowHeight="14.4"/>
  <cols>
    <col min="1" max="1" width="41.4444444444444" customWidth="1"/>
    <col min="2" max="2" width="15.3333333333333" customWidth="1"/>
    <col min="3" max="3" width="9.88888888888889" customWidth="1"/>
    <col min="5" max="5" width="18" customWidth="1"/>
    <col min="8" max="8" width="10.5555555555556" customWidth="1"/>
  </cols>
  <sheetData>
    <row r="1" spans="2:9">
      <c r="B1" t="s">
        <v>124</v>
      </c>
      <c r="C1" t="s">
        <v>125</v>
      </c>
      <c r="H1" t="s">
        <v>126</v>
      </c>
      <c r="I1" t="s">
        <v>127</v>
      </c>
    </row>
    <row r="2" spans="1:9">
      <c r="A2" t="s">
        <v>128</v>
      </c>
      <c r="B2">
        <v>583793</v>
      </c>
      <c r="C2">
        <v>80000</v>
      </c>
      <c r="H2">
        <v>1</v>
      </c>
      <c r="I2">
        <f ca="1">E5</f>
        <v>460992.329747623</v>
      </c>
    </row>
    <row r="3" spans="1:8">
      <c r="A3" t="s">
        <v>129</v>
      </c>
      <c r="B3">
        <v>85000</v>
      </c>
      <c r="C3">
        <v>5000</v>
      </c>
      <c r="H3">
        <v>2</v>
      </c>
    </row>
    <row r="4" spans="2:8">
      <c r="B4">
        <v>498793</v>
      </c>
      <c r="E4" t="s">
        <v>130</v>
      </c>
      <c r="H4">
        <v>3</v>
      </c>
    </row>
    <row r="5" spans="1:8">
      <c r="A5" t="s">
        <v>131</v>
      </c>
      <c r="B5">
        <f ca="1">_xlfn.NORM.INV(RAND(),B2,B3)</f>
        <v>536392.086777609</v>
      </c>
      <c r="C5">
        <f ca="1">_xlfn.NORM.INV(RAND(),C2,C3)</f>
        <v>75399.7570299859</v>
      </c>
      <c r="E5">
        <f ca="1">B5-C5</f>
        <v>460992.329747623</v>
      </c>
      <c r="H5">
        <v>4</v>
      </c>
    </row>
    <row r="6" spans="8:8">
      <c r="H6">
        <v>5</v>
      </c>
    </row>
    <row r="7" spans="8:8">
      <c r="H7">
        <v>6</v>
      </c>
    </row>
    <row r="8" spans="1:8">
      <c r="A8" t="s">
        <v>132</v>
      </c>
      <c r="B8" s="170">
        <f ca="1">COUNTIF(I2:I1140,"&gt;B4")/1139</f>
        <v>0</v>
      </c>
      <c r="H8">
        <v>7</v>
      </c>
    </row>
    <row r="9" spans="8:8">
      <c r="H9">
        <v>8</v>
      </c>
    </row>
    <row r="10" spans="8:8">
      <c r="H10">
        <v>9</v>
      </c>
    </row>
    <row r="11" spans="1:8">
      <c r="A11" t="s">
        <v>133</v>
      </c>
      <c r="B11">
        <f ca="1">MAX(I2:I1140)</f>
        <v>460992.329747623</v>
      </c>
      <c r="H11">
        <v>10</v>
      </c>
    </row>
    <row r="12" spans="1:8">
      <c r="A12" t="s">
        <v>134</v>
      </c>
      <c r="B12">
        <f ca="1">MIN(I2:I1140)</f>
        <v>460992.329747623</v>
      </c>
      <c r="H12">
        <v>11</v>
      </c>
    </row>
    <row r="13" spans="1:8">
      <c r="A13" t="s">
        <v>128</v>
      </c>
      <c r="B13">
        <f ca="1">AVERAGE(I2:I1140)</f>
        <v>460992.329747623</v>
      </c>
      <c r="H13">
        <v>12</v>
      </c>
    </row>
    <row r="14" spans="1:8">
      <c r="A14" t="s">
        <v>135</v>
      </c>
      <c r="B14" t="e">
        <f ca="1">STDEV(I2:I1140)</f>
        <v>#DIV/0!</v>
      </c>
      <c r="H14">
        <v>13</v>
      </c>
    </row>
    <row r="15" spans="8:8">
      <c r="H15">
        <v>14</v>
      </c>
    </row>
    <row r="16" spans="8:8">
      <c r="H16">
        <v>15</v>
      </c>
    </row>
    <row r="17" spans="8:8">
      <c r="H17">
        <v>16</v>
      </c>
    </row>
    <row r="18" spans="8:8">
      <c r="H18">
        <v>17</v>
      </c>
    </row>
    <row r="19" spans="8:8">
      <c r="H19">
        <v>18</v>
      </c>
    </row>
    <row r="20" spans="8:8">
      <c r="H20">
        <v>19</v>
      </c>
    </row>
    <row r="21" spans="8:8">
      <c r="H21">
        <v>20</v>
      </c>
    </row>
    <row r="22" spans="8:8">
      <c r="H22">
        <v>21</v>
      </c>
    </row>
    <row r="23" spans="8:8">
      <c r="H23">
        <v>22</v>
      </c>
    </row>
    <row r="24" spans="8:8">
      <c r="H24">
        <v>23</v>
      </c>
    </row>
    <row r="25" spans="8:8">
      <c r="H25">
        <v>24</v>
      </c>
    </row>
    <row r="26" spans="8:8">
      <c r="H26">
        <v>25</v>
      </c>
    </row>
    <row r="27" spans="8:8">
      <c r="H27">
        <v>26</v>
      </c>
    </row>
    <row r="28" spans="8:8">
      <c r="H28">
        <v>27</v>
      </c>
    </row>
    <row r="29" spans="8:8">
      <c r="H29">
        <v>28</v>
      </c>
    </row>
    <row r="30" spans="8:8">
      <c r="H30">
        <v>29</v>
      </c>
    </row>
    <row r="31" spans="8:8">
      <c r="H31">
        <v>30</v>
      </c>
    </row>
    <row r="32" spans="8:8">
      <c r="H32">
        <v>31</v>
      </c>
    </row>
    <row r="33" spans="8:8">
      <c r="H33">
        <v>32</v>
      </c>
    </row>
    <row r="34" spans="8:8">
      <c r="H34">
        <v>33</v>
      </c>
    </row>
    <row r="35" spans="8:8">
      <c r="H35">
        <v>34</v>
      </c>
    </row>
    <row r="36" spans="8:8">
      <c r="H36">
        <v>35</v>
      </c>
    </row>
    <row r="37" spans="8:8">
      <c r="H37">
        <v>36</v>
      </c>
    </row>
    <row r="38" spans="8:8">
      <c r="H38">
        <v>37</v>
      </c>
    </row>
    <row r="39" spans="8:8">
      <c r="H39">
        <v>38</v>
      </c>
    </row>
    <row r="40" spans="8:8">
      <c r="H40">
        <v>39</v>
      </c>
    </row>
    <row r="41" spans="8:8">
      <c r="H41">
        <v>40</v>
      </c>
    </row>
    <row r="42" spans="8:8">
      <c r="H42">
        <v>41</v>
      </c>
    </row>
    <row r="43" spans="8:8">
      <c r="H43">
        <v>42</v>
      </c>
    </row>
    <row r="44" spans="8:8">
      <c r="H44">
        <v>43</v>
      </c>
    </row>
    <row r="45" spans="8:8">
      <c r="H45">
        <v>44</v>
      </c>
    </row>
    <row r="46" spans="8:8">
      <c r="H46">
        <v>45</v>
      </c>
    </row>
    <row r="47" spans="8:8">
      <c r="H47">
        <v>46</v>
      </c>
    </row>
    <row r="48" spans="8:8">
      <c r="H48">
        <v>47</v>
      </c>
    </row>
    <row r="49" spans="8:8">
      <c r="H49">
        <v>48</v>
      </c>
    </row>
    <row r="50" spans="8:8">
      <c r="H50">
        <v>49</v>
      </c>
    </row>
    <row r="51" spans="8:8">
      <c r="H51">
        <v>50</v>
      </c>
    </row>
    <row r="52" spans="8:8">
      <c r="H52">
        <v>51</v>
      </c>
    </row>
    <row r="53" spans="8:8">
      <c r="H53">
        <v>52</v>
      </c>
    </row>
    <row r="54" spans="8:8">
      <c r="H54">
        <v>53</v>
      </c>
    </row>
    <row r="55" spans="8:8">
      <c r="H55">
        <v>54</v>
      </c>
    </row>
    <row r="56" spans="8:8">
      <c r="H56">
        <v>55</v>
      </c>
    </row>
    <row r="57" spans="8:8">
      <c r="H57">
        <v>56</v>
      </c>
    </row>
    <row r="58" spans="8:8">
      <c r="H58">
        <v>57</v>
      </c>
    </row>
    <row r="59" spans="8:8">
      <c r="H59">
        <v>58</v>
      </c>
    </row>
    <row r="60" spans="8:8">
      <c r="H60">
        <v>59</v>
      </c>
    </row>
    <row r="61" spans="8:8">
      <c r="H61">
        <v>60</v>
      </c>
    </row>
    <row r="62" spans="8:8">
      <c r="H62">
        <v>61</v>
      </c>
    </row>
    <row r="63" spans="8:8">
      <c r="H63">
        <v>62</v>
      </c>
    </row>
    <row r="64" spans="8:8">
      <c r="H64">
        <v>63</v>
      </c>
    </row>
    <row r="65" spans="8:8">
      <c r="H65">
        <v>64</v>
      </c>
    </row>
    <row r="66" spans="8:8">
      <c r="H66">
        <v>65</v>
      </c>
    </row>
    <row r="67" spans="8:8">
      <c r="H67">
        <v>66</v>
      </c>
    </row>
    <row r="68" spans="8:8">
      <c r="H68">
        <v>67</v>
      </c>
    </row>
    <row r="69" spans="8:8">
      <c r="H69">
        <v>68</v>
      </c>
    </row>
    <row r="70" spans="8:8">
      <c r="H70">
        <v>69</v>
      </c>
    </row>
    <row r="71" spans="8:8">
      <c r="H71">
        <v>70</v>
      </c>
    </row>
    <row r="72" spans="8:8">
      <c r="H72">
        <v>71</v>
      </c>
    </row>
    <row r="73" spans="8:8">
      <c r="H73">
        <v>72</v>
      </c>
    </row>
    <row r="74" spans="8:8">
      <c r="H74">
        <v>73</v>
      </c>
    </row>
    <row r="75" spans="8:8">
      <c r="H75">
        <v>74</v>
      </c>
    </row>
    <row r="76" spans="8:8">
      <c r="H76">
        <v>75</v>
      </c>
    </row>
    <row r="77" spans="8:8">
      <c r="H77">
        <v>76</v>
      </c>
    </row>
    <row r="78" spans="8:8">
      <c r="H78">
        <v>77</v>
      </c>
    </row>
    <row r="79" spans="8:8">
      <c r="H79">
        <v>78</v>
      </c>
    </row>
    <row r="80" spans="8:8">
      <c r="H80">
        <v>79</v>
      </c>
    </row>
    <row r="81" spans="8:8">
      <c r="H81">
        <v>80</v>
      </c>
    </row>
    <row r="82" spans="8:8">
      <c r="H82">
        <v>81</v>
      </c>
    </row>
    <row r="83" spans="8:8">
      <c r="H83">
        <v>82</v>
      </c>
    </row>
    <row r="84" spans="8:8">
      <c r="H84">
        <v>83</v>
      </c>
    </row>
    <row r="85" spans="8:8">
      <c r="H85">
        <v>84</v>
      </c>
    </row>
    <row r="86" spans="8:8">
      <c r="H86">
        <v>85</v>
      </c>
    </row>
    <row r="87" spans="8:8">
      <c r="H87">
        <v>86</v>
      </c>
    </row>
    <row r="88" spans="8:8">
      <c r="H88">
        <v>87</v>
      </c>
    </row>
    <row r="89" spans="8:8">
      <c r="H89">
        <v>88</v>
      </c>
    </row>
    <row r="90" spans="8:8">
      <c r="H90">
        <v>89</v>
      </c>
    </row>
    <row r="91" spans="8:8">
      <c r="H91">
        <v>90</v>
      </c>
    </row>
    <row r="92" spans="8:8">
      <c r="H92">
        <v>91</v>
      </c>
    </row>
    <row r="93" spans="8:8">
      <c r="H93">
        <v>92</v>
      </c>
    </row>
    <row r="94" spans="8:8">
      <c r="H94">
        <v>93</v>
      </c>
    </row>
    <row r="95" spans="8:8">
      <c r="H95">
        <v>94</v>
      </c>
    </row>
    <row r="96" spans="8:8">
      <c r="H96">
        <v>95</v>
      </c>
    </row>
    <row r="97" spans="8:8">
      <c r="H97">
        <v>96</v>
      </c>
    </row>
    <row r="98" spans="8:8">
      <c r="H98">
        <v>97</v>
      </c>
    </row>
    <row r="99" spans="8:8">
      <c r="H99">
        <v>98</v>
      </c>
    </row>
    <row r="100" spans="8:8">
      <c r="H100">
        <v>99</v>
      </c>
    </row>
    <row r="101" spans="8:8">
      <c r="H101">
        <v>100</v>
      </c>
    </row>
    <row r="102" spans="8:8">
      <c r="H102">
        <v>101</v>
      </c>
    </row>
    <row r="103" spans="8:8">
      <c r="H103">
        <v>102</v>
      </c>
    </row>
    <row r="104" spans="8:8">
      <c r="H104">
        <v>103</v>
      </c>
    </row>
    <row r="105" spans="8:8">
      <c r="H105">
        <v>104</v>
      </c>
    </row>
    <row r="106" spans="8:8">
      <c r="H106">
        <v>105</v>
      </c>
    </row>
    <row r="107" spans="8:8">
      <c r="H107">
        <v>106</v>
      </c>
    </row>
    <row r="108" spans="8:8">
      <c r="H108">
        <v>107</v>
      </c>
    </row>
    <row r="109" spans="8:8">
      <c r="H109">
        <v>108</v>
      </c>
    </row>
    <row r="110" spans="8:8">
      <c r="H110">
        <v>109</v>
      </c>
    </row>
    <row r="111" spans="8:8">
      <c r="H111">
        <v>110</v>
      </c>
    </row>
    <row r="112" spans="8:8">
      <c r="H112">
        <v>111</v>
      </c>
    </row>
    <row r="113" spans="8:8">
      <c r="H113">
        <v>112</v>
      </c>
    </row>
    <row r="114" spans="8:8">
      <c r="H114">
        <v>113</v>
      </c>
    </row>
    <row r="115" spans="8:8">
      <c r="H115">
        <v>114</v>
      </c>
    </row>
    <row r="116" spans="8:8">
      <c r="H116">
        <v>115</v>
      </c>
    </row>
    <row r="117" spans="8:8">
      <c r="H117">
        <v>116</v>
      </c>
    </row>
    <row r="118" spans="8:8">
      <c r="H118">
        <v>117</v>
      </c>
    </row>
    <row r="119" spans="8:8">
      <c r="H119">
        <v>118</v>
      </c>
    </row>
    <row r="120" spans="8:8">
      <c r="H120">
        <v>119</v>
      </c>
    </row>
    <row r="121" spans="8:8">
      <c r="H121">
        <v>120</v>
      </c>
    </row>
    <row r="122" spans="8:8">
      <c r="H122">
        <v>121</v>
      </c>
    </row>
    <row r="123" spans="8:8">
      <c r="H123">
        <v>122</v>
      </c>
    </row>
    <row r="124" spans="8:8">
      <c r="H124">
        <v>123</v>
      </c>
    </row>
    <row r="125" spans="8:8">
      <c r="H125">
        <v>124</v>
      </c>
    </row>
    <row r="126" spans="8:8">
      <c r="H126">
        <v>125</v>
      </c>
    </row>
    <row r="127" spans="8:8">
      <c r="H127">
        <v>126</v>
      </c>
    </row>
    <row r="128" spans="8:8">
      <c r="H128">
        <v>127</v>
      </c>
    </row>
    <row r="129" spans="8:8">
      <c r="H129">
        <v>128</v>
      </c>
    </row>
    <row r="130" spans="8:8">
      <c r="H130">
        <v>129</v>
      </c>
    </row>
    <row r="131" spans="8:8">
      <c r="H131">
        <v>130</v>
      </c>
    </row>
    <row r="132" spans="8:8">
      <c r="H132">
        <v>131</v>
      </c>
    </row>
    <row r="133" spans="8:8">
      <c r="H133">
        <v>132</v>
      </c>
    </row>
    <row r="134" spans="8:8">
      <c r="H134">
        <v>133</v>
      </c>
    </row>
    <row r="135" spans="8:8">
      <c r="H135">
        <v>134</v>
      </c>
    </row>
    <row r="136" spans="8:8">
      <c r="H136">
        <v>135</v>
      </c>
    </row>
    <row r="137" spans="8:8">
      <c r="H137">
        <v>136</v>
      </c>
    </row>
    <row r="138" spans="8:8">
      <c r="H138">
        <v>137</v>
      </c>
    </row>
    <row r="139" spans="8:8">
      <c r="H139">
        <v>138</v>
      </c>
    </row>
    <row r="140" spans="8:8">
      <c r="H140">
        <v>139</v>
      </c>
    </row>
    <row r="141" spans="8:8">
      <c r="H141">
        <v>140</v>
      </c>
    </row>
    <row r="142" spans="8:8">
      <c r="H142">
        <v>141</v>
      </c>
    </row>
    <row r="143" spans="8:8">
      <c r="H143">
        <v>142</v>
      </c>
    </row>
    <row r="144" spans="8:8">
      <c r="H144">
        <v>143</v>
      </c>
    </row>
    <row r="145" spans="8:8">
      <c r="H145">
        <v>144</v>
      </c>
    </row>
    <row r="146" spans="8:8">
      <c r="H146">
        <v>145</v>
      </c>
    </row>
    <row r="147" spans="8:8">
      <c r="H147">
        <v>146</v>
      </c>
    </row>
    <row r="148" spans="8:8">
      <c r="H148">
        <v>147</v>
      </c>
    </row>
    <row r="149" spans="8:8">
      <c r="H149">
        <v>148</v>
      </c>
    </row>
    <row r="150" spans="8:8">
      <c r="H150">
        <v>149</v>
      </c>
    </row>
    <row r="151" spans="8:8">
      <c r="H151">
        <v>150</v>
      </c>
    </row>
    <row r="152" spans="8:8">
      <c r="H152">
        <v>151</v>
      </c>
    </row>
    <row r="153" spans="8:8">
      <c r="H153">
        <v>152</v>
      </c>
    </row>
    <row r="154" spans="8:8">
      <c r="H154">
        <v>153</v>
      </c>
    </row>
    <row r="155" spans="8:8">
      <c r="H155">
        <v>154</v>
      </c>
    </row>
    <row r="156" spans="8:8">
      <c r="H156">
        <v>155</v>
      </c>
    </row>
    <row r="157" spans="8:8">
      <c r="H157">
        <v>156</v>
      </c>
    </row>
    <row r="158" spans="8:8">
      <c r="H158">
        <v>157</v>
      </c>
    </row>
    <row r="159" spans="8:8">
      <c r="H159">
        <v>158</v>
      </c>
    </row>
    <row r="160" spans="8:8">
      <c r="H160">
        <v>159</v>
      </c>
    </row>
    <row r="161" spans="8:8">
      <c r="H161">
        <v>160</v>
      </c>
    </row>
    <row r="162" spans="8:8">
      <c r="H162">
        <v>161</v>
      </c>
    </row>
    <row r="163" spans="8:8">
      <c r="H163">
        <v>162</v>
      </c>
    </row>
    <row r="164" spans="8:8">
      <c r="H164">
        <v>163</v>
      </c>
    </row>
    <row r="165" spans="8:8">
      <c r="H165">
        <v>164</v>
      </c>
    </row>
    <row r="166" spans="8:8">
      <c r="H166">
        <v>165</v>
      </c>
    </row>
    <row r="167" spans="8:8">
      <c r="H167">
        <v>166</v>
      </c>
    </row>
    <row r="168" spans="8:8">
      <c r="H168">
        <v>167</v>
      </c>
    </row>
    <row r="169" spans="8:8">
      <c r="H169">
        <v>168</v>
      </c>
    </row>
    <row r="170" spans="8:8">
      <c r="H170">
        <v>169</v>
      </c>
    </row>
    <row r="171" spans="8:8">
      <c r="H171">
        <v>170</v>
      </c>
    </row>
    <row r="172" spans="8:8">
      <c r="H172">
        <v>171</v>
      </c>
    </row>
    <row r="173" spans="8:8">
      <c r="H173">
        <v>172</v>
      </c>
    </row>
    <row r="174" spans="8:8">
      <c r="H174">
        <v>173</v>
      </c>
    </row>
    <row r="175" spans="8:8">
      <c r="H175">
        <v>174</v>
      </c>
    </row>
    <row r="176" spans="8:8">
      <c r="H176">
        <v>175</v>
      </c>
    </row>
    <row r="177" spans="8:8">
      <c r="H177">
        <v>176</v>
      </c>
    </row>
    <row r="178" spans="8:8">
      <c r="H178">
        <v>177</v>
      </c>
    </row>
    <row r="179" spans="8:8">
      <c r="H179">
        <v>178</v>
      </c>
    </row>
    <row r="180" spans="8:8">
      <c r="H180">
        <v>179</v>
      </c>
    </row>
    <row r="181" spans="8:8">
      <c r="H181">
        <v>180</v>
      </c>
    </row>
    <row r="182" spans="8:8">
      <c r="H182">
        <v>181</v>
      </c>
    </row>
    <row r="183" spans="8:8">
      <c r="H183">
        <v>182</v>
      </c>
    </row>
    <row r="184" spans="8:8">
      <c r="H184">
        <v>183</v>
      </c>
    </row>
    <row r="185" spans="8:8">
      <c r="H185">
        <v>184</v>
      </c>
    </row>
    <row r="186" spans="8:8">
      <c r="H186">
        <v>185</v>
      </c>
    </row>
    <row r="187" spans="8:8">
      <c r="H187">
        <v>186</v>
      </c>
    </row>
    <row r="188" spans="8:8">
      <c r="H188">
        <v>187</v>
      </c>
    </row>
    <row r="189" spans="8:8">
      <c r="H189">
        <v>188</v>
      </c>
    </row>
    <row r="190" spans="8:8">
      <c r="H190">
        <v>189</v>
      </c>
    </row>
    <row r="191" spans="8:8">
      <c r="H191">
        <v>190</v>
      </c>
    </row>
    <row r="192" spans="8:8">
      <c r="H192">
        <v>191</v>
      </c>
    </row>
    <row r="193" spans="8:8">
      <c r="H193">
        <v>192</v>
      </c>
    </row>
    <row r="194" spans="8:8">
      <c r="H194">
        <v>193</v>
      </c>
    </row>
    <row r="195" spans="8:8">
      <c r="H195">
        <v>194</v>
      </c>
    </row>
    <row r="196" spans="8:8">
      <c r="H196">
        <v>195</v>
      </c>
    </row>
    <row r="197" spans="8:8">
      <c r="H197">
        <v>196</v>
      </c>
    </row>
    <row r="198" spans="8:8">
      <c r="H198">
        <v>197</v>
      </c>
    </row>
    <row r="199" spans="8:8">
      <c r="H199">
        <v>198</v>
      </c>
    </row>
    <row r="200" spans="8:8">
      <c r="H200">
        <v>199</v>
      </c>
    </row>
    <row r="201" spans="8:8">
      <c r="H201">
        <v>200</v>
      </c>
    </row>
    <row r="202" spans="8:8">
      <c r="H202">
        <v>201</v>
      </c>
    </row>
    <row r="203" spans="8:8">
      <c r="H203">
        <v>202</v>
      </c>
    </row>
    <row r="204" spans="8:8">
      <c r="H204">
        <v>203</v>
      </c>
    </row>
    <row r="205" spans="8:8">
      <c r="H205">
        <v>204</v>
      </c>
    </row>
    <row r="206" spans="8:8">
      <c r="H206">
        <v>205</v>
      </c>
    </row>
    <row r="207" spans="8:8">
      <c r="H207">
        <v>206</v>
      </c>
    </row>
    <row r="208" spans="8:8">
      <c r="H208">
        <v>207</v>
      </c>
    </row>
    <row r="209" spans="8:8">
      <c r="H209">
        <v>208</v>
      </c>
    </row>
    <row r="210" spans="8:8">
      <c r="H210">
        <v>209</v>
      </c>
    </row>
    <row r="211" spans="8:8">
      <c r="H211">
        <v>210</v>
      </c>
    </row>
    <row r="212" spans="8:8">
      <c r="H212">
        <v>211</v>
      </c>
    </row>
    <row r="213" spans="8:8">
      <c r="H213">
        <v>212</v>
      </c>
    </row>
    <row r="214" spans="8:8">
      <c r="H214">
        <v>213</v>
      </c>
    </row>
    <row r="215" spans="8:8">
      <c r="H215">
        <v>214</v>
      </c>
    </row>
    <row r="216" spans="8:8">
      <c r="H216">
        <v>215</v>
      </c>
    </row>
    <row r="217" spans="8:8">
      <c r="H217">
        <v>216</v>
      </c>
    </row>
    <row r="218" spans="8:8">
      <c r="H218">
        <v>217</v>
      </c>
    </row>
    <row r="219" spans="8:8">
      <c r="H219">
        <v>218</v>
      </c>
    </row>
    <row r="220" spans="8:8">
      <c r="H220">
        <v>219</v>
      </c>
    </row>
    <row r="221" spans="8:8">
      <c r="H221">
        <v>220</v>
      </c>
    </row>
    <row r="222" spans="8:8">
      <c r="H222">
        <v>221</v>
      </c>
    </row>
    <row r="223" spans="8:8">
      <c r="H223">
        <v>222</v>
      </c>
    </row>
    <row r="224" spans="8:8">
      <c r="H224">
        <v>223</v>
      </c>
    </row>
    <row r="225" spans="8:8">
      <c r="H225">
        <v>224</v>
      </c>
    </row>
    <row r="226" spans="8:8">
      <c r="H226">
        <v>225</v>
      </c>
    </row>
    <row r="227" spans="8:8">
      <c r="H227">
        <v>226</v>
      </c>
    </row>
    <row r="228" spans="8:8">
      <c r="H228">
        <v>227</v>
      </c>
    </row>
    <row r="229" spans="8:8">
      <c r="H229">
        <v>228</v>
      </c>
    </row>
    <row r="230" spans="8:8">
      <c r="H230">
        <v>229</v>
      </c>
    </row>
    <row r="231" spans="8:8">
      <c r="H231">
        <v>230</v>
      </c>
    </row>
    <row r="232" spans="8:8">
      <c r="H232">
        <v>231</v>
      </c>
    </row>
    <row r="233" spans="8:8">
      <c r="H233">
        <v>232</v>
      </c>
    </row>
    <row r="234" spans="8:8">
      <c r="H234">
        <v>233</v>
      </c>
    </row>
    <row r="235" spans="8:8">
      <c r="H235">
        <v>234</v>
      </c>
    </row>
    <row r="236" spans="8:8">
      <c r="H236">
        <v>235</v>
      </c>
    </row>
    <row r="237" spans="8:8">
      <c r="H237">
        <v>236</v>
      </c>
    </row>
    <row r="238" spans="8:8">
      <c r="H238">
        <v>237</v>
      </c>
    </row>
    <row r="239" spans="8:8">
      <c r="H239">
        <v>238</v>
      </c>
    </row>
    <row r="240" spans="8:8">
      <c r="H240">
        <v>239</v>
      </c>
    </row>
    <row r="241" spans="8:8">
      <c r="H241">
        <v>240</v>
      </c>
    </row>
    <row r="242" spans="8:8">
      <c r="H242">
        <v>241</v>
      </c>
    </row>
    <row r="243" spans="8:8">
      <c r="H243">
        <v>242</v>
      </c>
    </row>
    <row r="244" spans="8:8">
      <c r="H244">
        <v>243</v>
      </c>
    </row>
    <row r="245" spans="8:8">
      <c r="H245">
        <v>244</v>
      </c>
    </row>
    <row r="246" spans="8:8">
      <c r="H246">
        <v>245</v>
      </c>
    </row>
    <row r="247" spans="8:8">
      <c r="H247">
        <v>246</v>
      </c>
    </row>
    <row r="248" spans="8:8">
      <c r="H248">
        <v>247</v>
      </c>
    </row>
    <row r="249" spans="8:8">
      <c r="H249">
        <v>248</v>
      </c>
    </row>
    <row r="250" spans="8:8">
      <c r="H250">
        <v>249</v>
      </c>
    </row>
    <row r="251" spans="8:8">
      <c r="H251">
        <v>250</v>
      </c>
    </row>
    <row r="252" spans="8:8">
      <c r="H252">
        <v>251</v>
      </c>
    </row>
    <row r="253" spans="8:8">
      <c r="H253">
        <v>252</v>
      </c>
    </row>
    <row r="254" spans="8:8">
      <c r="H254">
        <v>253</v>
      </c>
    </row>
    <row r="255" spans="8:8">
      <c r="H255">
        <v>254</v>
      </c>
    </row>
    <row r="256" spans="8:8">
      <c r="H256">
        <v>255</v>
      </c>
    </row>
    <row r="257" spans="8:8">
      <c r="H257">
        <v>256</v>
      </c>
    </row>
    <row r="258" spans="8:8">
      <c r="H258">
        <v>257</v>
      </c>
    </row>
    <row r="259" spans="8:8">
      <c r="H259">
        <v>258</v>
      </c>
    </row>
    <row r="260" spans="8:8">
      <c r="H260">
        <v>259</v>
      </c>
    </row>
    <row r="261" spans="8:8">
      <c r="H261">
        <v>260</v>
      </c>
    </row>
    <row r="262" spans="8:8">
      <c r="H262">
        <v>261</v>
      </c>
    </row>
    <row r="263" spans="8:8">
      <c r="H263">
        <v>262</v>
      </c>
    </row>
    <row r="264" spans="8:8">
      <c r="H264">
        <v>263</v>
      </c>
    </row>
    <row r="265" spans="8:8">
      <c r="H265">
        <v>264</v>
      </c>
    </row>
    <row r="266" spans="8:8">
      <c r="H266">
        <v>265</v>
      </c>
    </row>
    <row r="267" spans="8:8">
      <c r="H267">
        <v>266</v>
      </c>
    </row>
    <row r="268" spans="8:8">
      <c r="H268">
        <v>267</v>
      </c>
    </row>
    <row r="269" spans="8:8">
      <c r="H269">
        <v>268</v>
      </c>
    </row>
    <row r="270" spans="8:8">
      <c r="H270">
        <v>269</v>
      </c>
    </row>
    <row r="271" spans="8:8">
      <c r="H271">
        <v>270</v>
      </c>
    </row>
    <row r="272" spans="8:8">
      <c r="H272">
        <v>271</v>
      </c>
    </row>
    <row r="273" spans="8:8">
      <c r="H273">
        <v>272</v>
      </c>
    </row>
    <row r="274" spans="8:8">
      <c r="H274">
        <v>273</v>
      </c>
    </row>
    <row r="275" spans="8:8">
      <c r="H275">
        <v>274</v>
      </c>
    </row>
    <row r="276" spans="8:8">
      <c r="H276">
        <v>275</v>
      </c>
    </row>
    <row r="277" spans="8:8">
      <c r="H277">
        <v>276</v>
      </c>
    </row>
    <row r="278" spans="8:8">
      <c r="H278">
        <v>277</v>
      </c>
    </row>
    <row r="279" spans="8:8">
      <c r="H279">
        <v>278</v>
      </c>
    </row>
    <row r="280" spans="8:8">
      <c r="H280">
        <v>279</v>
      </c>
    </row>
    <row r="281" spans="8:8">
      <c r="H281">
        <v>280</v>
      </c>
    </row>
    <row r="282" spans="8:8">
      <c r="H282">
        <v>281</v>
      </c>
    </row>
    <row r="283" spans="8:8">
      <c r="H283">
        <v>282</v>
      </c>
    </row>
    <row r="284" spans="8:8">
      <c r="H284">
        <v>283</v>
      </c>
    </row>
    <row r="285" spans="8:8">
      <c r="H285">
        <v>284</v>
      </c>
    </row>
    <row r="286" spans="8:8">
      <c r="H286">
        <v>285</v>
      </c>
    </row>
    <row r="287" spans="8:8">
      <c r="H287">
        <v>286</v>
      </c>
    </row>
    <row r="288" spans="8:8">
      <c r="H288">
        <v>287</v>
      </c>
    </row>
    <row r="289" spans="8:8">
      <c r="H289">
        <v>288</v>
      </c>
    </row>
    <row r="290" spans="8:8">
      <c r="H290">
        <v>289</v>
      </c>
    </row>
    <row r="291" spans="8:8">
      <c r="H291">
        <v>290</v>
      </c>
    </row>
    <row r="292" spans="8:8">
      <c r="H292">
        <v>291</v>
      </c>
    </row>
    <row r="293" spans="8:8">
      <c r="H293">
        <v>292</v>
      </c>
    </row>
    <row r="294" spans="8:8">
      <c r="H294">
        <v>293</v>
      </c>
    </row>
    <row r="295" spans="8:8">
      <c r="H295">
        <v>294</v>
      </c>
    </row>
    <row r="296" spans="8:8">
      <c r="H296">
        <v>295</v>
      </c>
    </row>
    <row r="297" spans="8:8">
      <c r="H297">
        <v>296</v>
      </c>
    </row>
    <row r="298" spans="8:8">
      <c r="H298">
        <v>297</v>
      </c>
    </row>
    <row r="299" spans="8:8">
      <c r="H299">
        <v>298</v>
      </c>
    </row>
    <row r="300" spans="8:8">
      <c r="H300">
        <v>299</v>
      </c>
    </row>
    <row r="301" spans="8:8">
      <c r="H301">
        <v>300</v>
      </c>
    </row>
    <row r="302" spans="8:8">
      <c r="H302">
        <v>301</v>
      </c>
    </row>
    <row r="303" spans="8:8">
      <c r="H303">
        <v>302</v>
      </c>
    </row>
    <row r="304" spans="8:8">
      <c r="H304">
        <v>303</v>
      </c>
    </row>
    <row r="305" spans="8:8">
      <c r="H305">
        <v>304</v>
      </c>
    </row>
    <row r="306" spans="8:8">
      <c r="H306">
        <v>305</v>
      </c>
    </row>
    <row r="307" spans="8:8">
      <c r="H307">
        <v>306</v>
      </c>
    </row>
    <row r="308" spans="8:8">
      <c r="H308">
        <v>307</v>
      </c>
    </row>
    <row r="309" spans="8:8">
      <c r="H309">
        <v>308</v>
      </c>
    </row>
    <row r="310" spans="8:8">
      <c r="H310">
        <v>309</v>
      </c>
    </row>
    <row r="311" spans="8:8">
      <c r="H311">
        <v>310</v>
      </c>
    </row>
    <row r="312" spans="8:8">
      <c r="H312">
        <v>311</v>
      </c>
    </row>
    <row r="313" spans="8:8">
      <c r="H313">
        <v>312</v>
      </c>
    </row>
    <row r="314" spans="8:8">
      <c r="H314">
        <v>313</v>
      </c>
    </row>
    <row r="315" spans="8:8">
      <c r="H315">
        <v>314</v>
      </c>
    </row>
    <row r="316" spans="8:8">
      <c r="H316">
        <v>315</v>
      </c>
    </row>
    <row r="317" spans="8:8">
      <c r="H317">
        <v>316</v>
      </c>
    </row>
    <row r="318" spans="8:8">
      <c r="H318">
        <v>317</v>
      </c>
    </row>
    <row r="319" spans="8:8">
      <c r="H319">
        <v>318</v>
      </c>
    </row>
    <row r="320" spans="8:8">
      <c r="H320">
        <v>319</v>
      </c>
    </row>
    <row r="321" spans="8:8">
      <c r="H321">
        <v>320</v>
      </c>
    </row>
    <row r="322" spans="8:8">
      <c r="H322">
        <v>321</v>
      </c>
    </row>
    <row r="323" spans="8:8">
      <c r="H323">
        <v>322</v>
      </c>
    </row>
    <row r="324" spans="8:8">
      <c r="H324">
        <v>323</v>
      </c>
    </row>
    <row r="325" spans="8:8">
      <c r="H325">
        <v>324</v>
      </c>
    </row>
    <row r="326" spans="8:8">
      <c r="H326">
        <v>325</v>
      </c>
    </row>
    <row r="327" spans="8:8">
      <c r="H327">
        <v>326</v>
      </c>
    </row>
    <row r="328" spans="8:8">
      <c r="H328">
        <v>327</v>
      </c>
    </row>
    <row r="329" spans="8:8">
      <c r="H329">
        <v>328</v>
      </c>
    </row>
    <row r="330" spans="8:8">
      <c r="H330">
        <v>329</v>
      </c>
    </row>
    <row r="331" spans="8:8">
      <c r="H331">
        <v>330</v>
      </c>
    </row>
    <row r="332" spans="8:8">
      <c r="H332">
        <v>331</v>
      </c>
    </row>
    <row r="333" spans="8:8">
      <c r="H333">
        <v>332</v>
      </c>
    </row>
    <row r="334" spans="8:8">
      <c r="H334">
        <v>333</v>
      </c>
    </row>
    <row r="335" spans="8:8">
      <c r="H335">
        <v>334</v>
      </c>
    </row>
    <row r="336" spans="8:8">
      <c r="H336">
        <v>335</v>
      </c>
    </row>
    <row r="337" spans="8:8">
      <c r="H337">
        <v>336</v>
      </c>
    </row>
    <row r="338" spans="8:8">
      <c r="H338">
        <v>337</v>
      </c>
    </row>
    <row r="339" spans="8:8">
      <c r="H339">
        <v>338</v>
      </c>
    </row>
    <row r="340" spans="8:8">
      <c r="H340">
        <v>339</v>
      </c>
    </row>
    <row r="341" spans="8:8">
      <c r="H341">
        <v>340</v>
      </c>
    </row>
    <row r="342" spans="8:8">
      <c r="H342">
        <v>341</v>
      </c>
    </row>
    <row r="343" spans="8:8">
      <c r="H343">
        <v>342</v>
      </c>
    </row>
    <row r="344" spans="8:8">
      <c r="H344">
        <v>343</v>
      </c>
    </row>
    <row r="345" spans="8:8">
      <c r="H345">
        <v>344</v>
      </c>
    </row>
    <row r="346" spans="8:8">
      <c r="H346">
        <v>345</v>
      </c>
    </row>
    <row r="347" spans="8:8">
      <c r="H347">
        <v>346</v>
      </c>
    </row>
    <row r="348" spans="8:8">
      <c r="H348">
        <v>347</v>
      </c>
    </row>
    <row r="349" spans="8:8">
      <c r="H349">
        <v>348</v>
      </c>
    </row>
    <row r="350" spans="8:8">
      <c r="H350">
        <v>349</v>
      </c>
    </row>
    <row r="351" spans="8:8">
      <c r="H351">
        <v>350</v>
      </c>
    </row>
    <row r="352" spans="8:8">
      <c r="H352">
        <v>351</v>
      </c>
    </row>
    <row r="353" spans="8:8">
      <c r="H353">
        <v>352</v>
      </c>
    </row>
    <row r="354" spans="8:8">
      <c r="H354">
        <v>353</v>
      </c>
    </row>
    <row r="355" spans="8:8">
      <c r="H355">
        <v>354</v>
      </c>
    </row>
    <row r="356" spans="8:8">
      <c r="H356">
        <v>355</v>
      </c>
    </row>
    <row r="357" spans="8:8">
      <c r="H357">
        <v>356</v>
      </c>
    </row>
    <row r="358" spans="8:8">
      <c r="H358">
        <v>357</v>
      </c>
    </row>
    <row r="359" spans="8:8">
      <c r="H359">
        <v>358</v>
      </c>
    </row>
    <row r="360" spans="8:8">
      <c r="H360">
        <v>359</v>
      </c>
    </row>
    <row r="361" spans="8:8">
      <c r="H361">
        <v>360</v>
      </c>
    </row>
    <row r="362" spans="8:8">
      <c r="H362">
        <v>361</v>
      </c>
    </row>
    <row r="363" spans="8:8">
      <c r="H363">
        <v>362</v>
      </c>
    </row>
    <row r="364" spans="8:8">
      <c r="H364">
        <v>363</v>
      </c>
    </row>
    <row r="365" spans="8:8">
      <c r="H365">
        <v>364</v>
      </c>
    </row>
    <row r="366" spans="8:8">
      <c r="H366">
        <v>365</v>
      </c>
    </row>
    <row r="367" spans="8:8">
      <c r="H367">
        <v>366</v>
      </c>
    </row>
    <row r="368" spans="8:8">
      <c r="H368">
        <v>367</v>
      </c>
    </row>
    <row r="369" spans="8:8">
      <c r="H369">
        <v>368</v>
      </c>
    </row>
    <row r="370" spans="8:8">
      <c r="H370">
        <v>369</v>
      </c>
    </row>
    <row r="371" spans="8:8">
      <c r="H371">
        <v>370</v>
      </c>
    </row>
    <row r="372" spans="8:8">
      <c r="H372">
        <v>371</v>
      </c>
    </row>
    <row r="373" spans="8:8">
      <c r="H373">
        <v>372</v>
      </c>
    </row>
    <row r="374" spans="8:8">
      <c r="H374">
        <v>373</v>
      </c>
    </row>
    <row r="375" spans="8:8">
      <c r="H375">
        <v>374</v>
      </c>
    </row>
    <row r="376" spans="8:8">
      <c r="H376">
        <v>375</v>
      </c>
    </row>
    <row r="377" spans="8:8">
      <c r="H377">
        <v>376</v>
      </c>
    </row>
    <row r="378" spans="8:8">
      <c r="H378">
        <v>377</v>
      </c>
    </row>
    <row r="379" spans="8:8">
      <c r="H379">
        <v>378</v>
      </c>
    </row>
    <row r="380" spans="8:8">
      <c r="H380">
        <v>379</v>
      </c>
    </row>
    <row r="381" spans="8:8">
      <c r="H381">
        <v>380</v>
      </c>
    </row>
    <row r="382" spans="8:8">
      <c r="H382">
        <v>381</v>
      </c>
    </row>
    <row r="383" spans="8:8">
      <c r="H383">
        <v>382</v>
      </c>
    </row>
    <row r="384" spans="8:8">
      <c r="H384">
        <v>383</v>
      </c>
    </row>
    <row r="385" spans="8:8">
      <c r="H385">
        <v>384</v>
      </c>
    </row>
    <row r="386" spans="8:8">
      <c r="H386">
        <v>385</v>
      </c>
    </row>
    <row r="387" spans="8:8">
      <c r="H387">
        <v>386</v>
      </c>
    </row>
    <row r="388" spans="8:8">
      <c r="H388">
        <v>387</v>
      </c>
    </row>
    <row r="389" spans="8:8">
      <c r="H389">
        <v>388</v>
      </c>
    </row>
    <row r="390" spans="8:8">
      <c r="H390">
        <v>389</v>
      </c>
    </row>
    <row r="391" spans="8:8">
      <c r="H391">
        <v>390</v>
      </c>
    </row>
    <row r="392" spans="8:8">
      <c r="H392">
        <v>391</v>
      </c>
    </row>
    <row r="393" spans="8:8">
      <c r="H393">
        <v>392</v>
      </c>
    </row>
    <row r="394" spans="8:8">
      <c r="H394">
        <v>393</v>
      </c>
    </row>
    <row r="395" spans="8:8">
      <c r="H395">
        <v>394</v>
      </c>
    </row>
    <row r="396" spans="8:8">
      <c r="H396">
        <v>395</v>
      </c>
    </row>
    <row r="397" spans="8:8">
      <c r="H397">
        <v>396</v>
      </c>
    </row>
    <row r="398" spans="8:8">
      <c r="H398">
        <v>397</v>
      </c>
    </row>
    <row r="399" spans="8:8">
      <c r="H399">
        <v>398</v>
      </c>
    </row>
    <row r="400" spans="8:8">
      <c r="H400">
        <v>399</v>
      </c>
    </row>
    <row r="401" spans="8:8">
      <c r="H401">
        <v>400</v>
      </c>
    </row>
    <row r="402" spans="8:8">
      <c r="H402">
        <v>401</v>
      </c>
    </row>
    <row r="403" spans="8:8">
      <c r="H403">
        <v>402</v>
      </c>
    </row>
    <row r="404" spans="8:8">
      <c r="H404">
        <v>403</v>
      </c>
    </row>
    <row r="405" spans="8:8">
      <c r="H405">
        <v>404</v>
      </c>
    </row>
    <row r="406" spans="8:8">
      <c r="H406">
        <v>405</v>
      </c>
    </row>
    <row r="407" spans="8:8">
      <c r="H407">
        <v>406</v>
      </c>
    </row>
    <row r="408" spans="8:8">
      <c r="H408">
        <v>407</v>
      </c>
    </row>
    <row r="409" spans="8:8">
      <c r="H409">
        <v>408</v>
      </c>
    </row>
    <row r="410" spans="8:8">
      <c r="H410">
        <v>409</v>
      </c>
    </row>
    <row r="411" spans="8:8">
      <c r="H411">
        <v>410</v>
      </c>
    </row>
    <row r="412" spans="8:8">
      <c r="H412">
        <v>411</v>
      </c>
    </row>
    <row r="413" spans="8:8">
      <c r="H413">
        <v>412</v>
      </c>
    </row>
    <row r="414" spans="8:8">
      <c r="H414">
        <v>413</v>
      </c>
    </row>
    <row r="415" spans="8:8">
      <c r="H415">
        <v>414</v>
      </c>
    </row>
    <row r="416" spans="8:8">
      <c r="H416">
        <v>415</v>
      </c>
    </row>
    <row r="417" spans="8:8">
      <c r="H417">
        <v>416</v>
      </c>
    </row>
    <row r="418" spans="8:8">
      <c r="H418">
        <v>417</v>
      </c>
    </row>
    <row r="419" spans="8:8">
      <c r="H419">
        <v>418</v>
      </c>
    </row>
    <row r="420" spans="8:8">
      <c r="H420">
        <v>419</v>
      </c>
    </row>
    <row r="421" spans="8:8">
      <c r="H421">
        <v>420</v>
      </c>
    </row>
    <row r="422" spans="8:8">
      <c r="H422">
        <v>421</v>
      </c>
    </row>
    <row r="423" spans="8:8">
      <c r="H423">
        <v>422</v>
      </c>
    </row>
    <row r="424" spans="8:8">
      <c r="H424">
        <v>423</v>
      </c>
    </row>
    <row r="425" spans="8:8">
      <c r="H425">
        <v>424</v>
      </c>
    </row>
    <row r="426" spans="8:8">
      <c r="H426">
        <v>425</v>
      </c>
    </row>
    <row r="427" spans="8:8">
      <c r="H427">
        <v>426</v>
      </c>
    </row>
    <row r="428" spans="8:8">
      <c r="H428">
        <v>427</v>
      </c>
    </row>
    <row r="429" spans="8:8">
      <c r="H429">
        <v>428</v>
      </c>
    </row>
    <row r="430" spans="8:8">
      <c r="H430">
        <v>429</v>
      </c>
    </row>
    <row r="431" spans="8:8">
      <c r="H431">
        <v>430</v>
      </c>
    </row>
    <row r="432" spans="8:8">
      <c r="H432">
        <v>431</v>
      </c>
    </row>
    <row r="433" spans="8:8">
      <c r="H433">
        <v>432</v>
      </c>
    </row>
    <row r="434" spans="8:8">
      <c r="H434">
        <v>433</v>
      </c>
    </row>
    <row r="435" spans="8:8">
      <c r="H435">
        <v>434</v>
      </c>
    </row>
    <row r="436" spans="8:8">
      <c r="H436">
        <v>435</v>
      </c>
    </row>
    <row r="437" spans="8:8">
      <c r="H437">
        <v>436</v>
      </c>
    </row>
    <row r="438" spans="8:8">
      <c r="H438">
        <v>437</v>
      </c>
    </row>
    <row r="439" spans="8:8">
      <c r="H439">
        <v>438</v>
      </c>
    </row>
    <row r="440" spans="8:8">
      <c r="H440">
        <v>439</v>
      </c>
    </row>
    <row r="441" spans="8:8">
      <c r="H441">
        <v>440</v>
      </c>
    </row>
    <row r="442" spans="8:8">
      <c r="H442">
        <v>441</v>
      </c>
    </row>
    <row r="443" spans="8:8">
      <c r="H443">
        <v>442</v>
      </c>
    </row>
    <row r="444" spans="8:8">
      <c r="H444">
        <v>443</v>
      </c>
    </row>
    <row r="445" spans="8:8">
      <c r="H445">
        <v>444</v>
      </c>
    </row>
    <row r="446" spans="8:8">
      <c r="H446">
        <v>445</v>
      </c>
    </row>
    <row r="447" spans="8:8">
      <c r="H447">
        <v>446</v>
      </c>
    </row>
    <row r="448" spans="8:8">
      <c r="H448">
        <v>447</v>
      </c>
    </row>
    <row r="449" spans="8:8">
      <c r="H449">
        <v>448</v>
      </c>
    </row>
    <row r="450" spans="8:8">
      <c r="H450">
        <v>449</v>
      </c>
    </row>
    <row r="451" spans="8:8">
      <c r="H451">
        <v>450</v>
      </c>
    </row>
    <row r="452" spans="8:8">
      <c r="H452">
        <v>451</v>
      </c>
    </row>
    <row r="453" spans="8:8">
      <c r="H453">
        <v>452</v>
      </c>
    </row>
    <row r="454" spans="8:8">
      <c r="H454">
        <v>453</v>
      </c>
    </row>
    <row r="455" spans="8:8">
      <c r="H455">
        <v>454</v>
      </c>
    </row>
    <row r="456" spans="8:8">
      <c r="H456">
        <v>455</v>
      </c>
    </row>
    <row r="457" spans="8:8">
      <c r="H457">
        <v>456</v>
      </c>
    </row>
    <row r="458" spans="8:8">
      <c r="H458">
        <v>457</v>
      </c>
    </row>
    <row r="459" spans="8:8">
      <c r="H459">
        <v>458</v>
      </c>
    </row>
    <row r="460" spans="8:8">
      <c r="H460">
        <v>459</v>
      </c>
    </row>
    <row r="461" spans="8:8">
      <c r="H461">
        <v>460</v>
      </c>
    </row>
    <row r="462" spans="8:8">
      <c r="H462">
        <v>461</v>
      </c>
    </row>
    <row r="463" spans="8:8">
      <c r="H463">
        <v>462</v>
      </c>
    </row>
    <row r="464" spans="8:8">
      <c r="H464">
        <v>463</v>
      </c>
    </row>
    <row r="465" spans="8:8">
      <c r="H465">
        <v>464</v>
      </c>
    </row>
    <row r="466" spans="8:8">
      <c r="H466">
        <v>465</v>
      </c>
    </row>
    <row r="467" spans="8:8">
      <c r="H467">
        <v>466</v>
      </c>
    </row>
    <row r="468" spans="8:8">
      <c r="H468">
        <v>467</v>
      </c>
    </row>
    <row r="469" spans="8:8">
      <c r="H469">
        <v>468</v>
      </c>
    </row>
    <row r="470" spans="8:8">
      <c r="H470">
        <v>469</v>
      </c>
    </row>
    <row r="471" spans="8:8">
      <c r="H471">
        <v>470</v>
      </c>
    </row>
    <row r="472" spans="8:8">
      <c r="H472">
        <v>471</v>
      </c>
    </row>
    <row r="473" spans="8:8">
      <c r="H473">
        <v>472</v>
      </c>
    </row>
    <row r="474" spans="8:8">
      <c r="H474">
        <v>473</v>
      </c>
    </row>
    <row r="475" spans="8:8">
      <c r="H475">
        <v>474</v>
      </c>
    </row>
    <row r="476" spans="8:8">
      <c r="H476">
        <v>475</v>
      </c>
    </row>
    <row r="477" spans="8:8">
      <c r="H477">
        <v>476</v>
      </c>
    </row>
    <row r="478" spans="8:8">
      <c r="H478">
        <v>477</v>
      </c>
    </row>
    <row r="479" spans="8:8">
      <c r="H479">
        <v>478</v>
      </c>
    </row>
    <row r="480" spans="8:8">
      <c r="H480">
        <v>479</v>
      </c>
    </row>
    <row r="481" spans="8:8">
      <c r="H481">
        <v>480</v>
      </c>
    </row>
    <row r="482" spans="8:8">
      <c r="H482">
        <v>481</v>
      </c>
    </row>
    <row r="483" spans="8:8">
      <c r="H483">
        <v>482</v>
      </c>
    </row>
    <row r="484" spans="8:8">
      <c r="H484">
        <v>483</v>
      </c>
    </row>
    <row r="485" spans="8:8">
      <c r="H485">
        <v>484</v>
      </c>
    </row>
    <row r="486" spans="8:8">
      <c r="H486">
        <v>485</v>
      </c>
    </row>
    <row r="487" spans="8:8">
      <c r="H487">
        <v>486</v>
      </c>
    </row>
    <row r="488" spans="8:8">
      <c r="H488">
        <v>487</v>
      </c>
    </row>
    <row r="489" spans="8:8">
      <c r="H489">
        <v>488</v>
      </c>
    </row>
    <row r="490" spans="8:8">
      <c r="H490">
        <v>489</v>
      </c>
    </row>
    <row r="491" spans="8:8">
      <c r="H491">
        <v>490</v>
      </c>
    </row>
    <row r="492" spans="8:8">
      <c r="H492">
        <v>491</v>
      </c>
    </row>
    <row r="493" spans="8:8">
      <c r="H493">
        <v>492</v>
      </c>
    </row>
    <row r="494" spans="8:8">
      <c r="H494">
        <v>493</v>
      </c>
    </row>
    <row r="495" spans="8:8">
      <c r="H495">
        <v>494</v>
      </c>
    </row>
    <row r="496" spans="8:8">
      <c r="H496">
        <v>495</v>
      </c>
    </row>
    <row r="497" spans="8:8">
      <c r="H497">
        <v>496</v>
      </c>
    </row>
    <row r="498" spans="8:8">
      <c r="H498">
        <v>497</v>
      </c>
    </row>
    <row r="499" spans="8:8">
      <c r="H499">
        <v>498</v>
      </c>
    </row>
    <row r="500" spans="8:8">
      <c r="H500">
        <v>499</v>
      </c>
    </row>
    <row r="501" spans="8:8">
      <c r="H501">
        <v>500</v>
      </c>
    </row>
    <row r="502" spans="8:8">
      <c r="H502">
        <v>501</v>
      </c>
    </row>
    <row r="503" spans="8:8">
      <c r="H503">
        <v>502</v>
      </c>
    </row>
    <row r="504" spans="8:8">
      <c r="H504">
        <v>503</v>
      </c>
    </row>
    <row r="505" spans="8:8">
      <c r="H505">
        <v>504</v>
      </c>
    </row>
    <row r="506" spans="8:8">
      <c r="H506">
        <v>505</v>
      </c>
    </row>
    <row r="507" spans="8:8">
      <c r="H507">
        <v>506</v>
      </c>
    </row>
    <row r="508" spans="8:8">
      <c r="H508">
        <v>507</v>
      </c>
    </row>
    <row r="509" spans="8:8">
      <c r="H509">
        <v>508</v>
      </c>
    </row>
    <row r="510" spans="8:8">
      <c r="H510">
        <v>509</v>
      </c>
    </row>
    <row r="511" spans="8:8">
      <c r="H511">
        <v>510</v>
      </c>
    </row>
    <row r="512" spans="8:8">
      <c r="H512">
        <v>511</v>
      </c>
    </row>
    <row r="513" spans="8:8">
      <c r="H513">
        <v>512</v>
      </c>
    </row>
    <row r="514" spans="8:8">
      <c r="H514">
        <v>513</v>
      </c>
    </row>
    <row r="515" spans="8:8">
      <c r="H515">
        <v>514</v>
      </c>
    </row>
    <row r="516" spans="8:8">
      <c r="H516">
        <v>515</v>
      </c>
    </row>
    <row r="517" spans="8:8">
      <c r="H517">
        <v>516</v>
      </c>
    </row>
    <row r="518" spans="8:8">
      <c r="H518">
        <v>517</v>
      </c>
    </row>
    <row r="519" spans="8:8">
      <c r="H519">
        <v>518</v>
      </c>
    </row>
    <row r="520" spans="8:8">
      <c r="H520">
        <v>519</v>
      </c>
    </row>
    <row r="521" spans="8:8">
      <c r="H521">
        <v>520</v>
      </c>
    </row>
    <row r="522" spans="8:8">
      <c r="H522">
        <v>521</v>
      </c>
    </row>
    <row r="523" spans="8:8">
      <c r="H523">
        <v>522</v>
      </c>
    </row>
    <row r="524" spans="8:8">
      <c r="H524">
        <v>523</v>
      </c>
    </row>
    <row r="525" spans="8:8">
      <c r="H525">
        <v>524</v>
      </c>
    </row>
    <row r="526" spans="8:8">
      <c r="H526">
        <v>525</v>
      </c>
    </row>
    <row r="527" spans="8:8">
      <c r="H527">
        <v>526</v>
      </c>
    </row>
    <row r="528" spans="8:8">
      <c r="H528">
        <v>527</v>
      </c>
    </row>
    <row r="529" spans="8:8">
      <c r="H529">
        <v>528</v>
      </c>
    </row>
    <row r="530" spans="8:8">
      <c r="H530">
        <v>529</v>
      </c>
    </row>
    <row r="531" spans="8:8">
      <c r="H531">
        <v>530</v>
      </c>
    </row>
    <row r="532" spans="8:8">
      <c r="H532">
        <v>531</v>
      </c>
    </row>
    <row r="533" spans="8:8">
      <c r="H533">
        <v>532</v>
      </c>
    </row>
    <row r="534" spans="8:8">
      <c r="H534">
        <v>533</v>
      </c>
    </row>
    <row r="535" spans="8:8">
      <c r="H535">
        <v>534</v>
      </c>
    </row>
    <row r="536" spans="8:8">
      <c r="H536">
        <v>535</v>
      </c>
    </row>
    <row r="537" spans="8:8">
      <c r="H537">
        <v>536</v>
      </c>
    </row>
    <row r="538" spans="8:8">
      <c r="H538">
        <v>537</v>
      </c>
    </row>
    <row r="539" spans="8:8">
      <c r="H539">
        <v>538</v>
      </c>
    </row>
    <row r="540" spans="8:8">
      <c r="H540">
        <v>539</v>
      </c>
    </row>
    <row r="541" spans="8:8">
      <c r="H541">
        <v>540</v>
      </c>
    </row>
    <row r="542" spans="8:8">
      <c r="H542">
        <v>541</v>
      </c>
    </row>
    <row r="543" spans="8:8">
      <c r="H543">
        <v>542</v>
      </c>
    </row>
    <row r="544" spans="8:8">
      <c r="H544">
        <v>543</v>
      </c>
    </row>
    <row r="545" spans="8:8">
      <c r="H545">
        <v>544</v>
      </c>
    </row>
    <row r="546" spans="8:8">
      <c r="H546">
        <v>545</v>
      </c>
    </row>
    <row r="547" spans="8:8">
      <c r="H547">
        <v>546</v>
      </c>
    </row>
    <row r="548" spans="8:8">
      <c r="H548">
        <v>547</v>
      </c>
    </row>
    <row r="549" spans="8:8">
      <c r="H549">
        <v>548</v>
      </c>
    </row>
    <row r="550" spans="8:8">
      <c r="H550">
        <v>549</v>
      </c>
    </row>
    <row r="551" spans="8:8">
      <c r="H551">
        <v>550</v>
      </c>
    </row>
    <row r="552" spans="8:8">
      <c r="H552">
        <v>551</v>
      </c>
    </row>
    <row r="553" spans="8:8">
      <c r="H553">
        <v>552</v>
      </c>
    </row>
    <row r="554" spans="8:8">
      <c r="H554">
        <v>553</v>
      </c>
    </row>
    <row r="555" spans="8:8">
      <c r="H555">
        <v>554</v>
      </c>
    </row>
    <row r="556" spans="8:8">
      <c r="H556">
        <v>555</v>
      </c>
    </row>
    <row r="557" spans="8:8">
      <c r="H557">
        <v>556</v>
      </c>
    </row>
    <row r="558" spans="8:8">
      <c r="H558">
        <v>557</v>
      </c>
    </row>
    <row r="559" spans="8:8">
      <c r="H559">
        <v>558</v>
      </c>
    </row>
    <row r="560" spans="8:8">
      <c r="H560">
        <v>559</v>
      </c>
    </row>
    <row r="561" spans="8:8">
      <c r="H561">
        <v>560</v>
      </c>
    </row>
    <row r="562" spans="8:8">
      <c r="H562">
        <v>561</v>
      </c>
    </row>
    <row r="563" spans="8:8">
      <c r="H563">
        <v>562</v>
      </c>
    </row>
    <row r="564" spans="8:8">
      <c r="H564">
        <v>563</v>
      </c>
    </row>
    <row r="565" spans="8:8">
      <c r="H565">
        <v>564</v>
      </c>
    </row>
    <row r="566" spans="8:8">
      <c r="H566">
        <v>565</v>
      </c>
    </row>
    <row r="567" spans="8:8">
      <c r="H567">
        <v>566</v>
      </c>
    </row>
    <row r="568" spans="8:8">
      <c r="H568">
        <v>567</v>
      </c>
    </row>
    <row r="569" spans="8:8">
      <c r="H569">
        <v>568</v>
      </c>
    </row>
    <row r="570" spans="8:8">
      <c r="H570">
        <v>569</v>
      </c>
    </row>
    <row r="571" spans="8:8">
      <c r="H571">
        <v>570</v>
      </c>
    </row>
    <row r="572" spans="8:8">
      <c r="H572">
        <v>571</v>
      </c>
    </row>
    <row r="573" spans="8:8">
      <c r="H573">
        <v>572</v>
      </c>
    </row>
    <row r="574" spans="8:8">
      <c r="H574">
        <v>573</v>
      </c>
    </row>
    <row r="575" spans="8:8">
      <c r="H575">
        <v>574</v>
      </c>
    </row>
    <row r="576" spans="8:8">
      <c r="H576">
        <v>575</v>
      </c>
    </row>
    <row r="577" spans="8:8">
      <c r="H577">
        <v>576</v>
      </c>
    </row>
    <row r="578" spans="8:8">
      <c r="H578">
        <v>577</v>
      </c>
    </row>
    <row r="579" spans="8:8">
      <c r="H579">
        <v>578</v>
      </c>
    </row>
    <row r="580" spans="8:8">
      <c r="H580">
        <v>579</v>
      </c>
    </row>
    <row r="581" spans="8:8">
      <c r="H581">
        <v>580</v>
      </c>
    </row>
    <row r="582" spans="8:8">
      <c r="H582">
        <v>581</v>
      </c>
    </row>
    <row r="583" spans="8:8">
      <c r="H583">
        <v>582</v>
      </c>
    </row>
    <row r="584" spans="8:8">
      <c r="H584">
        <v>583</v>
      </c>
    </row>
    <row r="585" spans="8:8">
      <c r="H585">
        <v>584</v>
      </c>
    </row>
    <row r="586" spans="8:8">
      <c r="H586">
        <v>585</v>
      </c>
    </row>
    <row r="587" spans="8:8">
      <c r="H587">
        <v>586</v>
      </c>
    </row>
    <row r="588" spans="8:8">
      <c r="H588">
        <v>587</v>
      </c>
    </row>
    <row r="589" spans="8:8">
      <c r="H589">
        <v>588</v>
      </c>
    </row>
    <row r="590" spans="8:8">
      <c r="H590">
        <v>589</v>
      </c>
    </row>
    <row r="591" spans="8:8">
      <c r="H591">
        <v>590</v>
      </c>
    </row>
    <row r="592" spans="8:8">
      <c r="H592">
        <v>591</v>
      </c>
    </row>
    <row r="593" spans="8:8">
      <c r="H593">
        <v>592</v>
      </c>
    </row>
    <row r="594" spans="8:8">
      <c r="H594">
        <v>593</v>
      </c>
    </row>
    <row r="595" spans="8:8">
      <c r="H595">
        <v>594</v>
      </c>
    </row>
    <row r="596" spans="8:8">
      <c r="H596">
        <v>595</v>
      </c>
    </row>
    <row r="597" spans="8:8">
      <c r="H597">
        <v>596</v>
      </c>
    </row>
    <row r="598" spans="8:8">
      <c r="H598">
        <v>597</v>
      </c>
    </row>
    <row r="599" spans="8:8">
      <c r="H599">
        <v>598</v>
      </c>
    </row>
    <row r="600" spans="8:8">
      <c r="H600">
        <v>599</v>
      </c>
    </row>
    <row r="601" spans="8:8">
      <c r="H601">
        <v>600</v>
      </c>
    </row>
    <row r="602" spans="8:8">
      <c r="H602">
        <v>601</v>
      </c>
    </row>
    <row r="603" spans="8:8">
      <c r="H603">
        <v>602</v>
      </c>
    </row>
    <row r="604" spans="8:8">
      <c r="H604">
        <v>603</v>
      </c>
    </row>
    <row r="605" spans="8:8">
      <c r="H605">
        <v>604</v>
      </c>
    </row>
    <row r="606" spans="8:8">
      <c r="H606">
        <v>605</v>
      </c>
    </row>
    <row r="607" spans="8:8">
      <c r="H607">
        <v>606</v>
      </c>
    </row>
    <row r="608" spans="8:8">
      <c r="H608">
        <v>607</v>
      </c>
    </row>
    <row r="609" spans="8:8">
      <c r="H609">
        <v>608</v>
      </c>
    </row>
    <row r="610" spans="8:8">
      <c r="H610">
        <v>609</v>
      </c>
    </row>
    <row r="611" spans="8:8">
      <c r="H611">
        <v>610</v>
      </c>
    </row>
    <row r="612" spans="8:8">
      <c r="H612">
        <v>611</v>
      </c>
    </row>
    <row r="613" spans="8:8">
      <c r="H613">
        <v>612</v>
      </c>
    </row>
    <row r="614" spans="8:8">
      <c r="H614">
        <v>613</v>
      </c>
    </row>
    <row r="615" spans="8:8">
      <c r="H615">
        <v>614</v>
      </c>
    </row>
    <row r="616" spans="8:8">
      <c r="H616">
        <v>615</v>
      </c>
    </row>
    <row r="617" spans="8:8">
      <c r="H617">
        <v>616</v>
      </c>
    </row>
    <row r="618" spans="8:8">
      <c r="H618">
        <v>617</v>
      </c>
    </row>
    <row r="619" spans="8:8">
      <c r="H619">
        <v>618</v>
      </c>
    </row>
    <row r="620" spans="8:8">
      <c r="H620">
        <v>619</v>
      </c>
    </row>
    <row r="621" spans="8:8">
      <c r="H621">
        <v>620</v>
      </c>
    </row>
    <row r="622" spans="8:8">
      <c r="H622">
        <v>621</v>
      </c>
    </row>
    <row r="623" spans="8:8">
      <c r="H623">
        <v>622</v>
      </c>
    </row>
    <row r="624" spans="8:8">
      <c r="H624">
        <v>623</v>
      </c>
    </row>
    <row r="625" spans="8:8">
      <c r="H625">
        <v>624</v>
      </c>
    </row>
    <row r="626" spans="8:8">
      <c r="H626">
        <v>625</v>
      </c>
    </row>
    <row r="627" spans="8:8">
      <c r="H627">
        <v>626</v>
      </c>
    </row>
    <row r="628" spans="8:8">
      <c r="H628">
        <v>627</v>
      </c>
    </row>
    <row r="629" spans="8:8">
      <c r="H629">
        <v>628</v>
      </c>
    </row>
    <row r="630" spans="8:8">
      <c r="H630">
        <v>629</v>
      </c>
    </row>
    <row r="631" spans="8:8">
      <c r="H631">
        <v>630</v>
      </c>
    </row>
    <row r="632" spans="8:8">
      <c r="H632">
        <v>631</v>
      </c>
    </row>
    <row r="633" spans="8:8">
      <c r="H633">
        <v>632</v>
      </c>
    </row>
    <row r="634" spans="8:8">
      <c r="H634">
        <v>633</v>
      </c>
    </row>
    <row r="635" spans="8:8">
      <c r="H635">
        <v>634</v>
      </c>
    </row>
    <row r="636" spans="8:8">
      <c r="H636">
        <v>635</v>
      </c>
    </row>
    <row r="637" spans="8:8">
      <c r="H637">
        <v>636</v>
      </c>
    </row>
    <row r="638" spans="8:8">
      <c r="H638">
        <v>637</v>
      </c>
    </row>
    <row r="639" spans="8:8">
      <c r="H639">
        <v>638</v>
      </c>
    </row>
    <row r="640" spans="8:8">
      <c r="H640">
        <v>639</v>
      </c>
    </row>
    <row r="641" spans="8:8">
      <c r="H641">
        <v>640</v>
      </c>
    </row>
    <row r="642" spans="8:8">
      <c r="H642">
        <v>641</v>
      </c>
    </row>
    <row r="643" spans="8:8">
      <c r="H643">
        <v>642</v>
      </c>
    </row>
    <row r="644" spans="8:8">
      <c r="H644">
        <v>643</v>
      </c>
    </row>
    <row r="645" spans="8:8">
      <c r="H645">
        <v>644</v>
      </c>
    </row>
    <row r="646" spans="8:8">
      <c r="H646">
        <v>645</v>
      </c>
    </row>
    <row r="647" spans="8:8">
      <c r="H647">
        <v>646</v>
      </c>
    </row>
    <row r="648" spans="8:8">
      <c r="H648">
        <v>647</v>
      </c>
    </row>
    <row r="649" spans="8:8">
      <c r="H649">
        <v>648</v>
      </c>
    </row>
    <row r="650" spans="8:8">
      <c r="H650">
        <v>649</v>
      </c>
    </row>
    <row r="651" spans="8:8">
      <c r="H651">
        <v>650</v>
      </c>
    </row>
    <row r="652" spans="8:8">
      <c r="H652">
        <v>651</v>
      </c>
    </row>
    <row r="653" spans="8:8">
      <c r="H653">
        <v>652</v>
      </c>
    </row>
    <row r="654" spans="8:8">
      <c r="H654">
        <v>653</v>
      </c>
    </row>
    <row r="655" spans="8:8">
      <c r="H655">
        <v>654</v>
      </c>
    </row>
    <row r="656" spans="8:8">
      <c r="H656">
        <v>655</v>
      </c>
    </row>
    <row r="657" spans="8:8">
      <c r="H657">
        <v>656</v>
      </c>
    </row>
    <row r="658" spans="8:8">
      <c r="H658">
        <v>657</v>
      </c>
    </row>
    <row r="659" spans="8:8">
      <c r="H659">
        <v>658</v>
      </c>
    </row>
    <row r="660" spans="8:8">
      <c r="H660">
        <v>659</v>
      </c>
    </row>
    <row r="661" spans="8:8">
      <c r="H661">
        <v>660</v>
      </c>
    </row>
    <row r="662" spans="8:8">
      <c r="H662">
        <v>661</v>
      </c>
    </row>
    <row r="663" spans="8:8">
      <c r="H663">
        <v>662</v>
      </c>
    </row>
    <row r="664" spans="8:8">
      <c r="H664">
        <v>663</v>
      </c>
    </row>
    <row r="665" spans="8:8">
      <c r="H665">
        <v>664</v>
      </c>
    </row>
    <row r="666" spans="8:8">
      <c r="H666">
        <v>665</v>
      </c>
    </row>
    <row r="667" spans="8:8">
      <c r="H667">
        <v>666</v>
      </c>
    </row>
    <row r="668" spans="8:8">
      <c r="H668">
        <v>667</v>
      </c>
    </row>
    <row r="669" spans="8:8">
      <c r="H669">
        <v>668</v>
      </c>
    </row>
    <row r="670" spans="8:8">
      <c r="H670">
        <v>669</v>
      </c>
    </row>
    <row r="671" spans="8:8">
      <c r="H671">
        <v>670</v>
      </c>
    </row>
    <row r="672" spans="8:8">
      <c r="H672">
        <v>671</v>
      </c>
    </row>
    <row r="673" spans="8:8">
      <c r="H673">
        <v>672</v>
      </c>
    </row>
    <row r="674" spans="8:8">
      <c r="H674">
        <v>673</v>
      </c>
    </row>
    <row r="675" spans="8:8">
      <c r="H675">
        <v>674</v>
      </c>
    </row>
    <row r="676" spans="8:8">
      <c r="H676">
        <v>675</v>
      </c>
    </row>
    <row r="677" spans="8:8">
      <c r="H677">
        <v>676</v>
      </c>
    </row>
    <row r="678" spans="8:8">
      <c r="H678">
        <v>677</v>
      </c>
    </row>
    <row r="679" spans="8:8">
      <c r="H679">
        <v>678</v>
      </c>
    </row>
    <row r="680" spans="8:8">
      <c r="H680">
        <v>679</v>
      </c>
    </row>
    <row r="681" spans="8:8">
      <c r="H681">
        <v>680</v>
      </c>
    </row>
    <row r="682" spans="8:8">
      <c r="H682">
        <v>681</v>
      </c>
    </row>
    <row r="683" spans="8:8">
      <c r="H683">
        <v>682</v>
      </c>
    </row>
    <row r="684" spans="8:8">
      <c r="H684">
        <v>683</v>
      </c>
    </row>
    <row r="685" spans="8:8">
      <c r="H685">
        <v>684</v>
      </c>
    </row>
    <row r="686" spans="8:8">
      <c r="H686">
        <v>685</v>
      </c>
    </row>
    <row r="687" spans="8:8">
      <c r="H687">
        <v>686</v>
      </c>
    </row>
    <row r="688" spans="8:8">
      <c r="H688">
        <v>687</v>
      </c>
    </row>
    <row r="689" spans="8:8">
      <c r="H689">
        <v>688</v>
      </c>
    </row>
    <row r="690" spans="8:8">
      <c r="H690">
        <v>689</v>
      </c>
    </row>
    <row r="691" spans="8:8">
      <c r="H691">
        <v>690</v>
      </c>
    </row>
    <row r="692" spans="8:8">
      <c r="H692">
        <v>691</v>
      </c>
    </row>
    <row r="693" spans="8:8">
      <c r="H693">
        <v>692</v>
      </c>
    </row>
    <row r="694" spans="8:8">
      <c r="H694">
        <v>693</v>
      </c>
    </row>
    <row r="695" spans="8:8">
      <c r="H695">
        <v>694</v>
      </c>
    </row>
    <row r="696" spans="8:8">
      <c r="H696">
        <v>695</v>
      </c>
    </row>
    <row r="697" spans="8:8">
      <c r="H697">
        <v>696</v>
      </c>
    </row>
    <row r="698" spans="8:8">
      <c r="H698">
        <v>697</v>
      </c>
    </row>
    <row r="699" spans="8:8">
      <c r="H699">
        <v>698</v>
      </c>
    </row>
    <row r="700" spans="8:8">
      <c r="H700">
        <v>699</v>
      </c>
    </row>
    <row r="701" spans="8:8">
      <c r="H701">
        <v>700</v>
      </c>
    </row>
    <row r="702" spans="8:8">
      <c r="H702">
        <v>701</v>
      </c>
    </row>
    <row r="703" spans="8:8">
      <c r="H703">
        <v>702</v>
      </c>
    </row>
    <row r="704" spans="8:8">
      <c r="H704">
        <v>703</v>
      </c>
    </row>
    <row r="705" spans="8:8">
      <c r="H705">
        <v>704</v>
      </c>
    </row>
    <row r="706" spans="8:8">
      <c r="H706">
        <v>705</v>
      </c>
    </row>
    <row r="707" spans="8:8">
      <c r="H707">
        <v>706</v>
      </c>
    </row>
    <row r="708" spans="8:8">
      <c r="H708">
        <v>707</v>
      </c>
    </row>
    <row r="709" spans="8:8">
      <c r="H709">
        <v>708</v>
      </c>
    </row>
    <row r="710" spans="8:8">
      <c r="H710">
        <v>709</v>
      </c>
    </row>
    <row r="711" spans="8:8">
      <c r="H711">
        <v>710</v>
      </c>
    </row>
    <row r="712" spans="8:8">
      <c r="H712">
        <v>711</v>
      </c>
    </row>
    <row r="713" spans="8:8">
      <c r="H713">
        <v>712</v>
      </c>
    </row>
    <row r="714" spans="8:8">
      <c r="H714">
        <v>713</v>
      </c>
    </row>
    <row r="715" spans="8:8">
      <c r="H715">
        <v>714</v>
      </c>
    </row>
    <row r="716" spans="8:8">
      <c r="H716">
        <v>715</v>
      </c>
    </row>
    <row r="717" spans="8:8">
      <c r="H717">
        <v>716</v>
      </c>
    </row>
    <row r="718" spans="8:8">
      <c r="H718">
        <v>717</v>
      </c>
    </row>
    <row r="719" spans="8:8">
      <c r="H719">
        <v>718</v>
      </c>
    </row>
    <row r="720" spans="8:8">
      <c r="H720">
        <v>719</v>
      </c>
    </row>
    <row r="721" spans="8:8">
      <c r="H721">
        <v>720</v>
      </c>
    </row>
    <row r="722" spans="8:8">
      <c r="H722">
        <v>721</v>
      </c>
    </row>
    <row r="723" spans="8:8">
      <c r="H723">
        <v>722</v>
      </c>
    </row>
    <row r="724" spans="8:8">
      <c r="H724">
        <v>723</v>
      </c>
    </row>
    <row r="725" spans="8:8">
      <c r="H725">
        <v>724</v>
      </c>
    </row>
    <row r="726" spans="8:8">
      <c r="H726">
        <v>725</v>
      </c>
    </row>
    <row r="727" spans="8:8">
      <c r="H727">
        <v>726</v>
      </c>
    </row>
    <row r="728" spans="8:8">
      <c r="H728">
        <v>727</v>
      </c>
    </row>
    <row r="729" spans="8:8">
      <c r="H729">
        <v>728</v>
      </c>
    </row>
    <row r="730" spans="8:8">
      <c r="H730">
        <v>729</v>
      </c>
    </row>
    <row r="731" spans="8:8">
      <c r="H731">
        <v>730</v>
      </c>
    </row>
    <row r="732" spans="8:8">
      <c r="H732">
        <v>731</v>
      </c>
    </row>
    <row r="733" spans="8:8">
      <c r="H733">
        <v>732</v>
      </c>
    </row>
    <row r="734" spans="8:8">
      <c r="H734">
        <v>733</v>
      </c>
    </row>
    <row r="735" spans="8:8">
      <c r="H735">
        <v>734</v>
      </c>
    </row>
    <row r="736" spans="8:8">
      <c r="H736">
        <v>735</v>
      </c>
    </row>
    <row r="737" spans="8:8">
      <c r="H737">
        <v>736</v>
      </c>
    </row>
    <row r="738" spans="8:8">
      <c r="H738">
        <v>737</v>
      </c>
    </row>
    <row r="739" spans="8:8">
      <c r="H739">
        <v>738</v>
      </c>
    </row>
    <row r="740" spans="8:8">
      <c r="H740">
        <v>739</v>
      </c>
    </row>
    <row r="741" spans="8:8">
      <c r="H741">
        <v>740</v>
      </c>
    </row>
    <row r="742" spans="8:8">
      <c r="H742">
        <v>741</v>
      </c>
    </row>
    <row r="743" spans="8:8">
      <c r="H743">
        <v>742</v>
      </c>
    </row>
    <row r="744" spans="8:8">
      <c r="H744">
        <v>743</v>
      </c>
    </row>
    <row r="745" spans="8:8">
      <c r="H745">
        <v>744</v>
      </c>
    </row>
    <row r="746" spans="8:8">
      <c r="H746">
        <v>745</v>
      </c>
    </row>
    <row r="747" spans="8:8">
      <c r="H747">
        <v>746</v>
      </c>
    </row>
    <row r="748" spans="8:8">
      <c r="H748">
        <v>747</v>
      </c>
    </row>
    <row r="749" spans="8:8">
      <c r="H749">
        <v>748</v>
      </c>
    </row>
    <row r="750" spans="8:8">
      <c r="H750">
        <v>749</v>
      </c>
    </row>
    <row r="751" spans="8:8">
      <c r="H751">
        <v>750</v>
      </c>
    </row>
    <row r="752" spans="8:8">
      <c r="H752">
        <v>751</v>
      </c>
    </row>
    <row r="753" spans="8:8">
      <c r="H753">
        <v>752</v>
      </c>
    </row>
    <row r="754" spans="8:8">
      <c r="H754">
        <v>753</v>
      </c>
    </row>
    <row r="755" spans="8:8">
      <c r="H755">
        <v>754</v>
      </c>
    </row>
    <row r="756" spans="8:8">
      <c r="H756">
        <v>755</v>
      </c>
    </row>
    <row r="757" spans="8:8">
      <c r="H757">
        <v>756</v>
      </c>
    </row>
    <row r="758" spans="8:8">
      <c r="H758">
        <v>757</v>
      </c>
    </row>
    <row r="759" spans="8:8">
      <c r="H759">
        <v>758</v>
      </c>
    </row>
    <row r="760" spans="8:8">
      <c r="H760">
        <v>759</v>
      </c>
    </row>
    <row r="761" spans="8:8">
      <c r="H761">
        <v>760</v>
      </c>
    </row>
    <row r="762" spans="8:8">
      <c r="H762">
        <v>761</v>
      </c>
    </row>
    <row r="763" spans="8:8">
      <c r="H763">
        <v>762</v>
      </c>
    </row>
    <row r="764" spans="8:8">
      <c r="H764">
        <v>763</v>
      </c>
    </row>
    <row r="765" spans="8:8">
      <c r="H765">
        <v>764</v>
      </c>
    </row>
    <row r="766" spans="8:8">
      <c r="H766">
        <v>765</v>
      </c>
    </row>
    <row r="767" spans="8:8">
      <c r="H767">
        <v>766</v>
      </c>
    </row>
    <row r="768" spans="8:8">
      <c r="H768">
        <v>767</v>
      </c>
    </row>
    <row r="769" spans="8:8">
      <c r="H769">
        <v>768</v>
      </c>
    </row>
    <row r="770" spans="8:8">
      <c r="H770">
        <v>769</v>
      </c>
    </row>
    <row r="771" spans="8:8">
      <c r="H771">
        <v>770</v>
      </c>
    </row>
    <row r="772" spans="8:8">
      <c r="H772">
        <v>771</v>
      </c>
    </row>
    <row r="773" spans="8:8">
      <c r="H773">
        <v>772</v>
      </c>
    </row>
    <row r="774" spans="8:8">
      <c r="H774">
        <v>773</v>
      </c>
    </row>
    <row r="775" spans="8:8">
      <c r="H775">
        <v>774</v>
      </c>
    </row>
    <row r="776" spans="8:8">
      <c r="H776">
        <v>775</v>
      </c>
    </row>
    <row r="777" spans="8:8">
      <c r="H777">
        <v>776</v>
      </c>
    </row>
    <row r="778" spans="8:8">
      <c r="H778">
        <v>777</v>
      </c>
    </row>
    <row r="779" spans="8:8">
      <c r="H779">
        <v>778</v>
      </c>
    </row>
    <row r="780" spans="8:8">
      <c r="H780">
        <v>779</v>
      </c>
    </row>
    <row r="781" spans="8:8">
      <c r="H781">
        <v>780</v>
      </c>
    </row>
    <row r="782" spans="8:8">
      <c r="H782">
        <v>781</v>
      </c>
    </row>
    <row r="783" spans="8:8">
      <c r="H783">
        <v>782</v>
      </c>
    </row>
    <row r="784" spans="8:8">
      <c r="H784">
        <v>783</v>
      </c>
    </row>
    <row r="785" spans="8:8">
      <c r="H785">
        <v>784</v>
      </c>
    </row>
    <row r="786" spans="8:8">
      <c r="H786">
        <v>785</v>
      </c>
    </row>
    <row r="787" spans="8:8">
      <c r="H787">
        <v>786</v>
      </c>
    </row>
    <row r="788" spans="8:8">
      <c r="H788">
        <v>787</v>
      </c>
    </row>
    <row r="789" spans="8:8">
      <c r="H789">
        <v>788</v>
      </c>
    </row>
    <row r="790" spans="8:8">
      <c r="H790">
        <v>789</v>
      </c>
    </row>
    <row r="791" spans="8:8">
      <c r="H791">
        <v>790</v>
      </c>
    </row>
    <row r="792" spans="8:8">
      <c r="H792">
        <v>791</v>
      </c>
    </row>
    <row r="793" spans="8:8">
      <c r="H793">
        <v>792</v>
      </c>
    </row>
    <row r="794" spans="8:8">
      <c r="H794">
        <v>793</v>
      </c>
    </row>
    <row r="795" spans="8:8">
      <c r="H795">
        <v>794</v>
      </c>
    </row>
    <row r="796" spans="8:8">
      <c r="H796">
        <v>795</v>
      </c>
    </row>
    <row r="797" spans="8:8">
      <c r="H797">
        <v>796</v>
      </c>
    </row>
    <row r="798" spans="8:8">
      <c r="H798">
        <v>797</v>
      </c>
    </row>
    <row r="799" spans="8:8">
      <c r="H799">
        <v>798</v>
      </c>
    </row>
    <row r="800" spans="8:8">
      <c r="H800">
        <v>799</v>
      </c>
    </row>
    <row r="801" spans="8:8">
      <c r="H801">
        <v>800</v>
      </c>
    </row>
    <row r="802" spans="8:8">
      <c r="H802">
        <v>801</v>
      </c>
    </row>
    <row r="803" spans="8:8">
      <c r="H803">
        <v>802</v>
      </c>
    </row>
    <row r="804" spans="8:8">
      <c r="H804">
        <v>803</v>
      </c>
    </row>
    <row r="805" spans="8:8">
      <c r="H805">
        <v>804</v>
      </c>
    </row>
    <row r="806" spans="8:8">
      <c r="H806">
        <v>805</v>
      </c>
    </row>
    <row r="807" spans="8:8">
      <c r="H807">
        <v>806</v>
      </c>
    </row>
    <row r="808" spans="8:8">
      <c r="H808">
        <v>807</v>
      </c>
    </row>
    <row r="809" spans="8:8">
      <c r="H809">
        <v>808</v>
      </c>
    </row>
    <row r="810" spans="8:8">
      <c r="H810">
        <v>809</v>
      </c>
    </row>
    <row r="811" spans="8:8">
      <c r="H811">
        <v>810</v>
      </c>
    </row>
    <row r="812" spans="8:8">
      <c r="H812">
        <v>811</v>
      </c>
    </row>
    <row r="813" spans="8:8">
      <c r="H813">
        <v>812</v>
      </c>
    </row>
    <row r="814" spans="8:8">
      <c r="H814">
        <v>813</v>
      </c>
    </row>
    <row r="815" spans="8:8">
      <c r="H815">
        <v>814</v>
      </c>
    </row>
    <row r="816" spans="8:8">
      <c r="H816">
        <v>815</v>
      </c>
    </row>
    <row r="817" spans="8:8">
      <c r="H817">
        <v>816</v>
      </c>
    </row>
    <row r="818" spans="8:8">
      <c r="H818">
        <v>817</v>
      </c>
    </row>
    <row r="819" spans="8:8">
      <c r="H819">
        <v>818</v>
      </c>
    </row>
    <row r="820" spans="8:8">
      <c r="H820">
        <v>819</v>
      </c>
    </row>
    <row r="821" spans="8:8">
      <c r="H821">
        <v>820</v>
      </c>
    </row>
    <row r="822" spans="8:8">
      <c r="H822">
        <v>821</v>
      </c>
    </row>
    <row r="823" spans="8:8">
      <c r="H823">
        <v>822</v>
      </c>
    </row>
    <row r="824" spans="8:8">
      <c r="H824">
        <v>823</v>
      </c>
    </row>
    <row r="825" spans="8:8">
      <c r="H825">
        <v>824</v>
      </c>
    </row>
    <row r="826" spans="8:8">
      <c r="H826">
        <v>825</v>
      </c>
    </row>
    <row r="827" spans="8:8">
      <c r="H827">
        <v>826</v>
      </c>
    </row>
    <row r="828" spans="8:8">
      <c r="H828">
        <v>827</v>
      </c>
    </row>
    <row r="829" spans="8:8">
      <c r="H829">
        <v>828</v>
      </c>
    </row>
    <row r="830" spans="8:8">
      <c r="H830">
        <v>829</v>
      </c>
    </row>
    <row r="831" spans="8:8">
      <c r="H831">
        <v>830</v>
      </c>
    </row>
    <row r="832" spans="8:8">
      <c r="H832">
        <v>831</v>
      </c>
    </row>
    <row r="833" spans="8:8">
      <c r="H833">
        <v>832</v>
      </c>
    </row>
    <row r="834" spans="8:8">
      <c r="H834">
        <v>833</v>
      </c>
    </row>
    <row r="835" spans="8:8">
      <c r="H835">
        <v>834</v>
      </c>
    </row>
    <row r="836" spans="8:8">
      <c r="H836">
        <v>835</v>
      </c>
    </row>
    <row r="837" spans="8:8">
      <c r="H837">
        <v>836</v>
      </c>
    </row>
    <row r="838" spans="8:8">
      <c r="H838">
        <v>837</v>
      </c>
    </row>
    <row r="839" spans="8:8">
      <c r="H839">
        <v>838</v>
      </c>
    </row>
    <row r="840" spans="8:8">
      <c r="H840">
        <v>839</v>
      </c>
    </row>
    <row r="841" spans="8:8">
      <c r="H841">
        <v>840</v>
      </c>
    </row>
    <row r="842" spans="8:8">
      <c r="H842">
        <v>841</v>
      </c>
    </row>
    <row r="843" spans="8:8">
      <c r="H843">
        <v>842</v>
      </c>
    </row>
    <row r="844" spans="8:8">
      <c r="H844">
        <v>843</v>
      </c>
    </row>
    <row r="845" spans="8:8">
      <c r="H845">
        <v>844</v>
      </c>
    </row>
    <row r="846" spans="8:8">
      <c r="H846">
        <v>845</v>
      </c>
    </row>
    <row r="847" spans="8:8">
      <c r="H847">
        <v>846</v>
      </c>
    </row>
    <row r="848" spans="8:8">
      <c r="H848">
        <v>847</v>
      </c>
    </row>
    <row r="849" spans="8:8">
      <c r="H849">
        <v>848</v>
      </c>
    </row>
    <row r="850" spans="8:8">
      <c r="H850">
        <v>849</v>
      </c>
    </row>
    <row r="851" spans="8:8">
      <c r="H851">
        <v>850</v>
      </c>
    </row>
    <row r="852" spans="8:8">
      <c r="H852">
        <v>851</v>
      </c>
    </row>
    <row r="853" spans="8:8">
      <c r="H853">
        <v>852</v>
      </c>
    </row>
    <row r="854" spans="8:8">
      <c r="H854">
        <v>853</v>
      </c>
    </row>
    <row r="855" spans="8:8">
      <c r="H855">
        <v>854</v>
      </c>
    </row>
    <row r="856" spans="8:8">
      <c r="H856">
        <v>855</v>
      </c>
    </row>
    <row r="857" spans="8:8">
      <c r="H857">
        <v>856</v>
      </c>
    </row>
    <row r="858" spans="8:8">
      <c r="H858">
        <v>857</v>
      </c>
    </row>
    <row r="859" spans="8:8">
      <c r="H859">
        <v>858</v>
      </c>
    </row>
    <row r="860" spans="8:8">
      <c r="H860">
        <v>859</v>
      </c>
    </row>
    <row r="861" spans="8:8">
      <c r="H861">
        <v>860</v>
      </c>
    </row>
    <row r="862" spans="8:8">
      <c r="H862">
        <v>861</v>
      </c>
    </row>
    <row r="863" spans="8:8">
      <c r="H863">
        <v>862</v>
      </c>
    </row>
    <row r="864" spans="8:8">
      <c r="H864">
        <v>863</v>
      </c>
    </row>
    <row r="865" spans="8:8">
      <c r="H865">
        <v>864</v>
      </c>
    </row>
    <row r="866" spans="8:8">
      <c r="H866">
        <v>865</v>
      </c>
    </row>
    <row r="867" spans="8:8">
      <c r="H867">
        <v>866</v>
      </c>
    </row>
    <row r="868" spans="8:8">
      <c r="H868">
        <v>867</v>
      </c>
    </row>
    <row r="869" spans="8:8">
      <c r="H869">
        <v>868</v>
      </c>
    </row>
    <row r="870" spans="8:8">
      <c r="H870">
        <v>869</v>
      </c>
    </row>
    <row r="871" spans="8:8">
      <c r="H871">
        <v>870</v>
      </c>
    </row>
    <row r="872" spans="8:8">
      <c r="H872">
        <v>871</v>
      </c>
    </row>
    <row r="873" spans="8:8">
      <c r="H873">
        <v>872</v>
      </c>
    </row>
    <row r="874" spans="8:8">
      <c r="H874">
        <v>873</v>
      </c>
    </row>
    <row r="875" spans="8:8">
      <c r="H875">
        <v>874</v>
      </c>
    </row>
    <row r="876" spans="8:8">
      <c r="H876">
        <v>875</v>
      </c>
    </row>
    <row r="877" spans="8:8">
      <c r="H877">
        <v>876</v>
      </c>
    </row>
    <row r="878" spans="8:8">
      <c r="H878">
        <v>877</v>
      </c>
    </row>
    <row r="879" spans="8:8">
      <c r="H879">
        <v>878</v>
      </c>
    </row>
    <row r="880" spans="8:8">
      <c r="H880">
        <v>879</v>
      </c>
    </row>
    <row r="881" spans="8:8">
      <c r="H881">
        <v>880</v>
      </c>
    </row>
    <row r="882" spans="8:8">
      <c r="H882">
        <v>881</v>
      </c>
    </row>
    <row r="883" spans="8:8">
      <c r="H883">
        <v>882</v>
      </c>
    </row>
    <row r="884" spans="8:8">
      <c r="H884">
        <v>883</v>
      </c>
    </row>
    <row r="885" spans="8:8">
      <c r="H885">
        <v>884</v>
      </c>
    </row>
    <row r="886" spans="8:8">
      <c r="H886">
        <v>885</v>
      </c>
    </row>
    <row r="887" spans="8:8">
      <c r="H887">
        <v>886</v>
      </c>
    </row>
    <row r="888" spans="8:8">
      <c r="H888">
        <v>887</v>
      </c>
    </row>
    <row r="889" spans="8:8">
      <c r="H889">
        <v>888</v>
      </c>
    </row>
    <row r="890" spans="8:8">
      <c r="H890">
        <v>889</v>
      </c>
    </row>
    <row r="891" spans="8:8">
      <c r="H891">
        <v>890</v>
      </c>
    </row>
    <row r="892" spans="8:8">
      <c r="H892">
        <v>891</v>
      </c>
    </row>
    <row r="893" spans="8:8">
      <c r="H893">
        <v>892</v>
      </c>
    </row>
    <row r="894" spans="8:8">
      <c r="H894">
        <v>893</v>
      </c>
    </row>
    <row r="895" spans="8:8">
      <c r="H895">
        <v>894</v>
      </c>
    </row>
    <row r="896" spans="8:8">
      <c r="H896">
        <v>895</v>
      </c>
    </row>
    <row r="897" spans="8:8">
      <c r="H897">
        <v>896</v>
      </c>
    </row>
    <row r="898" spans="8:8">
      <c r="H898">
        <v>897</v>
      </c>
    </row>
    <row r="899" spans="8:8">
      <c r="H899">
        <v>898</v>
      </c>
    </row>
    <row r="900" spans="8:8">
      <c r="H900">
        <v>899</v>
      </c>
    </row>
    <row r="901" spans="8:8">
      <c r="H901">
        <v>900</v>
      </c>
    </row>
    <row r="902" spans="8:8">
      <c r="H902">
        <v>901</v>
      </c>
    </row>
    <row r="903" spans="8:8">
      <c r="H903">
        <v>902</v>
      </c>
    </row>
    <row r="904" spans="8:8">
      <c r="H904">
        <v>903</v>
      </c>
    </row>
    <row r="905" spans="8:8">
      <c r="H905">
        <v>904</v>
      </c>
    </row>
    <row r="906" spans="8:8">
      <c r="H906">
        <v>905</v>
      </c>
    </row>
    <row r="907" spans="8:8">
      <c r="H907">
        <v>906</v>
      </c>
    </row>
    <row r="908" spans="8:8">
      <c r="H908">
        <v>907</v>
      </c>
    </row>
    <row r="909" spans="8:8">
      <c r="H909">
        <v>908</v>
      </c>
    </row>
    <row r="910" spans="8:8">
      <c r="H910">
        <v>909</v>
      </c>
    </row>
    <row r="911" spans="8:8">
      <c r="H911">
        <v>910</v>
      </c>
    </row>
    <row r="912" spans="8:8">
      <c r="H912">
        <v>911</v>
      </c>
    </row>
    <row r="913" spans="8:8">
      <c r="H913">
        <v>912</v>
      </c>
    </row>
    <row r="914" spans="8:8">
      <c r="H914">
        <v>913</v>
      </c>
    </row>
    <row r="915" spans="8:8">
      <c r="H915">
        <v>914</v>
      </c>
    </row>
    <row r="916" spans="8:8">
      <c r="H916">
        <v>915</v>
      </c>
    </row>
    <row r="917" spans="8:8">
      <c r="H917">
        <v>916</v>
      </c>
    </row>
    <row r="918" spans="8:8">
      <c r="H918">
        <v>917</v>
      </c>
    </row>
    <row r="919" spans="8:8">
      <c r="H919">
        <v>918</v>
      </c>
    </row>
    <row r="920" spans="8:8">
      <c r="H920">
        <v>919</v>
      </c>
    </row>
    <row r="921" spans="8:8">
      <c r="H921">
        <v>920</v>
      </c>
    </row>
    <row r="922" spans="8:8">
      <c r="H922">
        <v>921</v>
      </c>
    </row>
    <row r="923" spans="8:8">
      <c r="H923">
        <v>922</v>
      </c>
    </row>
    <row r="924" spans="8:8">
      <c r="H924">
        <v>923</v>
      </c>
    </row>
    <row r="925" spans="8:8">
      <c r="H925">
        <v>924</v>
      </c>
    </row>
    <row r="926" spans="8:8">
      <c r="H926">
        <v>925</v>
      </c>
    </row>
    <row r="927" spans="8:8">
      <c r="H927">
        <v>926</v>
      </c>
    </row>
    <row r="928" spans="8:8">
      <c r="H928">
        <v>927</v>
      </c>
    </row>
    <row r="929" spans="8:8">
      <c r="H929">
        <v>928</v>
      </c>
    </row>
    <row r="930" spans="8:8">
      <c r="H930">
        <v>929</v>
      </c>
    </row>
    <row r="931" spans="8:8">
      <c r="H931">
        <v>930</v>
      </c>
    </row>
    <row r="932" spans="8:8">
      <c r="H932">
        <v>931</v>
      </c>
    </row>
    <row r="933" spans="8:8">
      <c r="H933">
        <v>932</v>
      </c>
    </row>
    <row r="934" spans="8:8">
      <c r="H934">
        <v>933</v>
      </c>
    </row>
    <row r="935" spans="8:8">
      <c r="H935">
        <v>934</v>
      </c>
    </row>
    <row r="936" spans="8:8">
      <c r="H936">
        <v>935</v>
      </c>
    </row>
    <row r="937" spans="8:8">
      <c r="H937">
        <v>936</v>
      </c>
    </row>
    <row r="938" spans="8:8">
      <c r="H938">
        <v>937</v>
      </c>
    </row>
    <row r="939" spans="8:8">
      <c r="H939">
        <v>938</v>
      </c>
    </row>
    <row r="940" spans="8:8">
      <c r="H940">
        <v>939</v>
      </c>
    </row>
    <row r="941" spans="8:8">
      <c r="H941">
        <v>940</v>
      </c>
    </row>
    <row r="942" spans="8:8">
      <c r="H942">
        <v>941</v>
      </c>
    </row>
    <row r="943" spans="8:8">
      <c r="H943">
        <v>942</v>
      </c>
    </row>
    <row r="944" spans="8:8">
      <c r="H944">
        <v>943</v>
      </c>
    </row>
    <row r="945" spans="8:8">
      <c r="H945">
        <v>944</v>
      </c>
    </row>
    <row r="946" spans="8:8">
      <c r="H946">
        <v>945</v>
      </c>
    </row>
    <row r="947" spans="8:8">
      <c r="H947">
        <v>946</v>
      </c>
    </row>
    <row r="948" spans="8:8">
      <c r="H948">
        <v>947</v>
      </c>
    </row>
    <row r="949" spans="8:8">
      <c r="H949">
        <v>948</v>
      </c>
    </row>
    <row r="950" spans="8:8">
      <c r="H950">
        <v>949</v>
      </c>
    </row>
    <row r="951" spans="8:8">
      <c r="H951">
        <v>950</v>
      </c>
    </row>
    <row r="952" spans="8:8">
      <c r="H952">
        <v>951</v>
      </c>
    </row>
    <row r="953" spans="8:8">
      <c r="H953">
        <v>952</v>
      </c>
    </row>
    <row r="954" spans="8:8">
      <c r="H954">
        <v>953</v>
      </c>
    </row>
    <row r="955" spans="8:8">
      <c r="H955">
        <v>954</v>
      </c>
    </row>
    <row r="956" spans="8:8">
      <c r="H956">
        <v>955</v>
      </c>
    </row>
    <row r="957" spans="8:8">
      <c r="H957">
        <v>956</v>
      </c>
    </row>
    <row r="958" spans="8:8">
      <c r="H958">
        <v>957</v>
      </c>
    </row>
    <row r="959" spans="8:8">
      <c r="H959">
        <v>958</v>
      </c>
    </row>
    <row r="960" spans="8:8">
      <c r="H960">
        <v>959</v>
      </c>
    </row>
    <row r="961" spans="8:8">
      <c r="H961">
        <v>960</v>
      </c>
    </row>
    <row r="962" spans="8:8">
      <c r="H962">
        <v>961</v>
      </c>
    </row>
    <row r="963" spans="8:8">
      <c r="H963">
        <v>962</v>
      </c>
    </row>
    <row r="964" spans="8:8">
      <c r="H964">
        <v>963</v>
      </c>
    </row>
    <row r="965" spans="8:8">
      <c r="H965">
        <v>964</v>
      </c>
    </row>
    <row r="966" spans="8:8">
      <c r="H966">
        <v>965</v>
      </c>
    </row>
    <row r="967" spans="8:8">
      <c r="H967">
        <v>966</v>
      </c>
    </row>
    <row r="968" spans="8:8">
      <c r="H968">
        <v>967</v>
      </c>
    </row>
    <row r="969" spans="8:8">
      <c r="H969">
        <v>968</v>
      </c>
    </row>
    <row r="970" spans="8:8">
      <c r="H970">
        <v>969</v>
      </c>
    </row>
    <row r="971" spans="8:8">
      <c r="H971">
        <v>970</v>
      </c>
    </row>
    <row r="972" spans="8:8">
      <c r="H972">
        <v>971</v>
      </c>
    </row>
    <row r="973" spans="8:8">
      <c r="H973">
        <v>972</v>
      </c>
    </row>
    <row r="974" spans="8:8">
      <c r="H974">
        <v>973</v>
      </c>
    </row>
    <row r="975" spans="8:8">
      <c r="H975">
        <v>974</v>
      </c>
    </row>
    <row r="976" spans="8:8">
      <c r="H976">
        <v>975</v>
      </c>
    </row>
    <row r="977" spans="8:8">
      <c r="H977">
        <v>976</v>
      </c>
    </row>
    <row r="978" spans="8:8">
      <c r="H978">
        <v>977</v>
      </c>
    </row>
    <row r="979" spans="8:8">
      <c r="H979">
        <v>978</v>
      </c>
    </row>
    <row r="980" spans="8:8">
      <c r="H980">
        <v>979</v>
      </c>
    </row>
    <row r="981" spans="8:8">
      <c r="H981">
        <v>980</v>
      </c>
    </row>
    <row r="982" spans="8:8">
      <c r="H982">
        <v>981</v>
      </c>
    </row>
    <row r="983" spans="8:8">
      <c r="H983">
        <v>982</v>
      </c>
    </row>
    <row r="984" spans="8:8">
      <c r="H984">
        <v>983</v>
      </c>
    </row>
    <row r="985" spans="8:8">
      <c r="H985">
        <v>984</v>
      </c>
    </row>
    <row r="986" spans="8:8">
      <c r="H986">
        <v>985</v>
      </c>
    </row>
    <row r="987" spans="8:8">
      <c r="H987">
        <v>986</v>
      </c>
    </row>
    <row r="988" spans="8:8">
      <c r="H988">
        <v>987</v>
      </c>
    </row>
    <row r="989" spans="8:8">
      <c r="H989">
        <v>988</v>
      </c>
    </row>
    <row r="990" spans="8:8">
      <c r="H990">
        <v>989</v>
      </c>
    </row>
    <row r="991" spans="8:8">
      <c r="H991">
        <v>990</v>
      </c>
    </row>
    <row r="992" spans="8:8">
      <c r="H992">
        <v>991</v>
      </c>
    </row>
    <row r="993" spans="8:8">
      <c r="H993">
        <v>992</v>
      </c>
    </row>
    <row r="994" spans="8:8">
      <c r="H994">
        <v>993</v>
      </c>
    </row>
    <row r="995" spans="8:8">
      <c r="H995">
        <v>994</v>
      </c>
    </row>
    <row r="996" spans="8:8">
      <c r="H996">
        <v>995</v>
      </c>
    </row>
    <row r="997" spans="8:8">
      <c r="H997">
        <v>996</v>
      </c>
    </row>
    <row r="998" spans="8:8">
      <c r="H998">
        <v>997</v>
      </c>
    </row>
    <row r="999" spans="8:8">
      <c r="H999">
        <v>998</v>
      </c>
    </row>
    <row r="1000" spans="8:8">
      <c r="H1000">
        <v>999</v>
      </c>
    </row>
    <row r="1001" spans="8:8">
      <c r="H1001">
        <v>1000</v>
      </c>
    </row>
    <row r="1002" spans="8:8">
      <c r="H1002">
        <v>1001</v>
      </c>
    </row>
    <row r="1003" spans="8:8">
      <c r="H1003">
        <v>1002</v>
      </c>
    </row>
    <row r="1004" spans="8:8">
      <c r="H1004">
        <v>1003</v>
      </c>
    </row>
    <row r="1005" spans="8:8">
      <c r="H1005">
        <v>1004</v>
      </c>
    </row>
    <row r="1006" spans="8:8">
      <c r="H1006">
        <v>1005</v>
      </c>
    </row>
    <row r="1007" spans="8:8">
      <c r="H1007">
        <v>1006</v>
      </c>
    </row>
    <row r="1008" spans="8:8">
      <c r="H1008">
        <v>1007</v>
      </c>
    </row>
    <row r="1009" spans="8:8">
      <c r="H1009">
        <v>1008</v>
      </c>
    </row>
    <row r="1010" spans="8:8">
      <c r="H1010">
        <v>1009</v>
      </c>
    </row>
    <row r="1011" spans="8:8">
      <c r="H1011">
        <v>1010</v>
      </c>
    </row>
    <row r="1012" spans="8:8">
      <c r="H1012">
        <v>1011</v>
      </c>
    </row>
    <row r="1013" spans="8:8">
      <c r="H1013">
        <v>1012</v>
      </c>
    </row>
    <row r="1014" spans="8:8">
      <c r="H1014">
        <v>1013</v>
      </c>
    </row>
    <row r="1015" spans="8:8">
      <c r="H1015">
        <v>1014</v>
      </c>
    </row>
    <row r="1016" spans="8:8">
      <c r="H1016">
        <v>1015</v>
      </c>
    </row>
    <row r="1017" spans="8:8">
      <c r="H1017">
        <v>1016</v>
      </c>
    </row>
    <row r="1018" spans="8:8">
      <c r="H1018">
        <v>1017</v>
      </c>
    </row>
    <row r="1019" spans="8:8">
      <c r="H1019">
        <v>1018</v>
      </c>
    </row>
    <row r="1020" spans="8:8">
      <c r="H1020">
        <v>1019</v>
      </c>
    </row>
    <row r="1021" spans="8:8">
      <c r="H1021">
        <v>1020</v>
      </c>
    </row>
    <row r="1022" spans="8:8">
      <c r="H1022">
        <v>1021</v>
      </c>
    </row>
    <row r="1023" spans="8:8">
      <c r="H1023">
        <v>1022</v>
      </c>
    </row>
    <row r="1024" spans="8:8">
      <c r="H1024">
        <v>1023</v>
      </c>
    </row>
    <row r="1025" spans="8:8">
      <c r="H1025">
        <v>1024</v>
      </c>
    </row>
    <row r="1026" spans="8:8">
      <c r="H1026">
        <v>1025</v>
      </c>
    </row>
    <row r="1027" spans="8:8">
      <c r="H1027">
        <v>1026</v>
      </c>
    </row>
    <row r="1028" spans="8:8">
      <c r="H1028">
        <v>1027</v>
      </c>
    </row>
    <row r="1029" spans="8:8">
      <c r="H1029">
        <v>1028</v>
      </c>
    </row>
    <row r="1030" spans="8:8">
      <c r="H1030">
        <v>1029</v>
      </c>
    </row>
    <row r="1031" spans="8:8">
      <c r="H1031">
        <v>1030</v>
      </c>
    </row>
    <row r="1032" spans="8:8">
      <c r="H1032">
        <v>1031</v>
      </c>
    </row>
    <row r="1033" spans="8:8">
      <c r="H1033">
        <v>1032</v>
      </c>
    </row>
    <row r="1034" spans="8:8">
      <c r="H1034">
        <v>1033</v>
      </c>
    </row>
    <row r="1035" spans="8:8">
      <c r="H1035">
        <v>1034</v>
      </c>
    </row>
    <row r="1036" spans="8:8">
      <c r="H1036">
        <v>1035</v>
      </c>
    </row>
    <row r="1037" spans="8:8">
      <c r="H1037">
        <v>1036</v>
      </c>
    </row>
    <row r="1038" spans="8:8">
      <c r="H1038">
        <v>1037</v>
      </c>
    </row>
    <row r="1039" spans="8:8">
      <c r="H1039">
        <v>1038</v>
      </c>
    </row>
    <row r="1040" spans="8:8">
      <c r="H1040">
        <v>1039</v>
      </c>
    </row>
    <row r="1041" spans="8:8">
      <c r="H1041">
        <v>1040</v>
      </c>
    </row>
    <row r="1042" spans="8:8">
      <c r="H1042">
        <v>1041</v>
      </c>
    </row>
    <row r="1043" spans="8:8">
      <c r="H1043">
        <v>1042</v>
      </c>
    </row>
    <row r="1044" spans="8:8">
      <c r="H1044">
        <v>1043</v>
      </c>
    </row>
    <row r="1045" spans="8:8">
      <c r="H1045">
        <v>1044</v>
      </c>
    </row>
    <row r="1046" spans="8:8">
      <c r="H1046">
        <v>1045</v>
      </c>
    </row>
    <row r="1047" spans="8:8">
      <c r="H1047">
        <v>1046</v>
      </c>
    </row>
    <row r="1048" spans="8:8">
      <c r="H1048">
        <v>1047</v>
      </c>
    </row>
    <row r="1049" spans="8:8">
      <c r="H1049">
        <v>1048</v>
      </c>
    </row>
    <row r="1050" spans="8:8">
      <c r="H1050">
        <v>1049</v>
      </c>
    </row>
    <row r="1051" spans="8:8">
      <c r="H1051">
        <v>1050</v>
      </c>
    </row>
    <row r="1052" spans="8:8">
      <c r="H1052">
        <v>1051</v>
      </c>
    </row>
    <row r="1053" spans="8:8">
      <c r="H1053">
        <v>1052</v>
      </c>
    </row>
    <row r="1054" spans="8:8">
      <c r="H1054">
        <v>1053</v>
      </c>
    </row>
    <row r="1055" spans="8:8">
      <c r="H1055">
        <v>1054</v>
      </c>
    </row>
    <row r="1056" spans="8:8">
      <c r="H1056">
        <v>1055</v>
      </c>
    </row>
    <row r="1057" spans="8:8">
      <c r="H1057">
        <v>1056</v>
      </c>
    </row>
    <row r="1058" spans="8:8">
      <c r="H1058">
        <v>1057</v>
      </c>
    </row>
    <row r="1059" spans="8:8">
      <c r="H1059">
        <v>1058</v>
      </c>
    </row>
    <row r="1060" spans="8:8">
      <c r="H1060">
        <v>1059</v>
      </c>
    </row>
    <row r="1061" spans="8:8">
      <c r="H1061">
        <v>1060</v>
      </c>
    </row>
    <row r="1062" spans="8:8">
      <c r="H1062">
        <v>1061</v>
      </c>
    </row>
    <row r="1063" spans="8:8">
      <c r="H1063">
        <v>1062</v>
      </c>
    </row>
    <row r="1064" spans="8:8">
      <c r="H1064">
        <v>1063</v>
      </c>
    </row>
    <row r="1065" spans="8:8">
      <c r="H1065">
        <v>1064</v>
      </c>
    </row>
    <row r="1066" spans="8:8">
      <c r="H1066">
        <v>1065</v>
      </c>
    </row>
    <row r="1067" spans="8:8">
      <c r="H1067">
        <v>1066</v>
      </c>
    </row>
    <row r="1068" spans="8:8">
      <c r="H1068">
        <v>1067</v>
      </c>
    </row>
    <row r="1069" spans="8:8">
      <c r="H1069">
        <v>1068</v>
      </c>
    </row>
    <row r="1070" spans="8:8">
      <c r="H1070">
        <v>1069</v>
      </c>
    </row>
    <row r="1071" spans="8:8">
      <c r="H1071">
        <v>1070</v>
      </c>
    </row>
    <row r="1072" spans="8:8">
      <c r="H1072">
        <v>1071</v>
      </c>
    </row>
    <row r="1073" spans="8:8">
      <c r="H1073">
        <v>1072</v>
      </c>
    </row>
    <row r="1074" spans="8:8">
      <c r="H1074">
        <v>1073</v>
      </c>
    </row>
    <row r="1075" spans="8:8">
      <c r="H1075">
        <v>1074</v>
      </c>
    </row>
    <row r="1076" spans="8:8">
      <c r="H1076">
        <v>1075</v>
      </c>
    </row>
    <row r="1077" spans="8:8">
      <c r="H1077">
        <v>1076</v>
      </c>
    </row>
    <row r="1078" spans="8:8">
      <c r="H1078">
        <v>1077</v>
      </c>
    </row>
    <row r="1079" spans="8:8">
      <c r="H1079">
        <v>1078</v>
      </c>
    </row>
    <row r="1080" spans="8:8">
      <c r="H1080">
        <v>1079</v>
      </c>
    </row>
    <row r="1081" spans="8:8">
      <c r="H1081">
        <v>1080</v>
      </c>
    </row>
    <row r="1082" spans="8:8">
      <c r="H1082">
        <v>1081</v>
      </c>
    </row>
    <row r="1083" spans="8:8">
      <c r="H1083">
        <v>1082</v>
      </c>
    </row>
    <row r="1084" spans="8:8">
      <c r="H1084">
        <v>1083</v>
      </c>
    </row>
    <row r="1085" spans="8:8">
      <c r="H1085">
        <v>1084</v>
      </c>
    </row>
    <row r="1086" spans="8:8">
      <c r="H1086">
        <v>1085</v>
      </c>
    </row>
    <row r="1087" spans="8:8">
      <c r="H1087">
        <v>1086</v>
      </c>
    </row>
    <row r="1088" spans="8:8">
      <c r="H1088">
        <v>1087</v>
      </c>
    </row>
    <row r="1089" spans="8:8">
      <c r="H1089">
        <v>1088</v>
      </c>
    </row>
    <row r="1090" spans="8:8">
      <c r="H1090">
        <v>1089</v>
      </c>
    </row>
    <row r="1091" spans="8:8">
      <c r="H1091">
        <v>1090</v>
      </c>
    </row>
    <row r="1092" spans="8:8">
      <c r="H1092">
        <v>1091</v>
      </c>
    </row>
    <row r="1093" spans="8:8">
      <c r="H1093">
        <v>1092</v>
      </c>
    </row>
    <row r="1094" spans="8:8">
      <c r="H1094">
        <v>1093</v>
      </c>
    </row>
    <row r="1095" spans="8:8">
      <c r="H1095">
        <v>1094</v>
      </c>
    </row>
    <row r="1096" spans="8:8">
      <c r="H1096">
        <v>1095</v>
      </c>
    </row>
    <row r="1097" spans="8:8">
      <c r="H1097">
        <v>1096</v>
      </c>
    </row>
    <row r="1098" spans="8:8">
      <c r="H1098">
        <v>1097</v>
      </c>
    </row>
    <row r="1099" spans="8:8">
      <c r="H1099">
        <v>1098</v>
      </c>
    </row>
    <row r="1100" spans="8:8">
      <c r="H1100">
        <v>1099</v>
      </c>
    </row>
    <row r="1101" spans="8:8">
      <c r="H1101">
        <v>1100</v>
      </c>
    </row>
    <row r="1102" spans="8:8">
      <c r="H1102">
        <v>1101</v>
      </c>
    </row>
    <row r="1103" spans="8:8">
      <c r="H1103">
        <v>1102</v>
      </c>
    </row>
    <row r="1104" spans="8:8">
      <c r="H1104">
        <v>1103</v>
      </c>
    </row>
    <row r="1105" spans="8:8">
      <c r="H1105">
        <v>1104</v>
      </c>
    </row>
    <row r="1106" spans="8:8">
      <c r="H1106">
        <v>1105</v>
      </c>
    </row>
    <row r="1107" spans="8:8">
      <c r="H1107">
        <v>1106</v>
      </c>
    </row>
    <row r="1108" spans="8:8">
      <c r="H1108">
        <v>1107</v>
      </c>
    </row>
    <row r="1109" spans="8:8">
      <c r="H1109">
        <v>1108</v>
      </c>
    </row>
    <row r="1110" spans="8:8">
      <c r="H1110">
        <v>1109</v>
      </c>
    </row>
    <row r="1111" spans="8:8">
      <c r="H1111">
        <v>1110</v>
      </c>
    </row>
    <row r="1112" spans="8:8">
      <c r="H1112">
        <v>1111</v>
      </c>
    </row>
    <row r="1113" spans="8:8">
      <c r="H1113">
        <v>1112</v>
      </c>
    </row>
    <row r="1114" spans="8:8">
      <c r="H1114">
        <v>1113</v>
      </c>
    </row>
    <row r="1115" spans="8:8">
      <c r="H1115">
        <v>1114</v>
      </c>
    </row>
    <row r="1116" spans="8:8">
      <c r="H1116">
        <v>1115</v>
      </c>
    </row>
    <row r="1117" spans="8:8">
      <c r="H1117">
        <v>1116</v>
      </c>
    </row>
    <row r="1118" spans="8:8">
      <c r="H1118">
        <v>1117</v>
      </c>
    </row>
    <row r="1119" spans="8:8">
      <c r="H1119">
        <v>1118</v>
      </c>
    </row>
    <row r="1120" spans="8:8">
      <c r="H1120">
        <v>1119</v>
      </c>
    </row>
    <row r="1121" spans="8:8">
      <c r="H1121">
        <v>1120</v>
      </c>
    </row>
    <row r="1122" spans="8:8">
      <c r="H1122">
        <v>1121</v>
      </c>
    </row>
    <row r="1123" spans="8:8">
      <c r="H1123">
        <v>1122</v>
      </c>
    </row>
    <row r="1124" spans="8:8">
      <c r="H1124">
        <v>1123</v>
      </c>
    </row>
    <row r="1125" spans="8:8">
      <c r="H1125">
        <v>1124</v>
      </c>
    </row>
    <row r="1126" spans="8:8">
      <c r="H1126">
        <v>1125</v>
      </c>
    </row>
    <row r="1127" spans="8:8">
      <c r="H1127">
        <v>1126</v>
      </c>
    </row>
    <row r="1128" spans="8:8">
      <c r="H1128">
        <v>1127</v>
      </c>
    </row>
    <row r="1129" spans="8:8">
      <c r="H1129">
        <v>1128</v>
      </c>
    </row>
    <row r="1130" spans="8:8">
      <c r="H1130">
        <v>1129</v>
      </c>
    </row>
    <row r="1131" spans="8:8">
      <c r="H1131">
        <v>1130</v>
      </c>
    </row>
    <row r="1132" spans="8:8">
      <c r="H1132">
        <v>1131</v>
      </c>
    </row>
    <row r="1133" spans="8:8">
      <c r="H1133">
        <v>1132</v>
      </c>
    </row>
    <row r="1134" spans="8:8">
      <c r="H1134">
        <v>1133</v>
      </c>
    </row>
    <row r="1135" spans="8:8">
      <c r="H1135">
        <v>1134</v>
      </c>
    </row>
    <row r="1136" spans="8:8">
      <c r="H1136">
        <v>1135</v>
      </c>
    </row>
    <row r="1137" spans="8:8">
      <c r="H1137">
        <v>1136</v>
      </c>
    </row>
    <row r="1138" spans="8:8">
      <c r="H1138">
        <v>1137</v>
      </c>
    </row>
    <row r="1139" spans="8:8">
      <c r="H1139">
        <v>1138</v>
      </c>
    </row>
    <row r="1140" spans="8:8">
      <c r="H1140">
        <v>1139</v>
      </c>
    </row>
    <row r="1141" spans="8:8">
      <c r="H1141">
        <v>1140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60"/>
  <sheetViews>
    <sheetView workbookViewId="0">
      <selection activeCell="G23" sqref="G23"/>
    </sheetView>
  </sheetViews>
  <sheetFormatPr defaultColWidth="9" defaultRowHeight="14.4"/>
  <cols>
    <col min="2" max="2" width="39.3333333333333" customWidth="1"/>
    <col min="3" max="3" width="9.88888888888889" customWidth="1"/>
    <col min="4" max="4" width="13.5555555555556" customWidth="1"/>
    <col min="5" max="5" width="15.5555555555556" customWidth="1"/>
    <col min="7" max="7" width="56" customWidth="1"/>
    <col min="9" max="9" width="14.6666666666667" customWidth="1"/>
    <col min="10" max="10" width="20.1111111111111" customWidth="1"/>
    <col min="11" max="11" width="18.4444444444444" customWidth="1"/>
    <col min="12" max="12" width="16.6666666666667" customWidth="1"/>
    <col min="13" max="13" width="16.8888888888889" customWidth="1"/>
    <col min="14" max="14" width="16.5555555555556" customWidth="1"/>
    <col min="16" max="16" width="16.4444444444444" customWidth="1"/>
    <col min="17" max="17" width="12" customWidth="1"/>
    <col min="19" max="19" width="21.3333333333333" customWidth="1"/>
  </cols>
  <sheetData>
    <row r="1" ht="15.15"/>
    <row r="2" ht="18" spans="2:5">
      <c r="B2" s="134" t="s">
        <v>0</v>
      </c>
      <c r="C2" s="135"/>
      <c r="D2" s="135"/>
      <c r="E2" s="136"/>
    </row>
    <row r="3" spans="2:7">
      <c r="B3" s="29"/>
      <c r="C3" s="7"/>
      <c r="D3" s="7"/>
      <c r="E3" s="30"/>
      <c r="G3" t="s">
        <v>136</v>
      </c>
    </row>
    <row r="4" spans="2:10">
      <c r="B4" s="137" t="s">
        <v>1</v>
      </c>
      <c r="C4" s="138" t="s">
        <v>2</v>
      </c>
      <c r="D4" s="138" t="s">
        <v>3</v>
      </c>
      <c r="E4" s="139" t="s">
        <v>4</v>
      </c>
      <c r="G4" t="s">
        <v>137</v>
      </c>
      <c r="I4" t="s">
        <v>6</v>
      </c>
      <c r="J4" s="10">
        <v>0.06</v>
      </c>
    </row>
    <row r="5" ht="15.15" spans="2:7">
      <c r="B5" s="29" t="s">
        <v>138</v>
      </c>
      <c r="C5" s="7">
        <v>1980</v>
      </c>
      <c r="D5" s="140">
        <v>760</v>
      </c>
      <c r="E5" s="141">
        <f>C5*D5</f>
        <v>1504800</v>
      </c>
      <c r="G5" t="s">
        <v>139</v>
      </c>
    </row>
    <row r="6" ht="15.6" spans="2:11">
      <c r="B6" s="29" t="s">
        <v>8</v>
      </c>
      <c r="C6" s="7">
        <v>98</v>
      </c>
      <c r="D6" s="140">
        <v>5000</v>
      </c>
      <c r="E6" s="141">
        <f t="shared" ref="E6:E16" si="0">C6*D6</f>
        <v>490000</v>
      </c>
      <c r="G6" s="142" t="s">
        <v>9</v>
      </c>
      <c r="I6" s="2" t="s">
        <v>10</v>
      </c>
      <c r="J6" s="2" t="s">
        <v>11</v>
      </c>
      <c r="K6" s="168"/>
    </row>
    <row r="7" ht="15.15" spans="2:12">
      <c r="B7" s="29" t="s">
        <v>12</v>
      </c>
      <c r="C7" s="7">
        <v>165</v>
      </c>
      <c r="D7" s="140">
        <v>2000</v>
      </c>
      <c r="E7" s="141">
        <f t="shared" si="0"/>
        <v>330000</v>
      </c>
      <c r="G7" s="143">
        <f>E18+E60</f>
        <v>3768600</v>
      </c>
      <c r="I7" s="2">
        <v>0</v>
      </c>
      <c r="J7" s="3">
        <f>-G7</f>
        <v>-3768600</v>
      </c>
      <c r="L7" s="13"/>
    </row>
    <row r="8" ht="15.15" spans="2:12">
      <c r="B8" s="144" t="s">
        <v>13</v>
      </c>
      <c r="C8" s="145">
        <v>330</v>
      </c>
      <c r="D8" s="146">
        <v>500</v>
      </c>
      <c r="E8" s="147">
        <f t="shared" si="0"/>
        <v>165000</v>
      </c>
      <c r="G8" s="148"/>
      <c r="I8" s="2">
        <v>1</v>
      </c>
      <c r="J8" s="3">
        <f t="shared" ref="J8:J32" si="1">$G$19-$G$10</f>
        <v>737720.653941082</v>
      </c>
      <c r="L8" s="13"/>
    </row>
    <row r="9" ht="15.6" spans="2:12">
      <c r="B9" s="149" t="s">
        <v>14</v>
      </c>
      <c r="C9" s="150">
        <v>120</v>
      </c>
      <c r="D9" s="151">
        <v>700</v>
      </c>
      <c r="E9" s="152">
        <f t="shared" si="0"/>
        <v>84000</v>
      </c>
      <c r="G9" s="142" t="s">
        <v>15</v>
      </c>
      <c r="I9" s="2">
        <v>2</v>
      </c>
      <c r="J9" s="3">
        <f t="shared" si="1"/>
        <v>737720.653941082</v>
      </c>
      <c r="L9" s="13"/>
    </row>
    <row r="10" ht="15.15" spans="2:12">
      <c r="B10" s="29" t="s">
        <v>16</v>
      </c>
      <c r="C10" s="153">
        <v>10000</v>
      </c>
      <c r="D10" s="140">
        <v>3</v>
      </c>
      <c r="E10" s="141">
        <f t="shared" si="0"/>
        <v>30000</v>
      </c>
      <c r="G10" s="143">
        <v>110000</v>
      </c>
      <c r="I10" s="2">
        <v>3</v>
      </c>
      <c r="J10" s="3">
        <f t="shared" si="1"/>
        <v>737720.653941082</v>
      </c>
      <c r="L10" s="13"/>
    </row>
    <row r="11" ht="15.15" spans="2:14">
      <c r="B11" s="144" t="s">
        <v>17</v>
      </c>
      <c r="C11" s="145">
        <v>10000</v>
      </c>
      <c r="D11" s="146">
        <v>1</v>
      </c>
      <c r="E11" s="147">
        <f t="shared" si="0"/>
        <v>10000</v>
      </c>
      <c r="G11" s="148"/>
      <c r="I11" s="2">
        <v>4</v>
      </c>
      <c r="J11" s="3">
        <f t="shared" si="1"/>
        <v>737720.653941082</v>
      </c>
      <c r="L11" s="13"/>
      <c r="N11" s="21"/>
    </row>
    <row r="12" ht="15.6" spans="2:16">
      <c r="B12" s="149" t="s">
        <v>18</v>
      </c>
      <c r="C12" s="150">
        <v>100</v>
      </c>
      <c r="D12" s="151">
        <v>100</v>
      </c>
      <c r="E12" s="152">
        <f t="shared" si="0"/>
        <v>10000</v>
      </c>
      <c r="G12" s="154" t="s">
        <v>19</v>
      </c>
      <c r="I12" s="2">
        <v>5</v>
      </c>
      <c r="J12" s="3">
        <f t="shared" si="1"/>
        <v>737720.653941082</v>
      </c>
      <c r="L12" s="13"/>
      <c r="N12" s="21"/>
      <c r="P12" s="13"/>
    </row>
    <row r="13" ht="15.15" spans="2:20">
      <c r="B13" s="29" t="s">
        <v>20</v>
      </c>
      <c r="C13" s="7">
        <v>12</v>
      </c>
      <c r="D13" s="140">
        <v>5000</v>
      </c>
      <c r="E13" s="141">
        <f t="shared" si="0"/>
        <v>60000</v>
      </c>
      <c r="G13" s="143">
        <f>'Energy Tracking System'!M11</f>
        <v>834580.653941082</v>
      </c>
      <c r="I13" s="2">
        <v>6</v>
      </c>
      <c r="J13" s="3">
        <f t="shared" si="1"/>
        <v>737720.653941082</v>
      </c>
      <c r="L13" s="13"/>
      <c r="M13" s="13"/>
      <c r="T13" s="10"/>
    </row>
    <row r="14" ht="15.15" spans="2:20">
      <c r="B14" s="29" t="s">
        <v>21</v>
      </c>
      <c r="C14" s="7">
        <v>8</v>
      </c>
      <c r="D14" s="140">
        <v>5000</v>
      </c>
      <c r="E14" s="141">
        <f t="shared" si="0"/>
        <v>40000</v>
      </c>
      <c r="G14" s="148"/>
      <c r="I14" s="2">
        <v>7</v>
      </c>
      <c r="J14" s="3">
        <f t="shared" si="1"/>
        <v>737720.653941082</v>
      </c>
      <c r="L14" s="13"/>
      <c r="M14" s="13"/>
      <c r="T14" s="10"/>
    </row>
    <row r="15" ht="15.6" spans="2:13">
      <c r="B15" s="29" t="s">
        <v>22</v>
      </c>
      <c r="C15" s="7">
        <v>1</v>
      </c>
      <c r="D15" s="140">
        <v>15000</v>
      </c>
      <c r="E15" s="141">
        <f t="shared" si="0"/>
        <v>15000</v>
      </c>
      <c r="G15" s="154" t="s">
        <v>23</v>
      </c>
      <c r="I15" s="2">
        <v>8</v>
      </c>
      <c r="J15" s="3">
        <f t="shared" si="1"/>
        <v>737720.653941082</v>
      </c>
      <c r="L15" s="13"/>
      <c r="M15" s="13"/>
    </row>
    <row r="16" ht="15.15" spans="2:12">
      <c r="B16" s="144" t="s">
        <v>24</v>
      </c>
      <c r="C16" s="145">
        <v>1</v>
      </c>
      <c r="D16" s="146">
        <v>50000</v>
      </c>
      <c r="E16" s="147">
        <f t="shared" si="0"/>
        <v>50000</v>
      </c>
      <c r="G16" s="155">
        <f>7.2*5*365</f>
        <v>13140</v>
      </c>
      <c r="I16" s="2">
        <v>9</v>
      </c>
      <c r="J16" s="3">
        <f t="shared" si="1"/>
        <v>737720.653941082</v>
      </c>
      <c r="L16" s="13"/>
    </row>
    <row r="17" ht="15.15" spans="2:12">
      <c r="B17" s="29"/>
      <c r="C17" s="7"/>
      <c r="D17" s="7"/>
      <c r="E17" s="30"/>
      <c r="G17" s="148"/>
      <c r="I17" s="2">
        <v>10</v>
      </c>
      <c r="J17" s="3">
        <f t="shared" si="1"/>
        <v>737720.653941082</v>
      </c>
      <c r="L17" s="13"/>
    </row>
    <row r="18" ht="16.35" spans="2:12">
      <c r="B18" s="156" t="s">
        <v>25</v>
      </c>
      <c r="C18" s="157"/>
      <c r="D18" s="158" t="s">
        <v>26</v>
      </c>
      <c r="E18" s="159">
        <f>SUM(E5:E16)</f>
        <v>2788800</v>
      </c>
      <c r="G18" s="154" t="s">
        <v>27</v>
      </c>
      <c r="I18" s="2">
        <v>11</v>
      </c>
      <c r="J18" s="3">
        <f t="shared" si="1"/>
        <v>737720.653941082</v>
      </c>
      <c r="L18" s="13"/>
    </row>
    <row r="19" ht="15.15" spans="7:12">
      <c r="G19" s="155">
        <f>SUM(G13+G16)</f>
        <v>847720.653941082</v>
      </c>
      <c r="I19" s="2">
        <v>12</v>
      </c>
      <c r="J19" s="3">
        <f t="shared" si="1"/>
        <v>737720.653941082</v>
      </c>
      <c r="L19" s="13"/>
    </row>
    <row r="20" ht="18" spans="2:12">
      <c r="B20" s="134" t="s">
        <v>28</v>
      </c>
      <c r="C20" s="135"/>
      <c r="D20" s="135"/>
      <c r="E20" s="136"/>
      <c r="I20" s="2">
        <v>13</v>
      </c>
      <c r="J20" s="3">
        <f t="shared" si="1"/>
        <v>737720.653941082</v>
      </c>
      <c r="L20" s="13"/>
    </row>
    <row r="21" spans="2:20">
      <c r="B21" s="137" t="s">
        <v>29</v>
      </c>
      <c r="C21" s="138" t="s">
        <v>30</v>
      </c>
      <c r="D21" s="138" t="s">
        <v>31</v>
      </c>
      <c r="E21" s="139" t="s">
        <v>4</v>
      </c>
      <c r="I21" s="2">
        <v>14</v>
      </c>
      <c r="J21" s="3">
        <f t="shared" si="1"/>
        <v>737720.653941082</v>
      </c>
      <c r="L21" s="13"/>
      <c r="T21" s="21"/>
    </row>
    <row r="22" spans="2:12">
      <c r="B22" s="29" t="s">
        <v>32</v>
      </c>
      <c r="C22" s="160">
        <v>100</v>
      </c>
      <c r="D22" s="7">
        <f>40*24</f>
        <v>960</v>
      </c>
      <c r="E22" s="141">
        <f>C22*D22</f>
        <v>96000</v>
      </c>
      <c r="I22" s="2">
        <v>15</v>
      </c>
      <c r="J22" s="3">
        <f t="shared" si="1"/>
        <v>737720.653941082</v>
      </c>
      <c r="L22" s="13"/>
    </row>
    <row r="23" spans="2:12">
      <c r="B23" s="29" t="s">
        <v>33</v>
      </c>
      <c r="C23" s="160">
        <v>100</v>
      </c>
      <c r="D23" s="7">
        <f>20*24</f>
        <v>480</v>
      </c>
      <c r="E23" s="141">
        <f t="shared" ref="E23:E25" si="2">C23*D23</f>
        <v>48000</v>
      </c>
      <c r="I23" s="2">
        <v>16</v>
      </c>
      <c r="J23" s="3">
        <f t="shared" si="1"/>
        <v>737720.653941082</v>
      </c>
      <c r="L23" s="13"/>
    </row>
    <row r="24" spans="2:12">
      <c r="B24" s="29" t="s">
        <v>34</v>
      </c>
      <c r="C24" s="160">
        <v>100</v>
      </c>
      <c r="D24" s="7">
        <f>5*24</f>
        <v>120</v>
      </c>
      <c r="E24" s="141">
        <f t="shared" si="2"/>
        <v>12000</v>
      </c>
      <c r="I24" s="2">
        <v>17</v>
      </c>
      <c r="J24" s="3">
        <f t="shared" si="1"/>
        <v>737720.653941082</v>
      </c>
      <c r="L24" s="13"/>
    </row>
    <row r="25" spans="2:12">
      <c r="B25" s="29" t="s">
        <v>35</v>
      </c>
      <c r="C25" s="160">
        <v>100</v>
      </c>
      <c r="D25" s="7">
        <f>20*24</f>
        <v>480</v>
      </c>
      <c r="E25" s="141">
        <f t="shared" si="2"/>
        <v>48000</v>
      </c>
      <c r="I25" s="2">
        <v>18</v>
      </c>
      <c r="J25" s="3">
        <f t="shared" si="1"/>
        <v>737720.653941082</v>
      </c>
      <c r="L25" s="13"/>
    </row>
    <row r="26" spans="2:12">
      <c r="B26" s="29"/>
      <c r="C26" s="7"/>
      <c r="D26" s="7"/>
      <c r="E26" s="30"/>
      <c r="I26" s="2">
        <v>19</v>
      </c>
      <c r="J26" s="3">
        <f t="shared" si="1"/>
        <v>737720.653941082</v>
      </c>
      <c r="L26" s="13"/>
    </row>
    <row r="27" ht="15.15" spans="2:12">
      <c r="B27" s="43"/>
      <c r="C27" s="45"/>
      <c r="D27" s="161" t="s">
        <v>26</v>
      </c>
      <c r="E27" s="162">
        <f>SUM(E22:E25)</f>
        <v>204000</v>
      </c>
      <c r="I27" s="2">
        <v>20</v>
      </c>
      <c r="J27" s="3">
        <f t="shared" si="1"/>
        <v>737720.653941082</v>
      </c>
      <c r="L27" s="13"/>
    </row>
    <row r="28" spans="9:12">
      <c r="I28" s="2">
        <v>21</v>
      </c>
      <c r="J28" s="3">
        <f t="shared" si="1"/>
        <v>737720.653941082</v>
      </c>
      <c r="L28" s="13"/>
    </row>
    <row r="29" ht="15.15" spans="9:12">
      <c r="I29" s="2">
        <v>22</v>
      </c>
      <c r="J29" s="3">
        <f t="shared" si="1"/>
        <v>737720.653941082</v>
      </c>
      <c r="L29" s="13"/>
    </row>
    <row r="30" ht="18" spans="2:12">
      <c r="B30" s="134" t="s">
        <v>36</v>
      </c>
      <c r="C30" s="135"/>
      <c r="D30" s="135"/>
      <c r="E30" s="136"/>
      <c r="I30" s="2">
        <v>23</v>
      </c>
      <c r="J30" s="3">
        <f t="shared" si="1"/>
        <v>737720.653941082</v>
      </c>
      <c r="L30" s="13"/>
    </row>
    <row r="31" spans="2:12">
      <c r="B31" s="29" t="s">
        <v>37</v>
      </c>
      <c r="C31" s="7" t="s">
        <v>30</v>
      </c>
      <c r="D31" s="7" t="s">
        <v>31</v>
      </c>
      <c r="E31" s="30" t="s">
        <v>4</v>
      </c>
      <c r="I31" s="2">
        <v>24</v>
      </c>
      <c r="J31" s="3">
        <f t="shared" si="1"/>
        <v>737720.653941082</v>
      </c>
      <c r="L31" s="13"/>
    </row>
    <row r="32" spans="2:12">
      <c r="B32" s="29" t="s">
        <v>38</v>
      </c>
      <c r="C32" s="140">
        <v>100</v>
      </c>
      <c r="D32" s="7">
        <f>33*8</f>
        <v>264</v>
      </c>
      <c r="E32" s="141">
        <f>C32*D32</f>
        <v>26400</v>
      </c>
      <c r="I32" s="2">
        <v>25</v>
      </c>
      <c r="J32" s="3">
        <f t="shared" si="1"/>
        <v>737720.653941082</v>
      </c>
      <c r="L32" s="13"/>
    </row>
    <row r="33" spans="2:12">
      <c r="B33" s="29" t="s">
        <v>39</v>
      </c>
      <c r="C33" s="140">
        <v>100</v>
      </c>
      <c r="D33" s="7">
        <f>70*8</f>
        <v>560</v>
      </c>
      <c r="E33" s="141">
        <f t="shared" ref="E33:E57" si="3">C33*D33</f>
        <v>56000</v>
      </c>
      <c r="L33" s="13"/>
    </row>
    <row r="34" spans="2:5">
      <c r="B34" s="29" t="s">
        <v>40</v>
      </c>
      <c r="C34" s="140">
        <v>100</v>
      </c>
      <c r="D34" s="7">
        <f>75*8</f>
        <v>600</v>
      </c>
      <c r="E34" s="141">
        <f t="shared" si="3"/>
        <v>60000</v>
      </c>
    </row>
    <row r="35" spans="2:12">
      <c r="B35" s="29" t="s">
        <v>41</v>
      </c>
      <c r="C35" s="140">
        <v>100</v>
      </c>
      <c r="D35" s="7">
        <f>70*8</f>
        <v>560</v>
      </c>
      <c r="E35" s="141">
        <f t="shared" si="3"/>
        <v>56000</v>
      </c>
      <c r="I35" s="2" t="s">
        <v>42</v>
      </c>
      <c r="J35" s="2" t="s">
        <v>43</v>
      </c>
      <c r="K35" s="2" t="s">
        <v>44</v>
      </c>
      <c r="L35" s="2" t="s">
        <v>45</v>
      </c>
    </row>
    <row r="36" spans="2:12">
      <c r="B36" s="29" t="s">
        <v>46</v>
      </c>
      <c r="C36" s="140">
        <v>100</v>
      </c>
      <c r="D36" s="7">
        <f>75*8</f>
        <v>600</v>
      </c>
      <c r="E36" s="141">
        <f t="shared" si="3"/>
        <v>60000</v>
      </c>
      <c r="I36" s="169">
        <f>G7+(G10*(((1+$J$4)^25)-1)/($J$4*(1+$J$4)^25))</f>
        <v>5174769.17740953</v>
      </c>
      <c r="J36" s="169">
        <f>(G13+G16)*(((1+$J$4)^25)-1)/($J$4*(1+$J$4)^25)</f>
        <v>10836715.0420491</v>
      </c>
      <c r="K36" s="169">
        <f>SUM(I36+J36)</f>
        <v>16011484.2194586</v>
      </c>
      <c r="L36" s="2">
        <f>J36/I36</f>
        <v>2.09414462182328</v>
      </c>
    </row>
    <row r="37" spans="2:12">
      <c r="B37" s="29" t="s">
        <v>47</v>
      </c>
      <c r="C37" s="140">
        <v>80</v>
      </c>
      <c r="D37" s="7">
        <f>50*8</f>
        <v>400</v>
      </c>
      <c r="E37" s="141">
        <f t="shared" si="3"/>
        <v>32000</v>
      </c>
      <c r="L37" s="21"/>
    </row>
    <row r="38" spans="2:12">
      <c r="B38" s="29" t="s">
        <v>49</v>
      </c>
      <c r="C38" s="140">
        <v>35</v>
      </c>
      <c r="D38" s="7">
        <f>70*8</f>
        <v>560</v>
      </c>
      <c r="E38" s="141">
        <f t="shared" si="3"/>
        <v>19600</v>
      </c>
      <c r="I38" t="s">
        <v>48</v>
      </c>
      <c r="L38" s="21"/>
    </row>
    <row r="39" spans="2:5">
      <c r="B39" s="29" t="s">
        <v>50</v>
      </c>
      <c r="C39" s="140">
        <v>35</v>
      </c>
      <c r="D39" s="7">
        <f>70*8</f>
        <v>560</v>
      </c>
      <c r="E39" s="141">
        <f t="shared" si="3"/>
        <v>19600</v>
      </c>
    </row>
    <row r="40" spans="2:5">
      <c r="B40" s="29" t="s">
        <v>51</v>
      </c>
      <c r="C40" s="140">
        <v>35</v>
      </c>
      <c r="D40" s="7">
        <f>70*8</f>
        <v>560</v>
      </c>
      <c r="E40" s="141">
        <f t="shared" si="3"/>
        <v>19600</v>
      </c>
    </row>
    <row r="41" spans="2:5">
      <c r="B41" s="29" t="s">
        <v>52</v>
      </c>
      <c r="C41" s="140">
        <v>35</v>
      </c>
      <c r="D41" s="7">
        <f>70*8</f>
        <v>560</v>
      </c>
      <c r="E41" s="141">
        <f t="shared" si="3"/>
        <v>19600</v>
      </c>
    </row>
    <row r="42" spans="2:5">
      <c r="B42" s="29" t="s">
        <v>53</v>
      </c>
      <c r="C42" s="140">
        <v>35</v>
      </c>
      <c r="D42" s="7">
        <f>20*8</f>
        <v>160</v>
      </c>
      <c r="E42" s="141">
        <f t="shared" si="3"/>
        <v>5600</v>
      </c>
    </row>
    <row r="43" spans="2:5">
      <c r="B43" s="29" t="s">
        <v>54</v>
      </c>
      <c r="C43" s="140">
        <v>35</v>
      </c>
      <c r="D43" s="7">
        <f>20*8</f>
        <v>160</v>
      </c>
      <c r="E43" s="141">
        <f t="shared" si="3"/>
        <v>5600</v>
      </c>
    </row>
    <row r="44" spans="2:5">
      <c r="B44" s="29" t="s">
        <v>55</v>
      </c>
      <c r="C44" s="140">
        <v>35</v>
      </c>
      <c r="D44" s="7">
        <f>20*8</f>
        <v>160</v>
      </c>
      <c r="E44" s="141">
        <f t="shared" si="3"/>
        <v>5600</v>
      </c>
    </row>
    <row r="45" spans="2:5">
      <c r="B45" s="29" t="s">
        <v>56</v>
      </c>
      <c r="C45" s="140">
        <v>35</v>
      </c>
      <c r="D45" s="7">
        <f>20*8</f>
        <v>160</v>
      </c>
      <c r="E45" s="141">
        <f t="shared" si="3"/>
        <v>5600</v>
      </c>
    </row>
    <row r="46" spans="2:5">
      <c r="B46" s="29" t="s">
        <v>57</v>
      </c>
      <c r="C46" s="140">
        <v>80</v>
      </c>
      <c r="D46" s="7">
        <f>60*8</f>
        <v>480</v>
      </c>
      <c r="E46" s="141">
        <f t="shared" si="3"/>
        <v>38400</v>
      </c>
    </row>
    <row r="47" spans="2:5">
      <c r="B47" s="29" t="s">
        <v>58</v>
      </c>
      <c r="C47" s="140">
        <v>80</v>
      </c>
      <c r="D47" s="7">
        <f>60*8</f>
        <v>480</v>
      </c>
      <c r="E47" s="141">
        <f t="shared" si="3"/>
        <v>38400</v>
      </c>
    </row>
    <row r="48" spans="2:5">
      <c r="B48" s="29" t="s">
        <v>59</v>
      </c>
      <c r="C48" s="140">
        <v>80</v>
      </c>
      <c r="D48" s="7">
        <f>60*8</f>
        <v>480</v>
      </c>
      <c r="E48" s="141">
        <f t="shared" si="3"/>
        <v>38400</v>
      </c>
    </row>
    <row r="49" spans="2:5">
      <c r="B49" s="29" t="s">
        <v>60</v>
      </c>
      <c r="C49" s="140">
        <v>80</v>
      </c>
      <c r="D49" s="7">
        <f>60*8</f>
        <v>480</v>
      </c>
      <c r="E49" s="141">
        <f t="shared" si="3"/>
        <v>38400</v>
      </c>
    </row>
    <row r="50" spans="2:5">
      <c r="B50" s="29" t="s">
        <v>61</v>
      </c>
      <c r="C50" s="140">
        <v>80</v>
      </c>
      <c r="D50" s="7">
        <f>70*8</f>
        <v>560</v>
      </c>
      <c r="E50" s="141">
        <f t="shared" si="3"/>
        <v>44800</v>
      </c>
    </row>
    <row r="51" spans="2:5">
      <c r="B51" s="29" t="s">
        <v>62</v>
      </c>
      <c r="C51" s="140">
        <v>80</v>
      </c>
      <c r="D51" s="7">
        <f>70*8</f>
        <v>560</v>
      </c>
      <c r="E51" s="141">
        <f t="shared" si="3"/>
        <v>44800</v>
      </c>
    </row>
    <row r="52" spans="2:5">
      <c r="B52" s="29" t="s">
        <v>63</v>
      </c>
      <c r="C52" s="140">
        <v>80</v>
      </c>
      <c r="D52" s="7">
        <f>15*8</f>
        <v>120</v>
      </c>
      <c r="E52" s="141">
        <f t="shared" si="3"/>
        <v>9600</v>
      </c>
    </row>
    <row r="53" spans="2:5">
      <c r="B53" s="29" t="s">
        <v>64</v>
      </c>
      <c r="C53" s="140">
        <v>80</v>
      </c>
      <c r="D53" s="7">
        <f>15*8</f>
        <v>120</v>
      </c>
      <c r="E53" s="141">
        <f t="shared" si="3"/>
        <v>9600</v>
      </c>
    </row>
    <row r="54" spans="2:5">
      <c r="B54" s="29" t="s">
        <v>65</v>
      </c>
      <c r="C54" s="140">
        <v>80</v>
      </c>
      <c r="D54" s="7">
        <f>15*8</f>
        <v>120</v>
      </c>
      <c r="E54" s="141">
        <f t="shared" si="3"/>
        <v>9600</v>
      </c>
    </row>
    <row r="55" spans="2:5">
      <c r="B55" s="29" t="s">
        <v>66</v>
      </c>
      <c r="C55" s="140">
        <v>80</v>
      </c>
      <c r="D55" s="7">
        <f>55*8</f>
        <v>440</v>
      </c>
      <c r="E55" s="141">
        <f t="shared" si="3"/>
        <v>35200</v>
      </c>
    </row>
    <row r="56" spans="2:5">
      <c r="B56" s="29" t="s">
        <v>67</v>
      </c>
      <c r="C56" s="140">
        <v>80</v>
      </c>
      <c r="D56" s="7">
        <f>55*8</f>
        <v>440</v>
      </c>
      <c r="E56" s="141">
        <f t="shared" si="3"/>
        <v>35200</v>
      </c>
    </row>
    <row r="57" spans="2:5">
      <c r="B57" s="29" t="s">
        <v>68</v>
      </c>
      <c r="C57" s="140">
        <v>80</v>
      </c>
      <c r="D57" s="7">
        <f>55*8</f>
        <v>440</v>
      </c>
      <c r="E57" s="141">
        <f t="shared" si="3"/>
        <v>35200</v>
      </c>
    </row>
    <row r="58" spans="2:5">
      <c r="B58" s="29"/>
      <c r="C58" s="7"/>
      <c r="D58" s="163" t="s">
        <v>26</v>
      </c>
      <c r="E58" s="164">
        <f>SUM(E32:E57)</f>
        <v>768800</v>
      </c>
    </row>
    <row r="59" spans="2:5">
      <c r="B59" s="29" t="s">
        <v>69</v>
      </c>
      <c r="C59" s="140">
        <v>500</v>
      </c>
      <c r="D59" s="7">
        <v>14</v>
      </c>
      <c r="E59" s="141">
        <f>C59*D59</f>
        <v>7000</v>
      </c>
    </row>
    <row r="60" ht="15.15" spans="2:5">
      <c r="B60" s="165" t="s">
        <v>70</v>
      </c>
      <c r="C60" s="166"/>
      <c r="D60" s="166"/>
      <c r="E60" s="167">
        <f>SUM(E27,E58,E59)</f>
        <v>979800</v>
      </c>
    </row>
  </sheetData>
  <mergeCells count="3">
    <mergeCell ref="B2:E2"/>
    <mergeCell ref="B20:E20"/>
    <mergeCell ref="B30:E30"/>
  </mergeCells>
  <pageMargins left="0.7" right="0.7" top="0.75" bottom="0.75" header="0.3" footer="0.3"/>
  <headerFooter/>
  <ignoredErrors>
    <ignoredError sqref="D24 D34:D35 E58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2"/>
  <sheetViews>
    <sheetView showGridLines="0" topLeftCell="B1" workbookViewId="0">
      <selection activeCell="Q11" sqref="Q11"/>
    </sheetView>
  </sheetViews>
  <sheetFormatPr defaultColWidth="11.5555555555556" defaultRowHeight="13.2"/>
  <cols>
    <col min="1" max="2" width="2.55555555555556" style="81" customWidth="1"/>
    <col min="3" max="3" width="11.5555555555556" style="81" customWidth="1"/>
    <col min="4" max="4" width="13.3333333333333" style="81" customWidth="1"/>
    <col min="5" max="5" width="12.1111111111111" style="81" customWidth="1"/>
    <col min="6" max="8" width="11.5555555555556" style="81" customWidth="1"/>
    <col min="9" max="9" width="12.5555555555556" style="81" customWidth="1"/>
    <col min="10" max="10" width="14" style="81" customWidth="1"/>
    <col min="11" max="11" width="11.5555555555556" style="81"/>
    <col min="12" max="12" width="18.5555555555556" style="81" customWidth="1"/>
    <col min="13" max="13" width="16.6666666666667" style="81" customWidth="1"/>
    <col min="14" max="14" width="1.22222222222222" style="82" customWidth="1"/>
    <col min="15" max="16384" width="11.5555555555556" style="81"/>
  </cols>
  <sheetData>
    <row r="1" spans="1:27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ht="21" spans="1:27">
      <c r="A2" s="80"/>
      <c r="B2" s="80"/>
      <c r="C2" s="83" t="s">
        <v>71</v>
      </c>
      <c r="D2" s="83"/>
      <c r="E2" s="83"/>
      <c r="F2" s="83"/>
      <c r="G2" s="83"/>
      <c r="H2" s="83"/>
      <c r="I2" s="83"/>
      <c r="J2" s="83"/>
      <c r="K2" s="83"/>
      <c r="L2" s="83"/>
      <c r="M2" s="83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</row>
    <row r="3" spans="1:27">
      <c r="A3" s="80"/>
      <c r="B3" s="80"/>
      <c r="M3" s="82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1:27">
      <c r="A4" s="80"/>
      <c r="B4" s="80"/>
      <c r="C4" s="84"/>
      <c r="D4" s="81" t="s">
        <v>72</v>
      </c>
      <c r="M4" s="82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</row>
    <row r="5" spans="1:27">
      <c r="A5" s="80"/>
      <c r="B5" s="80"/>
      <c r="C5" s="85"/>
      <c r="D5" s="81" t="s">
        <v>73</v>
      </c>
      <c r="M5" s="82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</row>
    <row r="6" spans="1:27">
      <c r="A6" s="80"/>
      <c r="B6" s="80"/>
      <c r="C6" s="86"/>
      <c r="D6" s="81" t="s">
        <v>74</v>
      </c>
      <c r="M6" s="82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</row>
    <row r="7" ht="13.95" spans="1:27">
      <c r="A7" s="80"/>
      <c r="B7" s="80"/>
      <c r="M7" s="82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</row>
    <row r="8" ht="15.6" spans="1:27">
      <c r="A8" s="80"/>
      <c r="B8" s="80"/>
      <c r="C8" s="87" t="s">
        <v>75</v>
      </c>
      <c r="D8" s="88"/>
      <c r="E8" s="89" t="s">
        <v>76</v>
      </c>
      <c r="F8" s="88"/>
      <c r="G8" s="88"/>
      <c r="H8" s="88"/>
      <c r="I8" s="88"/>
      <c r="J8" s="88"/>
      <c r="K8" s="88"/>
      <c r="L8" s="88"/>
      <c r="M8" s="109"/>
      <c r="N8" s="11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</row>
    <row r="9" spans="1:27">
      <c r="A9" s="80"/>
      <c r="B9" s="80"/>
      <c r="C9" s="90"/>
      <c r="D9" s="91"/>
      <c r="E9" s="91"/>
      <c r="F9" s="91"/>
      <c r="G9" s="91"/>
      <c r="H9" s="91"/>
      <c r="I9" s="91"/>
      <c r="J9" s="91"/>
      <c r="K9" s="91"/>
      <c r="L9" s="91"/>
      <c r="M9" s="91"/>
      <c r="N9" s="111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</row>
    <row r="10" s="79" customFormat="1" ht="17.25" customHeight="1" spans="1:27">
      <c r="A10" s="92"/>
      <c r="B10" s="92"/>
      <c r="C10" s="93" t="s">
        <v>77</v>
      </c>
      <c r="D10" s="94"/>
      <c r="E10" s="94"/>
      <c r="F10" s="94"/>
      <c r="G10" s="94"/>
      <c r="H10" s="94"/>
      <c r="I10" s="112"/>
      <c r="J10" s="113">
        <f>J11*J12*J13*J14</f>
        <v>5556462.40972758</v>
      </c>
      <c r="K10" s="114" t="s">
        <v>78</v>
      </c>
      <c r="L10" s="115" t="s">
        <v>79</v>
      </c>
      <c r="M10" s="84">
        <v>0.1502</v>
      </c>
      <c r="N10" s="116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s="79" customFormat="1" ht="17.25" customHeight="1" spans="1:27">
      <c r="A11" s="92"/>
      <c r="B11" s="92"/>
      <c r="C11" s="93" t="s">
        <v>80</v>
      </c>
      <c r="D11" s="94"/>
      <c r="E11" s="94"/>
      <c r="F11" s="94"/>
      <c r="G11" s="94"/>
      <c r="H11" s="94"/>
      <c r="I11" s="112"/>
      <c r="J11" s="117">
        <f>1980*8</f>
        <v>15840</v>
      </c>
      <c r="K11" s="114" t="s">
        <v>81</v>
      </c>
      <c r="L11" s="118" t="s">
        <v>82</v>
      </c>
      <c r="M11" s="113">
        <f>J10*M10</f>
        <v>834580.653941082</v>
      </c>
      <c r="N11" s="116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s="79" customFormat="1" ht="17.25" customHeight="1" spans="1:27">
      <c r="A12" s="92"/>
      <c r="B12" s="92"/>
      <c r="C12" s="93" t="s">
        <v>83</v>
      </c>
      <c r="D12" s="94"/>
      <c r="E12" s="94"/>
      <c r="F12" s="94"/>
      <c r="G12" s="94"/>
      <c r="H12" s="94"/>
      <c r="I12" s="112"/>
      <c r="J12" s="119">
        <v>0.2</v>
      </c>
      <c r="K12" s="114"/>
      <c r="L12" s="114"/>
      <c r="M12" s="120"/>
      <c r="N12" s="116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s="79" customFormat="1" ht="17.25" customHeight="1" spans="1:27">
      <c r="A13" s="92"/>
      <c r="B13" s="92"/>
      <c r="C13" s="93" t="s">
        <v>84</v>
      </c>
      <c r="D13" s="94"/>
      <c r="E13" s="94"/>
      <c r="F13" s="94"/>
      <c r="G13" s="94"/>
      <c r="H13" s="94"/>
      <c r="I13" s="112"/>
      <c r="J13" s="117">
        <v>2340</v>
      </c>
      <c r="K13" s="114" t="s">
        <v>85</v>
      </c>
      <c r="L13" s="121"/>
      <c r="M13" s="122"/>
      <c r="N13" s="116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s="79" customFormat="1" ht="17.25" customHeight="1" spans="1:27">
      <c r="A14" s="92"/>
      <c r="B14" s="92"/>
      <c r="C14" s="95" t="s">
        <v>86</v>
      </c>
      <c r="D14" s="96"/>
      <c r="E14" s="96"/>
      <c r="F14" s="96"/>
      <c r="G14" s="96"/>
      <c r="H14" s="96"/>
      <c r="I14" s="123"/>
      <c r="J14" s="124">
        <f>(1-J19)*(1-J20)*(1-J21)*(1-J22)*(1-J23)*(1-J24)*(1-J25)*(1-J26)</f>
        <v>0.74954437668992</v>
      </c>
      <c r="K14" s="125"/>
      <c r="L14" s="125"/>
      <c r="M14" s="126"/>
      <c r="N14" s="127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spans="1:27">
      <c r="A15" s="80"/>
      <c r="B15" s="80"/>
      <c r="M15" s="82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</row>
    <row r="16" spans="1:27">
      <c r="A16" s="80"/>
      <c r="B16" s="80"/>
      <c r="I16" s="128" t="s">
        <v>87</v>
      </c>
      <c r="J16" s="129">
        <f>J11*J12</f>
        <v>3168</v>
      </c>
      <c r="K16" s="81" t="s">
        <v>88</v>
      </c>
      <c r="M16" s="82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</row>
    <row r="17" spans="1:27">
      <c r="A17" s="80"/>
      <c r="B17" s="80"/>
      <c r="M17" s="82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</row>
    <row r="18" spans="1:27">
      <c r="A18" s="80"/>
      <c r="B18" s="80"/>
      <c r="C18" s="97" t="s">
        <v>89</v>
      </c>
      <c r="M18" s="82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</row>
    <row r="19" spans="1:27">
      <c r="A19" s="80"/>
      <c r="B19" s="80"/>
      <c r="C19" s="218" t="s">
        <v>90</v>
      </c>
      <c r="D19" s="99" t="s">
        <v>91</v>
      </c>
      <c r="J19" s="130">
        <v>0.08</v>
      </c>
      <c r="M19" s="82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</row>
    <row r="20" spans="1:27">
      <c r="A20" s="80"/>
      <c r="B20" s="80"/>
      <c r="C20" s="218" t="s">
        <v>90</v>
      </c>
      <c r="D20" s="99" t="s">
        <v>92</v>
      </c>
      <c r="J20" s="130">
        <v>0.08</v>
      </c>
      <c r="M20" s="82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</row>
    <row r="21" spans="1:27">
      <c r="A21" s="80"/>
      <c r="B21" s="80"/>
      <c r="C21" s="218" t="s">
        <v>90</v>
      </c>
      <c r="D21" s="99" t="s">
        <v>93</v>
      </c>
      <c r="J21" s="130">
        <v>0.02</v>
      </c>
      <c r="M21" s="82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  <row r="22" spans="1:27">
      <c r="A22" s="80"/>
      <c r="B22" s="80"/>
      <c r="C22" s="218" t="s">
        <v>90</v>
      </c>
      <c r="D22" s="99" t="s">
        <v>94</v>
      </c>
      <c r="J22" s="130">
        <v>0.02</v>
      </c>
      <c r="M22" s="82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</row>
    <row r="23" spans="1:27">
      <c r="A23" s="80"/>
      <c r="B23" s="80"/>
      <c r="C23" s="218" t="s">
        <v>90</v>
      </c>
      <c r="D23" s="99" t="s">
        <v>95</v>
      </c>
      <c r="J23" s="130">
        <v>0.03</v>
      </c>
      <c r="M23" s="82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</row>
    <row r="24" spans="1:27">
      <c r="A24" s="80"/>
      <c r="B24" s="80"/>
      <c r="C24" s="218" t="s">
        <v>90</v>
      </c>
      <c r="D24" s="99" t="s">
        <v>96</v>
      </c>
      <c r="J24" s="130">
        <v>0.03</v>
      </c>
      <c r="M24" s="82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</row>
    <row r="25" spans="1:27">
      <c r="A25" s="80"/>
      <c r="B25" s="80"/>
      <c r="C25" s="218" t="s">
        <v>90</v>
      </c>
      <c r="D25" s="99" t="s">
        <v>97</v>
      </c>
      <c r="J25" s="130">
        <v>0.02</v>
      </c>
      <c r="M25" s="82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</row>
    <row r="26" spans="1:27">
      <c r="A26" s="80"/>
      <c r="B26" s="80"/>
      <c r="C26" s="218" t="s">
        <v>90</v>
      </c>
      <c r="D26" s="99" t="s">
        <v>98</v>
      </c>
      <c r="J26" s="130">
        <v>0</v>
      </c>
      <c r="M26" s="82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</row>
    <row r="27" spans="1:27">
      <c r="A27" s="80"/>
      <c r="B27" s="80"/>
      <c r="M27" s="82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</row>
    <row r="28" spans="1:27">
      <c r="A28" s="80"/>
      <c r="B28" s="80"/>
      <c r="M28" s="82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>
      <c r="A29" s="80"/>
      <c r="B29" s="80"/>
      <c r="M29" s="82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</row>
    <row r="30" spans="1:27">
      <c r="A30" s="80"/>
      <c r="B30" s="80"/>
      <c r="M30" s="82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</row>
    <row r="31" spans="1:27">
      <c r="A31" s="80"/>
      <c r="B31" s="80"/>
      <c r="C31" s="100" t="s">
        <v>99</v>
      </c>
      <c r="D31" s="100"/>
      <c r="E31" s="101"/>
      <c r="F31" s="102" t="s">
        <v>100</v>
      </c>
      <c r="G31" s="102"/>
      <c r="H31" s="100"/>
      <c r="I31" s="101"/>
      <c r="J31" s="101"/>
      <c r="K31" s="100"/>
      <c r="L31" s="100"/>
      <c r="M31" s="131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</row>
    <row r="32" spans="1:27">
      <c r="A32" s="80"/>
      <c r="B32" s="80"/>
      <c r="C32" s="103" t="s">
        <v>101</v>
      </c>
      <c r="D32" s="104"/>
      <c r="E32" s="104"/>
      <c r="F32" s="104"/>
      <c r="G32" s="104"/>
      <c r="H32" s="104"/>
      <c r="I32" s="104"/>
      <c r="J32" s="104"/>
      <c r="K32" s="104"/>
      <c r="L32" s="104"/>
      <c r="M32" s="82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</row>
    <row r="33" spans="1:27">
      <c r="A33" s="80"/>
      <c r="B33" s="80"/>
      <c r="C33" s="105" t="s">
        <v>102</v>
      </c>
      <c r="D33" s="106"/>
      <c r="E33" s="106"/>
      <c r="F33" s="106"/>
      <c r="G33" s="106"/>
      <c r="H33" s="106"/>
      <c r="I33" s="106"/>
      <c r="J33" s="106"/>
      <c r="K33" s="106"/>
      <c r="L33" s="106"/>
      <c r="M33" s="132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</row>
    <row r="34" spans="1:27">
      <c r="A34" s="80"/>
      <c r="B34" s="80"/>
      <c r="M34" s="82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</row>
    <row r="35" spans="1:27">
      <c r="A35" s="80"/>
      <c r="B35" s="80"/>
      <c r="M35" s="82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</row>
    <row r="36" spans="1:27">
      <c r="A36" s="80"/>
      <c r="B36" s="80"/>
      <c r="C36" s="107" t="s">
        <v>103</v>
      </c>
      <c r="D36" s="108"/>
      <c r="E36" s="108"/>
      <c r="F36" s="108"/>
      <c r="G36" s="108"/>
      <c r="H36" s="108"/>
      <c r="I36" s="108"/>
      <c r="J36" s="108"/>
      <c r="K36" s="108"/>
      <c r="L36" s="108"/>
      <c r="M36" s="133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</row>
    <row r="37" spans="1:27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33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</row>
    <row r="38" s="80" customFormat="1" spans="3:14"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</row>
    <row r="39" s="80" customFormat="1" spans="3:14"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</row>
    <row r="40" s="80" customFormat="1" spans="3:14"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s="80" customFormat="1" spans="3:14"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</row>
    <row r="42" s="80" customFormat="1" spans="3:14"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</row>
    <row r="43" s="80" customFormat="1" spans="3:14"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</row>
    <row r="44" s="80" customFormat="1" spans="3:14"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</row>
    <row r="45" s="80" customFormat="1" spans="3:14"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</row>
    <row r="46" s="80" customFormat="1" spans="3:14"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</row>
    <row r="47" s="80" customFormat="1" spans="3:14"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</row>
    <row r="48" s="80" customFormat="1" spans="3:14"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</row>
    <row r="49" s="80" customFormat="1" spans="3:14"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</row>
    <row r="50" s="80" customFormat="1" spans="3:14"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</row>
    <row r="51" s="80" customFormat="1" spans="3:14"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</row>
    <row r="52" s="80" customFormat="1" spans="3:14"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</row>
    <row r="53" s="80" customFormat="1" spans="3:14"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</row>
    <row r="54" s="80" customFormat="1" spans="3:14"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</row>
    <row r="55" s="80" customFormat="1" spans="3:14"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</row>
    <row r="56" s="80" customFormat="1" spans="3:14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</row>
    <row r="57" s="80" customFormat="1" spans="3:14"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</row>
    <row r="58" s="80" customFormat="1" spans="3:14"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</row>
    <row r="59" s="80" customFormat="1" spans="14:14">
      <c r="N59" s="82"/>
    </row>
    <row r="60" s="80" customFormat="1" spans="14:14">
      <c r="N60" s="82"/>
    </row>
    <row r="61" s="80" customFormat="1" spans="14:14">
      <c r="N61" s="82"/>
    </row>
    <row r="62" s="80" customFormat="1" spans="14:14">
      <c r="N62" s="82"/>
    </row>
    <row r="63" s="80" customFormat="1" spans="14:14">
      <c r="N63" s="82"/>
    </row>
    <row r="64" s="80" customFormat="1" spans="14:14">
      <c r="N64" s="82"/>
    </row>
    <row r="65" s="80" customFormat="1" spans="14:14">
      <c r="N65" s="82"/>
    </row>
    <row r="66" s="80" customFormat="1" spans="14:14">
      <c r="N66" s="82"/>
    </row>
    <row r="67" s="80" customFormat="1" spans="14:14">
      <c r="N67" s="82"/>
    </row>
    <row r="68" s="80" customFormat="1" spans="14:14">
      <c r="N68" s="82"/>
    </row>
    <row r="69" s="80" customFormat="1" spans="14:14">
      <c r="N69" s="82"/>
    </row>
    <row r="70" s="80" customFormat="1" spans="14:14">
      <c r="N70" s="82"/>
    </row>
    <row r="71" s="80" customFormat="1" spans="14:14">
      <c r="N71" s="82"/>
    </row>
    <row r="72" s="80" customFormat="1" spans="14:14">
      <c r="N72" s="82"/>
    </row>
    <row r="73" s="80" customFormat="1" spans="14:14">
      <c r="N73" s="82"/>
    </row>
    <row r="74" s="80" customFormat="1" spans="14:14">
      <c r="N74" s="82"/>
    </row>
    <row r="75" s="80" customFormat="1" spans="14:14">
      <c r="N75" s="82"/>
    </row>
    <row r="76" s="80" customFormat="1" spans="14:14">
      <c r="N76" s="82"/>
    </row>
    <row r="77" s="80" customFormat="1" spans="14:14">
      <c r="N77" s="82"/>
    </row>
    <row r="78" s="80" customFormat="1" spans="14:14">
      <c r="N78" s="82"/>
    </row>
    <row r="79" s="80" customFormat="1" spans="14:14">
      <c r="N79" s="82"/>
    </row>
    <row r="80" s="80" customFormat="1" spans="14:14">
      <c r="N80" s="82"/>
    </row>
    <row r="81" s="80" customFormat="1" spans="14:14">
      <c r="N81" s="82"/>
    </row>
    <row r="82" s="80" customFormat="1" spans="14:14">
      <c r="N82" s="82"/>
    </row>
    <row r="83" s="80" customFormat="1" spans="14:14">
      <c r="N83" s="82"/>
    </row>
    <row r="84" s="80" customFormat="1" spans="14:14">
      <c r="N84" s="82"/>
    </row>
    <row r="85" s="80" customFormat="1" spans="14:14">
      <c r="N85" s="82"/>
    </row>
    <row r="86" s="80" customFormat="1" spans="14:14">
      <c r="N86" s="82"/>
    </row>
    <row r="87" s="80" customFormat="1" spans="14:14">
      <c r="N87" s="82"/>
    </row>
    <row r="88" s="80" customFormat="1" spans="14:14">
      <c r="N88" s="82"/>
    </row>
    <row r="89" s="80" customFormat="1" spans="14:14">
      <c r="N89" s="82"/>
    </row>
    <row r="90" s="80" customFormat="1" spans="14:14">
      <c r="N90" s="82"/>
    </row>
    <row r="91" s="80" customFormat="1" spans="14:14">
      <c r="N91" s="82"/>
    </row>
    <row r="92" s="80" customFormat="1" spans="14:14">
      <c r="N92" s="82"/>
    </row>
    <row r="93" s="80" customFormat="1" spans="14:14">
      <c r="N93" s="82"/>
    </row>
    <row r="94" s="80" customFormat="1" spans="14:14">
      <c r="N94" s="82"/>
    </row>
    <row r="95" s="80" customFormat="1" spans="14:14">
      <c r="N95" s="82"/>
    </row>
    <row r="96" s="80" customFormat="1" spans="14:14">
      <c r="N96" s="82"/>
    </row>
    <row r="97" s="80" customFormat="1" spans="14:14">
      <c r="N97" s="82"/>
    </row>
    <row r="98" s="80" customFormat="1" spans="14:14">
      <c r="N98" s="82"/>
    </row>
    <row r="99" s="80" customFormat="1" spans="14:14">
      <c r="N99" s="82"/>
    </row>
    <row r="100" s="80" customFormat="1" spans="14:14">
      <c r="N100" s="82"/>
    </row>
    <row r="101" s="80" customFormat="1" spans="14:14">
      <c r="N101" s="82"/>
    </row>
    <row r="102" s="80" customFormat="1" spans="14:14">
      <c r="N102" s="82"/>
    </row>
    <row r="103" s="80" customFormat="1" spans="14:14">
      <c r="N103" s="82"/>
    </row>
    <row r="104" s="80" customFormat="1" spans="14:14">
      <c r="N104" s="82"/>
    </row>
    <row r="105" s="80" customFormat="1" spans="14:14">
      <c r="N105" s="82"/>
    </row>
    <row r="106" s="80" customFormat="1" spans="14:14">
      <c r="N106" s="82"/>
    </row>
    <row r="107" s="80" customFormat="1" spans="14:14">
      <c r="N107" s="82"/>
    </row>
    <row r="108" s="80" customFormat="1" spans="14:14">
      <c r="N108" s="82"/>
    </row>
    <row r="109" s="80" customFormat="1" spans="14:14">
      <c r="N109" s="82"/>
    </row>
    <row r="110" s="80" customFormat="1" spans="14:14">
      <c r="N110" s="82"/>
    </row>
    <row r="111" s="80" customFormat="1" spans="14:14">
      <c r="N111" s="82"/>
    </row>
    <row r="112" s="80" customFormat="1" spans="14:14">
      <c r="N112" s="82"/>
    </row>
    <row r="113" s="80" customFormat="1" spans="14:14">
      <c r="N113" s="82"/>
    </row>
    <row r="114" s="80" customFormat="1" spans="14:14">
      <c r="N114" s="82"/>
    </row>
    <row r="115" s="80" customFormat="1" spans="14:14">
      <c r="N115" s="82"/>
    </row>
    <row r="116" s="80" customFormat="1" spans="14:14">
      <c r="N116" s="82"/>
    </row>
    <row r="117" s="80" customFormat="1" spans="14:14">
      <c r="N117" s="82"/>
    </row>
    <row r="118" s="80" customFormat="1" spans="14:14">
      <c r="N118" s="82"/>
    </row>
    <row r="119" s="80" customFormat="1" spans="14:14">
      <c r="N119" s="82"/>
    </row>
    <row r="120" s="80" customFormat="1" spans="14:14">
      <c r="N120" s="82"/>
    </row>
    <row r="121" s="80" customFormat="1" spans="14:14">
      <c r="N121" s="82"/>
    </row>
    <row r="122" s="80" customFormat="1" spans="14:14">
      <c r="N122" s="82"/>
    </row>
    <row r="123" s="80" customFormat="1" spans="14:14">
      <c r="N123" s="82"/>
    </row>
    <row r="124" s="80" customFormat="1" spans="14:14">
      <c r="N124" s="82"/>
    </row>
    <row r="125" s="80" customFormat="1" spans="14:14">
      <c r="N125" s="82"/>
    </row>
    <row r="126" s="80" customFormat="1" spans="14:14">
      <c r="N126" s="82"/>
    </row>
    <row r="127" s="80" customFormat="1" spans="14:14">
      <c r="N127" s="82"/>
    </row>
    <row r="128" s="80" customFormat="1" spans="14:14">
      <c r="N128" s="82"/>
    </row>
    <row r="129" s="80" customFormat="1" spans="14:14">
      <c r="N129" s="82"/>
    </row>
    <row r="130" s="80" customFormat="1" spans="14:14">
      <c r="N130" s="82"/>
    </row>
    <row r="131" s="80" customFormat="1" spans="14:14">
      <c r="N131" s="82"/>
    </row>
    <row r="132" s="80" customFormat="1" spans="14:14">
      <c r="N132" s="82"/>
    </row>
    <row r="133" s="80" customFormat="1" spans="14:14">
      <c r="N133" s="82"/>
    </row>
    <row r="134" s="80" customFormat="1" spans="14:14">
      <c r="N134" s="82"/>
    </row>
    <row r="135" s="80" customFormat="1" spans="14:14">
      <c r="N135" s="82"/>
    </row>
    <row r="136" s="80" customFormat="1" spans="14:14">
      <c r="N136" s="82"/>
    </row>
    <row r="137" s="80" customFormat="1" spans="14:14">
      <c r="N137" s="82"/>
    </row>
    <row r="138" s="80" customFormat="1" spans="14:14">
      <c r="N138" s="82"/>
    </row>
    <row r="139" s="80" customFormat="1" spans="14:14">
      <c r="N139" s="82"/>
    </row>
    <row r="140" s="80" customFormat="1" spans="14:14">
      <c r="N140" s="82"/>
    </row>
    <row r="141" s="80" customFormat="1" spans="14:14">
      <c r="N141" s="82"/>
    </row>
    <row r="142" s="80" customFormat="1" spans="14:14">
      <c r="N142" s="82"/>
    </row>
    <row r="143" s="80" customFormat="1" spans="14:14">
      <c r="N143" s="82"/>
    </row>
    <row r="144" s="80" customFormat="1" spans="14:14">
      <c r="N144" s="82"/>
    </row>
    <row r="145" s="80" customFormat="1" spans="14:14">
      <c r="N145" s="82"/>
    </row>
    <row r="146" s="80" customFormat="1" spans="14:14">
      <c r="N146" s="82"/>
    </row>
    <row r="147" s="80" customFormat="1" spans="14:14">
      <c r="N147" s="82"/>
    </row>
    <row r="148" s="80" customFormat="1" spans="14:14">
      <c r="N148" s="82"/>
    </row>
    <row r="149" s="80" customFormat="1" spans="14:14">
      <c r="N149" s="82"/>
    </row>
    <row r="150" s="80" customFormat="1" spans="14:14">
      <c r="N150" s="82"/>
    </row>
    <row r="151" s="80" customFormat="1" spans="14:14">
      <c r="N151" s="82"/>
    </row>
    <row r="152" s="80" customFormat="1" spans="14:14">
      <c r="N152" s="82"/>
    </row>
    <row r="153" s="80" customFormat="1" spans="14:14">
      <c r="N153" s="82"/>
    </row>
    <row r="154" s="80" customFormat="1" spans="14:14">
      <c r="N154" s="82"/>
    </row>
    <row r="155" s="80" customFormat="1" spans="14:14">
      <c r="N155" s="82"/>
    </row>
    <row r="156" s="80" customFormat="1" spans="14:14">
      <c r="N156" s="82"/>
    </row>
    <row r="157" s="80" customFormat="1" spans="14:14">
      <c r="N157" s="82"/>
    </row>
    <row r="158" s="80" customFormat="1" spans="14:14">
      <c r="N158" s="82"/>
    </row>
    <row r="159" s="80" customFormat="1" spans="14:14">
      <c r="N159" s="82"/>
    </row>
    <row r="160" s="80" customFormat="1" spans="14:14">
      <c r="N160" s="82"/>
    </row>
    <row r="161" s="80" customFormat="1" spans="14:14">
      <c r="N161" s="82"/>
    </row>
    <row r="162" s="80" customFormat="1" spans="14:14">
      <c r="N162" s="82"/>
    </row>
    <row r="163" s="80" customFormat="1" spans="14:14">
      <c r="N163" s="82"/>
    </row>
    <row r="164" s="80" customFormat="1" spans="14:14">
      <c r="N164" s="82"/>
    </row>
    <row r="165" s="80" customFormat="1" spans="14:14">
      <c r="N165" s="82"/>
    </row>
    <row r="166" s="80" customFormat="1" spans="14:14">
      <c r="N166" s="82"/>
    </row>
    <row r="167" s="80" customFormat="1" spans="14:14">
      <c r="N167" s="82"/>
    </row>
    <row r="168" s="80" customFormat="1" spans="14:14">
      <c r="N168" s="82"/>
    </row>
    <row r="169" s="80" customFormat="1" spans="14:14">
      <c r="N169" s="82"/>
    </row>
    <row r="170" s="80" customFormat="1" spans="14:14">
      <c r="N170" s="82"/>
    </row>
    <row r="171" s="80" customFormat="1" spans="14:14">
      <c r="N171" s="82"/>
    </row>
    <row r="172" s="80" customFormat="1" spans="14:14">
      <c r="N172" s="82"/>
    </row>
    <row r="173" s="80" customFormat="1" spans="14:14">
      <c r="N173" s="82"/>
    </row>
    <row r="174" s="80" customFormat="1" spans="14:14">
      <c r="N174" s="82"/>
    </row>
    <row r="175" s="80" customFormat="1" spans="14:14">
      <c r="N175" s="82"/>
    </row>
    <row r="176" s="80" customFormat="1" spans="14:14">
      <c r="N176" s="82"/>
    </row>
    <row r="177" s="80" customFormat="1" spans="14:14">
      <c r="N177" s="82"/>
    </row>
    <row r="178" s="80" customFormat="1" spans="14:14">
      <c r="N178" s="82"/>
    </row>
    <row r="179" s="80" customFormat="1" spans="14:14">
      <c r="N179" s="82"/>
    </row>
    <row r="180" s="80" customFormat="1" spans="14:14">
      <c r="N180" s="82"/>
    </row>
    <row r="181" s="80" customFormat="1" spans="14:14">
      <c r="N181" s="82"/>
    </row>
    <row r="182" s="80" customFormat="1" spans="14:14">
      <c r="N182" s="82"/>
    </row>
    <row r="183" s="80" customFormat="1" spans="14:14">
      <c r="N183" s="82"/>
    </row>
    <row r="184" s="80" customFormat="1" spans="14:14">
      <c r="N184" s="82"/>
    </row>
    <row r="185" s="80" customFormat="1" spans="14:14">
      <c r="N185" s="82"/>
    </row>
    <row r="186" s="80" customFormat="1" spans="14:14">
      <c r="N186" s="82"/>
    </row>
    <row r="187" s="80" customFormat="1" spans="14:14">
      <c r="N187" s="82"/>
    </row>
    <row r="188" s="80" customFormat="1" spans="14:14">
      <c r="N188" s="82"/>
    </row>
    <row r="189" s="80" customFormat="1" spans="14:14">
      <c r="N189" s="82"/>
    </row>
    <row r="190" s="80" customFormat="1" spans="14:14">
      <c r="N190" s="82"/>
    </row>
    <row r="191" s="80" customFormat="1" spans="14:14">
      <c r="N191" s="82"/>
    </row>
    <row r="192" s="80" customFormat="1" spans="14:14">
      <c r="N192" s="82"/>
    </row>
    <row r="193" s="80" customFormat="1" spans="14:14">
      <c r="N193" s="82"/>
    </row>
    <row r="194" s="80" customFormat="1" spans="14:14">
      <c r="N194" s="82"/>
    </row>
    <row r="195" s="80" customFormat="1" spans="14:14">
      <c r="N195" s="82"/>
    </row>
    <row r="196" s="80" customFormat="1" spans="14:14">
      <c r="N196" s="82"/>
    </row>
    <row r="197" s="80" customFormat="1" spans="14:14">
      <c r="N197" s="82"/>
    </row>
    <row r="198" s="80" customFormat="1" spans="14:14">
      <c r="N198" s="82"/>
    </row>
    <row r="199" s="80" customFormat="1" spans="14:14">
      <c r="N199" s="82"/>
    </row>
    <row r="200" s="80" customFormat="1" spans="14:14">
      <c r="N200" s="82"/>
    </row>
    <row r="201" s="80" customFormat="1" spans="14:14">
      <c r="N201" s="82"/>
    </row>
    <row r="202" s="80" customFormat="1" spans="14:14">
      <c r="N202" s="82"/>
    </row>
    <row r="203" s="80" customFormat="1" spans="14:14">
      <c r="N203" s="82"/>
    </row>
    <row r="204" s="80" customFormat="1" spans="14:14">
      <c r="N204" s="82"/>
    </row>
    <row r="205" s="80" customFormat="1" spans="14:14">
      <c r="N205" s="82"/>
    </row>
    <row r="206" s="80" customFormat="1" spans="14:14">
      <c r="N206" s="82"/>
    </row>
    <row r="207" s="80" customFormat="1" spans="14:14">
      <c r="N207" s="82"/>
    </row>
    <row r="208" s="80" customFormat="1" spans="14:14">
      <c r="N208" s="82"/>
    </row>
    <row r="209" s="80" customFormat="1" spans="14:14">
      <c r="N209" s="82"/>
    </row>
    <row r="210" s="80" customFormat="1" spans="14:14">
      <c r="N210" s="82"/>
    </row>
    <row r="211" s="80" customFormat="1" spans="14:14">
      <c r="N211" s="82"/>
    </row>
    <row r="212" s="80" customFormat="1" spans="14:14">
      <c r="N212" s="82"/>
    </row>
    <row r="213" s="80" customFormat="1" spans="14:14">
      <c r="N213" s="82"/>
    </row>
    <row r="214" s="80" customFormat="1" spans="14:14">
      <c r="N214" s="82"/>
    </row>
    <row r="215" s="80" customFormat="1" spans="14:14">
      <c r="N215" s="82"/>
    </row>
    <row r="216" s="80" customFormat="1" spans="14:14">
      <c r="N216" s="82"/>
    </row>
    <row r="217" s="80" customFormat="1" spans="14:14">
      <c r="N217" s="82"/>
    </row>
    <row r="218" s="80" customFormat="1" spans="14:14">
      <c r="N218" s="82"/>
    </row>
    <row r="219" s="80" customFormat="1" spans="14:14">
      <c r="N219" s="82"/>
    </row>
    <row r="220" s="80" customFormat="1" spans="14:14">
      <c r="N220" s="82"/>
    </row>
    <row r="221" s="80" customFormat="1" spans="14:14">
      <c r="N221" s="82"/>
    </row>
    <row r="222" s="80" customFormat="1" spans="14:14">
      <c r="N222" s="82"/>
    </row>
    <row r="223" s="80" customFormat="1" spans="14:14">
      <c r="N223" s="82"/>
    </row>
    <row r="224" s="80" customFormat="1" spans="14:14">
      <c r="N224" s="82"/>
    </row>
    <row r="225" s="80" customFormat="1" spans="14:14">
      <c r="N225" s="82"/>
    </row>
    <row r="226" s="80" customFormat="1" spans="14:14">
      <c r="N226" s="82"/>
    </row>
    <row r="227" s="80" customFormat="1" spans="14:14">
      <c r="N227" s="82"/>
    </row>
    <row r="228" s="80" customFormat="1" spans="14:14">
      <c r="N228" s="82"/>
    </row>
    <row r="229" s="80" customFormat="1" spans="14:14">
      <c r="N229" s="82"/>
    </row>
    <row r="230" s="80" customFormat="1" spans="14:14">
      <c r="N230" s="82"/>
    </row>
    <row r="231" s="80" customFormat="1" spans="14:14">
      <c r="N231" s="82"/>
    </row>
    <row r="232" s="80" customFormat="1" spans="14:14">
      <c r="N232" s="82"/>
    </row>
    <row r="233" s="80" customFormat="1" spans="14:14">
      <c r="N233" s="82"/>
    </row>
    <row r="234" s="80" customFormat="1" spans="14:14">
      <c r="N234" s="82"/>
    </row>
    <row r="235" s="80" customFormat="1" spans="14:14">
      <c r="N235" s="82"/>
    </row>
    <row r="236" s="80" customFormat="1" spans="14:14">
      <c r="N236" s="82"/>
    </row>
    <row r="237" s="80" customFormat="1" spans="14:14">
      <c r="N237" s="82"/>
    </row>
    <row r="238" s="80" customFormat="1" spans="14:14">
      <c r="N238" s="82"/>
    </row>
    <row r="239" s="80" customFormat="1" spans="14:14">
      <c r="N239" s="82"/>
    </row>
    <row r="240" s="80" customFormat="1" spans="14:14">
      <c r="N240" s="82"/>
    </row>
    <row r="241" s="80" customFormat="1" spans="14:14">
      <c r="N241" s="82"/>
    </row>
    <row r="242" s="80" customFormat="1" spans="14:14">
      <c r="N242" s="82"/>
    </row>
    <row r="243" s="80" customFormat="1" spans="14:14">
      <c r="N243" s="82"/>
    </row>
    <row r="244" s="80" customFormat="1" spans="14:14">
      <c r="N244" s="82"/>
    </row>
    <row r="245" s="80" customFormat="1" spans="14:14">
      <c r="N245" s="82"/>
    </row>
    <row r="246" s="80" customFormat="1" spans="14:14">
      <c r="N246" s="82"/>
    </row>
    <row r="247" s="80" customFormat="1" spans="14:14">
      <c r="N247" s="82"/>
    </row>
    <row r="248" s="80" customFormat="1" spans="14:14">
      <c r="N248" s="82"/>
    </row>
    <row r="249" s="80" customFormat="1" spans="14:14">
      <c r="N249" s="82"/>
    </row>
    <row r="250" s="80" customFormat="1" spans="14:14">
      <c r="N250" s="82"/>
    </row>
    <row r="251" s="80" customFormat="1" spans="14:14">
      <c r="N251" s="82"/>
    </row>
    <row r="252" s="80" customFormat="1" spans="14:14">
      <c r="N252" s="82"/>
    </row>
    <row r="253" s="80" customFormat="1" spans="14:14">
      <c r="N253" s="82"/>
    </row>
    <row r="254" s="80" customFormat="1" spans="14:14">
      <c r="N254" s="82"/>
    </row>
    <row r="255" s="80" customFormat="1" spans="14:14">
      <c r="N255" s="82"/>
    </row>
    <row r="256" s="80" customFormat="1" spans="14:14">
      <c r="N256" s="82"/>
    </row>
    <row r="257" s="80" customFormat="1" spans="14:14">
      <c r="N257" s="82"/>
    </row>
    <row r="258" s="80" customFormat="1" spans="14:14">
      <c r="N258" s="82"/>
    </row>
    <row r="259" s="80" customFormat="1" spans="14:14">
      <c r="N259" s="82"/>
    </row>
    <row r="260" s="80" customFormat="1" spans="14:14">
      <c r="N260" s="82"/>
    </row>
    <row r="261" s="80" customFormat="1" spans="14:14">
      <c r="N261" s="82"/>
    </row>
    <row r="262" s="80" customFormat="1" spans="14:14">
      <c r="N262" s="82"/>
    </row>
    <row r="263" s="80" customFormat="1" spans="14:14">
      <c r="N263" s="82"/>
    </row>
    <row r="264" s="80" customFormat="1" spans="14:14">
      <c r="N264" s="82"/>
    </row>
    <row r="265" s="80" customFormat="1" spans="14:14">
      <c r="N265" s="82"/>
    </row>
    <row r="266" s="80" customFormat="1" spans="14:14">
      <c r="N266" s="82"/>
    </row>
    <row r="267" s="80" customFormat="1" spans="14:14">
      <c r="N267" s="82"/>
    </row>
    <row r="268" s="80" customFormat="1" spans="14:14">
      <c r="N268" s="82"/>
    </row>
    <row r="269" s="80" customFormat="1" spans="14:14">
      <c r="N269" s="82"/>
    </row>
    <row r="270" s="80" customFormat="1" spans="14:14">
      <c r="N270" s="82"/>
    </row>
    <row r="271" s="80" customFormat="1" spans="14:14">
      <c r="N271" s="82"/>
    </row>
    <row r="272" s="80" customFormat="1" spans="14:14">
      <c r="N272" s="82"/>
    </row>
    <row r="273" s="80" customFormat="1" spans="14:14">
      <c r="N273" s="82"/>
    </row>
    <row r="274" s="80" customFormat="1" spans="14:14">
      <c r="N274" s="82"/>
    </row>
    <row r="275" s="80" customFormat="1" spans="14:14">
      <c r="N275" s="82"/>
    </row>
    <row r="276" s="80" customFormat="1" spans="14:14">
      <c r="N276" s="82"/>
    </row>
    <row r="277" s="80" customFormat="1" spans="14:14">
      <c r="N277" s="82"/>
    </row>
    <row r="278" s="80" customFormat="1" spans="14:14">
      <c r="N278" s="82"/>
    </row>
    <row r="279" s="80" customFormat="1" spans="14:14">
      <c r="N279" s="82"/>
    </row>
    <row r="280" s="80" customFormat="1" spans="14:14">
      <c r="N280" s="82"/>
    </row>
    <row r="281" s="80" customFormat="1" spans="14:14">
      <c r="N281" s="82"/>
    </row>
    <row r="282" s="80" customFormat="1" spans="14:14">
      <c r="N282" s="82"/>
    </row>
  </sheetData>
  <mergeCells count="3">
    <mergeCell ref="C2:M2"/>
    <mergeCell ref="F31:G31"/>
    <mergeCell ref="C36:K37"/>
  </mergeCells>
  <hyperlinks>
    <hyperlink ref="F31" r:id="rId2" display="solar radiation data"/>
    <hyperlink ref="C36" r:id="rId3" display="More info &#10;Source : www.photovoltaic-software.com"/>
    <hyperlink ref="F31:G31" r:id="rId4" display="solar radiation data"/>
  </hyperlinks>
  <pageMargins left="0.75" right="0.75" top="1" bottom="1" header="0.4921259845" footer="0.4921259845"/>
  <pageSetup paperSize="9" scale="82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M14" sqref="M14"/>
    </sheetView>
  </sheetViews>
  <sheetFormatPr defaultColWidth="9" defaultRowHeight="15" customHeight="1" outlineLevelCol="7"/>
  <cols>
    <col min="1" max="1" width="34" customWidth="1"/>
    <col min="2" max="2" width="14.3333333333333" customWidth="1"/>
    <col min="3" max="4" width="14.6666666666667" customWidth="1"/>
    <col min="5" max="5" width="15.3333333333333" hidden="1" customWidth="1"/>
    <col min="8" max="8" width="11.6666666666667" customWidth="1"/>
  </cols>
  <sheetData>
    <row r="1" ht="14.4" spans="1:2">
      <c r="A1" t="s">
        <v>108</v>
      </c>
      <c r="B1" s="13">
        <f>'Tracking System'!G7</f>
        <v>3768600</v>
      </c>
    </row>
    <row r="2" ht="14.4" spans="1:2">
      <c r="A2" t="s">
        <v>109</v>
      </c>
      <c r="B2" s="78">
        <f>'Tracking System'!G10</f>
        <v>110000</v>
      </c>
    </row>
    <row r="3" ht="14.4" spans="1:2">
      <c r="A3" t="s">
        <v>110</v>
      </c>
      <c r="B3" s="13">
        <f>'Solar PV Grid'!G16</f>
        <v>13140</v>
      </c>
    </row>
    <row r="4" ht="14.4" spans="1:2">
      <c r="A4" t="s">
        <v>111</v>
      </c>
      <c r="B4" s="13">
        <f>'Tracking System'!G13</f>
        <v>834580.653941082</v>
      </c>
    </row>
    <row r="5" ht="14.4" spans="1:2">
      <c r="A5" t="s">
        <v>112</v>
      </c>
      <c r="B5" s="10">
        <v>0.06</v>
      </c>
    </row>
    <row r="6" ht="14.4" hidden="1" spans="1:2">
      <c r="A6" t="s">
        <v>112</v>
      </c>
      <c r="B6" s="10">
        <v>0.11</v>
      </c>
    </row>
    <row r="7" ht="14.4" spans="1:1">
      <c r="A7" s="11" t="s">
        <v>113</v>
      </c>
    </row>
    <row r="8" ht="14.4" spans="1:1">
      <c r="A8">
        <v>1.06</v>
      </c>
    </row>
    <row r="9" ht="14.4" spans="1:2">
      <c r="A9" s="12">
        <f>(B1/(B3+B4-B2))*0.06</f>
        <v>0.306506261946217</v>
      </c>
      <c r="B9" s="13"/>
    </row>
    <row r="10" ht="14.4" spans="1:1">
      <c r="A10" s="14">
        <f>1-A9</f>
        <v>0.693493738053783</v>
      </c>
    </row>
    <row r="11" ht="14.4" spans="1:1">
      <c r="A11" s="14">
        <f>1/A10</f>
        <v>1.44197408733119</v>
      </c>
    </row>
    <row r="13" ht="14.4" spans="1:1">
      <c r="A13" t="s">
        <v>140</v>
      </c>
    </row>
    <row r="14" ht="14.4" spans="1:5">
      <c r="A14" s="15" t="s">
        <v>115</v>
      </c>
      <c r="B14" s="16">
        <f>LN(A11)/LN(A8)</f>
        <v>6.28144718229349</v>
      </c>
      <c r="C14" s="13"/>
      <c r="D14" s="13"/>
      <c r="E14" s="17">
        <f>LN(1.2055)</f>
        <v>0.186894418639089</v>
      </c>
    </row>
    <row r="15" ht="14.4" spans="2:5">
      <c r="B15" s="18"/>
      <c r="C15" s="13"/>
      <c r="D15" s="13"/>
      <c r="E15" s="19">
        <f>LN(1.06)</f>
        <v>0.0582689081239758</v>
      </c>
    </row>
    <row r="16" ht="14.4" spans="1:4">
      <c r="A16" s="20"/>
      <c r="C16" s="13"/>
      <c r="D16" s="13"/>
    </row>
    <row r="17" ht="14.4" spans="2:4">
      <c r="B17" s="17"/>
      <c r="C17" s="13"/>
      <c r="D17" s="13"/>
    </row>
    <row r="18" ht="14.4" spans="3:4">
      <c r="C18" s="13"/>
      <c r="D18" s="13"/>
    </row>
    <row r="20" ht="14.4" spans="2:5">
      <c r="B20" s="2" t="str">
        <f>'Solar PV Grid'!I6</f>
        <v>N</v>
      </c>
      <c r="C20" s="2" t="s">
        <v>116</v>
      </c>
      <c r="D20" s="2" t="s">
        <v>117</v>
      </c>
      <c r="E20" t="s">
        <v>118</v>
      </c>
    </row>
    <row r="21" ht="14.4" spans="2:5">
      <c r="B21" s="2">
        <f>'Solar PV Grid'!I7</f>
        <v>0</v>
      </c>
      <c r="C21" s="3">
        <f>-$B$1+(($B$4+$B$3)*(((1+$B$5)^B21)-1)/($B$5*(1+$B$5)^B21))-($B$2*(((1+$B$5)^B21)-1)/($B$5*(1+$B$5)^B21))</f>
        <v>-3768600</v>
      </c>
      <c r="D21" s="3">
        <f>$B$1</f>
        <v>3768600</v>
      </c>
      <c r="E21" s="13">
        <f>-$B$1+($B$4*(((1+$B$6)^B21)-1)/($B$6*(1+$B$6)^B21))-($B$2*(((1+$B$6)^B21)-1)/($B$6*(1+$B$6)^B21))</f>
        <v>-3768600</v>
      </c>
    </row>
    <row r="22" ht="14.4" spans="2:5">
      <c r="B22" s="2">
        <f>'Solar PV Grid'!I8</f>
        <v>1</v>
      </c>
      <c r="C22" s="3">
        <f>-$B$1+(($B$4+$B$3)*(((1+$B$5)^B22)-1)/($B$5*(1+$B$5)^B22))-($B$2*(((1+$B$5)^B22)-1)/($B$5*(1+$B$5)^B22))</f>
        <v>-3072637.11892351</v>
      </c>
      <c r="D22" s="3">
        <f>$B$2</f>
        <v>110000</v>
      </c>
      <c r="E22" s="13">
        <f t="shared" ref="E22:E46" si="0">-$B$1+($B$4*(((1+$B$6)^B22)-1)/($B$6*(1+$B$6)^B22))-($B$2*(((1+$B$6)^B22)-1)/($B$6*(1+$B$6)^B22))</f>
        <v>-3115824.63608911</v>
      </c>
    </row>
    <row r="23" ht="14.4" spans="2:5">
      <c r="B23" s="2">
        <f>'Solar PV Grid'!I9</f>
        <v>2</v>
      </c>
      <c r="C23" s="3">
        <f t="shared" ref="C23:C46" si="1">-$B$1+(($B$4+$B$3)*(((1+$B$5)^B23)-1)/($B$5*(1+$B$5)^B23))-($B$2*(((1+$B$5)^B23)-1)/($B$5*(1+$B$5)^B23))</f>
        <v>-2416068.36319097</v>
      </c>
      <c r="D23" s="3">
        <f t="shared" ref="D23:D46" si="2">$B$2</f>
        <v>110000</v>
      </c>
      <c r="E23" s="13">
        <f t="shared" si="0"/>
        <v>-2527738.72265588</v>
      </c>
    </row>
    <row r="24" ht="14.4" spans="2:8">
      <c r="B24" s="2">
        <f>'Solar PV Grid'!I10</f>
        <v>3</v>
      </c>
      <c r="C24" s="3">
        <f t="shared" si="1"/>
        <v>-1796663.87665083</v>
      </c>
      <c r="D24" s="3">
        <f t="shared" si="2"/>
        <v>110000</v>
      </c>
      <c r="E24" s="13">
        <f t="shared" si="0"/>
        <v>-1997931.59343676</v>
      </c>
      <c r="H24" s="21"/>
    </row>
    <row r="25" ht="14.4" spans="2:5">
      <c r="B25" s="2">
        <f>'Solar PV Grid'!I11</f>
        <v>4</v>
      </c>
      <c r="C25" s="3">
        <f t="shared" si="1"/>
        <v>-1212320.02142429</v>
      </c>
      <c r="D25" s="3">
        <f t="shared" si="2"/>
        <v>110000</v>
      </c>
      <c r="E25" s="13">
        <f t="shared" si="0"/>
        <v>-1520627.87341953</v>
      </c>
    </row>
    <row r="26" ht="14.4" spans="2:5">
      <c r="B26" s="2">
        <f>'Solar PV Grid'!I12</f>
        <v>5</v>
      </c>
      <c r="C26" s="3">
        <f t="shared" si="1"/>
        <v>-661052.233474726</v>
      </c>
      <c r="D26" s="3">
        <f t="shared" si="2"/>
        <v>110000</v>
      </c>
      <c r="E26" s="13">
        <f t="shared" si="0"/>
        <v>-1090624.52205265</v>
      </c>
    </row>
    <row r="27" ht="14.4" spans="2:5">
      <c r="B27" s="2">
        <f>'Solar PV Grid'!I13</f>
        <v>6</v>
      </c>
      <c r="C27" s="3">
        <f t="shared" si="1"/>
        <v>-140988.282578908</v>
      </c>
      <c r="D27" s="3">
        <f t="shared" si="2"/>
        <v>110000</v>
      </c>
      <c r="E27" s="13">
        <f t="shared" si="0"/>
        <v>-703234.115415831</v>
      </c>
    </row>
    <row r="28" ht="14.4" spans="2:5">
      <c r="B28" s="2">
        <f>'Solar PV Grid'!I14</f>
        <v>7</v>
      </c>
      <c r="C28" s="3">
        <f t="shared" si="1"/>
        <v>349638.086190731</v>
      </c>
      <c r="D28" s="3">
        <f t="shared" si="2"/>
        <v>110000</v>
      </c>
      <c r="E28" s="13">
        <f t="shared" si="0"/>
        <v>-354233.749076349</v>
      </c>
    </row>
    <row r="29" ht="14.4" spans="2:5">
      <c r="B29" s="2">
        <f>'Solar PV Grid'!I15</f>
        <v>8</v>
      </c>
      <c r="C29" s="3">
        <f t="shared" si="1"/>
        <v>812493.151067747</v>
      </c>
      <c r="D29" s="3">
        <f t="shared" si="2"/>
        <v>110000</v>
      </c>
      <c r="E29" s="13">
        <f t="shared" si="0"/>
        <v>-39819.0046263662</v>
      </c>
    </row>
    <row r="30" ht="14.4" spans="2:5">
      <c r="B30" s="2">
        <f>'Solar PV Grid'!I16</f>
        <v>9</v>
      </c>
      <c r="C30" s="3">
        <f t="shared" si="1"/>
        <v>1249148.87264984</v>
      </c>
      <c r="D30" s="3">
        <f t="shared" si="2"/>
        <v>110000</v>
      </c>
      <c r="E30" s="13">
        <f t="shared" si="0"/>
        <v>243437.52190515</v>
      </c>
    </row>
    <row r="31" ht="14.4" spans="2:5">
      <c r="B31" s="2">
        <f>'Solar PV Grid'!I17</f>
        <v>10</v>
      </c>
      <c r="C31" s="3">
        <f t="shared" si="1"/>
        <v>1661088.23263295</v>
      </c>
      <c r="D31" s="3">
        <f t="shared" si="2"/>
        <v>110000</v>
      </c>
      <c r="E31" s="13">
        <f t="shared" si="0"/>
        <v>498623.581843453</v>
      </c>
    </row>
    <row r="32" ht="14.4" spans="2:5">
      <c r="B32" s="2">
        <f>'Solar PV Grid'!I18</f>
        <v>11</v>
      </c>
      <c r="C32" s="3">
        <f t="shared" si="1"/>
        <v>2049710.27035286</v>
      </c>
      <c r="D32" s="3">
        <f t="shared" si="2"/>
        <v>110000</v>
      </c>
      <c r="E32" s="13">
        <f t="shared" si="0"/>
        <v>728520.933139221</v>
      </c>
    </row>
    <row r="33" ht="14.4" spans="2:5">
      <c r="B33" s="2">
        <f>'Solar PV Grid'!I19</f>
        <v>12</v>
      </c>
      <c r="C33" s="3">
        <f t="shared" si="1"/>
        <v>2416334.83423957</v>
      </c>
      <c r="D33" s="3">
        <f t="shared" si="2"/>
        <v>110000</v>
      </c>
      <c r="E33" s="13">
        <f t="shared" si="0"/>
        <v>935635.664036309</v>
      </c>
    </row>
    <row r="34" ht="14.4" spans="2:5">
      <c r="B34" s="2">
        <f>'Solar PV Grid'!I20</f>
        <v>13</v>
      </c>
      <c r="C34" s="3">
        <f t="shared" si="1"/>
        <v>2762207.06432137</v>
      </c>
      <c r="D34" s="3">
        <f t="shared" si="2"/>
        <v>110000</v>
      </c>
      <c r="E34" s="13">
        <f t="shared" si="0"/>
        <v>1122225.51169134</v>
      </c>
    </row>
    <row r="35" ht="14.4" spans="2:5">
      <c r="B35" s="2">
        <f>'Solar PV Grid'!I21</f>
        <v>14</v>
      </c>
      <c r="C35" s="3">
        <f t="shared" si="1"/>
        <v>3088501.62100231</v>
      </c>
      <c r="D35" s="3">
        <f t="shared" si="2"/>
        <v>110000</v>
      </c>
      <c r="E35" s="13">
        <f t="shared" si="0"/>
        <v>1290324.47354273</v>
      </c>
    </row>
    <row r="36" ht="14.4" spans="2:5">
      <c r="B36" s="2">
        <f>'Solar PV Grid'!I22</f>
        <v>15</v>
      </c>
      <c r="C36" s="3">
        <f t="shared" si="1"/>
        <v>3396326.6744749</v>
      </c>
      <c r="D36" s="3">
        <f t="shared" si="2"/>
        <v>110000</v>
      </c>
      <c r="E36" s="13">
        <f t="shared" si="0"/>
        <v>1441764.97971514</v>
      </c>
    </row>
    <row r="37" ht="14.4" spans="2:5">
      <c r="B37" s="2">
        <f>'Solar PV Grid'!I23</f>
        <v>16</v>
      </c>
      <c r="C37" s="3">
        <f t="shared" si="1"/>
        <v>3686727.66831696</v>
      </c>
      <c r="D37" s="3">
        <f t="shared" si="2"/>
        <v>110000</v>
      </c>
      <c r="E37" s="13">
        <f t="shared" si="0"/>
        <v>1578197.86815876</v>
      </c>
    </row>
    <row r="38" ht="14.4" spans="2:5">
      <c r="B38" s="2">
        <f>'Solar PV Grid'!I24</f>
        <v>17</v>
      </c>
      <c r="C38" s="3">
        <f t="shared" si="1"/>
        <v>3960690.87005476</v>
      </c>
      <c r="D38" s="3">
        <f t="shared" si="2"/>
        <v>110000</v>
      </c>
      <c r="E38" s="13">
        <f t="shared" si="0"/>
        <v>1701110.38027013</v>
      </c>
    </row>
    <row r="39" ht="14.4" spans="2:5">
      <c r="B39" s="2">
        <f>'Solar PV Grid'!I25</f>
        <v>18</v>
      </c>
      <c r="C39" s="3">
        <f t="shared" si="1"/>
        <v>4219146.72075079</v>
      </c>
      <c r="D39" s="3">
        <f t="shared" si="2"/>
        <v>110000</v>
      </c>
      <c r="E39" s="13">
        <f t="shared" si="0"/>
        <v>1811842.37316325</v>
      </c>
    </row>
    <row r="40" ht="14.4" spans="2:5">
      <c r="B40" s="2">
        <f>'Solar PV Grid'!I26</f>
        <v>19</v>
      </c>
      <c r="C40" s="3">
        <f t="shared" si="1"/>
        <v>4462972.99499234</v>
      </c>
      <c r="D40" s="3">
        <f t="shared" si="2"/>
        <v>110000</v>
      </c>
      <c r="E40" s="13">
        <f t="shared" si="0"/>
        <v>1911600.92531922</v>
      </c>
    </row>
    <row r="41" ht="14.4" spans="2:5">
      <c r="B41" s="2">
        <f>'Solar PV Grid'!I27</f>
        <v>20</v>
      </c>
      <c r="C41" s="3">
        <f t="shared" si="1"/>
        <v>4692997.78201266</v>
      </c>
      <c r="D41" s="3">
        <f t="shared" si="2"/>
        <v>110000</v>
      </c>
      <c r="E41" s="13">
        <f t="shared" si="0"/>
        <v>2001473.4948291</v>
      </c>
    </row>
    <row r="42" ht="14.4" spans="2:5">
      <c r="B42" s="2">
        <f>'Solar PV Grid'!I28</f>
        <v>21</v>
      </c>
      <c r="C42" s="3">
        <f t="shared" si="1"/>
        <v>4910002.29806957</v>
      </c>
      <c r="D42" s="3">
        <f t="shared" si="2"/>
        <v>110000</v>
      </c>
      <c r="E42" s="13">
        <f t="shared" si="0"/>
        <v>2082439.77366683</v>
      </c>
    </row>
    <row r="43" ht="14.4" spans="2:5">
      <c r="B43" s="2">
        <f>'Solar PV Grid'!I29</f>
        <v>22</v>
      </c>
      <c r="C43" s="3">
        <f t="shared" si="1"/>
        <v>5114723.53963269</v>
      </c>
      <c r="D43" s="3">
        <f t="shared" si="2"/>
        <v>110000</v>
      </c>
      <c r="E43" s="13">
        <f t="shared" si="0"/>
        <v>2155382.36721434</v>
      </c>
    </row>
    <row r="44" ht="14.4" spans="2:5">
      <c r="B44" s="2">
        <f>'Solar PV Grid'!I30</f>
        <v>23</v>
      </c>
      <c r="C44" s="3">
        <f t="shared" si="1"/>
        <v>5307856.78639035</v>
      </c>
      <c r="D44" s="3">
        <f t="shared" si="2"/>
        <v>110000</v>
      </c>
      <c r="E44" s="13">
        <f t="shared" si="0"/>
        <v>2221096.41545533</v>
      </c>
    </row>
    <row r="45" ht="14.4" spans="2:5">
      <c r="B45" s="2">
        <f>'Solar PV Grid'!I31</f>
        <v>24</v>
      </c>
      <c r="C45" s="3">
        <f t="shared" si="1"/>
        <v>5490057.96257682</v>
      </c>
      <c r="D45" s="3">
        <f t="shared" si="2"/>
        <v>110000</v>
      </c>
      <c r="E45" s="13">
        <f t="shared" si="0"/>
        <v>2280298.26071749</v>
      </c>
    </row>
    <row r="46" ht="14.4" spans="2:5">
      <c r="B46" s="2">
        <f>'Solar PV Grid'!I32</f>
        <v>25</v>
      </c>
      <c r="C46" s="3">
        <f t="shared" si="1"/>
        <v>5661945.86463953</v>
      </c>
      <c r="D46" s="3">
        <f t="shared" si="2"/>
        <v>110000</v>
      </c>
      <c r="E46" s="13">
        <f t="shared" si="0"/>
        <v>2333633.25644917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63"/>
  <sheetViews>
    <sheetView tabSelected="1" topLeftCell="A7" workbookViewId="0">
      <selection activeCell="R16" sqref="R16"/>
    </sheetView>
  </sheetViews>
  <sheetFormatPr defaultColWidth="9" defaultRowHeight="14.4"/>
  <cols>
    <col min="2" max="2" width="33.2222222222222" customWidth="1"/>
    <col min="3" max="3" width="19.7777777777778" customWidth="1"/>
    <col min="4" max="4" width="9.66666666666667" customWidth="1"/>
    <col min="8" max="8" width="14.5555555555556" customWidth="1"/>
    <col min="9" max="9" width="15" customWidth="1"/>
    <col min="10" max="10" width="14.6666666666667" customWidth="1"/>
    <col min="12" max="12" width="22.1111111111111" customWidth="1"/>
    <col min="14" max="15" width="12.1111111111111" customWidth="1"/>
    <col min="18" max="18" width="17.1111111111111" customWidth="1"/>
  </cols>
  <sheetData>
    <row r="1" ht="15.15"/>
    <row r="2" customHeight="1" spans="2:6">
      <c r="B2" s="23" t="s">
        <v>141</v>
      </c>
      <c r="C2" s="24"/>
      <c r="D2" s="24"/>
      <c r="E2" s="24"/>
      <c r="F2" s="25"/>
    </row>
    <row r="3" customHeight="1" spans="2:6">
      <c r="B3" s="26"/>
      <c r="C3" s="27"/>
      <c r="D3" s="27"/>
      <c r="E3" s="27"/>
      <c r="F3" s="28"/>
    </row>
    <row r="4" spans="2:6">
      <c r="B4" s="29"/>
      <c r="C4" s="7"/>
      <c r="D4" s="7"/>
      <c r="E4" s="7"/>
      <c r="F4" s="30"/>
    </row>
    <row r="5" spans="2:18">
      <c r="B5" s="31" t="s">
        <v>142</v>
      </c>
      <c r="C5" s="32"/>
      <c r="D5" s="32"/>
      <c r="E5" s="32"/>
      <c r="F5" s="33"/>
      <c r="Q5" t="s">
        <v>6</v>
      </c>
      <c r="R5" s="10">
        <v>0.06</v>
      </c>
    </row>
    <row r="6" ht="15.15" spans="2:12">
      <c r="B6" s="29"/>
      <c r="C6" s="32" t="s">
        <v>143</v>
      </c>
      <c r="D6" s="7"/>
      <c r="E6" s="7"/>
      <c r="F6" s="30"/>
      <c r="K6" s="55"/>
      <c r="L6" s="55"/>
    </row>
    <row r="7" ht="15.6" spans="2:18">
      <c r="B7" s="29" t="s">
        <v>144</v>
      </c>
      <c r="C7" s="34">
        <v>200000</v>
      </c>
      <c r="D7" s="7"/>
      <c r="E7" s="7"/>
      <c r="F7" s="30"/>
      <c r="H7" s="35" t="s">
        <v>145</v>
      </c>
      <c r="I7" s="56"/>
      <c r="J7" s="56"/>
      <c r="K7" s="56"/>
      <c r="L7" s="57"/>
      <c r="N7" s="22"/>
      <c r="O7" s="22"/>
      <c r="Q7" s="2" t="s">
        <v>10</v>
      </c>
      <c r="R7" s="2" t="s">
        <v>146</v>
      </c>
    </row>
    <row r="8" ht="15.15" spans="2:18">
      <c r="B8" s="29" t="s">
        <v>147</v>
      </c>
      <c r="C8" s="34">
        <v>400000</v>
      </c>
      <c r="D8" s="7"/>
      <c r="E8" s="7"/>
      <c r="F8" s="30"/>
      <c r="H8" s="36">
        <f>C61+C28+C57</f>
        <v>8823550</v>
      </c>
      <c r="I8" s="58"/>
      <c r="J8" s="58"/>
      <c r="K8" s="58"/>
      <c r="L8" s="59"/>
      <c r="N8" s="22"/>
      <c r="O8" s="22"/>
      <c r="Q8" s="2">
        <v>0</v>
      </c>
      <c r="R8" s="5">
        <f>-H8</f>
        <v>-8823550</v>
      </c>
    </row>
    <row r="9" ht="15.15" spans="2:18">
      <c r="B9" s="29" t="s">
        <v>148</v>
      </c>
      <c r="C9" s="34">
        <v>200000</v>
      </c>
      <c r="D9" s="7"/>
      <c r="E9" s="7"/>
      <c r="F9" s="30"/>
      <c r="H9" s="37"/>
      <c r="I9" s="60"/>
      <c r="J9" s="60"/>
      <c r="K9" s="60"/>
      <c r="L9" s="61"/>
      <c r="Q9" s="2">
        <v>1</v>
      </c>
      <c r="R9" s="5">
        <f t="shared" ref="R9:R33" si="0">$H$23</f>
        <v>638337.76</v>
      </c>
    </row>
    <row r="10" ht="15.6" spans="2:18">
      <c r="B10" s="29"/>
      <c r="C10" s="7"/>
      <c r="D10" s="7"/>
      <c r="E10" s="7"/>
      <c r="F10" s="30"/>
      <c r="H10" s="35" t="s">
        <v>149</v>
      </c>
      <c r="I10" s="56"/>
      <c r="J10" s="56"/>
      <c r="K10" s="56"/>
      <c r="L10" s="57"/>
      <c r="Q10" s="2">
        <v>2</v>
      </c>
      <c r="R10" s="5">
        <f t="shared" si="0"/>
        <v>638337.76</v>
      </c>
    </row>
    <row r="11" ht="15.15" spans="2:18">
      <c r="B11" s="31" t="s">
        <v>150</v>
      </c>
      <c r="C11" s="32"/>
      <c r="D11" s="32"/>
      <c r="E11" s="32"/>
      <c r="F11" s="33"/>
      <c r="H11" s="36">
        <f>C34+C39+C41</f>
        <v>220000</v>
      </c>
      <c r="I11" s="58"/>
      <c r="J11" s="58"/>
      <c r="K11" s="58"/>
      <c r="L11" s="59"/>
      <c r="Q11" s="2">
        <v>3</v>
      </c>
      <c r="R11" s="5">
        <f t="shared" si="0"/>
        <v>638337.76</v>
      </c>
    </row>
    <row r="12" ht="15.15" spans="2:18">
      <c r="B12" s="29"/>
      <c r="C12" s="32" t="s">
        <v>151</v>
      </c>
      <c r="D12" s="7"/>
      <c r="E12" s="7"/>
      <c r="F12" s="30"/>
      <c r="H12" s="29"/>
      <c r="I12" s="7"/>
      <c r="J12" s="7"/>
      <c r="K12" s="7"/>
      <c r="L12" s="30"/>
      <c r="Q12" s="2">
        <v>4</v>
      </c>
      <c r="R12" s="5">
        <f t="shared" si="0"/>
        <v>638337.76</v>
      </c>
    </row>
    <row r="13" ht="15.6" spans="2:18">
      <c r="B13" s="29" t="s">
        <v>152</v>
      </c>
      <c r="C13" s="34">
        <v>1800000</v>
      </c>
      <c r="D13" s="7"/>
      <c r="E13" s="7"/>
      <c r="F13" s="30"/>
      <c r="H13" s="38" t="s">
        <v>153</v>
      </c>
      <c r="I13" s="62"/>
      <c r="J13" s="62"/>
      <c r="K13" s="62"/>
      <c r="L13" s="63"/>
      <c r="Q13" s="2">
        <v>5</v>
      </c>
      <c r="R13" s="5">
        <f t="shared" si="0"/>
        <v>638337.76</v>
      </c>
    </row>
    <row r="14" ht="15.15" spans="2:18">
      <c r="B14" s="29" t="s">
        <v>154</v>
      </c>
      <c r="C14" s="34">
        <v>170000</v>
      </c>
      <c r="D14" s="7"/>
      <c r="E14" s="7"/>
      <c r="F14" s="30"/>
      <c r="H14" s="39">
        <f>N21*N19*N20*N18</f>
        <v>5168.4</v>
      </c>
      <c r="I14" s="64"/>
      <c r="J14" s="64"/>
      <c r="K14" s="64"/>
      <c r="L14" s="65"/>
      <c r="Q14" s="2">
        <v>6</v>
      </c>
      <c r="R14" s="5">
        <f t="shared" si="0"/>
        <v>638337.76</v>
      </c>
    </row>
    <row r="15" ht="15.15" spans="2:18">
      <c r="B15" s="29" t="s">
        <v>155</v>
      </c>
      <c r="C15" s="34">
        <v>800000</v>
      </c>
      <c r="D15" s="7"/>
      <c r="E15" s="7"/>
      <c r="F15" s="30"/>
      <c r="H15" s="29"/>
      <c r="I15" s="7"/>
      <c r="J15" s="7"/>
      <c r="K15" s="7"/>
      <c r="L15" s="30"/>
      <c r="Q15" s="2">
        <v>7</v>
      </c>
      <c r="R15" s="5">
        <f t="shared" si="0"/>
        <v>638337.76</v>
      </c>
    </row>
    <row r="16" ht="15.6" spans="2:18">
      <c r="B16" s="29" t="s">
        <v>156</v>
      </c>
      <c r="C16" s="34">
        <v>400000</v>
      </c>
      <c r="D16" s="7"/>
      <c r="E16" s="7"/>
      <c r="F16" s="30"/>
      <c r="H16" s="38" t="s">
        <v>157</v>
      </c>
      <c r="I16" s="62"/>
      <c r="J16" s="62"/>
      <c r="K16" s="62"/>
      <c r="L16" s="63"/>
      <c r="Q16" s="2">
        <v>8</v>
      </c>
      <c r="R16" s="5">
        <f t="shared" si="0"/>
        <v>638337.76</v>
      </c>
    </row>
    <row r="17" ht="15.15" spans="2:18">
      <c r="B17" s="29"/>
      <c r="C17" s="7"/>
      <c r="D17" s="7"/>
      <c r="E17" s="7"/>
      <c r="F17" s="30"/>
      <c r="H17" s="40">
        <f>0.1564*H14*1000</f>
        <v>808337.76</v>
      </c>
      <c r="I17" s="66"/>
      <c r="J17" s="66"/>
      <c r="K17" s="66"/>
      <c r="L17" s="67"/>
      <c r="Q17" s="2">
        <v>9</v>
      </c>
      <c r="R17" s="5">
        <f t="shared" si="0"/>
        <v>638337.76</v>
      </c>
    </row>
    <row r="18" ht="18.75" spans="2:18">
      <c r="B18" s="31" t="s">
        <v>158</v>
      </c>
      <c r="C18" s="32"/>
      <c r="D18" s="32"/>
      <c r="E18" s="32"/>
      <c r="F18" s="33"/>
      <c r="H18" s="29"/>
      <c r="I18" s="7"/>
      <c r="J18" s="7"/>
      <c r="K18" s="7"/>
      <c r="L18" s="30"/>
      <c r="N18" s="68">
        <v>0.59</v>
      </c>
      <c r="O18" s="69" t="s">
        <v>159</v>
      </c>
      <c r="Q18" s="2">
        <v>10</v>
      </c>
      <c r="R18" s="5">
        <f t="shared" si="0"/>
        <v>638337.76</v>
      </c>
    </row>
    <row r="19" ht="18" spans="2:18">
      <c r="B19" s="29"/>
      <c r="C19" s="32" t="s">
        <v>4</v>
      </c>
      <c r="D19" s="7"/>
      <c r="E19" s="7"/>
      <c r="F19" s="30"/>
      <c r="H19" s="41" t="s">
        <v>110</v>
      </c>
      <c r="I19" s="70"/>
      <c r="J19" s="70"/>
      <c r="K19" s="70"/>
      <c r="L19" s="71"/>
      <c r="N19" s="72">
        <v>24</v>
      </c>
      <c r="O19" s="73" t="s">
        <v>160</v>
      </c>
      <c r="Q19" s="2">
        <v>11</v>
      </c>
      <c r="R19" s="5">
        <f t="shared" si="0"/>
        <v>638337.76</v>
      </c>
    </row>
    <row r="20" ht="18.75" spans="2:18">
      <c r="B20" s="29" t="s">
        <v>161</v>
      </c>
      <c r="C20" s="34">
        <v>50000</v>
      </c>
      <c r="D20" s="7"/>
      <c r="E20" s="7"/>
      <c r="F20" s="30"/>
      <c r="H20" s="42">
        <v>50000</v>
      </c>
      <c r="I20" s="74"/>
      <c r="J20" s="74"/>
      <c r="K20" s="74"/>
      <c r="L20" s="75"/>
      <c r="N20" s="72">
        <v>365</v>
      </c>
      <c r="O20" s="73" t="s">
        <v>162</v>
      </c>
      <c r="Q20" s="2">
        <v>12</v>
      </c>
      <c r="R20" s="5">
        <f t="shared" si="0"/>
        <v>638337.76</v>
      </c>
    </row>
    <row r="21" ht="18.75" spans="2:18">
      <c r="B21" s="29" t="s">
        <v>163</v>
      </c>
      <c r="C21" s="34">
        <v>1000000</v>
      </c>
      <c r="D21" s="7"/>
      <c r="E21" s="7"/>
      <c r="F21" s="30"/>
      <c r="H21" s="29"/>
      <c r="I21" s="7"/>
      <c r="J21" s="7"/>
      <c r="K21" s="7"/>
      <c r="L21" s="30"/>
      <c r="N21" s="76">
        <v>1</v>
      </c>
      <c r="O21" s="77" t="s">
        <v>164</v>
      </c>
      <c r="Q21" s="2">
        <v>13</v>
      </c>
      <c r="R21" s="5">
        <f t="shared" si="0"/>
        <v>638337.76</v>
      </c>
    </row>
    <row r="22" ht="15.6" spans="2:18">
      <c r="B22" s="29" t="s">
        <v>165</v>
      </c>
      <c r="C22" s="34">
        <v>400000</v>
      </c>
      <c r="D22" s="7"/>
      <c r="E22" s="7"/>
      <c r="F22" s="30"/>
      <c r="H22" s="38" t="s">
        <v>166</v>
      </c>
      <c r="I22" s="62"/>
      <c r="J22" s="62"/>
      <c r="K22" s="62"/>
      <c r="L22" s="63"/>
      <c r="Q22" s="2">
        <v>14</v>
      </c>
      <c r="R22" s="5">
        <f t="shared" si="0"/>
        <v>638337.76</v>
      </c>
    </row>
    <row r="23" ht="15.15" spans="2:18">
      <c r="B23" s="43" t="s">
        <v>167</v>
      </c>
      <c r="C23" s="44">
        <v>800000</v>
      </c>
      <c r="D23" s="45"/>
      <c r="E23" s="45"/>
      <c r="F23" s="46"/>
      <c r="H23" s="40">
        <f>H17-H11+H20</f>
        <v>638337.76</v>
      </c>
      <c r="I23" s="66"/>
      <c r="J23" s="66"/>
      <c r="K23" s="66"/>
      <c r="L23" s="67"/>
      <c r="Q23" s="2">
        <v>15</v>
      </c>
      <c r="R23" s="5">
        <f t="shared" si="0"/>
        <v>638337.76</v>
      </c>
    </row>
    <row r="24" ht="15.15" spans="17:18">
      <c r="Q24" s="2">
        <v>16</v>
      </c>
      <c r="R24" s="5">
        <f t="shared" si="0"/>
        <v>638337.76</v>
      </c>
    </row>
    <row r="25" spans="2:18">
      <c r="B25" s="47" t="s">
        <v>168</v>
      </c>
      <c r="C25" s="48"/>
      <c r="D25" s="48"/>
      <c r="E25" s="48"/>
      <c r="F25" s="49"/>
      <c r="H25" s="2" t="s">
        <v>42</v>
      </c>
      <c r="I25" s="2" t="s">
        <v>43</v>
      </c>
      <c r="J25" s="2" t="s">
        <v>44</v>
      </c>
      <c r="K25" s="2" t="s">
        <v>45</v>
      </c>
      <c r="Q25" s="2">
        <v>17</v>
      </c>
      <c r="R25" s="5">
        <f t="shared" si="0"/>
        <v>638337.76</v>
      </c>
    </row>
    <row r="26" spans="2:18">
      <c r="B26" s="29"/>
      <c r="C26" s="32" t="s">
        <v>4</v>
      </c>
      <c r="D26" s="7"/>
      <c r="E26" s="7"/>
      <c r="F26" s="30"/>
      <c r="H26" s="5">
        <f>H8+(H11*(((1+$R$5)^25)-1)/($R$5*(1+$R$5)^25))</f>
        <v>11635888.3548191</v>
      </c>
      <c r="I26" s="5">
        <f>(H17+H23)*(((1+$R$5)^25)-1)/($R$5*(1+$R$5)^25)</f>
        <v>18493368.4176082</v>
      </c>
      <c r="J26" s="5">
        <f>H26+I26</f>
        <v>30129256.7724272</v>
      </c>
      <c r="K26" s="2">
        <f>I26/H26</f>
        <v>1.58933876414765</v>
      </c>
      <c r="Q26" s="2">
        <v>18</v>
      </c>
      <c r="R26" s="5">
        <f t="shared" si="0"/>
        <v>638337.76</v>
      </c>
    </row>
    <row r="27" spans="2:18">
      <c r="B27" s="29" t="s">
        <v>169</v>
      </c>
      <c r="C27" s="34">
        <v>300000</v>
      </c>
      <c r="D27" s="7"/>
      <c r="E27" s="7"/>
      <c r="F27" s="30"/>
      <c r="Q27" s="2">
        <v>19</v>
      </c>
      <c r="R27" s="5">
        <f t="shared" si="0"/>
        <v>638337.76</v>
      </c>
    </row>
    <row r="28" spans="2:18">
      <c r="B28" s="29" t="s">
        <v>170</v>
      </c>
      <c r="C28" s="34">
        <f>0.02*C61</f>
        <v>161900</v>
      </c>
      <c r="D28" s="7" t="s">
        <v>171</v>
      </c>
      <c r="E28" s="7"/>
      <c r="F28" s="30"/>
      <c r="H28" t="s">
        <v>48</v>
      </c>
      <c r="Q28" s="2">
        <v>20</v>
      </c>
      <c r="R28" s="5">
        <f t="shared" si="0"/>
        <v>638337.76</v>
      </c>
    </row>
    <row r="29" spans="2:18">
      <c r="B29" s="29" t="s">
        <v>172</v>
      </c>
      <c r="C29" s="34">
        <v>300000</v>
      </c>
      <c r="D29" s="7"/>
      <c r="E29" s="7"/>
      <c r="F29" s="30"/>
      <c r="Q29" s="2">
        <v>21</v>
      </c>
      <c r="R29" s="5">
        <f t="shared" si="0"/>
        <v>638337.76</v>
      </c>
    </row>
    <row r="30" spans="2:18">
      <c r="B30" s="29"/>
      <c r="C30" s="7"/>
      <c r="D30" s="7"/>
      <c r="E30" s="7"/>
      <c r="F30" s="30"/>
      <c r="Q30" s="2">
        <v>22</v>
      </c>
      <c r="R30" s="5">
        <f t="shared" si="0"/>
        <v>638337.76</v>
      </c>
    </row>
    <row r="31" spans="2:18">
      <c r="B31" s="31" t="s">
        <v>173</v>
      </c>
      <c r="C31" s="32"/>
      <c r="D31" s="32"/>
      <c r="E31" s="32"/>
      <c r="F31" s="33"/>
      <c r="Q31" s="2">
        <v>23</v>
      </c>
      <c r="R31" s="5">
        <f t="shared" si="0"/>
        <v>638337.76</v>
      </c>
    </row>
    <row r="32" spans="2:18">
      <c r="B32" s="29"/>
      <c r="C32" s="32" t="s">
        <v>4</v>
      </c>
      <c r="D32" s="7"/>
      <c r="E32" s="7"/>
      <c r="F32" s="30"/>
      <c r="Q32" s="2">
        <v>24</v>
      </c>
      <c r="R32" s="5">
        <f t="shared" si="0"/>
        <v>638337.76</v>
      </c>
    </row>
    <row r="33" spans="2:18">
      <c r="B33" s="29" t="s">
        <v>174</v>
      </c>
      <c r="C33" s="7"/>
      <c r="D33" s="7"/>
      <c r="E33" s="7"/>
      <c r="F33" s="30"/>
      <c r="Q33" s="2">
        <v>25</v>
      </c>
      <c r="R33" s="5">
        <f t="shared" si="0"/>
        <v>638337.76</v>
      </c>
    </row>
    <row r="34" spans="2:6">
      <c r="B34" s="29" t="s">
        <v>175</v>
      </c>
      <c r="C34" s="34">
        <v>50000</v>
      </c>
      <c r="D34" s="7"/>
      <c r="E34" s="7"/>
      <c r="F34" s="30"/>
    </row>
    <row r="35" spans="2:6">
      <c r="B35" s="29"/>
      <c r="C35" s="7"/>
      <c r="D35" s="7"/>
      <c r="E35" s="7"/>
      <c r="F35" s="30"/>
    </row>
    <row r="36" spans="2:6">
      <c r="B36" s="29"/>
      <c r="C36" s="7"/>
      <c r="D36" s="7"/>
      <c r="E36" s="7"/>
      <c r="F36" s="30"/>
    </row>
    <row r="37" spans="2:6">
      <c r="B37" s="31" t="s">
        <v>176</v>
      </c>
      <c r="C37" s="32"/>
      <c r="D37" s="32"/>
      <c r="E37" s="32"/>
      <c r="F37" s="33"/>
    </row>
    <row r="38" spans="2:10">
      <c r="B38" s="29"/>
      <c r="C38" s="7" t="s">
        <v>177</v>
      </c>
      <c r="D38" s="7"/>
      <c r="E38" s="7"/>
      <c r="F38" s="30"/>
      <c r="J38" s="22"/>
    </row>
    <row r="39" spans="2:10">
      <c r="B39" s="29" t="s">
        <v>178</v>
      </c>
      <c r="C39" s="34">
        <v>80000</v>
      </c>
      <c r="D39" s="7"/>
      <c r="E39" s="7"/>
      <c r="F39" s="30"/>
      <c r="J39" s="22"/>
    </row>
    <row r="40" spans="2:10">
      <c r="B40" s="29" t="s">
        <v>179</v>
      </c>
      <c r="C40" s="34">
        <v>40000</v>
      </c>
      <c r="D40" s="7"/>
      <c r="E40" s="7"/>
      <c r="F40" s="30"/>
      <c r="J40" s="22"/>
    </row>
    <row r="41" spans="2:10">
      <c r="B41" s="29" t="s">
        <v>180</v>
      </c>
      <c r="C41" s="34">
        <v>90000</v>
      </c>
      <c r="D41" s="7"/>
      <c r="E41" s="7"/>
      <c r="F41" s="30"/>
      <c r="J41" s="22"/>
    </row>
    <row r="42" spans="2:10">
      <c r="B42" s="29"/>
      <c r="C42" s="7"/>
      <c r="D42" s="7"/>
      <c r="E42" s="7"/>
      <c r="F42" s="30"/>
      <c r="J42" s="22"/>
    </row>
    <row r="43" spans="2:10">
      <c r="B43" s="31" t="s">
        <v>181</v>
      </c>
      <c r="C43" s="32"/>
      <c r="D43" s="32"/>
      <c r="E43" s="32"/>
      <c r="F43" s="33"/>
      <c r="J43" s="22"/>
    </row>
    <row r="44" spans="2:10">
      <c r="B44" s="29"/>
      <c r="C44" s="32" t="s">
        <v>4</v>
      </c>
      <c r="D44" s="7"/>
      <c r="E44" s="7"/>
      <c r="F44" s="30"/>
      <c r="J44" s="22"/>
    </row>
    <row r="45" spans="2:10">
      <c r="B45" s="29" t="s">
        <v>182</v>
      </c>
      <c r="C45" s="34">
        <v>700000</v>
      </c>
      <c r="D45" s="7"/>
      <c r="E45" s="7"/>
      <c r="F45" s="30"/>
      <c r="J45" s="22"/>
    </row>
    <row r="46" spans="2:10">
      <c r="B46" s="29" t="s">
        <v>183</v>
      </c>
      <c r="C46" s="34">
        <v>100000</v>
      </c>
      <c r="D46" s="7"/>
      <c r="E46" s="7"/>
      <c r="F46" s="30"/>
      <c r="J46" s="22"/>
    </row>
    <row r="47" ht="15.15" spans="2:10">
      <c r="B47" s="43" t="s">
        <v>184</v>
      </c>
      <c r="C47" s="44">
        <v>400000</v>
      </c>
      <c r="D47" s="45"/>
      <c r="E47" s="45"/>
      <c r="F47" s="46"/>
      <c r="J47" s="22"/>
    </row>
    <row r="48" ht="15.15" spans="10:10">
      <c r="J48" s="22"/>
    </row>
    <row r="49" spans="2:10">
      <c r="B49" s="47" t="s">
        <v>185</v>
      </c>
      <c r="C49" s="48"/>
      <c r="D49" s="48"/>
      <c r="E49" s="48"/>
      <c r="F49" s="49"/>
      <c r="J49" s="22"/>
    </row>
    <row r="50" spans="2:10">
      <c r="B50" s="29"/>
      <c r="C50" s="32" t="s">
        <v>4</v>
      </c>
      <c r="D50" s="7"/>
      <c r="E50" s="7"/>
      <c r="F50" s="30"/>
      <c r="J50" s="22"/>
    </row>
    <row r="51" spans="2:10">
      <c r="B51" s="29" t="s">
        <v>186</v>
      </c>
      <c r="C51" s="50">
        <v>75000</v>
      </c>
      <c r="D51" s="7" t="s">
        <v>187</v>
      </c>
      <c r="E51" s="7"/>
      <c r="F51" s="30"/>
      <c r="J51" s="22"/>
    </row>
    <row r="52" spans="2:10">
      <c r="B52" s="29" t="s">
        <v>188</v>
      </c>
      <c r="C52" s="51" t="s">
        <v>189</v>
      </c>
      <c r="D52" s="51"/>
      <c r="E52" s="7"/>
      <c r="F52" s="30"/>
      <c r="J52" s="22"/>
    </row>
    <row r="53" spans="2:10">
      <c r="B53" s="29" t="s">
        <v>190</v>
      </c>
      <c r="C53" s="51"/>
      <c r="D53" s="51"/>
      <c r="E53" s="7"/>
      <c r="F53" s="30"/>
      <c r="J53" s="22"/>
    </row>
    <row r="54" spans="2:10">
      <c r="B54" s="29"/>
      <c r="C54" s="7"/>
      <c r="D54" s="7"/>
      <c r="E54" s="7"/>
      <c r="F54" s="30"/>
      <c r="J54" s="22"/>
    </row>
    <row r="55" spans="2:10">
      <c r="B55" s="31" t="s">
        <v>191</v>
      </c>
      <c r="C55" s="32"/>
      <c r="D55" s="32"/>
      <c r="E55" s="32"/>
      <c r="F55" s="33"/>
      <c r="J55" s="22"/>
    </row>
    <row r="56" spans="2:10">
      <c r="B56" s="29"/>
      <c r="C56" s="52" t="s">
        <v>4</v>
      </c>
      <c r="D56" s="7"/>
      <c r="E56" s="7"/>
      <c r="F56" s="30"/>
      <c r="J56" s="22"/>
    </row>
    <row r="57" spans="2:10">
      <c r="B57" s="29" t="s">
        <v>192</v>
      </c>
      <c r="C57" s="34">
        <f>0.07*C61</f>
        <v>566650</v>
      </c>
      <c r="D57" s="7" t="s">
        <v>193</v>
      </c>
      <c r="E57" s="7"/>
      <c r="F57" s="30"/>
      <c r="J57" s="22"/>
    </row>
    <row r="58" spans="2:10">
      <c r="B58" s="29" t="s">
        <v>194</v>
      </c>
      <c r="C58" s="7" t="s">
        <v>195</v>
      </c>
      <c r="D58" s="7"/>
      <c r="E58" s="7"/>
      <c r="F58" s="30"/>
      <c r="J58" s="22"/>
    </row>
    <row r="59" spans="2:10">
      <c r="B59" s="29"/>
      <c r="C59" s="7"/>
      <c r="D59" s="7"/>
      <c r="E59" s="7"/>
      <c r="F59" s="30"/>
      <c r="J59" s="22"/>
    </row>
    <row r="60" spans="2:10">
      <c r="B60" s="29"/>
      <c r="C60" s="7"/>
      <c r="D60" s="7"/>
      <c r="E60" s="7"/>
      <c r="F60" s="30"/>
      <c r="J60" s="22"/>
    </row>
    <row r="61" ht="15.15" spans="2:10">
      <c r="B61" s="53" t="s">
        <v>196</v>
      </c>
      <c r="C61" s="54">
        <f>C7+C8+C9+C13+C14+C15+C16+C20+C21+C22+C23+C27+C29+C45+C46+C47+C51</f>
        <v>8095000</v>
      </c>
      <c r="D61" s="45"/>
      <c r="E61" s="45"/>
      <c r="F61" s="46"/>
      <c r="J61" s="22"/>
    </row>
    <row r="62" spans="10:10">
      <c r="J62" s="22"/>
    </row>
    <row r="63" spans="10:10">
      <c r="J63" s="22"/>
    </row>
  </sheetData>
  <mergeCells count="23">
    <mergeCell ref="B5:F5"/>
    <mergeCell ref="H7:L7"/>
    <mergeCell ref="H8:L8"/>
    <mergeCell ref="H10:L10"/>
    <mergeCell ref="B11:F11"/>
    <mergeCell ref="H11:L11"/>
    <mergeCell ref="H13:L13"/>
    <mergeCell ref="H14:L14"/>
    <mergeCell ref="H16:L16"/>
    <mergeCell ref="H17:L17"/>
    <mergeCell ref="B18:F18"/>
    <mergeCell ref="H19:L19"/>
    <mergeCell ref="H20:L20"/>
    <mergeCell ref="H22:L22"/>
    <mergeCell ref="H23:L23"/>
    <mergeCell ref="B25:F25"/>
    <mergeCell ref="B31:F31"/>
    <mergeCell ref="B37:F37"/>
    <mergeCell ref="B43:F43"/>
    <mergeCell ref="B49:F49"/>
    <mergeCell ref="B55:F55"/>
    <mergeCell ref="C52:D53"/>
    <mergeCell ref="B2:F3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I15" sqref="I15"/>
    </sheetView>
  </sheetViews>
  <sheetFormatPr defaultColWidth="9" defaultRowHeight="15" customHeight="1"/>
  <cols>
    <col min="1" max="1" width="34" customWidth="1"/>
    <col min="2" max="2" width="14.3333333333333" customWidth="1"/>
    <col min="3" max="4" width="14.6666666666667" customWidth="1"/>
    <col min="5" max="5" width="15.3333333333333" hidden="1" customWidth="1"/>
    <col min="8" max="8" width="11.6666666666667" customWidth="1"/>
    <col min="11" max="11" width="12.1111111111111" customWidth="1"/>
  </cols>
  <sheetData>
    <row r="1" ht="14.4" spans="1:6">
      <c r="A1" t="s">
        <v>108</v>
      </c>
      <c r="B1" s="9">
        <f t="array" ref="B1:F1">'Windfarm Alternative'!H8:L8</f>
        <v>8823550</v>
      </c>
      <c r="C1">
        <v>0</v>
      </c>
      <c r="D1">
        <v>0</v>
      </c>
      <c r="E1">
        <v>0</v>
      </c>
      <c r="F1">
        <v>0</v>
      </c>
    </row>
    <row r="2" ht="14.4" spans="1:6">
      <c r="A2" t="s">
        <v>109</v>
      </c>
      <c r="B2" s="9">
        <f t="array" ref="B2:F2">'Windfarm Alternative'!H11:L11</f>
        <v>220000</v>
      </c>
      <c r="C2">
        <v>0</v>
      </c>
      <c r="D2">
        <v>0</v>
      </c>
      <c r="E2">
        <v>0</v>
      </c>
      <c r="F2">
        <v>0</v>
      </c>
    </row>
    <row r="3" ht="14.4" spans="1:2">
      <c r="A3" t="s">
        <v>110</v>
      </c>
      <c r="B3" s="9">
        <v>50000</v>
      </c>
    </row>
    <row r="4" ht="14.4" spans="1:6">
      <c r="A4" t="s">
        <v>111</v>
      </c>
      <c r="B4" s="9">
        <f t="array" ref="B4:F4">'Windfarm Alternative'!H17:L17</f>
        <v>808337.76</v>
      </c>
      <c r="C4">
        <v>0</v>
      </c>
      <c r="D4">
        <v>0</v>
      </c>
      <c r="E4">
        <v>0</v>
      </c>
      <c r="F4">
        <v>0</v>
      </c>
    </row>
    <row r="5" ht="14.4" spans="1:11">
      <c r="A5" t="s">
        <v>112</v>
      </c>
      <c r="B5" s="10">
        <v>0.06</v>
      </c>
      <c r="K5" s="22"/>
    </row>
    <row r="6" ht="14.4" hidden="1" spans="1:2">
      <c r="A6" t="s">
        <v>112</v>
      </c>
      <c r="B6" s="10">
        <v>0.11</v>
      </c>
    </row>
    <row r="7" ht="14.4" spans="1:11">
      <c r="A7" s="11" t="s">
        <v>197</v>
      </c>
      <c r="K7" s="22"/>
    </row>
    <row r="8" ht="14.4" spans="1:1">
      <c r="A8">
        <v>1.06</v>
      </c>
    </row>
    <row r="9" ht="14.4" spans="1:2">
      <c r="A9" s="12">
        <f>(B1/(B3+B4-B2))*0.06</f>
        <v>0.829361872623672</v>
      </c>
      <c r="B9" s="13"/>
    </row>
    <row r="10" ht="14.4" spans="1:1">
      <c r="A10" s="14">
        <f>1-A9</f>
        <v>0.170638127376328</v>
      </c>
    </row>
    <row r="11" ht="14.4" spans="1:1">
      <c r="A11" s="14">
        <f>1/A10</f>
        <v>5.86035498265041</v>
      </c>
    </row>
    <row r="13" ht="14.4" spans="1:1">
      <c r="A13" t="s">
        <v>114</v>
      </c>
    </row>
    <row r="14" ht="14.4" spans="1:5">
      <c r="A14" s="15" t="s">
        <v>115</v>
      </c>
      <c r="B14" s="16">
        <f>LN(A11)/LN(A8)</f>
        <v>30.3456892522537</v>
      </c>
      <c r="C14" s="13"/>
      <c r="D14" s="13"/>
      <c r="E14" s="17">
        <f>LN(1.2055)</f>
        <v>0.186894418639089</v>
      </c>
    </row>
    <row r="15" ht="14.4" spans="2:5">
      <c r="B15" s="18"/>
      <c r="C15" s="13"/>
      <c r="D15" s="13"/>
      <c r="E15" s="19">
        <f>LN(1.06)</f>
        <v>0.0582689081239758</v>
      </c>
    </row>
    <row r="16" ht="14.4" spans="1:4">
      <c r="A16" s="20"/>
      <c r="C16" s="13"/>
      <c r="D16" s="13"/>
    </row>
    <row r="17" ht="14.4" spans="2:4">
      <c r="B17" s="17"/>
      <c r="C17" s="13"/>
      <c r="D17" s="13"/>
    </row>
    <row r="18" ht="14.4" spans="3:4">
      <c r="C18" s="13"/>
      <c r="D18" s="13"/>
    </row>
    <row r="20" ht="14.4" spans="2:5">
      <c r="B20" s="2" t="str">
        <f>'Solar PV Grid'!I6</f>
        <v>N</v>
      </c>
      <c r="C20" s="2" t="s">
        <v>116</v>
      </c>
      <c r="D20" s="2" t="s">
        <v>117</v>
      </c>
      <c r="E20" t="s">
        <v>118</v>
      </c>
    </row>
    <row r="21" ht="14.4" spans="2:5">
      <c r="B21" s="2">
        <v>0</v>
      </c>
      <c r="C21" s="3">
        <f>-$B$1+(($B$4+$B$3)*(((1+$B$5)^B21)-1)/($B$5*(1+$B$5)^B21))-($B$2*(((1+$B$5)^B21)-1)/($B$5*(1+$B$5)^B21))</f>
        <v>-8823550</v>
      </c>
      <c r="D21" s="3">
        <f>$B$1</f>
        <v>8823550</v>
      </c>
      <c r="E21" s="13">
        <f>-$B$1+($B$4*(((1+$B$6)^B21)-1)/($B$6*(1+$B$6)^B21))-($B$2*(((1+$B$6)^B21)-1)/($B$6*(1+$B$6)^B21))</f>
        <v>-8823550</v>
      </c>
    </row>
    <row r="22" ht="14.4" spans="2:5">
      <c r="B22" s="2">
        <v>1</v>
      </c>
      <c r="C22" s="3">
        <f>-$B$1+(($B$4+$B$3)*(((1+$B$5)^B22)-1)/($B$5*(1+$B$5)^B22))-($B$2*(((1+$B$5)^B22)-1)/($B$5*(1+$B$5)^B22))</f>
        <v>-8221344.56603773</v>
      </c>
      <c r="D22" s="3">
        <f>$B$2</f>
        <v>220000</v>
      </c>
      <c r="E22" s="13">
        <f t="shared" ref="E22:E46" si="0">-$B$1+($B$4*(((1+$B$6)^B22)-1)/($B$6*(1+$B$6)^B22))-($B$2*(((1+$B$6)^B22)-1)/($B$6*(1+$B$6)^B22))</f>
        <v>-8293515.98198198</v>
      </c>
    </row>
    <row r="23" ht="14.4" spans="2:5">
      <c r="B23" s="2">
        <v>2</v>
      </c>
      <c r="C23" s="3">
        <f t="shared" ref="C23:C46" si="1">-$B$1+(($B$4+$B$3)*(((1+$B$5)^B23)-1)/($B$5*(1+$B$5)^B23))-($B$2*(((1+$B$5)^B23)-1)/($B$5*(1+$B$5)^B23))</f>
        <v>-7653226.23211107</v>
      </c>
      <c r="D23" s="3">
        <f t="shared" ref="D23:D56" si="2">$B$2</f>
        <v>220000</v>
      </c>
      <c r="E23" s="13">
        <f t="shared" si="0"/>
        <v>-7816007.85764142</v>
      </c>
    </row>
    <row r="24" ht="14.4" spans="2:8">
      <c r="B24" s="2">
        <v>3</v>
      </c>
      <c r="C24" s="3">
        <f t="shared" si="1"/>
        <v>-7117265.53972742</v>
      </c>
      <c r="D24" s="3">
        <f t="shared" si="2"/>
        <v>220000</v>
      </c>
      <c r="E24" s="13">
        <f t="shared" si="0"/>
        <v>-7385820.35823552</v>
      </c>
      <c r="H24" s="21"/>
    </row>
    <row r="25" ht="14.4" spans="2:5">
      <c r="B25" s="2">
        <v>4</v>
      </c>
      <c r="C25" s="3">
        <f t="shared" si="1"/>
        <v>-6611642.24502587</v>
      </c>
      <c r="D25" s="3">
        <f t="shared" si="2"/>
        <v>220000</v>
      </c>
      <c r="E25" s="13">
        <f t="shared" si="0"/>
        <v>-6998264.05246443</v>
      </c>
    </row>
    <row r="26" ht="14.4" spans="2:5">
      <c r="B26" s="2">
        <v>5</v>
      </c>
      <c r="C26" s="3">
        <f t="shared" si="1"/>
        <v>-6134639.13681686</v>
      </c>
      <c r="D26" s="3">
        <f t="shared" si="2"/>
        <v>220000</v>
      </c>
      <c r="E26" s="13">
        <f t="shared" si="0"/>
        <v>-6649114.22744543</v>
      </c>
    </row>
    <row r="27" ht="14.4" spans="2:5">
      <c r="B27" s="2">
        <v>6</v>
      </c>
      <c r="C27" s="3">
        <f t="shared" si="1"/>
        <v>-5684636.20454421</v>
      </c>
      <c r="D27" s="3">
        <f t="shared" si="2"/>
        <v>220000</v>
      </c>
      <c r="E27" s="13">
        <f t="shared" si="0"/>
        <v>-6334564.83553643</v>
      </c>
    </row>
    <row r="28" ht="14.4" spans="2:5">
      <c r="B28" s="2">
        <v>7</v>
      </c>
      <c r="C28" s="3">
        <f t="shared" si="1"/>
        <v>-5260105.13636246</v>
      </c>
      <c r="D28" s="3">
        <f t="shared" si="2"/>
        <v>220000</v>
      </c>
      <c r="E28" s="13">
        <f t="shared" si="0"/>
        <v>-6051187.00498777</v>
      </c>
    </row>
    <row r="29" ht="14.4" spans="2:5">
      <c r="B29" s="2">
        <v>8</v>
      </c>
      <c r="C29" s="3">
        <f t="shared" si="1"/>
        <v>-4859604.12864383</v>
      </c>
      <c r="D29" s="3">
        <f t="shared" si="2"/>
        <v>220000</v>
      </c>
      <c r="E29" s="13">
        <f t="shared" si="0"/>
        <v>-5795891.66215114</v>
      </c>
    </row>
    <row r="30" ht="14.4" spans="2:5">
      <c r="B30" s="2">
        <v>9</v>
      </c>
      <c r="C30" s="3">
        <f t="shared" si="1"/>
        <v>-4481772.98928663</v>
      </c>
      <c r="D30" s="3">
        <f t="shared" si="2"/>
        <v>220000</v>
      </c>
      <c r="E30" s="13">
        <f t="shared" si="0"/>
        <v>-5565895.85779382</v>
      </c>
    </row>
    <row r="31" ht="14.4" spans="2:5">
      <c r="B31" s="2">
        <v>10</v>
      </c>
      <c r="C31" s="3">
        <f t="shared" si="1"/>
        <v>-4125328.51819493</v>
      </c>
      <c r="D31" s="3">
        <f t="shared" si="2"/>
        <v>220000</v>
      </c>
      <c r="E31" s="13">
        <f t="shared" si="0"/>
        <v>-5358692.43044489</v>
      </c>
    </row>
    <row r="32" ht="14.4" spans="2:5">
      <c r="B32" s="2">
        <v>11</v>
      </c>
      <c r="C32" s="3">
        <f t="shared" si="1"/>
        <v>-3789060.1492405</v>
      </c>
      <c r="D32" s="3">
        <f t="shared" si="2"/>
        <v>220000</v>
      </c>
      <c r="E32" s="13">
        <f t="shared" si="0"/>
        <v>-5172022.67607647</v>
      </c>
    </row>
    <row r="33" ht="14.4" spans="2:5">
      <c r="B33" s="2">
        <v>12</v>
      </c>
      <c r="C33" s="3">
        <f t="shared" si="1"/>
        <v>-3471825.83890613</v>
      </c>
      <c r="D33" s="3">
        <f t="shared" si="2"/>
        <v>220000</v>
      </c>
      <c r="E33" s="13">
        <f t="shared" si="0"/>
        <v>-5003851.72619502</v>
      </c>
    </row>
    <row r="34" ht="14.4" spans="2:5">
      <c r="B34" s="2">
        <v>13</v>
      </c>
      <c r="C34" s="3">
        <f t="shared" si="1"/>
        <v>-3172548.1876473</v>
      </c>
      <c r="D34" s="3">
        <f t="shared" si="2"/>
        <v>220000</v>
      </c>
      <c r="E34" s="13">
        <f t="shared" si="0"/>
        <v>-4852346.36594146</v>
      </c>
    </row>
    <row r="35" ht="14.4" spans="2:5">
      <c r="B35" s="2">
        <v>14</v>
      </c>
      <c r="C35" s="3">
        <f t="shared" si="1"/>
        <v>-2890210.78079934</v>
      </c>
      <c r="D35" s="3">
        <f t="shared" si="2"/>
        <v>220000</v>
      </c>
      <c r="E35" s="13">
        <f t="shared" si="0"/>
        <v>-4715855.05039771</v>
      </c>
    </row>
    <row r="36" ht="14.4" spans="2:5">
      <c r="B36" s="2">
        <v>15</v>
      </c>
      <c r="C36" s="3">
        <f t="shared" si="1"/>
        <v>-2623854.73660315</v>
      </c>
      <c r="D36" s="3">
        <f t="shared" si="2"/>
        <v>220000</v>
      </c>
      <c r="E36" s="13">
        <f t="shared" si="0"/>
        <v>-4592889.9012592</v>
      </c>
    </row>
    <row r="37" ht="14.4" spans="2:5">
      <c r="B37" s="2">
        <v>16</v>
      </c>
      <c r="C37" s="3">
        <f t="shared" si="1"/>
        <v>-2372575.44962561</v>
      </c>
      <c r="D37" s="3">
        <f t="shared" si="2"/>
        <v>220000</v>
      </c>
      <c r="E37" s="13">
        <f t="shared" si="0"/>
        <v>-4482110.4876209</v>
      </c>
    </row>
    <row r="38" ht="14.4" spans="2:5">
      <c r="B38" s="2">
        <v>17</v>
      </c>
      <c r="C38" s="3">
        <f t="shared" si="1"/>
        <v>-2135519.51851473</v>
      </c>
      <c r="D38" s="3">
        <f t="shared" si="2"/>
        <v>220000</v>
      </c>
      <c r="E38" s="13">
        <f t="shared" si="0"/>
        <v>-4382309.21407288</v>
      </c>
    </row>
    <row r="39" ht="14.4" spans="2:5">
      <c r="B39" s="2">
        <v>18</v>
      </c>
      <c r="C39" s="3">
        <f t="shared" si="1"/>
        <v>-1911881.8476554</v>
      </c>
      <c r="D39" s="3">
        <f t="shared" si="2"/>
        <v>220000</v>
      </c>
      <c r="E39" s="13">
        <f t="shared" si="0"/>
        <v>-4292398.15682242</v>
      </c>
    </row>
    <row r="40" ht="14.4" spans="2:5">
      <c r="B40" s="2">
        <v>19</v>
      </c>
      <c r="C40" s="3">
        <f t="shared" si="1"/>
        <v>-1700902.91288245</v>
      </c>
      <c r="D40" s="3">
        <f t="shared" si="2"/>
        <v>220000</v>
      </c>
      <c r="E40" s="13">
        <f t="shared" si="0"/>
        <v>-4211397.20434452</v>
      </c>
    </row>
    <row r="41" ht="14.4" spans="2:5">
      <c r="B41" s="2">
        <v>20</v>
      </c>
      <c r="C41" s="3">
        <f t="shared" si="1"/>
        <v>-1501866.18196458</v>
      </c>
      <c r="D41" s="3">
        <f t="shared" si="2"/>
        <v>220000</v>
      </c>
      <c r="E41" s="13">
        <f t="shared" si="0"/>
        <v>-4138423.37328335</v>
      </c>
    </row>
    <row r="42" ht="14.4" spans="2:5">
      <c r="B42" s="2">
        <v>21</v>
      </c>
      <c r="C42" s="3">
        <f t="shared" si="1"/>
        <v>-1314095.68109866</v>
      </c>
      <c r="D42" s="3">
        <f t="shared" si="2"/>
        <v>220000</v>
      </c>
      <c r="E42" s="13">
        <f t="shared" si="0"/>
        <v>-4072681.18313816</v>
      </c>
    </row>
    <row r="43" ht="14.4" spans="2:5">
      <c r="B43" s="2">
        <v>22</v>
      </c>
      <c r="C43" s="3">
        <f t="shared" si="1"/>
        <v>-1136953.69914968</v>
      </c>
      <c r="D43" s="3">
        <f t="shared" si="2"/>
        <v>220000</v>
      </c>
      <c r="E43" s="13">
        <f t="shared" si="0"/>
        <v>-4013453.98480915</v>
      </c>
    </row>
    <row r="44" ht="14.4" spans="2:5">
      <c r="B44" s="2">
        <v>23</v>
      </c>
      <c r="C44" s="3">
        <f t="shared" si="1"/>
        <v>-969838.621839318</v>
      </c>
      <c r="D44" s="3">
        <f t="shared" si="2"/>
        <v>220000</v>
      </c>
      <c r="E44" s="13">
        <f t="shared" si="0"/>
        <v>-3960096.14847671</v>
      </c>
    </row>
    <row r="45" ht="14.4" spans="2:5">
      <c r="B45" s="2">
        <v>24</v>
      </c>
      <c r="C45" s="3">
        <f t="shared" si="1"/>
        <v>-812182.888527661</v>
      </c>
      <c r="D45" s="3">
        <f t="shared" si="2"/>
        <v>220000</v>
      </c>
      <c r="E45" s="13">
        <f t="shared" si="0"/>
        <v>-3912026.02565469</v>
      </c>
    </row>
    <row r="46" ht="14.4" spans="2:5">
      <c r="B46" s="2">
        <v>25</v>
      </c>
      <c r="C46" s="3">
        <f t="shared" si="1"/>
        <v>-663451.064648737</v>
      </c>
      <c r="D46" s="3">
        <f t="shared" si="2"/>
        <v>220000</v>
      </c>
      <c r="E46" s="13">
        <f t="shared" si="0"/>
        <v>-3868719.60869792</v>
      </c>
    </row>
    <row r="47" customHeight="1" spans="2:4">
      <c r="B47" s="2">
        <v>26</v>
      </c>
      <c r="C47" s="3">
        <f>-$B$1+(($B$4+$B$3)*(((1+$B$5)^B47)-1)/($B$5*(1+$B$5)^B47))-($B$2*(((1+$B$5)^B47)-1)/($B$5*(1+$B$5)^B47))</f>
        <v>-523138.023253525</v>
      </c>
      <c r="D47" s="3">
        <f t="shared" si="2"/>
        <v>220000</v>
      </c>
    </row>
    <row r="48" customHeight="1" spans="2:4">
      <c r="B48" s="2">
        <v>27</v>
      </c>
      <c r="C48" s="3">
        <f>-$B$1+(($B$4+$B$3)*(((1+$B$5)^B48)-1)/($B$5*(1+$B$5)^B48))-($B$2*(((1+$B$5)^B48)-1)/($B$5*(1+$B$5)^B48))</f>
        <v>-390767.229484457</v>
      </c>
      <c r="D48" s="3">
        <f t="shared" si="2"/>
        <v>220000</v>
      </c>
    </row>
    <row r="49" customHeight="1" spans="2:4">
      <c r="B49" s="2">
        <v>28</v>
      </c>
      <c r="C49" s="3">
        <f t="shared" ref="C49:C56" si="3">-$B$1+(($B$4+$B$3)*(((1+$B$5)^B49)-1)/($B$5*(1+$B$5)^B49))-($B$2*(((1+$B$5)^B49)-1)/($B$5*(1+$B$5)^B49))</f>
        <v>-265889.122155147</v>
      </c>
      <c r="D49" s="3">
        <f t="shared" si="2"/>
        <v>220000</v>
      </c>
    </row>
    <row r="50" customHeight="1" spans="2:4">
      <c r="B50" s="2">
        <v>29</v>
      </c>
      <c r="C50" s="3">
        <f t="shared" si="3"/>
        <v>-148079.586938818</v>
      </c>
      <c r="D50" s="3">
        <f t="shared" si="2"/>
        <v>220000</v>
      </c>
    </row>
    <row r="51" customHeight="1" spans="2:4">
      <c r="B51" s="2">
        <v>30</v>
      </c>
      <c r="C51" s="3">
        <f t="shared" si="3"/>
        <v>-36938.5159800178</v>
      </c>
      <c r="D51" s="3">
        <f t="shared" si="2"/>
        <v>220000</v>
      </c>
    </row>
    <row r="52" customHeight="1" spans="2:4">
      <c r="B52" s="2">
        <v>31</v>
      </c>
      <c r="C52" s="3">
        <f t="shared" si="3"/>
        <v>67911.5509622488</v>
      </c>
      <c r="D52" s="3">
        <f t="shared" si="2"/>
        <v>220000</v>
      </c>
    </row>
    <row r="53" customHeight="1" spans="2:4">
      <c r="B53" s="2">
        <v>32</v>
      </c>
      <c r="C53" s="3">
        <f t="shared" si="3"/>
        <v>166826.708454952</v>
      </c>
      <c r="D53" s="3">
        <f t="shared" si="2"/>
        <v>220000</v>
      </c>
    </row>
    <row r="54" customHeight="1" spans="2:4">
      <c r="B54" s="2">
        <v>33</v>
      </c>
      <c r="C54" s="3">
        <f t="shared" si="3"/>
        <v>260142.894768824</v>
      </c>
      <c r="D54" s="3">
        <f t="shared" si="2"/>
        <v>220000</v>
      </c>
    </row>
    <row r="55" customHeight="1" spans="2:4">
      <c r="B55" s="2">
        <v>34</v>
      </c>
      <c r="C55" s="3">
        <f t="shared" si="3"/>
        <v>348177.032800777</v>
      </c>
      <c r="D55" s="3">
        <f t="shared" si="2"/>
        <v>220000</v>
      </c>
    </row>
    <row r="56" customHeight="1" spans="2:4">
      <c r="B56" s="2">
        <v>35</v>
      </c>
      <c r="C56" s="3">
        <f t="shared" si="3"/>
        <v>431228.106415826</v>
      </c>
      <c r="D56" s="3">
        <f t="shared" si="2"/>
        <v>220000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95"/>
  <sheetViews>
    <sheetView topLeftCell="A55" workbookViewId="0">
      <selection activeCell="I72" sqref="I72"/>
    </sheetView>
  </sheetViews>
  <sheetFormatPr defaultColWidth="9" defaultRowHeight="14.4" outlineLevelCol="4"/>
  <cols>
    <col min="2" max="2" width="22" customWidth="1"/>
    <col min="3" max="3" width="19.2222222222222" customWidth="1"/>
    <col min="4" max="4" width="23.8888888888889" customWidth="1"/>
    <col min="5" max="5" width="16.6666666666667" customWidth="1"/>
  </cols>
  <sheetData>
    <row r="4" spans="2:5">
      <c r="B4" s="1" t="s">
        <v>198</v>
      </c>
      <c r="C4" s="1" t="s">
        <v>199</v>
      </c>
      <c r="D4" s="1" t="s">
        <v>200</v>
      </c>
      <c r="E4" s="1" t="s">
        <v>201</v>
      </c>
    </row>
    <row r="5" spans="2:5">
      <c r="B5" s="2" t="str">
        <f t="array" ref="B5:B8">TRANSPOSE('Windfarm Alternative'!H25:K25)</f>
        <v>PW(Cost)</v>
      </c>
      <c r="C5" s="3">
        <f t="array" ref="C5:C8">TRANSPOSE('Solar PV Grid'!I36:L36)</f>
        <v>3694967.80791342</v>
      </c>
      <c r="D5" s="3">
        <f t="array" ref="D5:D8">TRANSPOSE('Tracking System'!I36:L36)</f>
        <v>5174769.17740953</v>
      </c>
      <c r="E5" s="3">
        <f t="array" ref="E5:E8">TRANSPOSE('Windfarm Alternative'!H26:K26)</f>
        <v>11635888.3548191</v>
      </c>
    </row>
    <row r="6" spans="2:5">
      <c r="B6" s="2" t="str">
        <v>PW(Benefit)</v>
      </c>
      <c r="C6" s="3">
        <v>8374697.71694227</v>
      </c>
      <c r="D6" s="3">
        <v>10836715.0420491</v>
      </c>
      <c r="E6" s="3">
        <v>18493368.4176082</v>
      </c>
    </row>
    <row r="7" spans="2:5">
      <c r="B7" s="2" t="str">
        <v>PW</v>
      </c>
      <c r="C7" s="3">
        <v>12069665.5248557</v>
      </c>
      <c r="D7" s="3">
        <v>16011484.2194586</v>
      </c>
      <c r="E7" s="3">
        <v>30129256.7724272</v>
      </c>
    </row>
    <row r="8" spans="2:5">
      <c r="B8" s="2" t="str">
        <v>B-C Ratio</v>
      </c>
      <c r="C8" s="4">
        <v>2.26651439263054</v>
      </c>
      <c r="D8" s="4">
        <v>2.09414462182328</v>
      </c>
      <c r="E8" s="4">
        <v>1.58933876414765</v>
      </c>
    </row>
    <row r="29" spans="2:5">
      <c r="B29" s="2" t="s">
        <v>10</v>
      </c>
      <c r="C29" s="2" t="s">
        <v>199</v>
      </c>
      <c r="D29" s="2" t="s">
        <v>200</v>
      </c>
      <c r="E29" s="2" t="s">
        <v>201</v>
      </c>
    </row>
    <row r="30" spans="2:5">
      <c r="B30" s="2">
        <v>0</v>
      </c>
      <c r="C30" s="3">
        <v>-3055800</v>
      </c>
      <c r="D30" s="3">
        <v>-3768600</v>
      </c>
      <c r="E30" s="5">
        <v>-8823550</v>
      </c>
    </row>
    <row r="31" spans="2:5">
      <c r="B31" s="2">
        <v>1</v>
      </c>
      <c r="C31" s="3">
        <v>605125.118416217</v>
      </c>
      <c r="D31" s="3">
        <v>737720.653941082</v>
      </c>
      <c r="E31" s="5">
        <v>638337.76</v>
      </c>
    </row>
    <row r="32" spans="2:5">
      <c r="B32" s="2">
        <v>2</v>
      </c>
      <c r="C32" s="3">
        <v>605125.118416217</v>
      </c>
      <c r="D32" s="3">
        <v>737720.653941082</v>
      </c>
      <c r="E32" s="5">
        <v>638337.76</v>
      </c>
    </row>
    <row r="33" spans="2:5">
      <c r="B33" s="2">
        <v>3</v>
      </c>
      <c r="C33" s="3">
        <v>605125.118416217</v>
      </c>
      <c r="D33" s="3">
        <v>737720.653941082</v>
      </c>
      <c r="E33" s="5">
        <v>638337.76</v>
      </c>
    </row>
    <row r="34" spans="2:5">
      <c r="B34" s="2">
        <v>4</v>
      </c>
      <c r="C34" s="3">
        <v>605125.118416217</v>
      </c>
      <c r="D34" s="3">
        <v>737720.653941082</v>
      </c>
      <c r="E34" s="5">
        <v>638337.76</v>
      </c>
    </row>
    <row r="35" spans="2:5">
      <c r="B35" s="2">
        <v>5</v>
      </c>
      <c r="C35" s="3">
        <v>605125.118416217</v>
      </c>
      <c r="D35" s="3">
        <v>737720.653941082</v>
      </c>
      <c r="E35" s="5">
        <v>638337.76</v>
      </c>
    </row>
    <row r="36" spans="2:5">
      <c r="B36" s="2">
        <v>6</v>
      </c>
      <c r="C36" s="3">
        <v>605125.118416217</v>
      </c>
      <c r="D36" s="3">
        <v>737720.653941082</v>
      </c>
      <c r="E36" s="5">
        <v>638337.76</v>
      </c>
    </row>
    <row r="37" spans="2:5">
      <c r="B37" s="2">
        <v>7</v>
      </c>
      <c r="C37" s="3">
        <v>605125.118416217</v>
      </c>
      <c r="D37" s="3">
        <v>737720.653941082</v>
      </c>
      <c r="E37" s="5">
        <v>638337.76</v>
      </c>
    </row>
    <row r="38" spans="2:5">
      <c r="B38" s="2">
        <v>8</v>
      </c>
      <c r="C38" s="3">
        <v>605125.118416217</v>
      </c>
      <c r="D38" s="3">
        <v>737720.653941082</v>
      </c>
      <c r="E38" s="5">
        <v>638337.76</v>
      </c>
    </row>
    <row r="39" spans="2:5">
      <c r="B39" s="2">
        <v>9</v>
      </c>
      <c r="C39" s="3">
        <v>605125.118416217</v>
      </c>
      <c r="D39" s="3">
        <v>737720.653941082</v>
      </c>
      <c r="E39" s="5">
        <v>638337.76</v>
      </c>
    </row>
    <row r="40" spans="2:5">
      <c r="B40" s="2">
        <v>10</v>
      </c>
      <c r="C40" s="3">
        <v>605125.118416217</v>
      </c>
      <c r="D40" s="3">
        <v>737720.653941082</v>
      </c>
      <c r="E40" s="5">
        <v>638337.76</v>
      </c>
    </row>
    <row r="41" spans="2:5">
      <c r="B41" s="2">
        <v>11</v>
      </c>
      <c r="C41" s="3">
        <v>605125.118416217</v>
      </c>
      <c r="D41" s="3">
        <v>737720.653941082</v>
      </c>
      <c r="E41" s="5">
        <v>638337.76</v>
      </c>
    </row>
    <row r="42" spans="2:5">
      <c r="B42" s="2">
        <v>12</v>
      </c>
      <c r="C42" s="3">
        <v>605125.118416217</v>
      </c>
      <c r="D42" s="3">
        <v>737720.653941082</v>
      </c>
      <c r="E42" s="5">
        <v>638337.76</v>
      </c>
    </row>
    <row r="43" spans="2:5">
      <c r="B43" s="2">
        <v>13</v>
      </c>
      <c r="C43" s="3">
        <v>605125.118416217</v>
      </c>
      <c r="D43" s="3">
        <v>737720.653941082</v>
      </c>
      <c r="E43" s="5">
        <v>638337.76</v>
      </c>
    </row>
    <row r="44" spans="2:5">
      <c r="B44" s="2">
        <v>14</v>
      </c>
      <c r="C44" s="3">
        <v>605125.118416217</v>
      </c>
      <c r="D44" s="3">
        <v>737720.653941082</v>
      </c>
      <c r="E44" s="5">
        <v>638337.76</v>
      </c>
    </row>
    <row r="45" spans="2:5">
      <c r="B45" s="2">
        <v>15</v>
      </c>
      <c r="C45" s="3">
        <v>605125.118416217</v>
      </c>
      <c r="D45" s="3">
        <v>737720.653941082</v>
      </c>
      <c r="E45" s="5">
        <v>638337.76</v>
      </c>
    </row>
    <row r="46" spans="2:5">
      <c r="B46" s="2">
        <v>16</v>
      </c>
      <c r="C46" s="3">
        <v>605125.118416217</v>
      </c>
      <c r="D46" s="3">
        <v>737720.653941082</v>
      </c>
      <c r="E46" s="5">
        <v>638337.76</v>
      </c>
    </row>
    <row r="47" spans="2:5">
      <c r="B47" s="2">
        <v>17</v>
      </c>
      <c r="C47" s="3">
        <v>605125.118416217</v>
      </c>
      <c r="D47" s="3">
        <v>737720.653941082</v>
      </c>
      <c r="E47" s="5">
        <v>638337.76</v>
      </c>
    </row>
    <row r="48" spans="2:5">
      <c r="B48" s="2">
        <v>18</v>
      </c>
      <c r="C48" s="3">
        <v>605125.118416217</v>
      </c>
      <c r="D48" s="3">
        <v>737720.653941082</v>
      </c>
      <c r="E48" s="5">
        <v>638337.76</v>
      </c>
    </row>
    <row r="49" spans="2:5">
      <c r="B49" s="2">
        <v>19</v>
      </c>
      <c r="C49" s="3">
        <v>605125.118416217</v>
      </c>
      <c r="D49" s="3">
        <v>737720.653941082</v>
      </c>
      <c r="E49" s="5">
        <v>638337.76</v>
      </c>
    </row>
    <row r="50" spans="2:5">
      <c r="B50" s="2">
        <v>20</v>
      </c>
      <c r="C50" s="3">
        <v>605125.118416217</v>
      </c>
      <c r="D50" s="3">
        <v>737720.653941082</v>
      </c>
      <c r="E50" s="5">
        <v>638337.76</v>
      </c>
    </row>
    <row r="51" spans="2:5">
      <c r="B51" s="2">
        <v>21</v>
      </c>
      <c r="C51" s="3">
        <v>605125.118416217</v>
      </c>
      <c r="D51" s="3">
        <v>737720.653941082</v>
      </c>
      <c r="E51" s="5">
        <v>638337.76</v>
      </c>
    </row>
    <row r="52" spans="2:5">
      <c r="B52" s="2">
        <v>22</v>
      </c>
      <c r="C52" s="3">
        <v>605125.118416217</v>
      </c>
      <c r="D52" s="3">
        <v>737720.653941082</v>
      </c>
      <c r="E52" s="5">
        <v>638337.76</v>
      </c>
    </row>
    <row r="53" spans="2:5">
      <c r="B53" s="2">
        <v>23</v>
      </c>
      <c r="C53" s="3">
        <v>605125.118416217</v>
      </c>
      <c r="D53" s="3">
        <v>737720.653941082</v>
      </c>
      <c r="E53" s="5">
        <v>638337.76</v>
      </c>
    </row>
    <row r="54" spans="2:5">
      <c r="B54" s="2">
        <v>24</v>
      </c>
      <c r="C54" s="3">
        <v>605125.118416217</v>
      </c>
      <c r="D54" s="3">
        <v>737720.653941082</v>
      </c>
      <c r="E54" s="5">
        <v>638337.76</v>
      </c>
    </row>
    <row r="55" spans="2:5">
      <c r="B55" s="2">
        <v>25</v>
      </c>
      <c r="C55" s="3">
        <v>605125.118416217</v>
      </c>
      <c r="D55" s="3">
        <v>737720.653941082</v>
      </c>
      <c r="E55" s="5">
        <v>638337.76</v>
      </c>
    </row>
    <row r="59" spans="2:5">
      <c r="B59" s="2"/>
      <c r="C59" s="2" t="s">
        <v>199</v>
      </c>
      <c r="D59" s="2" t="s">
        <v>200</v>
      </c>
      <c r="E59" s="2" t="s">
        <v>201</v>
      </c>
    </row>
    <row r="60" spans="2:5">
      <c r="B60" s="2" t="s">
        <v>202</v>
      </c>
      <c r="C60" s="6">
        <f>Breakeven!B14</f>
        <v>6.19469690558975</v>
      </c>
      <c r="D60" s="6">
        <f>Breakeven_Tracking!B14</f>
        <v>6.28144718229349</v>
      </c>
      <c r="E60" s="6">
        <f>Breakeven_Windfarm!B14</f>
        <v>30.3456892522537</v>
      </c>
    </row>
    <row r="61" spans="2:5">
      <c r="B61" s="7"/>
      <c r="C61" s="7"/>
      <c r="D61" s="7"/>
      <c r="E61" s="8"/>
    </row>
    <row r="62" spans="2:5">
      <c r="B62" s="7"/>
      <c r="C62" s="7"/>
      <c r="D62" s="7"/>
      <c r="E62" s="8"/>
    </row>
    <row r="63" spans="2:5">
      <c r="B63" s="7"/>
      <c r="C63" s="7"/>
      <c r="D63" s="7"/>
      <c r="E63" s="8"/>
    </row>
    <row r="64" spans="2:5">
      <c r="B64" s="7"/>
      <c r="C64" s="7"/>
      <c r="D64" s="7"/>
      <c r="E64" s="8"/>
    </row>
    <row r="65" spans="2:5">
      <c r="B65" s="7"/>
      <c r="C65" s="7"/>
      <c r="D65" s="7"/>
      <c r="E65" s="8"/>
    </row>
    <row r="66" spans="2:5">
      <c r="B66" s="7"/>
      <c r="C66" s="7"/>
      <c r="D66" s="7"/>
      <c r="E66" s="8"/>
    </row>
    <row r="67" spans="2:5">
      <c r="B67" s="7"/>
      <c r="C67" s="7"/>
      <c r="D67" s="7"/>
      <c r="E67" s="8"/>
    </row>
    <row r="68" spans="2:5">
      <c r="B68" s="7"/>
      <c r="C68" s="7"/>
      <c r="D68" s="7"/>
      <c r="E68" s="8"/>
    </row>
    <row r="69" spans="2:5">
      <c r="B69" s="7"/>
      <c r="C69" s="7"/>
      <c r="D69" s="7"/>
      <c r="E69" s="8"/>
    </row>
    <row r="70" spans="2:5">
      <c r="B70" s="7"/>
      <c r="C70" s="7"/>
      <c r="D70" s="7"/>
      <c r="E70" s="8"/>
    </row>
    <row r="71" spans="2:5">
      <c r="B71" s="7"/>
      <c r="C71" s="7"/>
      <c r="D71" s="7"/>
      <c r="E71" s="8"/>
    </row>
    <row r="72" spans="2:5">
      <c r="B72" s="7"/>
      <c r="C72" s="7"/>
      <c r="D72" s="7"/>
      <c r="E72" s="8"/>
    </row>
    <row r="73" spans="2:5">
      <c r="B73" s="7"/>
      <c r="C73" s="7"/>
      <c r="D73" s="7"/>
      <c r="E73" s="8"/>
    </row>
    <row r="74" spans="2:5">
      <c r="B74" s="7"/>
      <c r="C74" s="7"/>
      <c r="D74" s="7"/>
      <c r="E74" s="8"/>
    </row>
    <row r="75" spans="2:5">
      <c r="B75" s="7"/>
      <c r="C75" s="7"/>
      <c r="D75" s="7"/>
      <c r="E75" s="8"/>
    </row>
    <row r="76" spans="2:5">
      <c r="B76" s="7"/>
      <c r="C76" s="7"/>
      <c r="D76" s="7"/>
      <c r="E76" s="8"/>
    </row>
    <row r="77" spans="2:5">
      <c r="B77" s="7"/>
      <c r="C77" s="7"/>
      <c r="D77" s="7"/>
      <c r="E77" s="8"/>
    </row>
    <row r="78" spans="2:5">
      <c r="B78" s="7"/>
      <c r="C78" s="7"/>
      <c r="D78" s="7"/>
      <c r="E78" s="8"/>
    </row>
    <row r="79" spans="2:5">
      <c r="B79" s="7"/>
      <c r="C79" s="7"/>
      <c r="D79" s="7"/>
      <c r="E79" s="8"/>
    </row>
    <row r="80" spans="2:5">
      <c r="B80" s="7"/>
      <c r="C80" s="7"/>
      <c r="D80" s="7"/>
      <c r="E80" s="8"/>
    </row>
    <row r="81" spans="2:5">
      <c r="B81" s="7"/>
      <c r="C81" s="7"/>
      <c r="D81" s="7"/>
      <c r="E81" s="8"/>
    </row>
    <row r="82" spans="2:5">
      <c r="B82" s="7"/>
      <c r="C82" s="7"/>
      <c r="D82" s="7"/>
      <c r="E82" s="8"/>
    </row>
    <row r="83" spans="2:5">
      <c r="B83" s="7"/>
      <c r="C83" s="7"/>
      <c r="D83" s="7"/>
      <c r="E83" s="8"/>
    </row>
    <row r="84" spans="2:5">
      <c r="B84" s="7"/>
      <c r="C84" s="7"/>
      <c r="D84" s="7"/>
      <c r="E84" s="8"/>
    </row>
    <row r="85" spans="2:5">
      <c r="B85" s="7"/>
      <c r="C85" s="7"/>
      <c r="D85" s="7"/>
      <c r="E85" s="8"/>
    </row>
    <row r="86" spans="2:5">
      <c r="B86" s="7"/>
      <c r="C86" s="7"/>
      <c r="D86" s="7"/>
      <c r="E86" s="8"/>
    </row>
    <row r="87" spans="2:5">
      <c r="B87" s="7"/>
      <c r="C87" s="7"/>
      <c r="D87" s="7"/>
      <c r="E87" s="8"/>
    </row>
    <row r="88" spans="2:5">
      <c r="B88" s="7"/>
      <c r="C88" s="7"/>
      <c r="D88" s="7"/>
      <c r="E88" s="8"/>
    </row>
    <row r="89" spans="2:5">
      <c r="B89" s="7"/>
      <c r="C89" s="7"/>
      <c r="D89" s="7"/>
      <c r="E89" s="8"/>
    </row>
    <row r="90" spans="2:5">
      <c r="B90" s="7"/>
      <c r="C90" s="7"/>
      <c r="D90" s="7"/>
      <c r="E90" s="8"/>
    </row>
    <row r="91" spans="2:5">
      <c r="B91" s="7"/>
      <c r="C91" s="7"/>
      <c r="D91" s="7"/>
      <c r="E91" s="8"/>
    </row>
    <row r="92" spans="2:5">
      <c r="B92" s="7"/>
      <c r="C92" s="7"/>
      <c r="D92" s="7"/>
      <c r="E92" s="8"/>
    </row>
    <row r="93" spans="2:5">
      <c r="B93" s="7"/>
      <c r="C93" s="7"/>
      <c r="D93" s="7"/>
      <c r="E93" s="8"/>
    </row>
    <row r="94" spans="2:5">
      <c r="B94" s="7"/>
      <c r="C94" s="7"/>
      <c r="D94" s="7"/>
      <c r="E94" s="8"/>
    </row>
    <row r="95" spans="2:5">
      <c r="B95" s="7"/>
      <c r="C95" s="7"/>
      <c r="D95" s="7"/>
      <c r="E95" s="8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Solar PV Grid</vt:lpstr>
      <vt:lpstr>Energy</vt:lpstr>
      <vt:lpstr>Depriciation</vt:lpstr>
      <vt:lpstr>Breakeven</vt:lpstr>
      <vt:lpstr>Sensitivity</vt:lpstr>
      <vt:lpstr>Monte Carlo</vt:lpstr>
      <vt:lpstr>Tracking System</vt:lpstr>
      <vt:lpstr>Energy Tracking System</vt:lpstr>
      <vt:lpstr>Breakeven_Tracking</vt:lpstr>
      <vt:lpstr>Windfarm Alternative</vt:lpstr>
      <vt:lpstr>Breakeven_Windfarm</vt:lpstr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Patel</dc:creator>
  <cp:lastModifiedBy>Pujita V</cp:lastModifiedBy>
  <dcterms:created xsi:type="dcterms:W3CDTF">2023-11-30T05:02:00Z</dcterms:created>
  <dcterms:modified xsi:type="dcterms:W3CDTF">2023-12-14T00:56:45Z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59F09ED94F0144DFB2ADF8F825C23041_12</vt:lpwstr>
  </property>
  <property fmtid="{D5CDD505-2E9C-101B-9397-08002B2CF9AE}" pid="3" name="KSOProductBuildVer">
    <vt:lpwstr>1033-12.2.0.13359</vt:lpwstr>
  </property>
</Properties>
</file>