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zhan31\OneDrive - Emory University\Box\1_Work\3_Projects\Superfund\PBPK Model\David\PCDD mixture model\David PCDD Mixture model\Human_mixture_model\"/>
    </mc:Choice>
  </mc:AlternateContent>
  <xr:revisionPtr revIDLastSave="61" documentId="13_ncr:1_{571EFA7F-5EC7-4587-9614-1BF60F3EA8F4}" xr6:coauthVersionLast="36" xr6:coauthVersionMax="47" xr10:uidLastSave="{8AEC5DFD-CCE8-4B8F-AFFA-D03F6E1FDF3F}"/>
  <bookViews>
    <workbookView xWindow="-120" yWindow="-120" windowWidth="29040" windowHeight="15840" xr2:uid="{7CAD95F9-B01C-4438-A3C0-E98D8BFB984E}"/>
  </bookViews>
  <sheets>
    <sheet name="Hum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M12" i="1"/>
  <c r="M11" i="1"/>
  <c r="M10" i="1"/>
  <c r="M9" i="1"/>
  <c r="M8" i="1"/>
  <c r="M7" i="1"/>
  <c r="M5" i="1"/>
  <c r="M4" i="1"/>
  <c r="M3" i="1"/>
  <c r="M2" i="1"/>
  <c r="D12" i="1"/>
  <c r="D11" i="1"/>
  <c r="D10" i="1"/>
  <c r="D9" i="1"/>
  <c r="D8" i="1"/>
  <c r="D7" i="1"/>
  <c r="D5" i="1"/>
  <c r="D4" i="1"/>
  <c r="D3" i="1"/>
  <c r="D2" i="1"/>
  <c r="C12" i="1"/>
  <c r="C11" i="1"/>
  <c r="C10" i="1"/>
  <c r="C9" i="1"/>
  <c r="C8" i="1"/>
  <c r="C7" i="1"/>
  <c r="C5" i="1"/>
  <c r="C4" i="1"/>
  <c r="C3" i="1"/>
  <c r="C2" i="1"/>
  <c r="B4" i="1"/>
  <c r="B12" i="1"/>
  <c r="B11" i="1"/>
  <c r="B10" i="1"/>
  <c r="B9" i="1"/>
  <c r="B8" i="1"/>
  <c r="B5" i="1"/>
  <c r="B3" i="1"/>
  <c r="B7" i="1"/>
  <c r="B2" i="1"/>
  <c r="O12" i="1"/>
  <c r="O11" i="1"/>
  <c r="O10" i="1"/>
  <c r="O9" i="1"/>
  <c r="O8" i="1"/>
  <c r="O7" i="1"/>
  <c r="O5" i="1"/>
  <c r="O4" i="1"/>
  <c r="O3" i="1"/>
  <c r="O2" i="1"/>
  <c r="I7" i="1"/>
  <c r="I5" i="1"/>
  <c r="I4" i="1"/>
  <c r="I3" i="1"/>
  <c r="I2" i="1"/>
</calcChain>
</file>

<file path=xl/sharedStrings.xml><?xml version="1.0" encoding="utf-8"?>
<sst xmlns="http://schemas.openxmlformats.org/spreadsheetml/2006/main" count="30" uniqueCount="30">
  <si>
    <t>PL</t>
  </si>
  <si>
    <t>PF</t>
  </si>
  <si>
    <t>PRB</t>
  </si>
  <si>
    <t>PALC</t>
  </si>
  <si>
    <t>PAFC</t>
  </si>
  <si>
    <t>PARBC</t>
  </si>
  <si>
    <t>KDAHR</t>
  </si>
  <si>
    <t>kbAHR</t>
  </si>
  <si>
    <t>KD1A2</t>
  </si>
  <si>
    <t>kb1A2</t>
  </si>
  <si>
    <t>kelim</t>
  </si>
  <si>
    <t>KST</t>
  </si>
  <si>
    <t>KABS</t>
  </si>
  <si>
    <t>a</t>
  </si>
  <si>
    <t>CLURI</t>
  </si>
  <si>
    <t>2,3,4,7,8-PeCDF</t>
  </si>
  <si>
    <t>1,2,3,7,8-PeCDF</t>
  </si>
  <si>
    <t>2,3,7,8-TCDF</t>
  </si>
  <si>
    <t>1,2,3,4,7,8-HxCDF</t>
  </si>
  <si>
    <t>2,3,7,8-TCDD</t>
  </si>
  <si>
    <t>1,2,3,6,7,8-HxCDF</t>
  </si>
  <si>
    <t>1,2,3,4,6,7,8-HpCDD</t>
  </si>
  <si>
    <t>1,2,3,4,6,7,8-HpCDF</t>
  </si>
  <si>
    <t>1,2,3,7,8-PeCDD</t>
  </si>
  <si>
    <t>1,2,3,4,6,7,8,9-OCDD</t>
  </si>
  <si>
    <t>1,2,3,4,6,7,8,9-OCDF</t>
  </si>
  <si>
    <t>MW</t>
  </si>
  <si>
    <t>Fu</t>
  </si>
  <si>
    <t>TEF</t>
  </si>
  <si>
    <t>Systemic_TEF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</si>
</sst>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Fill="1" applyBorder="1" applyAlignment="1">
      <alignment vertical="center"/>
    </xf>
    <xf numFmtId="0" fontId="2" fillId="0" borderId="0" xfId="0" applyFont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7132-3FE9-4403-BD5F-89514B61F127}">
  <dimension ref="A1:V23"/>
  <sheetViews>
    <sheetView tabSelected="1" zoomScaleNormal="100" workbookViewId="0">
      <selection activeCell="F18" sqref="F18"/>
    </sheetView>
  </sheetViews>
  <sheetFormatPr defaultRowHeight="14.4" x14ac:dyDescent="0.3"/>
  <cols>
    <col min="1" max="1" width="20.44140625" customWidth="1"/>
    <col min="13" max="13" width="11.109375" customWidth="1"/>
    <col min="20" max="20" width="12.33203125" customWidth="1"/>
    <col min="23" max="23" width="9.109375" customWidth="1"/>
  </cols>
  <sheetData>
    <row r="1" spans="1:22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27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26</v>
      </c>
      <c r="S1" s="2" t="s">
        <v>28</v>
      </c>
      <c r="T1" s="2" t="s">
        <v>29</v>
      </c>
    </row>
    <row r="2" spans="1:22" s="6" customFormat="1" ht="18.600000000000001" customHeight="1" x14ac:dyDescent="0.3">
      <c r="A2" s="5" t="s">
        <v>15</v>
      </c>
      <c r="B2" s="6">
        <f>B6/9.8*45</f>
        <v>27.551020408163261</v>
      </c>
      <c r="C2" s="6">
        <f>C6/247*336</f>
        <v>136.03238866396759</v>
      </c>
      <c r="D2" s="6">
        <f>D6/18*38</f>
        <v>3.1666666666666665</v>
      </c>
      <c r="E2" s="4">
        <v>0.35</v>
      </c>
      <c r="F2" s="4">
        <v>0.12</v>
      </c>
      <c r="G2" s="4">
        <v>0.03</v>
      </c>
      <c r="H2" s="4">
        <v>1</v>
      </c>
      <c r="I2" s="7">
        <f>I6/0.67</f>
        <v>0.14925373134328357</v>
      </c>
      <c r="J2" s="4">
        <v>6</v>
      </c>
      <c r="K2" s="4">
        <v>40</v>
      </c>
      <c r="L2" s="4">
        <v>6</v>
      </c>
      <c r="M2" s="6">
        <f>M6*6.2/9.9</f>
        <v>6.8888888888888895E-4</v>
      </c>
      <c r="N2" s="4">
        <v>0.01</v>
      </c>
      <c r="O2" s="6">
        <f>O6/0.97*0.98</f>
        <v>6.0618556701030932E-2</v>
      </c>
      <c r="P2" s="4">
        <v>0.7</v>
      </c>
      <c r="Q2" s="3">
        <v>4.1700000000000003E-8</v>
      </c>
      <c r="R2" s="8">
        <v>340.42200000000003</v>
      </c>
      <c r="S2" s="6">
        <v>0.3</v>
      </c>
      <c r="T2" s="6">
        <v>1</v>
      </c>
      <c r="V2" s="8"/>
    </row>
    <row r="3" spans="1:22" s="6" customFormat="1" ht="18.600000000000001" customHeight="1" x14ac:dyDescent="0.3">
      <c r="A3" s="5" t="s">
        <v>16</v>
      </c>
      <c r="B3" s="6">
        <f>B6/9.8*18</f>
        <v>11.020408163265305</v>
      </c>
      <c r="C3" s="6">
        <f>C6/247*130</f>
        <v>52.631578947368418</v>
      </c>
      <c r="D3" s="6">
        <f>D6/18*10</f>
        <v>0.83333333333333326</v>
      </c>
      <c r="E3" s="4">
        <v>0.35</v>
      </c>
      <c r="F3" s="4">
        <v>0.12</v>
      </c>
      <c r="G3" s="4">
        <v>0.03</v>
      </c>
      <c r="H3" s="4">
        <v>1</v>
      </c>
      <c r="I3" s="7">
        <f>I6/0.13</f>
        <v>0.76923076923076927</v>
      </c>
      <c r="J3" s="4">
        <v>6</v>
      </c>
      <c r="K3" s="4">
        <v>40</v>
      </c>
      <c r="L3" s="4">
        <v>6</v>
      </c>
      <c r="M3" s="6">
        <f>M6*6.2/0.9</f>
        <v>7.5777777777777779E-3</v>
      </c>
      <c r="N3" s="4">
        <v>0.01</v>
      </c>
      <c r="O3" s="6">
        <f>O6/0.97*0.99</f>
        <v>6.1237113402061859E-2</v>
      </c>
      <c r="P3" s="4">
        <v>0.7</v>
      </c>
      <c r="Q3" s="3">
        <v>4.1700000000000003E-8</v>
      </c>
      <c r="R3" s="8">
        <v>340.42200000000003</v>
      </c>
      <c r="S3" s="6">
        <v>0.03</v>
      </c>
      <c r="T3" s="6">
        <v>0.1</v>
      </c>
      <c r="V3" s="8"/>
    </row>
    <row r="4" spans="1:22" s="6" customFormat="1" ht="18.600000000000001" customHeight="1" x14ac:dyDescent="0.3">
      <c r="A4" s="5" t="s">
        <v>17</v>
      </c>
      <c r="B4" s="6">
        <f>B6/9.8*18</f>
        <v>11.020408163265305</v>
      </c>
      <c r="C4" s="6">
        <f>C6/247*55</f>
        <v>22.267206477732792</v>
      </c>
      <c r="D4" s="6">
        <f>D6/18*4.7</f>
        <v>0.39166666666666666</v>
      </c>
      <c r="E4" s="4">
        <v>0.35</v>
      </c>
      <c r="F4" s="4">
        <v>0.12</v>
      </c>
      <c r="G4" s="4">
        <v>0.03</v>
      </c>
      <c r="H4" s="4">
        <v>1</v>
      </c>
      <c r="I4" s="7">
        <f>I6/0.24</f>
        <v>0.41666666666666669</v>
      </c>
      <c r="J4" s="4">
        <v>6</v>
      </c>
      <c r="K4" s="4">
        <v>40</v>
      </c>
      <c r="L4" s="4">
        <v>6</v>
      </c>
      <c r="M4" s="6">
        <f>M6*6.2/0.4</f>
        <v>1.7049999999999999E-2</v>
      </c>
      <c r="N4" s="4">
        <v>0.01</v>
      </c>
      <c r="O4" s="6">
        <f>O6/0.97*0.97</f>
        <v>0.06</v>
      </c>
      <c r="P4" s="4">
        <v>0.7</v>
      </c>
      <c r="Q4" s="3">
        <v>4.1700000000000003E-8</v>
      </c>
      <c r="R4" s="8">
        <v>305.976</v>
      </c>
      <c r="S4" s="6">
        <v>0.1</v>
      </c>
      <c r="T4" s="6">
        <v>0.1</v>
      </c>
      <c r="V4" s="8"/>
    </row>
    <row r="5" spans="1:22" s="6" customFormat="1" ht="18.600000000000001" customHeight="1" x14ac:dyDescent="0.3">
      <c r="A5" s="5" t="s">
        <v>18</v>
      </c>
      <c r="B5" s="6">
        <f>B6/9.8*25</f>
        <v>15.30612244897959</v>
      </c>
      <c r="C5" s="6">
        <f>C6/247*75</f>
        <v>30.364372469635626</v>
      </c>
      <c r="D5" s="6">
        <f>D6/18*11</f>
        <v>0.91666666666666663</v>
      </c>
      <c r="E5" s="4">
        <v>0.35</v>
      </c>
      <c r="F5" s="4">
        <v>0.12</v>
      </c>
      <c r="G5" s="4">
        <v>0.03</v>
      </c>
      <c r="H5" s="4">
        <v>1</v>
      </c>
      <c r="I5" s="7">
        <f>I6/0.043</f>
        <v>2.3255813953488373</v>
      </c>
      <c r="J5" s="4">
        <v>6</v>
      </c>
      <c r="K5" s="4">
        <v>40</v>
      </c>
      <c r="L5" s="4">
        <v>6</v>
      </c>
      <c r="M5" s="6">
        <f>M6*6.2/5.7</f>
        <v>1.1964912280701754E-3</v>
      </c>
      <c r="N5" s="4">
        <v>0.01</v>
      </c>
      <c r="O5" s="6">
        <f>O6/0.97*0.97</f>
        <v>0.06</v>
      </c>
      <c r="P5" s="4">
        <v>0.7</v>
      </c>
      <c r="Q5" s="3">
        <v>4.1700000000000003E-8</v>
      </c>
      <c r="R5" s="8">
        <v>374.86700000000002</v>
      </c>
      <c r="S5" s="6">
        <v>0.1</v>
      </c>
      <c r="T5" s="6">
        <v>1</v>
      </c>
      <c r="V5" s="8"/>
    </row>
    <row r="6" spans="1:22" s="6" customFormat="1" ht="18.600000000000001" customHeight="1" x14ac:dyDescent="0.3">
      <c r="A6" s="5" t="s">
        <v>19</v>
      </c>
      <c r="B6" s="9">
        <v>6</v>
      </c>
      <c r="C6" s="9">
        <v>100</v>
      </c>
      <c r="D6" s="9">
        <v>1.5</v>
      </c>
      <c r="E6" s="4">
        <v>0.35</v>
      </c>
      <c r="F6" s="4">
        <v>0.12</v>
      </c>
      <c r="G6" s="4">
        <v>0.03</v>
      </c>
      <c r="H6" s="4">
        <v>1</v>
      </c>
      <c r="I6" s="7">
        <v>0.1</v>
      </c>
      <c r="J6" s="4">
        <v>6</v>
      </c>
      <c r="K6" s="4">
        <v>40</v>
      </c>
      <c r="L6" s="4">
        <v>6</v>
      </c>
      <c r="M6" s="10">
        <v>1.1000000000000001E-3</v>
      </c>
      <c r="N6" s="4">
        <v>0.01</v>
      </c>
      <c r="O6" s="9">
        <v>0.06</v>
      </c>
      <c r="P6" s="4">
        <v>0.7</v>
      </c>
      <c r="Q6" s="3">
        <v>4.1700000000000003E-8</v>
      </c>
      <c r="R6" s="8">
        <v>321.976</v>
      </c>
      <c r="S6" s="6">
        <v>1</v>
      </c>
      <c r="T6" s="6">
        <v>1</v>
      </c>
      <c r="V6" s="8"/>
    </row>
    <row r="7" spans="1:22" s="6" customFormat="1" ht="18.600000000000001" customHeight="1" x14ac:dyDescent="0.3">
      <c r="A7" s="5" t="s">
        <v>20</v>
      </c>
      <c r="B7" s="6">
        <f>B6/9.8*45</f>
        <v>27.551020408163261</v>
      </c>
      <c r="C7" s="6">
        <f>C6/247*130</f>
        <v>52.631578947368418</v>
      </c>
      <c r="D7" s="6">
        <f>D6/18*25</f>
        <v>2.083333333333333</v>
      </c>
      <c r="E7" s="4">
        <v>0.35</v>
      </c>
      <c r="F7" s="4">
        <v>0.12</v>
      </c>
      <c r="G7" s="4">
        <v>0.03</v>
      </c>
      <c r="H7" s="4">
        <v>1</v>
      </c>
      <c r="I7" s="7">
        <f>I6/0.037</f>
        <v>2.7027027027027031</v>
      </c>
      <c r="J7" s="4">
        <v>6</v>
      </c>
      <c r="K7" s="4">
        <v>40</v>
      </c>
      <c r="L7" s="4">
        <v>6</v>
      </c>
      <c r="M7" s="6">
        <f>M6*6.2/6.2</f>
        <v>1.1000000000000001E-3</v>
      </c>
      <c r="N7" s="4">
        <v>0.01</v>
      </c>
      <c r="O7" s="6">
        <f>O6/0.97*0.97</f>
        <v>0.06</v>
      </c>
      <c r="P7" s="4">
        <v>0.7</v>
      </c>
      <c r="Q7" s="3">
        <v>4.1700000000000003E-8</v>
      </c>
      <c r="R7" s="8">
        <v>374.86700000000002</v>
      </c>
      <c r="S7" s="6">
        <v>0.1</v>
      </c>
      <c r="T7" s="6">
        <v>0.1</v>
      </c>
      <c r="V7" s="8"/>
    </row>
    <row r="8" spans="1:22" s="6" customFormat="1" ht="18.600000000000001" customHeight="1" x14ac:dyDescent="0.3">
      <c r="A8" s="5" t="s">
        <v>21</v>
      </c>
      <c r="B8" s="6">
        <f>B6/9.8*34</f>
        <v>20.81632653061224</v>
      </c>
      <c r="C8" s="6">
        <f>C6/247*143</f>
        <v>57.89473684210526</v>
      </c>
      <c r="D8" s="6">
        <f>D6/18*39</f>
        <v>3.25</v>
      </c>
      <c r="E8" s="4">
        <v>0.35</v>
      </c>
      <c r="F8" s="4">
        <v>0.12</v>
      </c>
      <c r="G8" s="4">
        <v>0.03</v>
      </c>
      <c r="H8" s="4">
        <v>1</v>
      </c>
      <c r="I8" s="7">
        <f>I6/0.036</f>
        <v>2.7777777777777781</v>
      </c>
      <c r="J8" s="4">
        <v>6</v>
      </c>
      <c r="K8" s="4">
        <v>40</v>
      </c>
      <c r="L8" s="4">
        <v>6</v>
      </c>
      <c r="M8" s="6">
        <f>M6*6.2/6.5</f>
        <v>1.0492307692307693E-3</v>
      </c>
      <c r="N8" s="4">
        <v>0.01</v>
      </c>
      <c r="O8" s="6">
        <f>O6/0.97*0.86</f>
        <v>5.3195876288659794E-2</v>
      </c>
      <c r="P8" s="4">
        <v>0.7</v>
      </c>
      <c r="Q8" s="3">
        <v>4.1700000000000003E-8</v>
      </c>
      <c r="R8" s="8">
        <v>425.31099999999998</v>
      </c>
      <c r="S8" s="6">
        <v>0.01</v>
      </c>
      <c r="T8" s="6">
        <v>0.1</v>
      </c>
      <c r="V8" s="8"/>
    </row>
    <row r="9" spans="1:22" s="6" customFormat="1" ht="18.600000000000001" customHeight="1" x14ac:dyDescent="0.3">
      <c r="A9" s="5" t="s">
        <v>22</v>
      </c>
      <c r="B9" s="6">
        <f>B6/9.8*26</f>
        <v>15.918367346938773</v>
      </c>
      <c r="C9" s="6">
        <f>C6/247*139</f>
        <v>56.275303643724698</v>
      </c>
      <c r="D9" s="6">
        <f>D6/18*7.3</f>
        <v>0.60833333333333328</v>
      </c>
      <c r="E9" s="4">
        <v>0.35</v>
      </c>
      <c r="F9" s="4">
        <v>0.12</v>
      </c>
      <c r="G9" s="4">
        <v>0.03</v>
      </c>
      <c r="H9" s="4">
        <v>1</v>
      </c>
      <c r="I9" s="7">
        <f>I6/0.17</f>
        <v>0.58823529411764708</v>
      </c>
      <c r="J9" s="4">
        <v>6</v>
      </c>
      <c r="K9" s="4">
        <v>40</v>
      </c>
      <c r="L9" s="4">
        <v>6</v>
      </c>
      <c r="M9" s="6">
        <f>M6*6.2/2.6</f>
        <v>2.6230769230769233E-3</v>
      </c>
      <c r="N9" s="4">
        <v>0.01</v>
      </c>
      <c r="O9" s="6">
        <f>O6/0.97*0.87</f>
        <v>5.3814432989690721E-2</v>
      </c>
      <c r="P9" s="4">
        <v>0.7</v>
      </c>
      <c r="Q9" s="3">
        <v>4.1700000000000003E-8</v>
      </c>
      <c r="R9" s="8">
        <v>409.31200000000001</v>
      </c>
      <c r="S9" s="6">
        <v>0.01</v>
      </c>
      <c r="T9" s="6">
        <v>0.01</v>
      </c>
      <c r="V9" s="8"/>
    </row>
    <row r="10" spans="1:22" s="6" customFormat="1" ht="18.600000000000001" customHeight="1" x14ac:dyDescent="0.3">
      <c r="A10" s="5" t="s">
        <v>23</v>
      </c>
      <c r="B10" s="6">
        <f>B6/9.8*17</f>
        <v>10.40816326530612</v>
      </c>
      <c r="C10" s="6">
        <f>C6/247*432</f>
        <v>174.89878542510121</v>
      </c>
      <c r="D10" s="6">
        <f>D6/18*19</f>
        <v>1.5833333333333333</v>
      </c>
      <c r="E10" s="4">
        <v>0.35</v>
      </c>
      <c r="F10" s="4">
        <v>0.12</v>
      </c>
      <c r="G10" s="4">
        <v>0.03</v>
      </c>
      <c r="H10" s="4">
        <v>1</v>
      </c>
      <c r="I10" s="7">
        <f>I6/0.3</f>
        <v>0.33333333333333337</v>
      </c>
      <c r="J10" s="4">
        <v>6</v>
      </c>
      <c r="K10" s="4">
        <v>40</v>
      </c>
      <c r="L10" s="4">
        <v>6</v>
      </c>
      <c r="M10" s="6">
        <f>M6*6.2/8.6</f>
        <v>7.9302325581395358E-4</v>
      </c>
      <c r="N10" s="4">
        <v>0.01</v>
      </c>
      <c r="O10" s="6">
        <f>O6/0.97*0.99</f>
        <v>6.1237113402061859E-2</v>
      </c>
      <c r="P10" s="4">
        <v>0.7</v>
      </c>
      <c r="Q10" s="3">
        <v>4.1700000000000003E-8</v>
      </c>
      <c r="R10" s="8">
        <v>356.42099999999999</v>
      </c>
      <c r="S10" s="6">
        <v>1</v>
      </c>
      <c r="T10" s="6">
        <v>1</v>
      </c>
      <c r="V10" s="8"/>
    </row>
    <row r="11" spans="1:22" s="6" customFormat="1" ht="18.600000000000001" customHeight="1" x14ac:dyDescent="0.3">
      <c r="A11" s="5" t="s">
        <v>24</v>
      </c>
      <c r="B11" s="6">
        <f>B6/9.8*56</f>
        <v>34.285714285714278</v>
      </c>
      <c r="C11" s="6">
        <f>C6/247*55</f>
        <v>22.267206477732792</v>
      </c>
      <c r="D11" s="6">
        <f>D6/18*26</f>
        <v>2.1666666666666665</v>
      </c>
      <c r="E11" s="4">
        <v>0.35</v>
      </c>
      <c r="F11" s="4">
        <v>0.12</v>
      </c>
      <c r="G11" s="4">
        <v>0.03</v>
      </c>
      <c r="H11" s="4">
        <v>1</v>
      </c>
      <c r="I11" s="7">
        <f>I6/0.00035</f>
        <v>285.71428571428572</v>
      </c>
      <c r="J11" s="4">
        <v>6</v>
      </c>
      <c r="K11" s="4">
        <v>40</v>
      </c>
      <c r="L11" s="4">
        <v>6</v>
      </c>
      <c r="M11" s="6">
        <f>M6*6.2/5.6</f>
        <v>1.2178571428571429E-3</v>
      </c>
      <c r="N11" s="4">
        <v>0.01</v>
      </c>
      <c r="O11" s="6">
        <f>O6/0.97*0.76</f>
        <v>4.7010309278350516E-2</v>
      </c>
      <c r="P11" s="4">
        <v>0.7</v>
      </c>
      <c r="Q11" s="3">
        <v>4.1700000000000003E-8</v>
      </c>
      <c r="R11" s="8">
        <v>459.75599999999997</v>
      </c>
      <c r="S11" s="6">
        <v>2.9999999999999997E-4</v>
      </c>
      <c r="T11" s="6">
        <v>2.9999999999999997E-4</v>
      </c>
      <c r="V11" s="8"/>
    </row>
    <row r="12" spans="1:22" s="6" customFormat="1" ht="18.600000000000001" customHeight="1" x14ac:dyDescent="0.3">
      <c r="A12" s="5" t="s">
        <v>25</v>
      </c>
      <c r="B12" s="6">
        <f>B6/9.8*15</f>
        <v>9.1836734693877542</v>
      </c>
      <c r="C12" s="6">
        <f>C6/247*144</f>
        <v>58.299595141700401</v>
      </c>
      <c r="D12" s="6">
        <f>D6/18*5.5</f>
        <v>0.45833333333333331</v>
      </c>
      <c r="E12" s="4">
        <v>0.35</v>
      </c>
      <c r="F12" s="4">
        <v>0.12</v>
      </c>
      <c r="G12" s="4">
        <v>0.03</v>
      </c>
      <c r="H12" s="4">
        <v>1</v>
      </c>
      <c r="I12" s="7">
        <f>I6/0.0016</f>
        <v>62.5</v>
      </c>
      <c r="J12" s="4">
        <v>6</v>
      </c>
      <c r="K12" s="4">
        <v>40</v>
      </c>
      <c r="L12" s="4">
        <v>6</v>
      </c>
      <c r="M12" s="6">
        <f>M6*6.2/0.2</f>
        <v>3.4099999999999998E-2</v>
      </c>
      <c r="N12" s="4">
        <v>0.01</v>
      </c>
      <c r="O12" s="6">
        <f>O6/0.97*0.95</f>
        <v>5.8762886597938144E-2</v>
      </c>
      <c r="P12" s="4">
        <v>0.7</v>
      </c>
      <c r="Q12" s="3">
        <v>4.1700000000000003E-8</v>
      </c>
      <c r="R12" s="8">
        <v>443.75700000000001</v>
      </c>
      <c r="S12" s="6">
        <v>2.9999999999999997E-4</v>
      </c>
      <c r="T12" s="6">
        <v>1E-3</v>
      </c>
      <c r="V12" s="8"/>
    </row>
    <row r="15" spans="1:22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M15" s="1"/>
    </row>
    <row r="16" spans="1:22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</row>
    <row r="17" spans="1:13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</row>
    <row r="18" spans="1:1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</row>
    <row r="19" spans="1:13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M19" s="1"/>
    </row>
    <row r="20" spans="1:13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</row>
    <row r="21" spans="1:1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</row>
    <row r="22" spans="1:1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3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</row>
  </sheetData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57492AA151C74A93EDCF0CAB594E07" ma:contentTypeVersion="14" ma:contentTypeDescription="Create a new document." ma:contentTypeScope="" ma:versionID="20341278e6b10ad71ad9cbf609eeb8a8">
  <xsd:schema xmlns:xsd="http://www.w3.org/2001/XMLSchema" xmlns:xs="http://www.w3.org/2001/XMLSchema" xmlns:p="http://schemas.microsoft.com/office/2006/metadata/properties" xmlns:ns3="9df28b17-9a92-4384-bcf1-cc4ca504e9cd" xmlns:ns4="300d6019-8c7f-4dbd-97f2-c664208818c6" targetNamespace="http://schemas.microsoft.com/office/2006/metadata/properties" ma:root="true" ma:fieldsID="c49d680ab8d0e97a191bff8a158b73c4" ns3:_="" ns4:_="">
    <xsd:import namespace="9df28b17-9a92-4384-bcf1-cc4ca504e9cd"/>
    <xsd:import namespace="300d6019-8c7f-4dbd-97f2-c664208818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28b17-9a92-4384-bcf1-cc4ca504e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0d6019-8c7f-4dbd-97f2-c664208818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7EF191-8A52-4E4D-AFDF-85166A43496B}">
  <ds:schemaRefs>
    <ds:schemaRef ds:uri="http://schemas.openxmlformats.org/package/2006/metadata/core-properties"/>
    <ds:schemaRef ds:uri="300d6019-8c7f-4dbd-97f2-c664208818c6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9df28b17-9a92-4384-bcf1-cc4ca504e9c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EC5C6D3-A504-4702-A471-AB30188F65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FB2895-C73D-47C7-BD03-4D30EB61A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28b17-9a92-4384-bcf1-cc4ca504e9cd"/>
    <ds:schemaRef ds:uri="300d6019-8c7f-4dbd-97f2-c664208818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Zhang, Qiang</cp:lastModifiedBy>
  <dcterms:created xsi:type="dcterms:W3CDTF">2021-09-12T20:35:21Z</dcterms:created>
  <dcterms:modified xsi:type="dcterms:W3CDTF">2022-10-16T17:40:45Z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0x010100BC57492AA151C74A93EDCF0CAB594E07</vt:lpwstr>
  </property>
</Properties>
</file>