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omm8\Downloads\"/>
    </mc:Choice>
  </mc:AlternateContent>
  <xr:revisionPtr revIDLastSave="0" documentId="13_ncr:1_{371DBB1A-A981-45FA-8650-FC442943B4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CADATable" sheetId="1" r:id="rId1"/>
    <sheet name="Sumit" sheetId="2" state="hidden" r:id="rId2"/>
    <sheet name="Janardhan Rimal" sheetId="3" state="hidden" r:id="rId3"/>
    <sheet name="Neha" sheetId="4" state="hidden" r:id="rId4"/>
    <sheet name="Ramsharan" sheetId="5" state="hidden" r:id="rId5"/>
  </sheets>
  <definedNames>
    <definedName name="SCADATable">SCADATable!$A$1:$N$67</definedName>
  </definedNames>
  <calcPr calcId="191029"/>
  <extLst>
    <ext uri="GoogleSheetsCustomDataVersion2">
      <go:sheetsCustomData xmlns:go="http://customooxmlschemas.google.com/" r:id="rId10" roundtripDataChecksum="uu7iBNCn5o9K1eq7ThWjsVZy1Y0Ltlvmi4MU4gNOwz0="/>
    </ext>
  </extLst>
</workbook>
</file>

<file path=xl/calcChain.xml><?xml version="1.0" encoding="utf-8"?>
<calcChain xmlns="http://schemas.openxmlformats.org/spreadsheetml/2006/main">
  <c r="O56" i="1" l="1"/>
  <c r="O9" i="1"/>
  <c r="O8" i="1"/>
  <c r="O7" i="1"/>
  <c r="U80" i="1"/>
  <c r="O55" i="1" l="1"/>
  <c r="O54" i="1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W26" i="5"/>
  <c r="U26" i="5"/>
  <c r="T26" i="5"/>
  <c r="S26" i="5"/>
  <c r="R26" i="5"/>
  <c r="Q26" i="5"/>
  <c r="P26" i="5"/>
  <c r="O26" i="5"/>
  <c r="N26" i="5"/>
  <c r="M26" i="5"/>
  <c r="L26" i="5"/>
  <c r="K26" i="5"/>
  <c r="J26" i="5"/>
  <c r="H26" i="5"/>
  <c r="E26" i="5"/>
  <c r="D26" i="5"/>
  <c r="C26" i="5"/>
  <c r="B26" i="5"/>
  <c r="W25" i="5"/>
  <c r="U25" i="5"/>
  <c r="T25" i="5"/>
  <c r="S25" i="5"/>
  <c r="R25" i="5"/>
  <c r="Q25" i="5"/>
  <c r="P25" i="5"/>
  <c r="O25" i="5"/>
  <c r="N25" i="5"/>
  <c r="M25" i="5"/>
  <c r="L25" i="5"/>
  <c r="K25" i="5"/>
  <c r="J25" i="5"/>
  <c r="H25" i="5"/>
  <c r="E25" i="5"/>
  <c r="D25" i="5"/>
  <c r="C25" i="5"/>
  <c r="B25" i="5"/>
  <c r="W24" i="5"/>
  <c r="U24" i="5"/>
  <c r="T24" i="5"/>
  <c r="S24" i="5"/>
  <c r="R24" i="5"/>
  <c r="Q24" i="5"/>
  <c r="P24" i="5"/>
  <c r="O24" i="5"/>
  <c r="N24" i="5"/>
  <c r="M24" i="5"/>
  <c r="L24" i="5"/>
  <c r="K24" i="5"/>
  <c r="J24" i="5"/>
  <c r="E24" i="5"/>
  <c r="D24" i="5"/>
  <c r="B24" i="5"/>
  <c r="W23" i="5"/>
  <c r="U23" i="5"/>
  <c r="S23" i="5"/>
  <c r="R23" i="5"/>
  <c r="Q23" i="5"/>
  <c r="P23" i="5"/>
  <c r="O23" i="5"/>
  <c r="N23" i="5"/>
  <c r="M23" i="5"/>
  <c r="L23" i="5"/>
  <c r="K23" i="5"/>
  <c r="J23" i="5"/>
  <c r="E23" i="5"/>
  <c r="D23" i="5"/>
  <c r="C23" i="5"/>
  <c r="B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E22" i="5"/>
  <c r="D22" i="5"/>
  <c r="C22" i="5"/>
  <c r="B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H21" i="5"/>
  <c r="G21" i="5"/>
  <c r="E21" i="5"/>
  <c r="D21" i="5"/>
  <c r="C21" i="5"/>
  <c r="B21" i="5"/>
  <c r="W20" i="5"/>
  <c r="U20" i="5"/>
  <c r="T20" i="5"/>
  <c r="S20" i="5"/>
  <c r="R20" i="5"/>
  <c r="Q20" i="5"/>
  <c r="P20" i="5"/>
  <c r="O20" i="5"/>
  <c r="N20" i="5"/>
  <c r="M20" i="5"/>
  <c r="L20" i="5"/>
  <c r="K20" i="5"/>
  <c r="J20" i="5"/>
  <c r="H20" i="5"/>
  <c r="G20" i="5"/>
  <c r="E20" i="5"/>
  <c r="D20" i="5"/>
  <c r="B20" i="5"/>
  <c r="W19" i="5"/>
  <c r="U19" i="5"/>
  <c r="T19" i="5"/>
  <c r="S19" i="5"/>
  <c r="R19" i="5"/>
  <c r="Q19" i="5"/>
  <c r="P19" i="5"/>
  <c r="O19" i="5"/>
  <c r="N19" i="5"/>
  <c r="M19" i="5"/>
  <c r="L19" i="5"/>
  <c r="K19" i="5"/>
  <c r="J19" i="5"/>
  <c r="G19" i="5"/>
  <c r="F19" i="5"/>
  <c r="E19" i="5"/>
  <c r="D19" i="5"/>
  <c r="C19" i="5"/>
  <c r="B19" i="5"/>
  <c r="W18" i="5"/>
  <c r="U18" i="5"/>
  <c r="T18" i="5"/>
  <c r="S18" i="5"/>
  <c r="R18" i="5"/>
  <c r="Q18" i="5"/>
  <c r="P18" i="5"/>
  <c r="O18" i="5"/>
  <c r="N18" i="5"/>
  <c r="M18" i="5"/>
  <c r="L18" i="5"/>
  <c r="K18" i="5"/>
  <c r="J18" i="5"/>
  <c r="H18" i="5"/>
  <c r="G18" i="5"/>
  <c r="E18" i="5"/>
  <c r="D18" i="5"/>
  <c r="C18" i="5"/>
  <c r="B18" i="5"/>
  <c r="W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G17" i="5"/>
  <c r="F17" i="5"/>
  <c r="E17" i="5"/>
  <c r="D17" i="5"/>
  <c r="C17" i="5"/>
  <c r="B17" i="5"/>
  <c r="W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G16" i="5"/>
  <c r="E16" i="5"/>
  <c r="D16" i="5"/>
  <c r="C16" i="5"/>
  <c r="B16" i="5"/>
  <c r="W15" i="5"/>
  <c r="U15" i="5"/>
  <c r="T15" i="5"/>
  <c r="S15" i="5"/>
  <c r="R15" i="5"/>
  <c r="Q15" i="5"/>
  <c r="P15" i="5"/>
  <c r="O15" i="5"/>
  <c r="N15" i="5"/>
  <c r="M15" i="5"/>
  <c r="L15" i="5"/>
  <c r="K15" i="5"/>
  <c r="J15" i="5"/>
  <c r="G15" i="5"/>
  <c r="E15" i="5"/>
  <c r="D15" i="5"/>
  <c r="C15" i="5"/>
  <c r="B15" i="5"/>
  <c r="W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G14" i="5"/>
  <c r="E14" i="5"/>
  <c r="D14" i="5"/>
  <c r="C14" i="5"/>
  <c r="B14" i="5"/>
  <c r="W13" i="5"/>
  <c r="U13" i="5"/>
  <c r="T13" i="5"/>
  <c r="S13" i="5"/>
  <c r="R13" i="5"/>
  <c r="Q13" i="5"/>
  <c r="P13" i="5"/>
  <c r="O13" i="5"/>
  <c r="N13" i="5"/>
  <c r="M13" i="5"/>
  <c r="L13" i="5"/>
  <c r="K13" i="5"/>
  <c r="J13" i="5"/>
  <c r="G13" i="5"/>
  <c r="E13" i="5"/>
  <c r="D13" i="5"/>
  <c r="C13" i="5"/>
  <c r="B13" i="5"/>
  <c r="W12" i="5"/>
  <c r="U12" i="5"/>
  <c r="T12" i="5"/>
  <c r="S12" i="5"/>
  <c r="R12" i="5"/>
  <c r="Q12" i="5"/>
  <c r="P12" i="5"/>
  <c r="O12" i="5"/>
  <c r="N12" i="5"/>
  <c r="M12" i="5"/>
  <c r="L12" i="5"/>
  <c r="K12" i="5"/>
  <c r="J12" i="5"/>
  <c r="G12" i="5"/>
  <c r="F12" i="5"/>
  <c r="E12" i="5"/>
  <c r="D12" i="5"/>
  <c r="C12" i="5"/>
  <c r="B12" i="5"/>
  <c r="W11" i="5"/>
  <c r="U11" i="5"/>
  <c r="S11" i="5"/>
  <c r="R11" i="5"/>
  <c r="Q11" i="5"/>
  <c r="P11" i="5"/>
  <c r="N11" i="5"/>
  <c r="M11" i="5"/>
  <c r="L11" i="5"/>
  <c r="K11" i="5"/>
  <c r="J11" i="5"/>
  <c r="G11" i="5"/>
  <c r="F11" i="5"/>
  <c r="E11" i="5"/>
  <c r="D11" i="5"/>
  <c r="B11" i="5"/>
  <c r="W10" i="5"/>
  <c r="U10" i="5"/>
  <c r="T10" i="5"/>
  <c r="S10" i="5"/>
  <c r="R10" i="5"/>
  <c r="Q10" i="5"/>
  <c r="P10" i="5"/>
  <c r="O10" i="5"/>
  <c r="N10" i="5"/>
  <c r="M10" i="5"/>
  <c r="L10" i="5"/>
  <c r="K10" i="5"/>
  <c r="J10" i="5"/>
  <c r="G10" i="5"/>
  <c r="E10" i="5"/>
  <c r="D10" i="5"/>
  <c r="B10" i="5"/>
  <c r="W9" i="5"/>
  <c r="U9" i="5"/>
  <c r="T9" i="5"/>
  <c r="S9" i="5"/>
  <c r="R9" i="5"/>
  <c r="Q9" i="5"/>
  <c r="P9" i="5"/>
  <c r="O9" i="5"/>
  <c r="N9" i="5"/>
  <c r="M9" i="5"/>
  <c r="L9" i="5"/>
  <c r="K9" i="5"/>
  <c r="J9" i="5"/>
  <c r="I9" i="5"/>
  <c r="G9" i="5"/>
  <c r="E9" i="5"/>
  <c r="D9" i="5"/>
  <c r="C9" i="5"/>
  <c r="B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G8" i="5"/>
  <c r="E8" i="5"/>
  <c r="D8" i="5"/>
  <c r="C8" i="5"/>
  <c r="B8" i="5"/>
  <c r="W7" i="5"/>
  <c r="U7" i="5"/>
  <c r="T7" i="5"/>
  <c r="S7" i="5"/>
  <c r="R7" i="5"/>
  <c r="Q7" i="5"/>
  <c r="P7" i="5"/>
  <c r="O7" i="5"/>
  <c r="N7" i="5"/>
  <c r="M7" i="5"/>
  <c r="L7" i="5"/>
  <c r="K7" i="5"/>
  <c r="J7" i="5"/>
  <c r="G7" i="5"/>
  <c r="E7" i="5"/>
  <c r="D7" i="5"/>
  <c r="C7" i="5"/>
  <c r="B7" i="5"/>
  <c r="W6" i="5"/>
  <c r="U6" i="5"/>
  <c r="T6" i="5"/>
  <c r="S6" i="5"/>
  <c r="R6" i="5"/>
  <c r="Q6" i="5"/>
  <c r="P6" i="5"/>
  <c r="O6" i="5"/>
  <c r="N6" i="5"/>
  <c r="M6" i="5"/>
  <c r="L6" i="5"/>
  <c r="K6" i="5"/>
  <c r="J6" i="5"/>
  <c r="I6" i="5"/>
  <c r="G6" i="5"/>
  <c r="F6" i="5"/>
  <c r="E6" i="5"/>
  <c r="D6" i="5"/>
  <c r="C6" i="5"/>
  <c r="B6" i="5"/>
  <c r="W5" i="5"/>
  <c r="U5" i="5"/>
  <c r="T5" i="5"/>
  <c r="S5" i="5"/>
  <c r="R5" i="5"/>
  <c r="Q5" i="5"/>
  <c r="P5" i="5"/>
  <c r="O5" i="5"/>
  <c r="N5" i="5"/>
  <c r="M5" i="5"/>
  <c r="L5" i="5"/>
  <c r="K5" i="5"/>
  <c r="J5" i="5"/>
  <c r="G5" i="5"/>
  <c r="F5" i="5"/>
  <c r="E5" i="5"/>
  <c r="D5" i="5"/>
  <c r="C5" i="5"/>
  <c r="B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G4" i="5"/>
  <c r="F4" i="5"/>
  <c r="E4" i="5"/>
  <c r="D4" i="5"/>
  <c r="C4" i="5"/>
  <c r="B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G3" i="5"/>
  <c r="E3" i="5"/>
  <c r="D3" i="5"/>
  <c r="C3" i="5"/>
  <c r="B3" i="5"/>
  <c r="W2" i="5"/>
  <c r="U2" i="5"/>
  <c r="T2" i="5"/>
  <c r="S2" i="5"/>
  <c r="R2" i="5"/>
  <c r="Q2" i="5"/>
  <c r="P2" i="5"/>
  <c r="O2" i="5"/>
  <c r="N2" i="5"/>
  <c r="M2" i="5"/>
  <c r="L2" i="5"/>
  <c r="K2" i="5"/>
  <c r="J2" i="5"/>
  <c r="I2" i="5"/>
  <c r="G2" i="5"/>
  <c r="F2" i="5"/>
  <c r="E2" i="5"/>
  <c r="D2" i="5"/>
  <c r="C2" i="5"/>
  <c r="B2" i="5"/>
  <c r="A2" i="5" s="1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W6" i="4"/>
  <c r="U6" i="4"/>
  <c r="T6" i="4"/>
  <c r="S6" i="4"/>
  <c r="R6" i="4"/>
  <c r="Q6" i="4"/>
  <c r="P6" i="4"/>
  <c r="O6" i="4"/>
  <c r="N6" i="4"/>
  <c r="M6" i="4"/>
  <c r="L6" i="4"/>
  <c r="K6" i="4"/>
  <c r="J6" i="4"/>
  <c r="G6" i="4"/>
  <c r="E6" i="4"/>
  <c r="D6" i="4"/>
  <c r="B6" i="4"/>
  <c r="W5" i="4"/>
  <c r="U5" i="4"/>
  <c r="T5" i="4"/>
  <c r="S5" i="4"/>
  <c r="R5" i="4"/>
  <c r="Q5" i="4"/>
  <c r="P5" i="4"/>
  <c r="O5" i="4"/>
  <c r="N5" i="4"/>
  <c r="M5" i="4"/>
  <c r="L5" i="4"/>
  <c r="K5" i="4"/>
  <c r="J5" i="4"/>
  <c r="G5" i="4"/>
  <c r="F5" i="4"/>
  <c r="E5" i="4"/>
  <c r="D5" i="4"/>
  <c r="C5" i="4"/>
  <c r="B5" i="4"/>
  <c r="W4" i="4"/>
  <c r="U4" i="4"/>
  <c r="T4" i="4"/>
  <c r="S4" i="4"/>
  <c r="R4" i="4"/>
  <c r="Q4" i="4"/>
  <c r="P4" i="4"/>
  <c r="O4" i="4"/>
  <c r="N4" i="4"/>
  <c r="M4" i="4"/>
  <c r="L4" i="4"/>
  <c r="K4" i="4"/>
  <c r="J4" i="4"/>
  <c r="G4" i="4"/>
  <c r="E4" i="4"/>
  <c r="D4" i="4"/>
  <c r="C4" i="4"/>
  <c r="B4" i="4"/>
  <c r="W3" i="4"/>
  <c r="U3" i="4"/>
  <c r="T3" i="4"/>
  <c r="S3" i="4"/>
  <c r="R3" i="4"/>
  <c r="Q3" i="4"/>
  <c r="P3" i="4"/>
  <c r="O3" i="4"/>
  <c r="N3" i="4"/>
  <c r="M3" i="4"/>
  <c r="L3" i="4"/>
  <c r="K3" i="4"/>
  <c r="J3" i="4"/>
  <c r="G3" i="4"/>
  <c r="E3" i="4"/>
  <c r="D3" i="4"/>
  <c r="C3" i="4"/>
  <c r="B3" i="4"/>
  <c r="W2" i="4"/>
  <c r="U2" i="4"/>
  <c r="T2" i="4"/>
  <c r="S2" i="4"/>
  <c r="R2" i="4"/>
  <c r="Q2" i="4"/>
  <c r="P2" i="4"/>
  <c r="O2" i="4"/>
  <c r="N2" i="4"/>
  <c r="M2" i="4"/>
  <c r="L2" i="4"/>
  <c r="K2" i="4"/>
  <c r="J2" i="4"/>
  <c r="G2" i="4"/>
  <c r="E2" i="4"/>
  <c r="D2" i="4"/>
  <c r="C2" i="4"/>
  <c r="B2" i="4"/>
  <c r="A2" i="4" s="1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W7" i="3"/>
  <c r="U7" i="3"/>
  <c r="T7" i="3"/>
  <c r="S7" i="3"/>
  <c r="R7" i="3"/>
  <c r="Q7" i="3"/>
  <c r="P7" i="3"/>
  <c r="O7" i="3"/>
  <c r="N7" i="3"/>
  <c r="M7" i="3"/>
  <c r="L7" i="3"/>
  <c r="K7" i="3"/>
  <c r="J7" i="3"/>
  <c r="E7" i="3"/>
  <c r="D7" i="3"/>
  <c r="C7" i="3"/>
  <c r="B7" i="3"/>
  <c r="W6" i="3"/>
  <c r="U6" i="3"/>
  <c r="T6" i="3"/>
  <c r="S6" i="3"/>
  <c r="R6" i="3"/>
  <c r="Q6" i="3"/>
  <c r="P6" i="3"/>
  <c r="O6" i="3"/>
  <c r="N6" i="3"/>
  <c r="M6" i="3"/>
  <c r="L6" i="3"/>
  <c r="K6" i="3"/>
  <c r="J6" i="3"/>
  <c r="G6" i="3"/>
  <c r="E6" i="3"/>
  <c r="D6" i="3"/>
  <c r="C6" i="3"/>
  <c r="B6" i="3"/>
  <c r="W5" i="3"/>
  <c r="U5" i="3"/>
  <c r="T5" i="3"/>
  <c r="S5" i="3"/>
  <c r="R5" i="3"/>
  <c r="Q5" i="3"/>
  <c r="P5" i="3"/>
  <c r="O5" i="3"/>
  <c r="N5" i="3"/>
  <c r="M5" i="3"/>
  <c r="L5" i="3"/>
  <c r="K5" i="3"/>
  <c r="J5" i="3"/>
  <c r="G5" i="3"/>
  <c r="E5" i="3"/>
  <c r="D5" i="3"/>
  <c r="C5" i="3"/>
  <c r="B5" i="3"/>
  <c r="W4" i="3"/>
  <c r="U4" i="3"/>
  <c r="T4" i="3"/>
  <c r="S4" i="3"/>
  <c r="R4" i="3"/>
  <c r="Q4" i="3"/>
  <c r="P4" i="3"/>
  <c r="O4" i="3"/>
  <c r="N4" i="3"/>
  <c r="M4" i="3"/>
  <c r="L4" i="3"/>
  <c r="K4" i="3"/>
  <c r="J4" i="3"/>
  <c r="G4" i="3"/>
  <c r="E4" i="3"/>
  <c r="D4" i="3"/>
  <c r="C4" i="3"/>
  <c r="B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G3" i="3"/>
  <c r="E3" i="3"/>
  <c r="D3" i="3"/>
  <c r="C3" i="3"/>
  <c r="B3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G2" i="3"/>
  <c r="E2" i="3"/>
  <c r="D2" i="3"/>
  <c r="C2" i="3"/>
  <c r="B2" i="3"/>
  <c r="A2" i="3" s="1"/>
  <c r="A29" i="2"/>
  <c r="A28" i="2"/>
  <c r="A27" i="2"/>
  <c r="A26" i="2"/>
  <c r="A25" i="2"/>
  <c r="A24" i="2"/>
  <c r="A23" i="2"/>
  <c r="A22" i="2"/>
  <c r="A21" i="2"/>
  <c r="A20" i="2"/>
  <c r="A19" i="2"/>
  <c r="W18" i="2"/>
  <c r="U18" i="2"/>
  <c r="T18" i="2"/>
  <c r="S18" i="2"/>
  <c r="R18" i="2"/>
  <c r="Q18" i="2"/>
  <c r="P18" i="2"/>
  <c r="O18" i="2"/>
  <c r="N18" i="2"/>
  <c r="M18" i="2"/>
  <c r="L18" i="2"/>
  <c r="K18" i="2"/>
  <c r="J18" i="2"/>
  <c r="H18" i="2"/>
  <c r="E18" i="2"/>
  <c r="D18" i="2"/>
  <c r="C18" i="2"/>
  <c r="B18" i="2"/>
  <c r="W17" i="2"/>
  <c r="U17" i="2"/>
  <c r="S17" i="2"/>
  <c r="R17" i="2"/>
  <c r="Q17" i="2"/>
  <c r="P17" i="2"/>
  <c r="O17" i="2"/>
  <c r="N17" i="2"/>
  <c r="M17" i="2"/>
  <c r="L17" i="2"/>
  <c r="K17" i="2"/>
  <c r="J17" i="2"/>
  <c r="H17" i="2"/>
  <c r="E17" i="2"/>
  <c r="D17" i="2"/>
  <c r="C17" i="2"/>
  <c r="B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H16" i="2"/>
  <c r="E16" i="2"/>
  <c r="D16" i="2"/>
  <c r="C16" i="2"/>
  <c r="B16" i="2"/>
  <c r="W15" i="2"/>
  <c r="U15" i="2"/>
  <c r="T15" i="2"/>
  <c r="S15" i="2"/>
  <c r="R15" i="2"/>
  <c r="Q15" i="2"/>
  <c r="P15" i="2"/>
  <c r="O15" i="2"/>
  <c r="N15" i="2"/>
  <c r="M15" i="2"/>
  <c r="L15" i="2"/>
  <c r="K15" i="2"/>
  <c r="J15" i="2"/>
  <c r="H15" i="2"/>
  <c r="E15" i="2"/>
  <c r="D15" i="2"/>
  <c r="C15" i="2"/>
  <c r="B15" i="2"/>
  <c r="W14" i="2"/>
  <c r="U14" i="2"/>
  <c r="T14" i="2"/>
  <c r="S14" i="2"/>
  <c r="R14" i="2"/>
  <c r="Q14" i="2"/>
  <c r="P14" i="2"/>
  <c r="O14" i="2"/>
  <c r="N14" i="2"/>
  <c r="M14" i="2"/>
  <c r="L14" i="2"/>
  <c r="K14" i="2"/>
  <c r="J14" i="2"/>
  <c r="H14" i="2"/>
  <c r="E14" i="2"/>
  <c r="D14" i="2"/>
  <c r="C14" i="2"/>
  <c r="B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E13" i="2"/>
  <c r="D13" i="2"/>
  <c r="C13" i="2"/>
  <c r="B13" i="2"/>
  <c r="W12" i="2"/>
  <c r="U12" i="2"/>
  <c r="T12" i="2"/>
  <c r="S12" i="2"/>
  <c r="R12" i="2"/>
  <c r="Q12" i="2"/>
  <c r="P12" i="2"/>
  <c r="O12" i="2"/>
  <c r="N12" i="2"/>
  <c r="M12" i="2"/>
  <c r="L12" i="2"/>
  <c r="K12" i="2"/>
  <c r="J12" i="2"/>
  <c r="H12" i="2"/>
  <c r="G12" i="2"/>
  <c r="E12" i="2"/>
  <c r="D12" i="2"/>
  <c r="C12" i="2"/>
  <c r="B12" i="2"/>
  <c r="W11" i="2"/>
  <c r="U11" i="2"/>
  <c r="T11" i="2"/>
  <c r="S11" i="2"/>
  <c r="R11" i="2"/>
  <c r="Q11" i="2"/>
  <c r="P11" i="2"/>
  <c r="O11" i="2"/>
  <c r="N11" i="2"/>
  <c r="M11" i="2"/>
  <c r="L11" i="2"/>
  <c r="K11" i="2"/>
  <c r="J11" i="2"/>
  <c r="G11" i="2"/>
  <c r="E11" i="2"/>
  <c r="D11" i="2"/>
  <c r="C11" i="2"/>
  <c r="B11" i="2"/>
  <c r="W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G10" i="2"/>
  <c r="F10" i="2"/>
  <c r="E10" i="2"/>
  <c r="D10" i="2"/>
  <c r="C10" i="2"/>
  <c r="B10" i="2"/>
  <c r="W9" i="2"/>
  <c r="U9" i="2"/>
  <c r="T9" i="2"/>
  <c r="S9" i="2"/>
  <c r="R9" i="2"/>
  <c r="Q9" i="2"/>
  <c r="P9" i="2"/>
  <c r="O9" i="2"/>
  <c r="N9" i="2"/>
  <c r="M9" i="2"/>
  <c r="L9" i="2"/>
  <c r="K9" i="2"/>
  <c r="J9" i="2"/>
  <c r="G9" i="2"/>
  <c r="F9" i="2"/>
  <c r="E9" i="2"/>
  <c r="D9" i="2"/>
  <c r="C9" i="2"/>
  <c r="B9" i="2"/>
  <c r="W8" i="2"/>
  <c r="U8" i="2"/>
  <c r="S8" i="2"/>
  <c r="R8" i="2"/>
  <c r="Q8" i="2"/>
  <c r="P8" i="2"/>
  <c r="N8" i="2"/>
  <c r="M8" i="2"/>
  <c r="L8" i="2"/>
  <c r="K8" i="2"/>
  <c r="J8" i="2"/>
  <c r="G8" i="2"/>
  <c r="F8" i="2"/>
  <c r="E8" i="2"/>
  <c r="D8" i="2"/>
  <c r="B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G7" i="2"/>
  <c r="E7" i="2"/>
  <c r="D7" i="2"/>
  <c r="C7" i="2"/>
  <c r="B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G6" i="2"/>
  <c r="E6" i="2"/>
  <c r="D6" i="2"/>
  <c r="C6" i="2"/>
  <c r="B6" i="2"/>
  <c r="W5" i="2"/>
  <c r="U5" i="2"/>
  <c r="T5" i="2"/>
  <c r="S5" i="2"/>
  <c r="R5" i="2"/>
  <c r="Q5" i="2"/>
  <c r="P5" i="2"/>
  <c r="O5" i="2"/>
  <c r="N5" i="2"/>
  <c r="M5" i="2"/>
  <c r="L5" i="2"/>
  <c r="K5" i="2"/>
  <c r="J5" i="2"/>
  <c r="I5" i="2"/>
  <c r="G5" i="2"/>
  <c r="F5" i="2"/>
  <c r="E5" i="2"/>
  <c r="D5" i="2"/>
  <c r="C5" i="2"/>
  <c r="B5" i="2"/>
  <c r="W4" i="2"/>
  <c r="U4" i="2"/>
  <c r="T4" i="2"/>
  <c r="S4" i="2"/>
  <c r="R4" i="2"/>
  <c r="Q4" i="2"/>
  <c r="P4" i="2"/>
  <c r="O4" i="2"/>
  <c r="N4" i="2"/>
  <c r="M4" i="2"/>
  <c r="L4" i="2"/>
  <c r="K4" i="2"/>
  <c r="J4" i="2"/>
  <c r="G4" i="2"/>
  <c r="F4" i="2"/>
  <c r="E4" i="2"/>
  <c r="D4" i="2"/>
  <c r="C4" i="2"/>
  <c r="B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G3" i="2"/>
  <c r="F3" i="2"/>
  <c r="E3" i="2"/>
  <c r="D3" i="2"/>
  <c r="C3" i="2"/>
  <c r="B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G2" i="2"/>
  <c r="F2" i="2"/>
  <c r="E2" i="2"/>
  <c r="D2" i="2"/>
  <c r="C2" i="2"/>
  <c r="B2" i="2"/>
  <c r="A2" i="2" s="1"/>
  <c r="P67" i="1"/>
  <c r="N67" i="1"/>
  <c r="P66" i="1"/>
  <c r="N66" i="1"/>
  <c r="P65" i="1"/>
  <c r="N65" i="1"/>
  <c r="P64" i="1"/>
  <c r="N64" i="1"/>
  <c r="P63" i="1"/>
  <c r="N63" i="1"/>
  <c r="P62" i="1"/>
  <c r="N62" i="1"/>
  <c r="P61" i="1"/>
  <c r="N61" i="1"/>
  <c r="P60" i="1"/>
  <c r="N60" i="1"/>
  <c r="P59" i="1"/>
  <c r="N59" i="1"/>
  <c r="P58" i="1"/>
  <c r="N58" i="1"/>
  <c r="P57" i="1"/>
  <c r="N57" i="1"/>
  <c r="P56" i="1"/>
  <c r="N56" i="1"/>
  <c r="P55" i="1"/>
  <c r="N55" i="1"/>
  <c r="P54" i="1"/>
  <c r="N54" i="1"/>
  <c r="P53" i="1"/>
  <c r="N53" i="1"/>
  <c r="P52" i="1"/>
  <c r="N52" i="1"/>
  <c r="P51" i="1"/>
  <c r="N51" i="1"/>
  <c r="P50" i="1"/>
  <c r="N50" i="1"/>
  <c r="O49" i="1"/>
  <c r="P49" i="1" s="1"/>
  <c r="N49" i="1"/>
  <c r="A49" i="1"/>
  <c r="O48" i="1"/>
  <c r="P48" i="1" s="1"/>
  <c r="N48" i="1"/>
  <c r="A48" i="1"/>
  <c r="P47" i="1"/>
  <c r="N47" i="1"/>
  <c r="A47" i="1"/>
  <c r="O46" i="1"/>
  <c r="P46" i="1" s="1"/>
  <c r="N46" i="1"/>
  <c r="A46" i="1"/>
  <c r="O45" i="1"/>
  <c r="P45" i="1" s="1"/>
  <c r="N45" i="1"/>
  <c r="A45" i="1"/>
  <c r="O44" i="1"/>
  <c r="P44" i="1" s="1"/>
  <c r="N44" i="1"/>
  <c r="A44" i="1"/>
  <c r="O43" i="1"/>
  <c r="P43" i="1" s="1"/>
  <c r="N43" i="1"/>
  <c r="A43" i="1"/>
  <c r="P42" i="1"/>
  <c r="N42" i="1"/>
  <c r="A42" i="1"/>
  <c r="P41" i="1"/>
  <c r="N41" i="1"/>
  <c r="A41" i="1"/>
  <c r="P40" i="1"/>
  <c r="N40" i="1"/>
  <c r="A40" i="1"/>
  <c r="P39" i="1"/>
  <c r="N39" i="1"/>
  <c r="A39" i="1"/>
  <c r="P38" i="1"/>
  <c r="N38" i="1"/>
  <c r="A38" i="1"/>
  <c r="O37" i="1"/>
  <c r="P37" i="1" s="1"/>
  <c r="N37" i="1"/>
  <c r="A37" i="1"/>
  <c r="O36" i="1"/>
  <c r="P36" i="1" s="1"/>
  <c r="N36" i="1"/>
  <c r="A36" i="1"/>
  <c r="P35" i="1"/>
  <c r="N35" i="1"/>
  <c r="A35" i="1"/>
  <c r="P34" i="1"/>
  <c r="N34" i="1"/>
  <c r="A34" i="1"/>
  <c r="O33" i="1"/>
  <c r="P33" i="1" s="1"/>
  <c r="N33" i="1"/>
  <c r="A33" i="1"/>
  <c r="O32" i="1"/>
  <c r="P32" i="1" s="1"/>
  <c r="N32" i="1"/>
  <c r="A32" i="1"/>
  <c r="O31" i="1"/>
  <c r="P31" i="1" s="1"/>
  <c r="N31" i="1"/>
  <c r="A31" i="1"/>
  <c r="O30" i="1"/>
  <c r="P30" i="1" s="1"/>
  <c r="N30" i="1"/>
  <c r="A30" i="1"/>
  <c r="P29" i="1"/>
  <c r="N29" i="1"/>
  <c r="A29" i="1"/>
  <c r="P28" i="1"/>
  <c r="N28" i="1"/>
  <c r="A28" i="1"/>
  <c r="O27" i="1"/>
  <c r="P27" i="1" s="1"/>
  <c r="N27" i="1"/>
  <c r="A27" i="1"/>
  <c r="O26" i="1"/>
  <c r="P26" i="1" s="1"/>
  <c r="N26" i="1"/>
  <c r="A26" i="1"/>
  <c r="O25" i="1"/>
  <c r="P25" i="1" s="1"/>
  <c r="N25" i="1"/>
  <c r="A25" i="1"/>
  <c r="O24" i="1"/>
  <c r="P24" i="1" s="1"/>
  <c r="N24" i="1"/>
  <c r="A24" i="1"/>
  <c r="P23" i="1"/>
  <c r="N23" i="1"/>
  <c r="A23" i="1"/>
  <c r="O22" i="1"/>
  <c r="P22" i="1" s="1"/>
  <c r="N22" i="1"/>
  <c r="A22" i="1"/>
  <c r="O21" i="1"/>
  <c r="P21" i="1" s="1"/>
  <c r="N21" i="1"/>
  <c r="A21" i="1"/>
  <c r="O20" i="1"/>
  <c r="P20" i="1" s="1"/>
  <c r="N20" i="1"/>
  <c r="A20" i="1"/>
  <c r="P19" i="1"/>
  <c r="N19" i="1"/>
  <c r="A19" i="1"/>
  <c r="O18" i="1"/>
  <c r="P18" i="1" s="1"/>
  <c r="N18" i="1"/>
  <c r="A18" i="1"/>
  <c r="P17" i="1"/>
  <c r="N17" i="1"/>
  <c r="A17" i="1"/>
  <c r="P16" i="1"/>
  <c r="N16" i="1"/>
  <c r="A16" i="1"/>
  <c r="P15" i="1"/>
  <c r="N15" i="1"/>
  <c r="A15" i="1"/>
  <c r="P14" i="1"/>
  <c r="N14" i="1"/>
  <c r="A14" i="1"/>
  <c r="O13" i="1"/>
  <c r="P13" i="1" s="1"/>
  <c r="N13" i="1"/>
  <c r="A13" i="1"/>
  <c r="P12" i="1"/>
  <c r="N12" i="1"/>
  <c r="A12" i="1"/>
  <c r="O11" i="1"/>
  <c r="P11" i="1" s="1"/>
  <c r="N11" i="1"/>
  <c r="A11" i="1"/>
  <c r="O10" i="1"/>
  <c r="P10" i="1" s="1"/>
  <c r="N10" i="1"/>
  <c r="A10" i="1"/>
  <c r="P9" i="1"/>
  <c r="N9" i="1"/>
  <c r="A9" i="1"/>
  <c r="P8" i="1"/>
  <c r="N8" i="1"/>
  <c r="A8" i="1"/>
  <c r="P7" i="1"/>
  <c r="N7" i="1"/>
  <c r="A7" i="1"/>
  <c r="O6" i="1"/>
  <c r="P6" i="1" s="1"/>
  <c r="N6" i="1"/>
  <c r="A6" i="1"/>
  <c r="P5" i="1"/>
  <c r="N5" i="1"/>
  <c r="A5" i="1"/>
  <c r="O4" i="1"/>
  <c r="P4" i="1" s="1"/>
  <c r="N4" i="1"/>
  <c r="A4" i="1"/>
  <c r="O3" i="1"/>
  <c r="N3" i="1"/>
  <c r="A3" i="1"/>
  <c r="O2" i="1"/>
  <c r="N2" i="1"/>
  <c r="A2" i="1"/>
  <c r="S30" i="5" l="1"/>
  <c r="O78" i="1"/>
  <c r="P2" i="1"/>
  <c r="O80" i="1"/>
  <c r="P3" i="1"/>
  <c r="R4" i="1"/>
  <c r="S4" i="1" s="1"/>
  <c r="Q4" i="1"/>
  <c r="R5" i="1"/>
  <c r="S5" i="1" s="1"/>
  <c r="Q5" i="1"/>
  <c r="R6" i="1"/>
  <c r="S6" i="1" s="1"/>
  <c r="Q6" i="1"/>
  <c r="R7" i="1"/>
  <c r="S7" i="1" s="1"/>
  <c r="Q7" i="1"/>
  <c r="R8" i="1"/>
  <c r="S8" i="1" s="1"/>
  <c r="Q8" i="1"/>
  <c r="R9" i="1"/>
  <c r="S9" i="1" s="1"/>
  <c r="Q9" i="1"/>
  <c r="R10" i="1"/>
  <c r="S10" i="1" s="1"/>
  <c r="Q10" i="1"/>
  <c r="R11" i="1"/>
  <c r="S11" i="1" s="1"/>
  <c r="Q11" i="1"/>
  <c r="R12" i="1"/>
  <c r="S12" i="1" s="1"/>
  <c r="Q12" i="1"/>
  <c r="R13" i="1"/>
  <c r="S13" i="1" s="1"/>
  <c r="Q13" i="1"/>
  <c r="R14" i="1"/>
  <c r="S14" i="1" s="1"/>
  <c r="Q14" i="1"/>
  <c r="R15" i="1"/>
  <c r="S15" i="1" s="1"/>
  <c r="Q15" i="1"/>
  <c r="R16" i="1"/>
  <c r="S16" i="1" s="1"/>
  <c r="Q16" i="1"/>
  <c r="R17" i="1"/>
  <c r="S17" i="1" s="1"/>
  <c r="Q17" i="1"/>
  <c r="R18" i="1"/>
  <c r="S18" i="1" s="1"/>
  <c r="Q18" i="1"/>
  <c r="R19" i="1"/>
  <c r="S19" i="1" s="1"/>
  <c r="Q19" i="1"/>
  <c r="R20" i="1"/>
  <c r="S20" i="1" s="1"/>
  <c r="Q20" i="1"/>
  <c r="R21" i="1"/>
  <c r="S21" i="1" s="1"/>
  <c r="Q21" i="1"/>
  <c r="R22" i="1"/>
  <c r="S22" i="1" s="1"/>
  <c r="Q22" i="1"/>
  <c r="R23" i="1"/>
  <c r="S23" i="1" s="1"/>
  <c r="Q23" i="1"/>
  <c r="R24" i="1"/>
  <c r="S24" i="1" s="1"/>
  <c r="Q24" i="1"/>
  <c r="R25" i="1"/>
  <c r="S25" i="1" s="1"/>
  <c r="Q25" i="1"/>
  <c r="R26" i="1"/>
  <c r="S26" i="1" s="1"/>
  <c r="Q26" i="1"/>
  <c r="R27" i="1"/>
  <c r="S27" i="1" s="1"/>
  <c r="Q27" i="1"/>
  <c r="R28" i="1"/>
  <c r="S28" i="1" s="1"/>
  <c r="Q28" i="1"/>
  <c r="R29" i="1"/>
  <c r="S29" i="1" s="1"/>
  <c r="Q29" i="1"/>
  <c r="R30" i="1"/>
  <c r="S30" i="1" s="1"/>
  <c r="Q30" i="1"/>
  <c r="R31" i="1"/>
  <c r="S31" i="1" s="1"/>
  <c r="Q31" i="1"/>
  <c r="R32" i="1"/>
  <c r="S32" i="1" s="1"/>
  <c r="Q32" i="1"/>
  <c r="R33" i="1"/>
  <c r="S33" i="1" s="1"/>
  <c r="Q33" i="1"/>
  <c r="R34" i="1"/>
  <c r="S34" i="1" s="1"/>
  <c r="Q34" i="1"/>
  <c r="R35" i="1"/>
  <c r="S35" i="1" s="1"/>
  <c r="Q35" i="1"/>
  <c r="R36" i="1"/>
  <c r="S36" i="1" s="1"/>
  <c r="Q36" i="1"/>
  <c r="R37" i="1"/>
  <c r="S37" i="1" s="1"/>
  <c r="Q37" i="1"/>
  <c r="R38" i="1"/>
  <c r="S38" i="1" s="1"/>
  <c r="Q38" i="1"/>
  <c r="R39" i="1"/>
  <c r="S39" i="1" s="1"/>
  <c r="Q39" i="1"/>
  <c r="R40" i="1"/>
  <c r="S40" i="1" s="1"/>
  <c r="Q40" i="1"/>
  <c r="R41" i="1"/>
  <c r="S41" i="1" s="1"/>
  <c r="Q41" i="1"/>
  <c r="R42" i="1"/>
  <c r="S42" i="1" s="1"/>
  <c r="Q42" i="1"/>
  <c r="R43" i="1"/>
  <c r="S43" i="1" s="1"/>
  <c r="Q43" i="1"/>
  <c r="R44" i="1"/>
  <c r="S44" i="1" s="1"/>
  <c r="Q44" i="1"/>
  <c r="R45" i="1"/>
  <c r="S45" i="1" s="1"/>
  <c r="Q45" i="1"/>
  <c r="R46" i="1"/>
  <c r="S46" i="1" s="1"/>
  <c r="Q46" i="1"/>
  <c r="R47" i="1"/>
  <c r="S47" i="1" s="1"/>
  <c r="Q47" i="1"/>
  <c r="R48" i="1"/>
  <c r="S48" i="1" s="1"/>
  <c r="Q48" i="1"/>
  <c r="R49" i="1"/>
  <c r="S49" i="1" s="1"/>
  <c r="Q49" i="1"/>
  <c r="R50" i="1"/>
  <c r="S50" i="1" s="1"/>
  <c r="Q50" i="1"/>
  <c r="R51" i="1"/>
  <c r="S51" i="1" s="1"/>
  <c r="Q51" i="1"/>
  <c r="R52" i="1"/>
  <c r="S52" i="1" s="1"/>
  <c r="Q52" i="1"/>
  <c r="R53" i="1"/>
  <c r="S53" i="1" s="1"/>
  <c r="Q53" i="1"/>
  <c r="R54" i="1"/>
  <c r="S54" i="1" s="1"/>
  <c r="Q54" i="1"/>
  <c r="R55" i="1"/>
  <c r="S55" i="1" s="1"/>
  <c r="Q55" i="1"/>
  <c r="R56" i="1"/>
  <c r="S56" i="1" s="1"/>
  <c r="Q56" i="1"/>
  <c r="R57" i="1"/>
  <c r="S57" i="1" s="1"/>
  <c r="Q57" i="1"/>
  <c r="R58" i="1"/>
  <c r="S58" i="1" s="1"/>
  <c r="Q58" i="1"/>
  <c r="R59" i="1"/>
  <c r="S59" i="1" s="1"/>
  <c r="Q59" i="1"/>
  <c r="R60" i="1"/>
  <c r="S60" i="1" s="1"/>
  <c r="Q60" i="1"/>
  <c r="R61" i="1"/>
  <c r="S61" i="1" s="1"/>
  <c r="Q61" i="1"/>
  <c r="R62" i="1"/>
  <c r="S62" i="1" s="1"/>
  <c r="Q62" i="1"/>
  <c r="R63" i="1"/>
  <c r="S63" i="1" s="1"/>
  <c r="Q63" i="1"/>
  <c r="R64" i="1"/>
  <c r="S64" i="1" s="1"/>
  <c r="Q64" i="1"/>
  <c r="R65" i="1"/>
  <c r="S65" i="1" s="1"/>
  <c r="Q65" i="1"/>
  <c r="R66" i="1"/>
  <c r="S66" i="1" s="1"/>
  <c r="Q66" i="1"/>
  <c r="R67" i="1"/>
  <c r="S67" i="1" s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7" i="3"/>
  <c r="A6" i="3"/>
  <c r="A5" i="3"/>
  <c r="A4" i="3"/>
  <c r="A3" i="3"/>
  <c r="A6" i="4"/>
  <c r="A5" i="4"/>
  <c r="A4" i="4"/>
  <c r="A3" i="4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P80" i="1" l="1"/>
  <c r="R3" i="1"/>
  <c r="Q3" i="1"/>
  <c r="Q80" i="1" s="1"/>
  <c r="P78" i="1"/>
  <c r="R2" i="1"/>
  <c r="Q2" i="1"/>
  <c r="Q78" i="1" s="1"/>
  <c r="R78" i="1" l="1"/>
  <c r="S2" i="1"/>
  <c r="R80" i="1"/>
  <c r="S3" i="1"/>
  <c r="S80" i="1" s="1"/>
  <c r="S78" i="1" l="1"/>
</calcChain>
</file>

<file path=xl/sharedStrings.xml><?xml version="1.0" encoding="utf-8"?>
<sst xmlns="http://schemas.openxmlformats.org/spreadsheetml/2006/main" count="471" uniqueCount="137">
  <si>
    <t>ID</t>
  </si>
  <si>
    <t>Project Name</t>
  </si>
  <si>
    <t>Company/Project</t>
  </si>
  <si>
    <t>Type</t>
  </si>
  <si>
    <t>Engineer1</t>
  </si>
  <si>
    <t>Engineer2</t>
  </si>
  <si>
    <t>TFC</t>
  </si>
  <si>
    <t>StartDate</t>
  </si>
  <si>
    <t>EndDate</t>
  </si>
  <si>
    <t>IFS</t>
  </si>
  <si>
    <t>Network</t>
  </si>
  <si>
    <t>Graphics</t>
  </si>
  <si>
    <t>P2P</t>
  </si>
  <si>
    <t>Status</t>
  </si>
  <si>
    <t>Service Charge Ex.TDS</t>
  </si>
  <si>
    <t>Service Charge Inc.TDS</t>
  </si>
  <si>
    <t>TDS @1.5%</t>
  </si>
  <si>
    <t>VAT @13%</t>
  </si>
  <si>
    <t>Service Charge Inc.VAT</t>
  </si>
  <si>
    <t>Informed Date</t>
  </si>
  <si>
    <t>Amount Deposited?</t>
  </si>
  <si>
    <t>Deposited Date</t>
  </si>
  <si>
    <t>Final Bill Issued?</t>
  </si>
  <si>
    <t>Remarks</t>
  </si>
  <si>
    <t>Middle Modi(18MW)</t>
  </si>
  <si>
    <t>Middle Modi Hydropower Limited</t>
  </si>
  <si>
    <t>Powerhouse</t>
  </si>
  <si>
    <t>Er. Ram Sharan Timilsina</t>
  </si>
  <si>
    <t>Er. Sumit Sah</t>
  </si>
  <si>
    <t>NO</t>
  </si>
  <si>
    <t>Nilgiri 2 (71MW)</t>
  </si>
  <si>
    <t>Nilgiri Khola Hydropower Company Limited</t>
  </si>
  <si>
    <t>Er. Janardan Rimal</t>
  </si>
  <si>
    <t>YES</t>
  </si>
  <si>
    <t>Ghar Khola (14 MW)</t>
  </si>
  <si>
    <t>Myagdi Hydropower Limited</t>
  </si>
  <si>
    <t>Upper Chameliya (40MW)</t>
  </si>
  <si>
    <t>Api Chameliya Power Limited</t>
  </si>
  <si>
    <t>only 1500000</t>
  </si>
  <si>
    <t>Likhu 1</t>
  </si>
  <si>
    <t>Pan Himalaya Energy Limited</t>
  </si>
  <si>
    <t>Upper Kalangagad (38MW)</t>
  </si>
  <si>
    <t>Sanigad Hydro Pvt. Limited</t>
  </si>
  <si>
    <t>Upper Sanigad(10.7MW)</t>
  </si>
  <si>
    <t>Bungal Hydro Pvt. Limited</t>
  </si>
  <si>
    <t>Kalanga(15MW)</t>
  </si>
  <si>
    <t>Kalanga Hydro Pvt. Limited</t>
  </si>
  <si>
    <t>Super Madi(44MW)</t>
  </si>
  <si>
    <t>Super Madi Hydropower Limited</t>
  </si>
  <si>
    <t>Upper Tamakoshi(456MW)</t>
  </si>
  <si>
    <t>Upper Tamakoshi Hydropower Limited</t>
  </si>
  <si>
    <t>Lower Modi (20MW)</t>
  </si>
  <si>
    <t>Modi Energy Limited</t>
  </si>
  <si>
    <t>Upper Balefi(36MW)</t>
  </si>
  <si>
    <t>Balefi Hydropower Limited</t>
  </si>
  <si>
    <t>Maya Khola (14MW)</t>
  </si>
  <si>
    <t>Maya Khola Hydropower Company Limited</t>
  </si>
  <si>
    <t>Nilgiri 1</t>
  </si>
  <si>
    <t>Middle Tamor(73MW)</t>
  </si>
  <si>
    <t>Sanima Middle Tamor Hydropower Limited</t>
  </si>
  <si>
    <t>Upallo Khimti (12MW)</t>
  </si>
  <si>
    <t>Himalay Urja Bikas Company Limited</t>
  </si>
  <si>
    <t>Matatirtha 220kV</t>
  </si>
  <si>
    <t>Substation</t>
  </si>
  <si>
    <t>New Khimti 220kV</t>
  </si>
  <si>
    <t>New Hetauda 220kV</t>
  </si>
  <si>
    <t>Nepal India Power Transmisson and Trade Project</t>
  </si>
  <si>
    <t>Tallo Khare(11MW)</t>
  </si>
  <si>
    <t>Universal Power Company Limited</t>
  </si>
  <si>
    <t>Arun 3 ,Dhalke 400kV Extension</t>
  </si>
  <si>
    <t>SJVN Arun-3 Power Development Company Pvt Ltd</t>
  </si>
  <si>
    <t>Mathillo Mailung(14.3MW)</t>
  </si>
  <si>
    <t>Mathillo Mailun Khola Jalvidhyut Limited</t>
  </si>
  <si>
    <t>Seti Nadi (25MW)</t>
  </si>
  <si>
    <t>Vision Lumbini Urja Company Limited</t>
  </si>
  <si>
    <t>Loharpatti</t>
  </si>
  <si>
    <t>Dhalkebar Loharpatti 132kV Transmission line Project</t>
  </si>
  <si>
    <t>Udipur</t>
  </si>
  <si>
    <t>Marshyangdi Corridor 220kV TL Project</t>
  </si>
  <si>
    <t>Inaruwa 220kV</t>
  </si>
  <si>
    <t>Dudhkunda(12MW)</t>
  </si>
  <si>
    <t>Mount Everest Power Development Limited</t>
  </si>
  <si>
    <t>Er. Neha Karn</t>
  </si>
  <si>
    <t>Dordi 1(12MW)</t>
  </si>
  <si>
    <t>Dordi Khola Jalavidhyut Compani Limited</t>
  </si>
  <si>
    <t>Upper Solu(19.8MW)</t>
  </si>
  <si>
    <t>Beni Hydropower Project Limited</t>
  </si>
  <si>
    <t>Tamghas 132kV</t>
  </si>
  <si>
    <t>Trishuli 3B 220kV</t>
  </si>
  <si>
    <t>Chilime Hub 220kV</t>
  </si>
  <si>
    <t>Sanjen (42.5MW)</t>
  </si>
  <si>
    <t>Sanjen Jalvidyut Company Limited</t>
  </si>
  <si>
    <t>Sanjen Upper (14.8MW)</t>
  </si>
  <si>
    <t>New Bharatpur 220kV</t>
  </si>
  <si>
    <t>Rasugadhi(111MW)</t>
  </si>
  <si>
    <t>Rasuwagadhi Hydropower Company Limited</t>
  </si>
  <si>
    <t>DownPiluwa (10.3MW)</t>
  </si>
  <si>
    <t>River Falls Power Limited</t>
  </si>
  <si>
    <t>SuperNyadi(40.27MW)</t>
  </si>
  <si>
    <t>Siuri Nyadi Power Limited</t>
  </si>
  <si>
    <t>Langtang(20MW)</t>
  </si>
  <si>
    <t>Multi Energy Development P. Limited</t>
  </si>
  <si>
    <t>Mathillo Mardi(7)+ Mardi(4.8MW)</t>
  </si>
  <si>
    <t>United IDI Mardi and RB Hydropower Ltd</t>
  </si>
  <si>
    <t>Garjyang Bay at New Khimti</t>
  </si>
  <si>
    <t>Ramechhap-Garjyang-Khimti 132kV TL Project</t>
  </si>
  <si>
    <t>Sanjen(78MW)</t>
  </si>
  <si>
    <t>Salasungi Power Pvt Ltd</t>
  </si>
  <si>
    <t xml:space="preserve">New Marshyangdi </t>
  </si>
  <si>
    <t>Khimti 2(48.8MW)</t>
  </si>
  <si>
    <t>Peoples Energy Limited</t>
  </si>
  <si>
    <t>Bhimsensthan (Khimti Garjyang LILO)</t>
  </si>
  <si>
    <t>Upper Bhotekoshi (45MW)</t>
  </si>
  <si>
    <t>Bhotekoshi Power Company Pvt.Limited</t>
  </si>
  <si>
    <t>Karuwa Seti(32MW)</t>
  </si>
  <si>
    <t>Jhyamolongma Hydropower Development Company Limited</t>
  </si>
  <si>
    <t>Lower Erkhuwa(14.1MW)</t>
  </si>
  <si>
    <t>Lower Erkhuwa Hydropower Company Ltd</t>
  </si>
  <si>
    <t>Total</t>
  </si>
  <si>
    <t>Deposited</t>
  </si>
  <si>
    <t>Kabeli -3(21.93MW)</t>
  </si>
  <si>
    <t>Kabeli Hydropower Company Ltd.</t>
  </si>
  <si>
    <t>Kabeli Khola "A" (13.5MW)</t>
  </si>
  <si>
    <t>Snow Rivers Limited</t>
  </si>
  <si>
    <t>Hilton Hydro Energy Limited</t>
  </si>
  <si>
    <t>Kabeli Khola "A" (12 MW)</t>
  </si>
  <si>
    <t>Upper Chaku "A" (22.2MW)</t>
  </si>
  <si>
    <t>Shiva Shree Hydropower (Pvt) Ltd</t>
  </si>
  <si>
    <t>Burtibang Substation</t>
  </si>
  <si>
    <t>Burtibang- Paudi Amarai- Tamghas- Sandhikharka- Gurusinghe 132kV TL Project</t>
  </si>
  <si>
    <t>Paudi Amarai Substation</t>
  </si>
  <si>
    <t xml:space="preserve">Birauta </t>
  </si>
  <si>
    <t>Urban Transmission and Distribution
System Improvement Project</t>
  </si>
  <si>
    <t>Lower Solu (82MW)</t>
  </si>
  <si>
    <t>Solu Hydropower Limited</t>
  </si>
  <si>
    <t>Amlekhgunj Substation</t>
  </si>
  <si>
    <t>Amlekhgunj 132kV Substation Construction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</si>
</sst>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1" fillId="0" borderId="1" xfId="0" applyNumberFormat="1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wrapText="1"/>
    </xf>
    <xf numFmtId="0" fontId="1" fillId="0" borderId="0" xfId="0" applyFont="1"/>
    <xf numFmtId="164" fontId="3" fillId="0" borderId="1" xfId="0" applyNumberFormat="1" applyFont="1" applyBorder="1"/>
    <xf numFmtId="14" fontId="1" fillId="0" borderId="1" xfId="0" applyNumberFormat="1" applyFont="1" applyBorder="1" applyAlignment="1">
      <alignment horizontal="right"/>
    </xf>
    <xf numFmtId="0" fontId="4" fillId="0" borderId="1" xfId="0" applyFont="1" applyBorder="1"/>
    <xf numFmtId="164" fontId="4" fillId="0" borderId="1" xfId="0" applyNumberFormat="1" applyFont="1" applyBorder="1"/>
    <xf numFmtId="164" fontId="5" fillId="0" borderId="1" xfId="0" applyNumberFormat="1" applyFont="1" applyBorder="1"/>
    <xf numFmtId="14" fontId="5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" xfId="0" applyFont="1" applyBorder="1" applyAlignment="1">
      <alignment wrapText="1"/>
    </xf>
    <xf numFmtId="0" fontId="8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33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CADATable-style" pivot="0" count="3" xr9:uid="{00000000-0011-0000-FFFF-FFFF00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67">
  <tableColumns count="24">
    <tableColumn id="1" xr3:uid="{00000000-0010-0000-0000-000001000000}" name="ID"/>
    <tableColumn id="2" xr3:uid="{00000000-0010-0000-0000-000002000000}" name="Project Name"/>
    <tableColumn id="3" xr3:uid="{00000000-0010-0000-0000-000003000000}" name="Company/Project"/>
    <tableColumn id="4" xr3:uid="{00000000-0010-0000-0000-000004000000}" name="Type"/>
    <tableColumn id="5" xr3:uid="{00000000-0010-0000-0000-000005000000}" name="Engineer1"/>
    <tableColumn id="6" xr3:uid="{00000000-0010-0000-0000-000006000000}" name="Engineer2"/>
    <tableColumn id="7" xr3:uid="{00000000-0010-0000-0000-000007000000}" name="TFC"/>
    <tableColumn id="8" xr3:uid="{00000000-0010-0000-0000-000008000000}" name="StartDate"/>
    <tableColumn id="9" xr3:uid="{00000000-0010-0000-0000-000009000000}" name="EndDate"/>
    <tableColumn id="10" xr3:uid="{00000000-0010-0000-0000-00000A000000}" name="IFS" dataDxfId="29"/>
    <tableColumn id="11" xr3:uid="{00000000-0010-0000-0000-00000B000000}" name="Network" dataDxfId="28"/>
    <tableColumn id="12" xr3:uid="{00000000-0010-0000-0000-00000C000000}" name="Graphics" dataDxfId="27"/>
    <tableColumn id="13" xr3:uid="{00000000-0010-0000-0000-00000D000000}" name="P2P" dataDxfId="26"/>
    <tableColumn id="14" xr3:uid="{00000000-0010-0000-0000-00000E000000}" name="Status"/>
    <tableColumn id="15" xr3:uid="{00000000-0010-0000-0000-00000F000000}" name="Service Charge Ex.TDS"/>
    <tableColumn id="16" xr3:uid="{00000000-0010-0000-0000-000010000000}" name="Service Charge Inc.TDS"/>
    <tableColumn id="17" xr3:uid="{00000000-0010-0000-0000-000011000000}" name="TDS @1.5%"/>
    <tableColumn id="18" xr3:uid="{00000000-0010-0000-0000-000012000000}" name="VAT @13%"/>
    <tableColumn id="19" xr3:uid="{00000000-0010-0000-0000-000013000000}" name="Service Charge Inc.VAT"/>
    <tableColumn id="20" xr3:uid="{00000000-0010-0000-0000-000014000000}" name="Informed Date"/>
    <tableColumn id="21" xr3:uid="{00000000-0010-0000-0000-000015000000}" name="Amount Deposited?"/>
    <tableColumn id="22" xr3:uid="{00000000-0010-0000-0000-000016000000}" name="Deposited Date"/>
    <tableColumn id="23" xr3:uid="{00000000-0010-0000-0000-000017000000}" name="Final Bill Issued?"/>
    <tableColumn id="24" xr3:uid="{00000000-0010-0000-0000-000018000000}" name="Remarks"/>
  </tableColumns>
  <tableStyleInfo name="SCADATab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3" ySplit="1" topLeftCell="D29" activePane="bottomRight" state="frozen"/>
      <selection pane="topRight" activeCell="D1" sqref="D1"/>
      <selection pane="bottomLeft" activeCell="A2" sqref="A2"/>
      <selection pane="bottomRight" activeCell="D18" sqref="D18"/>
    </sheetView>
  </sheetViews>
  <sheetFormatPr defaultColWidth="14.42578125" defaultRowHeight="15" customHeight="1" x14ac:dyDescent="0.25"/>
  <cols>
    <col min="1" max="1" width="7.42578125" customWidth="1"/>
    <col min="2" max="2" width="34.42578125" customWidth="1"/>
    <col min="3" max="3" width="40.28515625" customWidth="1"/>
    <col min="4" max="4" width="12.140625" customWidth="1"/>
    <col min="5" max="6" width="22.85546875" customWidth="1"/>
    <col min="7" max="7" width="8.7109375" customWidth="1"/>
    <col min="8" max="8" width="13.85546875" customWidth="1"/>
    <col min="9" max="9" width="13" customWidth="1"/>
    <col min="10" max="10" width="8.140625" customWidth="1"/>
    <col min="11" max="12" width="13.28515625" customWidth="1"/>
    <col min="13" max="13" width="8.85546875" customWidth="1"/>
    <col min="14" max="14" width="17" customWidth="1"/>
    <col min="15" max="15" width="19.5703125" customWidth="1"/>
    <col min="16" max="16" width="15.7109375" customWidth="1"/>
    <col min="17" max="17" width="15" customWidth="1"/>
    <col min="18" max="18" width="16.28515625" customWidth="1"/>
    <col min="19" max="19" width="17.28515625" customWidth="1"/>
    <col min="20" max="20" width="14.140625" customWidth="1"/>
    <col min="21" max="21" width="11.140625" customWidth="1"/>
    <col min="22" max="22" width="12.28515625" customWidth="1"/>
    <col min="23" max="24" width="13.5703125" customWidth="1"/>
    <col min="25" max="25" width="8.7109375" customWidth="1"/>
    <col min="26" max="26" width="14.5703125" customWidth="1"/>
  </cols>
  <sheetData>
    <row r="1" spans="1:26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5" t="s">
        <v>23</v>
      </c>
      <c r="Y1" s="6"/>
      <c r="Z1" s="6"/>
    </row>
    <row r="2" spans="1:26" x14ac:dyDescent="0.25">
      <c r="A2" s="7">
        <f t="shared" ref="A2:A49" si="0">IF(B2&lt;&gt;"",0+(COUNTA($B$2:B2)),"")</f>
        <v>1</v>
      </c>
      <c r="B2" s="8" t="s">
        <v>24</v>
      </c>
      <c r="C2" s="9" t="s">
        <v>25</v>
      </c>
      <c r="D2" s="10" t="s">
        <v>26</v>
      </c>
      <c r="E2" s="8" t="s">
        <v>27</v>
      </c>
      <c r="F2" s="8" t="s">
        <v>28</v>
      </c>
      <c r="G2" s="7">
        <v>0</v>
      </c>
      <c r="H2" s="11"/>
      <c r="I2" s="11">
        <v>45407</v>
      </c>
      <c r="J2" s="32" t="b">
        <v>1</v>
      </c>
      <c r="K2" s="32" t="b">
        <v>1</v>
      </c>
      <c r="L2" s="32" t="b">
        <v>1</v>
      </c>
      <c r="M2" s="32" t="b">
        <v>1</v>
      </c>
      <c r="N2" s="8" t="str">
        <f>IF(COUNTIF(SCADATable!$J2:$M2,TRUE)/4=1,"Completed",IF(AND(COUNTIF(SCADATable!$J2:$M2,TRUE)/4&lt;1, SCADATable!$E2&lt;&gt;""),"In Progress","Not assigned"))</f>
        <v>Completed</v>
      </c>
      <c r="O2" s="12">
        <f>2352000+250000</f>
        <v>2602000</v>
      </c>
      <c r="P2" s="12">
        <f>SCADATable!$O2/98.5%</f>
        <v>2641624.3654822335</v>
      </c>
      <c r="Q2" s="12">
        <f>SCADATable!$P2*1.5%</f>
        <v>39624.365482233501</v>
      </c>
      <c r="R2" s="12">
        <f>SCADATable!$P2*13%</f>
        <v>343411.16751269036</v>
      </c>
      <c r="S2" s="13">
        <f>SCADATable!$P2+SCADATable!$R2</f>
        <v>2985035.5329949236</v>
      </c>
      <c r="T2" s="11">
        <v>45659</v>
      </c>
      <c r="U2" s="14" t="s">
        <v>29</v>
      </c>
      <c r="V2" s="15"/>
      <c r="W2" s="14" t="s">
        <v>29</v>
      </c>
      <c r="X2" s="16"/>
    </row>
    <row r="3" spans="1:26" x14ac:dyDescent="0.25">
      <c r="A3" s="7">
        <f t="shared" si="0"/>
        <v>2</v>
      </c>
      <c r="B3" s="8" t="s">
        <v>30</v>
      </c>
      <c r="C3" s="8" t="s">
        <v>31</v>
      </c>
      <c r="D3" s="10" t="s">
        <v>26</v>
      </c>
      <c r="E3" s="8" t="s">
        <v>32</v>
      </c>
      <c r="F3" s="8"/>
      <c r="G3" s="7">
        <v>0</v>
      </c>
      <c r="H3" s="11"/>
      <c r="I3" s="11">
        <v>45385</v>
      </c>
      <c r="J3" s="32" t="b">
        <v>1</v>
      </c>
      <c r="K3" s="32" t="b">
        <v>1</v>
      </c>
      <c r="L3" s="32" t="b">
        <v>1</v>
      </c>
      <c r="M3" s="32" t="b">
        <v>1</v>
      </c>
      <c r="N3" s="8" t="str">
        <f>IF(COUNTIF(SCADATable!$J3:$M3,TRUE)/4=1,"Completed",IF(AND(COUNTIF(SCADATable!$J3:$M3,TRUE)/4&lt;1, SCADATable!$E3&lt;&gt;""),"In Progress","Not assigned"))</f>
        <v>Completed</v>
      </c>
      <c r="O3" s="12">
        <f>2352000+2*250000</f>
        <v>2852000</v>
      </c>
      <c r="P3" s="12">
        <f>SCADATable!$O3/98.5%</f>
        <v>2895431.4720812184</v>
      </c>
      <c r="Q3" s="12">
        <f>SCADATable!$P3*1.5%</f>
        <v>43431.472081218271</v>
      </c>
      <c r="R3" s="12">
        <f>SCADATable!$P3*13%</f>
        <v>376406.09137055842</v>
      </c>
      <c r="S3" s="13">
        <f>SCADATable!$P3+SCADATable!$R3</f>
        <v>3271837.5634517767</v>
      </c>
      <c r="T3" s="11">
        <v>45652</v>
      </c>
      <c r="U3" s="14" t="s">
        <v>33</v>
      </c>
      <c r="V3" s="15">
        <v>45691</v>
      </c>
      <c r="W3" s="14" t="s">
        <v>29</v>
      </c>
      <c r="X3" s="16"/>
    </row>
    <row r="4" spans="1:26" x14ac:dyDescent="0.25">
      <c r="A4" s="7">
        <f t="shared" si="0"/>
        <v>3</v>
      </c>
      <c r="B4" s="8" t="s">
        <v>34</v>
      </c>
      <c r="C4" s="9" t="s">
        <v>35</v>
      </c>
      <c r="D4" s="10" t="s">
        <v>26</v>
      </c>
      <c r="E4" s="8" t="s">
        <v>27</v>
      </c>
      <c r="F4" s="8"/>
      <c r="G4" s="7">
        <v>0</v>
      </c>
      <c r="H4" s="11"/>
      <c r="I4" s="11">
        <v>45446</v>
      </c>
      <c r="J4" s="32" t="b">
        <v>1</v>
      </c>
      <c r="K4" s="32" t="b">
        <v>1</v>
      </c>
      <c r="L4" s="32" t="b">
        <v>1</v>
      </c>
      <c r="M4" s="32" t="b">
        <v>1</v>
      </c>
      <c r="N4" s="8" t="str">
        <f>IF(COUNTIF(SCADATable!$J4:$M4,TRUE)/4=1,"Completed",IF(AND(COUNTIF(SCADATable!$J4:$M4,TRUE)/4&lt;1, SCADATable!$E4&lt;&gt;""),"In Progress","Not assigned"))</f>
        <v>Completed</v>
      </c>
      <c r="O4" s="12">
        <f>2352000+250000+250000</f>
        <v>2852000</v>
      </c>
      <c r="P4" s="12">
        <f>SCADATable!$O4/98.5%</f>
        <v>2895431.4720812184</v>
      </c>
      <c r="Q4" s="12">
        <f>SCADATable!$P4*1.5%</f>
        <v>43431.472081218271</v>
      </c>
      <c r="R4" s="12">
        <f>SCADATable!$P4*13%</f>
        <v>376406.09137055842</v>
      </c>
      <c r="S4" s="17">
        <f>SCADATable!$P4+SCADATable!$R4</f>
        <v>3271837.5634517767</v>
      </c>
      <c r="T4" s="11">
        <v>45652</v>
      </c>
      <c r="U4" s="14" t="s">
        <v>33</v>
      </c>
      <c r="V4" s="15">
        <v>45695</v>
      </c>
      <c r="W4" s="14" t="s">
        <v>29</v>
      </c>
      <c r="X4" s="16"/>
    </row>
    <row r="5" spans="1:26" x14ac:dyDescent="0.25">
      <c r="A5" s="7">
        <f t="shared" si="0"/>
        <v>4</v>
      </c>
      <c r="B5" s="8" t="s">
        <v>36</v>
      </c>
      <c r="C5" s="9" t="s">
        <v>37</v>
      </c>
      <c r="D5" s="10" t="s">
        <v>26</v>
      </c>
      <c r="E5" s="8" t="s">
        <v>27</v>
      </c>
      <c r="F5" s="8" t="s">
        <v>28</v>
      </c>
      <c r="G5" s="7">
        <v>0</v>
      </c>
      <c r="H5" s="11"/>
      <c r="I5" s="11"/>
      <c r="J5" s="32" t="b">
        <v>1</v>
      </c>
      <c r="K5" s="32" t="b">
        <v>1</v>
      </c>
      <c r="L5" s="32" t="b">
        <v>1</v>
      </c>
      <c r="M5" s="32" t="b">
        <v>1</v>
      </c>
      <c r="N5" s="8" t="str">
        <f>IF(COUNTIF(SCADATable!$J5:$M5,TRUE)/4=1,"Completed",IF(AND(COUNTIF(SCADATable!$J5:$M5,TRUE)/4&lt;1, SCADATable!$E5&lt;&gt;""),"In Progress","Not Assigned"))</f>
        <v>Completed</v>
      </c>
      <c r="O5" s="12">
        <v>2602000</v>
      </c>
      <c r="P5" s="12">
        <f>SCADATable!$O5/98.5%</f>
        <v>2641624.3654822335</v>
      </c>
      <c r="Q5" s="12">
        <f>SCADATable!$P5*1.5%</f>
        <v>39624.365482233501</v>
      </c>
      <c r="R5" s="12">
        <f>SCADATable!$P5*13%</f>
        <v>343411.16751269036</v>
      </c>
      <c r="S5" s="13">
        <f>SCADATable!$P5+SCADATable!$R5</f>
        <v>2985035.5329949236</v>
      </c>
      <c r="T5" s="11">
        <v>45650</v>
      </c>
      <c r="U5" s="14" t="s">
        <v>33</v>
      </c>
      <c r="V5" s="15">
        <v>45691</v>
      </c>
      <c r="W5" s="14" t="s">
        <v>29</v>
      </c>
      <c r="X5" s="16" t="s">
        <v>38</v>
      </c>
    </row>
    <row r="6" spans="1:26" x14ac:dyDescent="0.25">
      <c r="A6" s="7">
        <f t="shared" si="0"/>
        <v>5</v>
      </c>
      <c r="B6" s="8" t="s">
        <v>39</v>
      </c>
      <c r="C6" s="9" t="s">
        <v>40</v>
      </c>
      <c r="D6" s="10" t="s">
        <v>26</v>
      </c>
      <c r="E6" s="8" t="s">
        <v>32</v>
      </c>
      <c r="F6" s="8"/>
      <c r="G6" s="7">
        <v>0</v>
      </c>
      <c r="H6" s="11"/>
      <c r="I6" s="11"/>
      <c r="J6" s="32" t="b">
        <v>1</v>
      </c>
      <c r="K6" s="32" t="b">
        <v>1</v>
      </c>
      <c r="L6" s="32" t="b">
        <v>1</v>
      </c>
      <c r="M6" s="32" t="b">
        <v>1</v>
      </c>
      <c r="N6" s="8" t="str">
        <f>IF(COUNTIF(SCADATable!$J6:$M6,TRUE)/4=1,"Completed",IF(AND(COUNTIF(SCADATable!$J6:$M6,TRUE)/4&lt;1, SCADATable!$E6&lt;&gt;""),"In Progress","Not Assigned"))</f>
        <v>Completed</v>
      </c>
      <c r="O6" s="12">
        <f>2352000+250000*5</f>
        <v>3602000</v>
      </c>
      <c r="P6" s="12">
        <f>SCADATable!$O6/98.5%</f>
        <v>3656852.7918781727</v>
      </c>
      <c r="Q6" s="12">
        <f>SCADATable!$P6*1.5%</f>
        <v>54852.791878172589</v>
      </c>
      <c r="R6" s="12">
        <f>SCADATable!$P6*13%</f>
        <v>475390.86294416245</v>
      </c>
      <c r="S6" s="13">
        <f>SCADATable!$P6+SCADATable!$R6</f>
        <v>4132243.6548223351</v>
      </c>
      <c r="T6" s="11">
        <v>45657</v>
      </c>
      <c r="U6" s="14" t="s">
        <v>33</v>
      </c>
      <c r="V6" s="15">
        <v>45699</v>
      </c>
      <c r="W6" s="14" t="s">
        <v>29</v>
      </c>
      <c r="X6" s="16"/>
    </row>
    <row r="7" spans="1:26" x14ac:dyDescent="0.25">
      <c r="A7" s="7">
        <f t="shared" si="0"/>
        <v>6</v>
      </c>
      <c r="B7" s="8" t="s">
        <v>41</v>
      </c>
      <c r="C7" s="9" t="s">
        <v>42</v>
      </c>
      <c r="D7" s="10" t="s">
        <v>26</v>
      </c>
      <c r="E7" s="8" t="s">
        <v>32</v>
      </c>
      <c r="F7" s="8"/>
      <c r="G7" s="7">
        <v>0</v>
      </c>
      <c r="H7" s="11"/>
      <c r="I7" s="11"/>
      <c r="J7" s="32" t="b">
        <v>1</v>
      </c>
      <c r="K7" s="32" t="b">
        <v>1</v>
      </c>
      <c r="L7" s="32" t="b">
        <v>1</v>
      </c>
      <c r="M7" s="32" t="b">
        <v>1</v>
      </c>
      <c r="N7" s="8" t="str">
        <f>IF(COUNTIF(SCADATable!$J7:$M7,TRUE)/4=1,"Completed",IF(AND(COUNTIF(SCADATable!$J7:$M7,TRUE)/4&lt;1, SCADATable!$E7&lt;&gt;""),"In Progress","Not Assigned"))</f>
        <v>Completed</v>
      </c>
      <c r="O7" s="12">
        <f>2352000+3*250000</f>
        <v>3102000</v>
      </c>
      <c r="P7" s="12">
        <f>SCADATable!$O7/98.5%</f>
        <v>3149238.5786802033</v>
      </c>
      <c r="Q7" s="12">
        <f>SCADATable!$P7*1.5%</f>
        <v>47238.578680203049</v>
      </c>
      <c r="R7" s="12">
        <f>SCADATable!$P7*13%</f>
        <v>409401.01522842643</v>
      </c>
      <c r="S7" s="13">
        <f>SCADATable!$P7+SCADATable!$R7</f>
        <v>3558639.5939086298</v>
      </c>
      <c r="T7" s="11">
        <v>45657</v>
      </c>
      <c r="U7" s="14" t="s">
        <v>29</v>
      </c>
      <c r="V7" s="15"/>
      <c r="W7" s="14" t="s">
        <v>29</v>
      </c>
      <c r="X7" s="16"/>
    </row>
    <row r="8" spans="1:26" x14ac:dyDescent="0.25">
      <c r="A8" s="7">
        <f t="shared" si="0"/>
        <v>7</v>
      </c>
      <c r="B8" s="8" t="s">
        <v>43</v>
      </c>
      <c r="C8" s="9" t="s">
        <v>44</v>
      </c>
      <c r="D8" s="10" t="s">
        <v>26</v>
      </c>
      <c r="E8" s="8" t="s">
        <v>32</v>
      </c>
      <c r="F8" s="8"/>
      <c r="G8" s="7">
        <v>0</v>
      </c>
      <c r="H8" s="11"/>
      <c r="I8" s="11"/>
      <c r="J8" s="32" t="b">
        <v>1</v>
      </c>
      <c r="K8" s="32" t="b">
        <v>1</v>
      </c>
      <c r="L8" s="32" t="b">
        <v>1</v>
      </c>
      <c r="M8" s="32" t="b">
        <v>1</v>
      </c>
      <c r="N8" s="8" t="str">
        <f>IF(COUNTIF(SCADATable!$J8:$M8,TRUE)/4=1,"Completed",IF(AND(COUNTIF(SCADATable!$J8:$M8,TRUE)/4&lt;1, SCADATable!$E8&lt;&gt;""),"In Progress","Not Assigned"))</f>
        <v>Completed</v>
      </c>
      <c r="O8" s="12">
        <f>2352000+250000</f>
        <v>2602000</v>
      </c>
      <c r="P8" s="12">
        <f>SCADATable!$O8/98.5%</f>
        <v>2641624.3654822335</v>
      </c>
      <c r="Q8" s="12">
        <f>SCADATable!$P8*1.5%</f>
        <v>39624.365482233501</v>
      </c>
      <c r="R8" s="12">
        <f>SCADATable!$P8*13%</f>
        <v>343411.16751269036</v>
      </c>
      <c r="S8" s="13">
        <f>SCADATable!$P8+SCADATable!$R8</f>
        <v>2985035.5329949236</v>
      </c>
      <c r="T8" s="11">
        <v>45657</v>
      </c>
      <c r="U8" s="14" t="s">
        <v>29</v>
      </c>
      <c r="V8" s="15"/>
      <c r="W8" s="14" t="s">
        <v>29</v>
      </c>
      <c r="X8" s="16"/>
    </row>
    <row r="9" spans="1:26" x14ac:dyDescent="0.25">
      <c r="A9" s="7">
        <f t="shared" si="0"/>
        <v>8</v>
      </c>
      <c r="B9" s="8" t="s">
        <v>45</v>
      </c>
      <c r="C9" s="9" t="s">
        <v>46</v>
      </c>
      <c r="D9" s="10" t="s">
        <v>26</v>
      </c>
      <c r="E9" s="8" t="s">
        <v>32</v>
      </c>
      <c r="F9" s="8"/>
      <c r="G9" s="7">
        <v>0</v>
      </c>
      <c r="H9" s="11"/>
      <c r="I9" s="11"/>
      <c r="J9" s="32" t="b">
        <v>1</v>
      </c>
      <c r="K9" s="32" t="b">
        <v>1</v>
      </c>
      <c r="L9" s="32" t="b">
        <v>1</v>
      </c>
      <c r="M9" s="32" t="b">
        <v>1</v>
      </c>
      <c r="N9" s="8" t="str">
        <f>IF(COUNTIF(SCADATable!$J9:$M9,TRUE)/4=1,"Completed",IF(AND(COUNTIF(SCADATable!$J9:$M9,TRUE)/4&lt;1, SCADATable!$E9&lt;&gt;""),"In Progress","Not Assigned"))</f>
        <v>Completed</v>
      </c>
      <c r="O9" s="12">
        <f>2352000+250000</f>
        <v>2602000</v>
      </c>
      <c r="P9" s="12">
        <f>SCADATable!$O9/98.5%</f>
        <v>2641624.3654822335</v>
      </c>
      <c r="Q9" s="12">
        <f>SCADATable!$P9*1.5%</f>
        <v>39624.365482233501</v>
      </c>
      <c r="R9" s="12">
        <f>SCADATable!$P9*13%</f>
        <v>343411.16751269036</v>
      </c>
      <c r="S9" s="13">
        <f>SCADATable!$P9+SCADATable!$R9</f>
        <v>2985035.5329949236</v>
      </c>
      <c r="T9" s="11">
        <v>45657</v>
      </c>
      <c r="U9" s="14" t="s">
        <v>29</v>
      </c>
      <c r="V9" s="15"/>
      <c r="W9" s="14" t="s">
        <v>29</v>
      </c>
      <c r="X9" s="16"/>
    </row>
    <row r="10" spans="1:26" x14ac:dyDescent="0.25">
      <c r="A10" s="7">
        <f t="shared" si="0"/>
        <v>9</v>
      </c>
      <c r="B10" s="8" t="s">
        <v>47</v>
      </c>
      <c r="C10" s="9" t="s">
        <v>48</v>
      </c>
      <c r="D10" s="10" t="s">
        <v>26</v>
      </c>
      <c r="E10" s="8" t="s">
        <v>32</v>
      </c>
      <c r="F10" s="8"/>
      <c r="G10" s="7"/>
      <c r="H10" s="11"/>
      <c r="I10" s="11"/>
      <c r="J10" s="32" t="b">
        <v>1</v>
      </c>
      <c r="K10" s="32" t="b">
        <v>1</v>
      </c>
      <c r="L10" s="32" t="b">
        <v>1</v>
      </c>
      <c r="M10" s="32" t="b">
        <v>1</v>
      </c>
      <c r="N10" s="8" t="str">
        <f>IF(COUNTIF(SCADATable!$J10:$M10,TRUE)/4=1,"Completed",IF(AND(COUNTIF(SCADATable!$J10:$M10,TRUE)/4&lt;1, SCADATable!$E10&lt;&gt;""),"In Progress","Not Assigned"))</f>
        <v>Completed</v>
      </c>
      <c r="O10" s="12">
        <f>2352000+3*250000</f>
        <v>3102000</v>
      </c>
      <c r="P10" s="12">
        <f>SCADATable!$O10/98.5%</f>
        <v>3149238.5786802033</v>
      </c>
      <c r="Q10" s="12">
        <f>SCADATable!$P10*1.5%</f>
        <v>47238.578680203049</v>
      </c>
      <c r="R10" s="12">
        <f>SCADATable!$P10*13%</f>
        <v>409401.01522842643</v>
      </c>
      <c r="S10" s="13">
        <f>SCADATable!$P10+SCADATable!$R10</f>
        <v>3558639.5939086298</v>
      </c>
      <c r="T10" s="11">
        <v>45660</v>
      </c>
      <c r="U10" s="14" t="s">
        <v>29</v>
      </c>
      <c r="V10" s="15"/>
      <c r="W10" s="14" t="s">
        <v>29</v>
      </c>
      <c r="X10" s="16"/>
      <c r="Z10" s="35"/>
    </row>
    <row r="11" spans="1:26" x14ac:dyDescent="0.25">
      <c r="A11" s="7">
        <f t="shared" si="0"/>
        <v>10</v>
      </c>
      <c r="B11" s="8" t="s">
        <v>49</v>
      </c>
      <c r="C11" s="9" t="s">
        <v>50</v>
      </c>
      <c r="D11" s="10" t="s">
        <v>26</v>
      </c>
      <c r="E11" s="8" t="s">
        <v>27</v>
      </c>
      <c r="F11" s="8" t="s">
        <v>28</v>
      </c>
      <c r="G11" s="7">
        <v>0</v>
      </c>
      <c r="H11" s="11"/>
      <c r="I11" s="11"/>
      <c r="J11" s="32" t="b">
        <v>1</v>
      </c>
      <c r="K11" s="32" t="b">
        <v>1</v>
      </c>
      <c r="L11" s="32" t="b">
        <v>1</v>
      </c>
      <c r="M11" s="32" t="b">
        <v>1</v>
      </c>
      <c r="N11" s="8" t="str">
        <f>IF(COUNTIF(SCADATable!$J11:$M11,TRUE)/4=1,"Completed",IF(AND(COUNTIF(SCADATable!$J11:$M11,TRUE)/4&lt;1, SCADATable!$E11&lt;&gt;""),"In Progress","Not Assigned"))</f>
        <v>Completed</v>
      </c>
      <c r="O11" s="12">
        <f>2352000+12*250000</f>
        <v>5352000</v>
      </c>
      <c r="P11" s="12">
        <f>SCADATable!$O11/98.5%</f>
        <v>5433502.5380710661</v>
      </c>
      <c r="Q11" s="12">
        <f>SCADATable!$P11*1.5%</f>
        <v>81502.538071065996</v>
      </c>
      <c r="R11" s="12">
        <f>SCADATable!$P11*13%</f>
        <v>706355.32994923857</v>
      </c>
      <c r="S11" s="13">
        <f>SCADATable!$P11+SCADATable!$R11</f>
        <v>6139857.8680203045</v>
      </c>
      <c r="T11" s="11">
        <v>45659</v>
      </c>
      <c r="U11" s="14" t="s">
        <v>29</v>
      </c>
      <c r="V11" s="15"/>
      <c r="W11" s="14" t="s">
        <v>29</v>
      </c>
      <c r="X11" s="16"/>
    </row>
    <row r="12" spans="1:26" x14ac:dyDescent="0.25">
      <c r="A12" s="7">
        <f t="shared" si="0"/>
        <v>11</v>
      </c>
      <c r="B12" s="8" t="s">
        <v>51</v>
      </c>
      <c r="C12" s="9" t="s">
        <v>52</v>
      </c>
      <c r="D12" s="10" t="s">
        <v>26</v>
      </c>
      <c r="E12" s="8" t="s">
        <v>27</v>
      </c>
      <c r="F12" s="8" t="s">
        <v>28</v>
      </c>
      <c r="G12" s="7">
        <v>0</v>
      </c>
      <c r="H12" s="11"/>
      <c r="I12" s="11">
        <v>45421</v>
      </c>
      <c r="J12" s="32" t="b">
        <v>1</v>
      </c>
      <c r="K12" s="32" t="b">
        <v>1</v>
      </c>
      <c r="L12" s="32" t="b">
        <v>1</v>
      </c>
      <c r="M12" s="32" t="b">
        <v>1</v>
      </c>
      <c r="N12" s="8" t="str">
        <f>IF(COUNTIF(SCADATable!$J12:$M12,TRUE)/4=1,"Completed",IF(AND(COUNTIF(SCADATable!$J12:$M12,TRUE)/4&lt;1, SCADATable!$E12&lt;&gt;""),"In Progress","Not Assigned"))</f>
        <v>Completed</v>
      </c>
      <c r="O12" s="12">
        <v>2352000</v>
      </c>
      <c r="P12" s="12">
        <f>SCADATable!$O12/98.5%</f>
        <v>2387817.2588832485</v>
      </c>
      <c r="Q12" s="12">
        <f>SCADATable!$P12*1.5%</f>
        <v>35817.258883248724</v>
      </c>
      <c r="R12" s="12">
        <f>SCADATable!$P12*13%</f>
        <v>310416.24365482235</v>
      </c>
      <c r="S12" s="13">
        <f>SCADATable!$P12+SCADATable!$R12</f>
        <v>2698233.502538071</v>
      </c>
      <c r="T12" s="11">
        <v>45652</v>
      </c>
      <c r="U12" s="14" t="s">
        <v>29</v>
      </c>
      <c r="V12" s="15"/>
      <c r="W12" s="14" t="s">
        <v>29</v>
      </c>
      <c r="X12" s="16"/>
    </row>
    <row r="13" spans="1:26" x14ac:dyDescent="0.25">
      <c r="A13" s="7">
        <f t="shared" si="0"/>
        <v>12</v>
      </c>
      <c r="B13" s="8" t="s">
        <v>53</v>
      </c>
      <c r="C13" s="9" t="s">
        <v>54</v>
      </c>
      <c r="D13" s="10" t="s">
        <v>26</v>
      </c>
      <c r="E13" s="8" t="s">
        <v>28</v>
      </c>
      <c r="F13" s="8"/>
      <c r="G13" s="7">
        <v>0</v>
      </c>
      <c r="H13" s="11"/>
      <c r="I13" s="11">
        <v>45467</v>
      </c>
      <c r="J13" s="32" t="b">
        <v>1</v>
      </c>
      <c r="K13" s="32" t="b">
        <v>1</v>
      </c>
      <c r="L13" s="32" t="b">
        <v>1</v>
      </c>
      <c r="M13" s="32" t="b">
        <v>1</v>
      </c>
      <c r="N13" s="8" t="str">
        <f>IF(COUNTIF(SCADATable!$J13:$M13,TRUE)/4=1,"Completed",IF(AND(COUNTIF(SCADATable!$J13:$M13,TRUE)/4&lt;1, SCADATable!$E13&lt;&gt;""),"In Progress","Not Assigned"))</f>
        <v>Completed</v>
      </c>
      <c r="O13" s="12">
        <f>2352000+3*250000</f>
        <v>3102000</v>
      </c>
      <c r="P13" s="12">
        <f>SCADATable!$O13/98.5%</f>
        <v>3149238.5786802033</v>
      </c>
      <c r="Q13" s="12">
        <f>SCADATable!$P13*1.5%</f>
        <v>47238.578680203049</v>
      </c>
      <c r="R13" s="12">
        <f>SCADATable!$P13*13%</f>
        <v>409401.01522842643</v>
      </c>
      <c r="S13" s="13">
        <f>SCADATable!$P13+SCADATable!$R13</f>
        <v>3558639.5939086298</v>
      </c>
      <c r="T13" s="11">
        <v>45659</v>
      </c>
      <c r="U13" s="14" t="s">
        <v>33</v>
      </c>
      <c r="V13" s="15">
        <v>45682</v>
      </c>
      <c r="W13" s="14" t="s">
        <v>29</v>
      </c>
      <c r="X13" s="16"/>
    </row>
    <row r="14" spans="1:26" x14ac:dyDescent="0.25">
      <c r="A14" s="7">
        <f t="shared" si="0"/>
        <v>13</v>
      </c>
      <c r="B14" s="8" t="s">
        <v>55</v>
      </c>
      <c r="C14" s="9" t="s">
        <v>56</v>
      </c>
      <c r="D14" s="10" t="s">
        <v>26</v>
      </c>
      <c r="E14" s="8" t="s">
        <v>27</v>
      </c>
      <c r="F14" s="8"/>
      <c r="G14" s="7">
        <v>0</v>
      </c>
      <c r="H14" s="11"/>
      <c r="I14" s="11"/>
      <c r="J14" s="32" t="b">
        <v>1</v>
      </c>
      <c r="K14" s="32" t="b">
        <v>1</v>
      </c>
      <c r="L14" s="32" t="b">
        <v>1</v>
      </c>
      <c r="M14" s="32" t="b">
        <v>1</v>
      </c>
      <c r="N14" s="8" t="str">
        <f>IF(COUNTIF(SCADATable!$J14:$M14,TRUE)/4=1,"Completed",IF(AND(COUNTIF(SCADATable!$J14:$M14,TRUE)/4&lt;1, SCADATable!$E14&lt;&gt;""),"In Progress","Not Assigned"))</f>
        <v>Completed</v>
      </c>
      <c r="O14" s="12">
        <v>2602000</v>
      </c>
      <c r="P14" s="12">
        <f>SCADATable!$O14/98.5%</f>
        <v>2641624.3654822335</v>
      </c>
      <c r="Q14" s="12">
        <f>SCADATable!$P14*1.5%</f>
        <v>39624.365482233501</v>
      </c>
      <c r="R14" s="12">
        <f>SCADATable!$P14*13%</f>
        <v>343411.16751269036</v>
      </c>
      <c r="S14" s="12">
        <f>SCADATable!$P14+SCADATable!$R14</f>
        <v>2985035.5329949236</v>
      </c>
      <c r="T14" s="11">
        <v>45664</v>
      </c>
      <c r="U14" s="14" t="s">
        <v>29</v>
      </c>
      <c r="V14" s="15"/>
      <c r="W14" s="14" t="s">
        <v>29</v>
      </c>
      <c r="X14" s="16"/>
    </row>
    <row r="15" spans="1:26" x14ac:dyDescent="0.25">
      <c r="A15" s="7">
        <f t="shared" si="0"/>
        <v>14</v>
      </c>
      <c r="B15" s="8" t="s">
        <v>57</v>
      </c>
      <c r="C15" s="9" t="s">
        <v>31</v>
      </c>
      <c r="D15" s="10" t="s">
        <v>26</v>
      </c>
      <c r="E15" s="8" t="s">
        <v>27</v>
      </c>
      <c r="F15" s="8"/>
      <c r="G15" s="7">
        <v>0</v>
      </c>
      <c r="H15" s="11"/>
      <c r="I15" s="11"/>
      <c r="J15" s="32" t="b">
        <v>1</v>
      </c>
      <c r="K15" s="32" t="b">
        <v>1</v>
      </c>
      <c r="L15" s="32" t="b">
        <v>1</v>
      </c>
      <c r="M15" s="32" t="b">
        <v>1</v>
      </c>
      <c r="N15" s="8" t="str">
        <f>IF(COUNTIF(SCADATable!$J15:$M15,TRUE)/4=1,"Completed",IF(AND(COUNTIF(SCADATable!$J15:$M15,TRUE)/4&lt;1, SCADATable!$E15&lt;&gt;""),"In Progress","Not Assigned"))</f>
        <v>Completed</v>
      </c>
      <c r="O15" s="12">
        <v>2352000</v>
      </c>
      <c r="P15" s="12">
        <f>SCADATable!$O15/98.5%</f>
        <v>2387817.2588832485</v>
      </c>
      <c r="Q15" s="12">
        <f>SCADATable!$P15*1.5%</f>
        <v>35817.258883248724</v>
      </c>
      <c r="R15" s="12">
        <f>SCADATable!$P15*13%</f>
        <v>310416.24365482235</v>
      </c>
      <c r="S15" s="13">
        <f>SCADATable!$P15+SCADATable!$R15</f>
        <v>2698233.502538071</v>
      </c>
      <c r="T15" s="11">
        <v>45657</v>
      </c>
      <c r="U15" s="14" t="s">
        <v>33</v>
      </c>
      <c r="V15" s="15">
        <v>45691</v>
      </c>
      <c r="W15" s="14" t="s">
        <v>29</v>
      </c>
      <c r="X15" s="16"/>
    </row>
    <row r="16" spans="1:26" x14ac:dyDescent="0.25">
      <c r="A16" s="7">
        <f t="shared" si="0"/>
        <v>15</v>
      </c>
      <c r="B16" s="8" t="s">
        <v>58</v>
      </c>
      <c r="C16" s="9" t="s">
        <v>59</v>
      </c>
      <c r="D16" s="10" t="s">
        <v>26</v>
      </c>
      <c r="E16" s="8" t="s">
        <v>27</v>
      </c>
      <c r="F16" s="8"/>
      <c r="G16" s="7">
        <v>0</v>
      </c>
      <c r="H16" s="11"/>
      <c r="I16" s="11">
        <v>45533</v>
      </c>
      <c r="J16" s="32" t="b">
        <v>1</v>
      </c>
      <c r="K16" s="32" t="b">
        <v>1</v>
      </c>
      <c r="L16" s="32" t="b">
        <v>1</v>
      </c>
      <c r="M16" s="32" t="b">
        <v>1</v>
      </c>
      <c r="N16" s="8" t="str">
        <f>IF(COUNTIF(SCADATable!$J16:$M16,TRUE)/4=1,"Completed",IF(AND(COUNTIF(SCADATable!$J16:$M16,TRUE)/4&lt;1, SCADATable!$E16&lt;&gt;""),"In Progress","Not Assigned"))</f>
        <v>Completed</v>
      </c>
      <c r="O16" s="12">
        <v>3602000</v>
      </c>
      <c r="P16" s="12">
        <f>SCADATable!$O16/98.5%</f>
        <v>3656852.7918781727</v>
      </c>
      <c r="Q16" s="12">
        <f>SCADATable!$P16*1.5%</f>
        <v>54852.791878172589</v>
      </c>
      <c r="R16" s="12">
        <f>SCADATable!$P16*13%</f>
        <v>475390.86294416245</v>
      </c>
      <c r="S16" s="13">
        <f>SCADATable!$P16+SCADATable!$R16</f>
        <v>4132243.6548223351</v>
      </c>
      <c r="T16" s="11">
        <v>45652</v>
      </c>
      <c r="U16" s="14" t="s">
        <v>29</v>
      </c>
      <c r="V16" s="15"/>
      <c r="W16" s="14" t="s">
        <v>29</v>
      </c>
      <c r="X16" s="16"/>
    </row>
    <row r="17" spans="1:26" x14ac:dyDescent="0.25">
      <c r="A17" s="7">
        <f t="shared" si="0"/>
        <v>16</v>
      </c>
      <c r="B17" s="8" t="s">
        <v>60</v>
      </c>
      <c r="C17" s="9" t="s">
        <v>61</v>
      </c>
      <c r="D17" s="10" t="s">
        <v>26</v>
      </c>
      <c r="E17" s="8" t="s">
        <v>28</v>
      </c>
      <c r="F17" s="8"/>
      <c r="G17" s="7">
        <v>0</v>
      </c>
      <c r="H17" s="11"/>
      <c r="I17" s="11"/>
      <c r="J17" s="32" t="b">
        <v>1</v>
      </c>
      <c r="K17" s="32" t="b">
        <v>1</v>
      </c>
      <c r="L17" s="32" t="b">
        <v>1</v>
      </c>
      <c r="M17" s="32" t="b">
        <v>1</v>
      </c>
      <c r="N17" s="8" t="str">
        <f>IF(COUNTIF(SCADATable!$J17:$M17,TRUE)/4=1,"Completed",IF(AND(COUNTIF(SCADATable!$J17:$M17,TRUE)/4&lt;1, SCADATable!$E17&lt;&gt;""),"In Progress","Not Assigned"))</f>
        <v>Completed</v>
      </c>
      <c r="O17" s="12">
        <v>2602000</v>
      </c>
      <c r="P17" s="12">
        <f>SCADATable!$O17/98.5%</f>
        <v>2641624.3654822335</v>
      </c>
      <c r="Q17" s="12">
        <f>SCADATable!$P17*1.5%</f>
        <v>39624.365482233501</v>
      </c>
      <c r="R17" s="12">
        <f>SCADATable!$P17*13%</f>
        <v>343411.16751269036</v>
      </c>
      <c r="S17" s="13">
        <f>SCADATable!$P17+SCADATable!$R17</f>
        <v>2985035.5329949236</v>
      </c>
      <c r="T17" s="11">
        <v>45652</v>
      </c>
      <c r="U17" s="14" t="s">
        <v>33</v>
      </c>
      <c r="V17" s="15">
        <v>45691</v>
      </c>
      <c r="W17" s="14" t="s">
        <v>29</v>
      </c>
      <c r="X17" s="16"/>
    </row>
    <row r="18" spans="1:26" x14ac:dyDescent="0.25">
      <c r="A18" s="7">
        <f t="shared" si="0"/>
        <v>17</v>
      </c>
      <c r="B18" s="8" t="s">
        <v>62</v>
      </c>
      <c r="C18" s="9"/>
      <c r="D18" s="10" t="s">
        <v>63</v>
      </c>
      <c r="E18" s="8" t="s">
        <v>27</v>
      </c>
      <c r="F18" s="8"/>
      <c r="G18" s="7">
        <v>0</v>
      </c>
      <c r="H18" s="11"/>
      <c r="I18" s="11"/>
      <c r="J18" s="32" t="b">
        <v>1</v>
      </c>
      <c r="K18" s="32" t="b">
        <v>1</v>
      </c>
      <c r="L18" s="32" t="b">
        <v>1</v>
      </c>
      <c r="M18" s="32" t="b">
        <v>1</v>
      </c>
      <c r="N18" s="8" t="str">
        <f>IF(COUNTIF(SCADATable!$J18:$M18,TRUE)/4=1,"Completed",IF(AND(COUNTIF(SCADATable!$J18:$M18,TRUE)/4&lt;1, SCADATable!$E18&lt;&gt;""),"In Progress","Not Assigned"))</f>
        <v>Completed</v>
      </c>
      <c r="O18" s="12">
        <f>2352000+15*250000+4*250000</f>
        <v>7102000</v>
      </c>
      <c r="P18" s="12">
        <f>SCADATable!$O18/98.5%</f>
        <v>7210152.2842639592</v>
      </c>
      <c r="Q18" s="12">
        <f>SCADATable!$P18*1.5%</f>
        <v>108152.28426395939</v>
      </c>
      <c r="R18" s="12">
        <f>SCADATable!$P18*13%</f>
        <v>937319.79695431469</v>
      </c>
      <c r="S18" s="12">
        <f>SCADATable!$P18+SCADATable!$R18</f>
        <v>8147472.0812182743</v>
      </c>
      <c r="T18" s="11">
        <v>45666</v>
      </c>
      <c r="U18" s="14" t="s">
        <v>29</v>
      </c>
      <c r="V18" s="15"/>
      <c r="W18" s="14" t="s">
        <v>29</v>
      </c>
      <c r="X18" s="16"/>
    </row>
    <row r="19" spans="1:26" x14ac:dyDescent="0.25">
      <c r="A19" s="7">
        <f t="shared" si="0"/>
        <v>18</v>
      </c>
      <c r="B19" s="8" t="s">
        <v>64</v>
      </c>
      <c r="C19" s="9"/>
      <c r="D19" s="10" t="s">
        <v>63</v>
      </c>
      <c r="E19" s="8" t="s">
        <v>28</v>
      </c>
      <c r="F19" s="8" t="s">
        <v>27</v>
      </c>
      <c r="G19" s="7">
        <v>0</v>
      </c>
      <c r="H19" s="11"/>
      <c r="I19" s="11"/>
      <c r="J19" s="32" t="b">
        <v>1</v>
      </c>
      <c r="K19" s="32" t="b">
        <v>1</v>
      </c>
      <c r="L19" s="32" t="b">
        <v>1</v>
      </c>
      <c r="M19" s="32" t="b">
        <v>1</v>
      </c>
      <c r="N19" s="8" t="str">
        <f>IF(COUNTIF(SCADATable!$J19:$M19,TRUE)/4=1,"Completed",IF(AND(COUNTIF(SCADATable!$J19:$M19,TRUE)/4&lt;1, SCADATable!$E19&lt;&gt;""),"In Progress","Not Assigned"))</f>
        <v>Completed</v>
      </c>
      <c r="O19" s="12"/>
      <c r="P19" s="12">
        <f>SCADATable!$O19/98.5%</f>
        <v>0</v>
      </c>
      <c r="Q19" s="12">
        <f>SCADATable!$P19*1.5%</f>
        <v>0</v>
      </c>
      <c r="R19" s="12">
        <f>SCADATable!$P19*13%</f>
        <v>0</v>
      </c>
      <c r="S19" s="12">
        <f>SCADATable!$P19+SCADATable!$R19</f>
        <v>0</v>
      </c>
      <c r="T19" s="11"/>
      <c r="U19" s="14" t="s">
        <v>29</v>
      </c>
      <c r="V19" s="15"/>
      <c r="W19" s="14" t="s">
        <v>29</v>
      </c>
      <c r="X19" s="16"/>
    </row>
    <row r="20" spans="1:26" ht="30" x14ac:dyDescent="0.25">
      <c r="A20" s="7">
        <f t="shared" si="0"/>
        <v>19</v>
      </c>
      <c r="B20" s="8" t="s">
        <v>65</v>
      </c>
      <c r="C20" s="9" t="s">
        <v>66</v>
      </c>
      <c r="D20" s="10" t="s">
        <v>63</v>
      </c>
      <c r="E20" s="8" t="s">
        <v>27</v>
      </c>
      <c r="F20" s="8" t="s">
        <v>28</v>
      </c>
      <c r="G20" s="7">
        <v>0</v>
      </c>
      <c r="H20" s="11"/>
      <c r="I20" s="11"/>
      <c r="J20" s="32" t="b">
        <v>1</v>
      </c>
      <c r="K20" s="32" t="b">
        <v>1</v>
      </c>
      <c r="L20" s="32" t="b">
        <v>1</v>
      </c>
      <c r="M20" s="32" t="b">
        <v>1</v>
      </c>
      <c r="N20" s="8" t="str">
        <f>IF(COUNTIF(SCADATable!$J20:$M20,TRUE)/4=1,"Completed",IF(AND(COUNTIF(SCADATable!$J20:$M20,TRUE)/4&lt;1, SCADATable!$E20&lt;&gt;""),"In Progress","Not Assigned"))</f>
        <v>Completed</v>
      </c>
      <c r="O20" s="12">
        <f>2352000+8*250000+250000</f>
        <v>4602000</v>
      </c>
      <c r="P20" s="12">
        <f>SCADATable!$O20/98.5%</f>
        <v>4672081.2182741119</v>
      </c>
      <c r="Q20" s="12">
        <f>SCADATable!$P20*1.5%</f>
        <v>70081.21827411167</v>
      </c>
      <c r="R20" s="12">
        <f>SCADATable!$P20*13%</f>
        <v>607370.5583756346</v>
      </c>
      <c r="S20" s="12">
        <f>SCADATable!$P20+SCADATable!$R20</f>
        <v>5279451.7766497461</v>
      </c>
      <c r="T20" s="11">
        <v>45667</v>
      </c>
      <c r="U20" s="14" t="s">
        <v>29</v>
      </c>
      <c r="V20" s="15"/>
      <c r="W20" s="14" t="s">
        <v>29</v>
      </c>
      <c r="X20" s="16"/>
    </row>
    <row r="21" spans="1:26" x14ac:dyDescent="0.25">
      <c r="A21" s="7">
        <f t="shared" si="0"/>
        <v>20</v>
      </c>
      <c r="B21" s="8" t="s">
        <v>67</v>
      </c>
      <c r="C21" s="9" t="s">
        <v>68</v>
      </c>
      <c r="D21" s="10" t="s">
        <v>26</v>
      </c>
      <c r="E21" s="8" t="s">
        <v>27</v>
      </c>
      <c r="F21" s="8"/>
      <c r="G21" s="7">
        <v>0</v>
      </c>
      <c r="H21" s="11"/>
      <c r="I21" s="11"/>
      <c r="J21" s="32" t="b">
        <v>1</v>
      </c>
      <c r="K21" s="32" t="b">
        <v>1</v>
      </c>
      <c r="L21" s="32" t="b">
        <v>1</v>
      </c>
      <c r="M21" s="32" t="b">
        <v>0</v>
      </c>
      <c r="N21" s="8" t="str">
        <f>IF(COUNTIF(SCADATable!$J21:$M21,TRUE)/4=1,"Completed",IF(AND(COUNTIF(SCADATable!$J21:$M21,TRUE)/4&lt;1, SCADATable!$E21&lt;&gt;""),"In Progress","Not Assigned"))</f>
        <v>In Progress</v>
      </c>
      <c r="O21" s="12">
        <f>2352000+250000</f>
        <v>2602000</v>
      </c>
      <c r="P21" s="12">
        <f>SCADATable!$O21/98.5%</f>
        <v>2641624.3654822335</v>
      </c>
      <c r="Q21" s="12">
        <f>SCADATable!$P21*1.5%</f>
        <v>39624.365482233501</v>
      </c>
      <c r="R21" s="12">
        <f>SCADATable!$P21*13%</f>
        <v>343411.16751269036</v>
      </c>
      <c r="S21" s="13">
        <f>SCADATable!$P21+SCADATable!$R21</f>
        <v>2985035.5329949236</v>
      </c>
      <c r="T21" s="11">
        <v>45652</v>
      </c>
      <c r="U21" s="14" t="s">
        <v>29</v>
      </c>
      <c r="V21" s="15"/>
      <c r="W21" s="14" t="s">
        <v>29</v>
      </c>
      <c r="X21" s="16"/>
    </row>
    <row r="22" spans="1:26" ht="30" x14ac:dyDescent="0.25">
      <c r="A22" s="7">
        <f t="shared" si="0"/>
        <v>21</v>
      </c>
      <c r="B22" s="8" t="s">
        <v>69</v>
      </c>
      <c r="C22" s="9" t="s">
        <v>70</v>
      </c>
      <c r="D22" s="10" t="s">
        <v>26</v>
      </c>
      <c r="E22" s="8" t="s">
        <v>27</v>
      </c>
      <c r="F22" s="8"/>
      <c r="G22" s="7">
        <v>0</v>
      </c>
      <c r="H22" s="11"/>
      <c r="I22" s="11">
        <v>45560</v>
      </c>
      <c r="J22" s="32" t="b">
        <v>1</v>
      </c>
      <c r="K22" s="32" t="b">
        <v>1</v>
      </c>
      <c r="L22" s="32" t="b">
        <v>1</v>
      </c>
      <c r="M22" s="32" t="b">
        <v>1</v>
      </c>
      <c r="N22" s="8" t="str">
        <f>IF(COUNTIF(SCADATable!$J22:$M22,TRUE)/4=1,"Completed",IF(AND(COUNTIF(SCADATable!$J22:$M22,TRUE)/4&lt;1, SCADATable!$E22&lt;&gt;""),"In Progress","Not Assigned"))</f>
        <v>Completed</v>
      </c>
      <c r="O22" s="12">
        <f>13*250000</f>
        <v>3250000</v>
      </c>
      <c r="P22" s="12">
        <f>SCADATable!$O22/98.5%</f>
        <v>3299492.385786802</v>
      </c>
      <c r="Q22" s="12">
        <f>SCADATable!$P22*1.5%</f>
        <v>49492.385786802028</v>
      </c>
      <c r="R22" s="12">
        <f>SCADATable!$P22*13%</f>
        <v>428934.01015228429</v>
      </c>
      <c r="S22" s="12">
        <f>SCADATable!$P22+SCADATable!$R22</f>
        <v>3728426.3959390866</v>
      </c>
      <c r="T22" s="11">
        <v>45668</v>
      </c>
      <c r="U22" s="14" t="s">
        <v>29</v>
      </c>
      <c r="V22" s="15"/>
      <c r="W22" s="14" t="s">
        <v>29</v>
      </c>
      <c r="X22" s="16"/>
    </row>
    <row r="23" spans="1:26" x14ac:dyDescent="0.25">
      <c r="A23" s="7">
        <f t="shared" si="0"/>
        <v>22</v>
      </c>
      <c r="B23" s="8" t="s">
        <v>71</v>
      </c>
      <c r="C23" s="9" t="s">
        <v>72</v>
      </c>
      <c r="D23" s="10" t="s">
        <v>26</v>
      </c>
      <c r="E23" s="8" t="s">
        <v>27</v>
      </c>
      <c r="F23" s="8"/>
      <c r="G23" s="7">
        <v>0</v>
      </c>
      <c r="H23" s="11"/>
      <c r="I23" s="11"/>
      <c r="J23" s="32" t="b">
        <v>1</v>
      </c>
      <c r="K23" s="32" t="b">
        <v>1</v>
      </c>
      <c r="L23" s="32" t="b">
        <v>1</v>
      </c>
      <c r="M23" s="32" t="b">
        <v>1</v>
      </c>
      <c r="N23" s="8" t="str">
        <f>IF(COUNTIF(SCADATable!$J23:$M23,TRUE)/4=1,"Completed",IF(AND(COUNTIF(SCADATable!$J23:$M23,TRUE)/4&lt;1, SCADATable!$E23&lt;&gt;""),"In Progress","Not Assigned"))</f>
        <v>Completed</v>
      </c>
      <c r="O23" s="12">
        <v>2602000</v>
      </c>
      <c r="P23" s="12">
        <f>SCADATable!$O23/98.5%</f>
        <v>2641624.3654822335</v>
      </c>
      <c r="Q23" s="12">
        <f>SCADATable!$P23*1.5%</f>
        <v>39624.365482233501</v>
      </c>
      <c r="R23" s="12">
        <f>SCADATable!$P23*13%</f>
        <v>343411.16751269036</v>
      </c>
      <c r="S23" s="13">
        <f>SCADATable!$P23+SCADATable!$R23</f>
        <v>2985035.5329949236</v>
      </c>
      <c r="T23" s="11">
        <v>45657</v>
      </c>
      <c r="U23" s="14" t="s">
        <v>33</v>
      </c>
      <c r="V23" s="15">
        <v>45712</v>
      </c>
      <c r="W23" s="14" t="s">
        <v>29</v>
      </c>
      <c r="X23" s="16"/>
    </row>
    <row r="24" spans="1:26" x14ac:dyDescent="0.25">
      <c r="A24" s="7">
        <f t="shared" si="0"/>
        <v>23</v>
      </c>
      <c r="B24" s="8" t="s">
        <v>73</v>
      </c>
      <c r="C24" s="9" t="s">
        <v>74</v>
      </c>
      <c r="D24" s="10" t="s">
        <v>26</v>
      </c>
      <c r="E24" s="8" t="s">
        <v>27</v>
      </c>
      <c r="F24" s="8"/>
      <c r="G24" s="7">
        <v>0</v>
      </c>
      <c r="H24" s="11"/>
      <c r="I24" s="11">
        <v>45620</v>
      </c>
      <c r="J24" s="32" t="b">
        <v>1</v>
      </c>
      <c r="K24" s="32" t="b">
        <v>1</v>
      </c>
      <c r="L24" s="32" t="b">
        <v>1</v>
      </c>
      <c r="M24" s="32" t="b">
        <v>1</v>
      </c>
      <c r="N24" s="8" t="str">
        <f>IF(COUNTIF(SCADATable!$J24:$M24,TRUE)/4=1,"Completed",IF(AND(COUNTIF(SCADATable!$J24:$M24,TRUE)/4&lt;1, SCADATable!$E24&lt;&gt;""),"In Progress","Not Assigned"))</f>
        <v>Completed</v>
      </c>
      <c r="O24" s="12">
        <f>2352000+250000</f>
        <v>2602000</v>
      </c>
      <c r="P24" s="12">
        <f>SCADATable!$O24/98.5%</f>
        <v>2641624.3654822335</v>
      </c>
      <c r="Q24" s="12">
        <f>SCADATable!$P24*1.5%</f>
        <v>39624.365482233501</v>
      </c>
      <c r="R24" s="12">
        <f>SCADATable!$P24*13%</f>
        <v>343411.16751269036</v>
      </c>
      <c r="S24" s="13">
        <f>SCADATable!$P24+SCADATable!$R24</f>
        <v>2985035.5329949236</v>
      </c>
      <c r="T24" s="11">
        <v>45652</v>
      </c>
      <c r="U24" s="14" t="s">
        <v>33</v>
      </c>
      <c r="V24" s="15">
        <v>45709</v>
      </c>
      <c r="W24" s="14" t="s">
        <v>29</v>
      </c>
      <c r="X24" s="16"/>
    </row>
    <row r="25" spans="1:26" ht="30" x14ac:dyDescent="0.25">
      <c r="A25" s="7">
        <f t="shared" si="0"/>
        <v>24</v>
      </c>
      <c r="B25" s="8" t="s">
        <v>75</v>
      </c>
      <c r="C25" s="9" t="s">
        <v>76</v>
      </c>
      <c r="D25" s="10" t="s">
        <v>63</v>
      </c>
      <c r="E25" s="8" t="s">
        <v>28</v>
      </c>
      <c r="F25" s="8" t="s">
        <v>27</v>
      </c>
      <c r="G25" s="7">
        <v>0</v>
      </c>
      <c r="H25" s="11"/>
      <c r="I25" s="11">
        <v>45684</v>
      </c>
      <c r="J25" s="32" t="b">
        <v>1</v>
      </c>
      <c r="K25" s="32" t="b">
        <v>1</v>
      </c>
      <c r="L25" s="32" t="b">
        <v>1</v>
      </c>
      <c r="M25" s="32" t="b">
        <v>1</v>
      </c>
      <c r="N25" s="8" t="str">
        <f>IF(COUNTIF(SCADATable!$J25:$M25,TRUE)/4=1,"Completed",IF(AND(COUNTIF(SCADATable!$J25:$M25,TRUE)/4&lt;1, SCADATable!$E25&lt;&gt;""),"In Progress","Not Assigned"))</f>
        <v>Completed</v>
      </c>
      <c r="O25" s="12">
        <f>2352000+3*250000+3*250000</f>
        <v>3852000</v>
      </c>
      <c r="P25" s="12">
        <f>SCADATable!$O25/98.5%</f>
        <v>3910659.8984771576</v>
      </c>
      <c r="Q25" s="12">
        <f>SCADATable!$P25*1.5%</f>
        <v>58659.89847715736</v>
      </c>
      <c r="R25" s="12">
        <f>SCADATable!$P25*13%</f>
        <v>508385.78680203052</v>
      </c>
      <c r="S25" s="12">
        <f>SCADATable!$P25+SCADATable!$R25</f>
        <v>4419045.6852791877</v>
      </c>
      <c r="T25" s="11">
        <v>45667</v>
      </c>
      <c r="U25" s="14" t="s">
        <v>29</v>
      </c>
      <c r="V25" s="15"/>
      <c r="W25" s="14" t="s">
        <v>29</v>
      </c>
      <c r="X25" s="16"/>
      <c r="Y25" s="16"/>
      <c r="Z25" s="16"/>
    </row>
    <row r="26" spans="1:26" x14ac:dyDescent="0.25">
      <c r="A26" s="7">
        <f t="shared" si="0"/>
        <v>25</v>
      </c>
      <c r="B26" s="8" t="s">
        <v>77</v>
      </c>
      <c r="C26" s="9" t="s">
        <v>78</v>
      </c>
      <c r="D26" s="10" t="s">
        <v>63</v>
      </c>
      <c r="E26" s="8" t="s">
        <v>27</v>
      </c>
      <c r="F26" s="8"/>
      <c r="G26" s="7">
        <v>0</v>
      </c>
      <c r="H26" s="11">
        <v>45620</v>
      </c>
      <c r="I26" s="11"/>
      <c r="J26" s="32" t="b">
        <v>1</v>
      </c>
      <c r="K26" s="32" t="b">
        <v>1</v>
      </c>
      <c r="L26" s="32" t="b">
        <v>1</v>
      </c>
      <c r="M26" s="32" t="b">
        <v>1</v>
      </c>
      <c r="N26" s="8" t="str">
        <f>IF(COUNTIF(SCADATable!$J26:$M26,TRUE)/4=1,"Completed",IF(AND(COUNTIF(SCADATable!$J26:$M26,TRUE)/4&lt;1, SCADATable!$E26&lt;&gt;""),"In Progress","Not Assigned"))</f>
        <v>Completed</v>
      </c>
      <c r="O26" s="12">
        <f>2352000+11*250000+2*250000</f>
        <v>5602000</v>
      </c>
      <c r="P26" s="12">
        <f>SCADATable!$O26/98.5%</f>
        <v>5687309.6446700506</v>
      </c>
      <c r="Q26" s="12">
        <f>SCADATable!$P26*1.5%</f>
        <v>85309.644670050751</v>
      </c>
      <c r="R26" s="12">
        <f>SCADATable!$P26*13%</f>
        <v>739350.25380710664</v>
      </c>
      <c r="S26" s="12">
        <f>SCADATable!$P26+SCADATable!$R26</f>
        <v>6426659.8984771576</v>
      </c>
      <c r="T26" s="11">
        <v>45666</v>
      </c>
      <c r="U26" s="14" t="s">
        <v>29</v>
      </c>
      <c r="V26" s="15"/>
      <c r="W26" s="14" t="s">
        <v>29</v>
      </c>
      <c r="X26" s="16"/>
    </row>
    <row r="27" spans="1:26" ht="30" x14ac:dyDescent="0.25">
      <c r="A27" s="7">
        <f t="shared" si="0"/>
        <v>26</v>
      </c>
      <c r="B27" s="8" t="s">
        <v>79</v>
      </c>
      <c r="C27" s="9" t="s">
        <v>66</v>
      </c>
      <c r="D27" s="10" t="s">
        <v>63</v>
      </c>
      <c r="E27" s="8" t="s">
        <v>28</v>
      </c>
      <c r="F27" s="8"/>
      <c r="G27" s="7">
        <v>0</v>
      </c>
      <c r="H27" s="11"/>
      <c r="I27" s="11"/>
      <c r="J27" s="32" t="b">
        <v>1</v>
      </c>
      <c r="K27" s="32" t="b">
        <v>1</v>
      </c>
      <c r="L27" s="32" t="b">
        <v>1</v>
      </c>
      <c r="M27" s="32" t="b">
        <v>0</v>
      </c>
      <c r="N27" s="8" t="str">
        <f>IF(COUNTIF(SCADATable!$J27:$M27,TRUE)/4=1,"Completed",IF(AND(COUNTIF(SCADATable!$J27:$M27,TRUE)/4&lt;1, SCADATable!$E27&lt;&gt;""),"In Progress","Not Assigned"))</f>
        <v>In Progress</v>
      </c>
      <c r="O27" s="12">
        <f>2352000+14*250000+2*250000</f>
        <v>6352000</v>
      </c>
      <c r="P27" s="12">
        <f>SCADATable!$O27/98.5%</f>
        <v>6448730.9644670049</v>
      </c>
      <c r="Q27" s="12">
        <f>SCADATable!$P27*1.5%</f>
        <v>96730.964467005077</v>
      </c>
      <c r="R27" s="12">
        <f>SCADATable!$P27*13%</f>
        <v>838335.02538071061</v>
      </c>
      <c r="S27" s="12">
        <f>SCADATable!$P27+SCADATable!$R27</f>
        <v>7287065.9898477159</v>
      </c>
      <c r="T27" s="11">
        <v>45667</v>
      </c>
      <c r="U27" s="14" t="s">
        <v>29</v>
      </c>
      <c r="V27" s="15"/>
      <c r="W27" s="14" t="s">
        <v>29</v>
      </c>
      <c r="X27" s="16"/>
      <c r="Y27" s="16"/>
      <c r="Z27" s="16"/>
    </row>
    <row r="28" spans="1:26" ht="30" x14ac:dyDescent="0.25">
      <c r="A28" s="7">
        <f t="shared" si="0"/>
        <v>27</v>
      </c>
      <c r="B28" s="8" t="s">
        <v>80</v>
      </c>
      <c r="C28" s="9" t="s">
        <v>81</v>
      </c>
      <c r="D28" s="10" t="s">
        <v>26</v>
      </c>
      <c r="E28" s="8" t="s">
        <v>82</v>
      </c>
      <c r="F28" s="8"/>
      <c r="G28" s="7">
        <v>0</v>
      </c>
      <c r="H28" s="11"/>
      <c r="I28" s="11"/>
      <c r="J28" s="32" t="b">
        <v>1</v>
      </c>
      <c r="K28" s="32" t="b">
        <v>1</v>
      </c>
      <c r="L28" s="32" t="b">
        <v>1</v>
      </c>
      <c r="M28" s="32" t="b">
        <v>1</v>
      </c>
      <c r="N28" s="8" t="str">
        <f>IF(COUNTIF(SCADATable!$J28:$M28,TRUE)/4=1,"Completed",IF(AND(COUNTIF(SCADATable!$J28:$M28,TRUE)/4&lt;1, SCADATable!$E28&lt;&gt;""),"In Progress","Not Assigned"))</f>
        <v>Completed</v>
      </c>
      <c r="O28" s="12">
        <v>2602000</v>
      </c>
      <c r="P28" s="12">
        <f>SCADATable!$O28/98.5%</f>
        <v>2641624.3654822335</v>
      </c>
      <c r="Q28" s="12">
        <f>SCADATable!$P28*1.5%</f>
        <v>39624.365482233501</v>
      </c>
      <c r="R28" s="12">
        <f>SCADATable!$P28*13%</f>
        <v>343411.16751269036</v>
      </c>
      <c r="S28" s="13">
        <f>SCADATable!$P28+SCADATable!$R28</f>
        <v>2985035.5329949236</v>
      </c>
      <c r="T28" s="11">
        <v>45652</v>
      </c>
      <c r="U28" s="14" t="s">
        <v>33</v>
      </c>
      <c r="V28" s="15">
        <v>45708</v>
      </c>
      <c r="W28" s="14" t="s">
        <v>29</v>
      </c>
      <c r="X28" s="16"/>
    </row>
    <row r="29" spans="1:26" x14ac:dyDescent="0.25">
      <c r="A29" s="7">
        <f t="shared" si="0"/>
        <v>28</v>
      </c>
      <c r="B29" s="8" t="s">
        <v>83</v>
      </c>
      <c r="C29" s="9" t="s">
        <v>84</v>
      </c>
      <c r="D29" s="10" t="s">
        <v>26</v>
      </c>
      <c r="E29" s="8" t="s">
        <v>82</v>
      </c>
      <c r="F29" s="8"/>
      <c r="G29" s="7">
        <v>0</v>
      </c>
      <c r="H29" s="11"/>
      <c r="I29" s="11"/>
      <c r="J29" s="32" t="b">
        <v>1</v>
      </c>
      <c r="K29" s="32" t="b">
        <v>1</v>
      </c>
      <c r="L29" s="32" t="b">
        <v>1</v>
      </c>
      <c r="M29" s="32" t="b">
        <v>1</v>
      </c>
      <c r="N29" s="8" t="str">
        <f>IF(COUNTIF(SCADATable!$J29:$M29,TRUE)/4=1,"Completed",IF(AND(COUNTIF(SCADATable!$J29:$M29,TRUE)/4&lt;1, SCADATable!$E29&lt;&gt;""),"In Progress","Not Assigned"))</f>
        <v>Completed</v>
      </c>
      <c r="O29" s="12">
        <v>2602000</v>
      </c>
      <c r="P29" s="12">
        <f>SCADATable!$O29/98.5%</f>
        <v>2641624.3654822335</v>
      </c>
      <c r="Q29" s="12">
        <f>SCADATable!$P29*1.5%</f>
        <v>39624.365482233501</v>
      </c>
      <c r="R29" s="12">
        <f>SCADATable!$P29*13%</f>
        <v>343411.16751269036</v>
      </c>
      <c r="S29" s="13">
        <f>SCADATable!$P29+SCADATable!$R29</f>
        <v>2985035.5329949236</v>
      </c>
      <c r="T29" s="11">
        <v>45657</v>
      </c>
      <c r="U29" s="14" t="s">
        <v>29</v>
      </c>
      <c r="V29" s="15"/>
      <c r="W29" s="14" t="s">
        <v>29</v>
      </c>
      <c r="X29" s="16"/>
    </row>
    <row r="30" spans="1:26" x14ac:dyDescent="0.25">
      <c r="A30" s="7">
        <f t="shared" si="0"/>
        <v>29</v>
      </c>
      <c r="B30" s="8" t="s">
        <v>85</v>
      </c>
      <c r="C30" s="9" t="s">
        <v>86</v>
      </c>
      <c r="D30" s="10" t="s">
        <v>26</v>
      </c>
      <c r="E30" s="8" t="s">
        <v>82</v>
      </c>
      <c r="F30" s="8"/>
      <c r="G30" s="7">
        <v>0</v>
      </c>
      <c r="H30" s="11"/>
      <c r="I30" s="11"/>
      <c r="J30" s="32" t="b">
        <v>1</v>
      </c>
      <c r="K30" s="32" t="b">
        <v>1</v>
      </c>
      <c r="L30" s="32" t="b">
        <v>1</v>
      </c>
      <c r="M30" s="32" t="b">
        <v>1</v>
      </c>
      <c r="N30" s="8" t="str">
        <f>IF(COUNTIF(SCADATable!$J30:$M30,TRUE)/4=1,"Completed",IF(AND(COUNTIF(SCADATable!$J30:$M30,TRUE)/4&lt;1, SCADATable!$E30&lt;&gt;""),"In Progress","Not Assigned"))</f>
        <v>Completed</v>
      </c>
      <c r="O30" s="12">
        <f>2352000+3*250000</f>
        <v>3102000</v>
      </c>
      <c r="P30" s="12">
        <f>SCADATable!$O30/98.5%</f>
        <v>3149238.5786802033</v>
      </c>
      <c r="Q30" s="12">
        <f>SCADATable!$P30*1.5%</f>
        <v>47238.578680203049</v>
      </c>
      <c r="R30" s="12">
        <f>SCADATable!$P30*13%</f>
        <v>409401.01522842643</v>
      </c>
      <c r="S30" s="13">
        <f>SCADATable!$P30+SCADATable!$R30</f>
        <v>3558639.5939086298</v>
      </c>
      <c r="T30" s="11">
        <v>45652</v>
      </c>
      <c r="U30" s="14" t="s">
        <v>33</v>
      </c>
      <c r="V30" s="15">
        <v>45701</v>
      </c>
      <c r="W30" s="14" t="s">
        <v>29</v>
      </c>
      <c r="X30" s="16"/>
    </row>
    <row r="31" spans="1:26" ht="30" x14ac:dyDescent="0.25">
      <c r="A31" s="7">
        <f t="shared" si="0"/>
        <v>30</v>
      </c>
      <c r="B31" s="8" t="s">
        <v>87</v>
      </c>
      <c r="C31" s="9" t="s">
        <v>129</v>
      </c>
      <c r="D31" s="10" t="s">
        <v>63</v>
      </c>
      <c r="E31" s="8" t="s">
        <v>82</v>
      </c>
      <c r="F31" s="8" t="s">
        <v>27</v>
      </c>
      <c r="G31" s="7">
        <v>0</v>
      </c>
      <c r="H31" s="11"/>
      <c r="I31" s="11"/>
      <c r="J31" s="32" t="b">
        <v>1</v>
      </c>
      <c r="K31" s="32" t="b">
        <v>1</v>
      </c>
      <c r="L31" s="32" t="b">
        <v>1</v>
      </c>
      <c r="M31" s="32" t="b">
        <v>1</v>
      </c>
      <c r="N31" s="8" t="str">
        <f>IF(COUNTIF(SCADATable!$J31:$M31,TRUE)/4=1,"Completed",IF(AND(COUNTIF(SCADATable!$J31:$M31,TRUE)/4&lt;1, SCADATable!$E31&lt;&gt;""),"In Progress","Not Assigned"))</f>
        <v>Completed</v>
      </c>
      <c r="O31" s="12">
        <f>2352000+250000+2*250000</f>
        <v>3102000</v>
      </c>
      <c r="P31" s="12">
        <f>SCADATable!$O31/98.5%</f>
        <v>3149238.5786802033</v>
      </c>
      <c r="Q31" s="12">
        <f>SCADATable!$P31*1.5%</f>
        <v>47238.578680203049</v>
      </c>
      <c r="R31" s="12">
        <f>SCADATable!$P31*13%</f>
        <v>409401.01522842643</v>
      </c>
      <c r="S31" s="12">
        <f>SCADATable!$P31+SCADATable!$R31</f>
        <v>3558639.5939086298</v>
      </c>
      <c r="T31" s="11">
        <v>45666</v>
      </c>
      <c r="U31" s="14" t="s">
        <v>29</v>
      </c>
      <c r="V31" s="15"/>
      <c r="W31" s="14" t="s">
        <v>29</v>
      </c>
      <c r="X31" s="16"/>
    </row>
    <row r="32" spans="1:26" x14ac:dyDescent="0.25">
      <c r="A32" s="7">
        <f t="shared" si="0"/>
        <v>31</v>
      </c>
      <c r="B32" s="8" t="s">
        <v>88</v>
      </c>
      <c r="C32" s="9"/>
      <c r="D32" s="10" t="s">
        <v>63</v>
      </c>
      <c r="E32" s="8" t="s">
        <v>82</v>
      </c>
      <c r="F32" s="8"/>
      <c r="G32" s="7">
        <v>0</v>
      </c>
      <c r="H32" s="11"/>
      <c r="I32" s="11"/>
      <c r="J32" s="32" t="b">
        <v>1</v>
      </c>
      <c r="K32" s="32" t="b">
        <v>1</v>
      </c>
      <c r="L32" s="32" t="b">
        <v>1</v>
      </c>
      <c r="M32" s="32" t="b">
        <v>0</v>
      </c>
      <c r="N32" s="8" t="str">
        <f>IF(COUNTIF(SCADATable!$J32:$M32,TRUE)/4=1,"Completed",IF(AND(COUNTIF(SCADATable!$J32:$M32,TRUE)/4&lt;1, SCADATable!$E32&lt;&gt;""),"In Progress","Not Assigned"))</f>
        <v>In Progress</v>
      </c>
      <c r="O32" s="12">
        <f>2352000+15*250000+250000</f>
        <v>6352000</v>
      </c>
      <c r="P32" s="12">
        <f>SCADATable!$O32/98.5%</f>
        <v>6448730.9644670049</v>
      </c>
      <c r="Q32" s="12">
        <f>SCADATable!$P32*1.5%</f>
        <v>96730.964467005077</v>
      </c>
      <c r="R32" s="12">
        <f>SCADATable!$P32*13%</f>
        <v>838335.02538071061</v>
      </c>
      <c r="S32" s="12">
        <f>SCADATable!$P32+SCADATable!$R32</f>
        <v>7287065.9898477159</v>
      </c>
      <c r="T32" s="11">
        <v>45666</v>
      </c>
      <c r="U32" s="14" t="s">
        <v>29</v>
      </c>
      <c r="V32" s="15"/>
      <c r="W32" s="14" t="s">
        <v>29</v>
      </c>
      <c r="X32" s="16"/>
    </row>
    <row r="33" spans="1:24" x14ac:dyDescent="0.25">
      <c r="A33" s="7">
        <f t="shared" si="0"/>
        <v>32</v>
      </c>
      <c r="B33" s="8" t="s">
        <v>89</v>
      </c>
      <c r="C33" s="9"/>
      <c r="D33" s="10" t="s">
        <v>63</v>
      </c>
      <c r="E33" s="8" t="s">
        <v>27</v>
      </c>
      <c r="F33" s="8"/>
      <c r="G33" s="7">
        <v>0</v>
      </c>
      <c r="H33" s="11">
        <v>45624</v>
      </c>
      <c r="I33" s="11"/>
      <c r="J33" s="32" t="b">
        <v>1</v>
      </c>
      <c r="K33" s="32" t="b">
        <v>1</v>
      </c>
      <c r="L33" s="32" t="b">
        <v>1</v>
      </c>
      <c r="M33" s="32" t="b">
        <v>0</v>
      </c>
      <c r="N33" s="8" t="str">
        <f>IF(COUNTIF(SCADATable!$J33:$M33,TRUE)/4=1,"Completed",IF(AND(COUNTIF(SCADATable!$J33:$M33,TRUE)/4&lt;1, SCADATable!$E33&lt;&gt;""),"In Progress","Not Assigned"))</f>
        <v>In Progress</v>
      </c>
      <c r="O33" s="12">
        <f>2352000+10*250000+250000</f>
        <v>5102000</v>
      </c>
      <c r="P33" s="12">
        <f>SCADATable!$O33/98.5%</f>
        <v>5179695.4314720817</v>
      </c>
      <c r="Q33" s="12">
        <f>SCADATable!$P33*1.5%</f>
        <v>77695.431472081225</v>
      </c>
      <c r="R33" s="12">
        <f>SCADATable!$P33*13%</f>
        <v>673360.40609137062</v>
      </c>
      <c r="S33" s="12">
        <f>SCADATable!$P33+SCADATable!$R33</f>
        <v>5853055.8375634523</v>
      </c>
      <c r="T33" s="11">
        <v>45666</v>
      </c>
      <c r="U33" s="14" t="s">
        <v>29</v>
      </c>
      <c r="V33" s="15"/>
      <c r="W33" s="14" t="s">
        <v>29</v>
      </c>
      <c r="X33" s="16"/>
    </row>
    <row r="34" spans="1:24" x14ac:dyDescent="0.25">
      <c r="A34" s="7">
        <f t="shared" si="0"/>
        <v>33</v>
      </c>
      <c r="B34" s="8" t="s">
        <v>90</v>
      </c>
      <c r="C34" s="9" t="s">
        <v>91</v>
      </c>
      <c r="D34" s="10" t="s">
        <v>26</v>
      </c>
      <c r="E34" s="8" t="s">
        <v>27</v>
      </c>
      <c r="F34" s="8"/>
      <c r="G34" s="7">
        <v>0</v>
      </c>
      <c r="H34" s="11">
        <v>45634</v>
      </c>
      <c r="I34" s="11"/>
      <c r="J34" s="32" t="b">
        <v>1</v>
      </c>
      <c r="K34" s="32" t="b">
        <v>1</v>
      </c>
      <c r="L34" s="32" t="b">
        <v>1</v>
      </c>
      <c r="M34" s="32" t="b">
        <v>0</v>
      </c>
      <c r="N34" s="8" t="str">
        <f>IF(COUNTIF(SCADATable!$J34:$M34,TRUE)/4=1,"Completed",IF(AND(COUNTIF(SCADATable!$J34:$M34,TRUE)/4&lt;1, SCADATable!$E34&lt;&gt;""),"In Progress","Not Assigned"))</f>
        <v>In Progress</v>
      </c>
      <c r="O34" s="12">
        <v>2852000</v>
      </c>
      <c r="P34" s="12">
        <f>SCADATable!$O34/98.5%</f>
        <v>2895431.4720812184</v>
      </c>
      <c r="Q34" s="12">
        <f>SCADATable!$P34*1.5%</f>
        <v>43431.472081218271</v>
      </c>
      <c r="R34" s="12">
        <f>SCADATable!$P34*13%</f>
        <v>376406.09137055842</v>
      </c>
      <c r="S34" s="12">
        <f>SCADATable!$P34+SCADATable!$R34</f>
        <v>3271837.5634517767</v>
      </c>
      <c r="T34" s="11">
        <v>45639</v>
      </c>
      <c r="U34" s="14" t="s">
        <v>33</v>
      </c>
      <c r="V34" s="15">
        <v>45643</v>
      </c>
      <c r="W34" s="14" t="s">
        <v>29</v>
      </c>
      <c r="X34" s="16"/>
    </row>
    <row r="35" spans="1:24" x14ac:dyDescent="0.25">
      <c r="A35" s="7">
        <f t="shared" si="0"/>
        <v>34</v>
      </c>
      <c r="B35" s="8" t="s">
        <v>92</v>
      </c>
      <c r="C35" s="9" t="s">
        <v>91</v>
      </c>
      <c r="D35" s="10" t="s">
        <v>26</v>
      </c>
      <c r="E35" s="8" t="s">
        <v>27</v>
      </c>
      <c r="F35" s="8"/>
      <c r="G35" s="7">
        <v>0</v>
      </c>
      <c r="H35" s="11">
        <v>45634</v>
      </c>
      <c r="I35" s="11">
        <v>45649</v>
      </c>
      <c r="J35" s="32" t="b">
        <v>1</v>
      </c>
      <c r="K35" s="32" t="b">
        <v>1</v>
      </c>
      <c r="L35" s="32" t="b">
        <v>1</v>
      </c>
      <c r="M35" s="32" t="b">
        <v>1</v>
      </c>
      <c r="N35" s="8" t="str">
        <f>IF(COUNTIF(SCADATable!$J35:$M35,TRUE)/4=1,"Completed",IF(AND(COUNTIF(SCADATable!$J35:$M35,TRUE)/4&lt;1, SCADATable!$E35&lt;&gt;""),"In Progress","Not Assigned"))</f>
        <v>Completed</v>
      </c>
      <c r="O35" s="12">
        <v>2352000</v>
      </c>
      <c r="P35" s="12">
        <f>SCADATable!$O35/98.5%</f>
        <v>2387817.2588832485</v>
      </c>
      <c r="Q35" s="12">
        <f>SCADATable!$P35*1.5%</f>
        <v>35817.258883248724</v>
      </c>
      <c r="R35" s="12">
        <f>SCADATable!$P35*13%</f>
        <v>310416.24365482235</v>
      </c>
      <c r="S35" s="12">
        <f>SCADATable!$P35+SCADATable!$R35</f>
        <v>2698233.502538071</v>
      </c>
      <c r="T35" s="11">
        <v>45639</v>
      </c>
      <c r="U35" s="14" t="s">
        <v>33</v>
      </c>
      <c r="V35" s="15">
        <v>45643</v>
      </c>
      <c r="W35" s="14" t="s">
        <v>29</v>
      </c>
      <c r="X35" s="16"/>
    </row>
    <row r="36" spans="1:24" x14ac:dyDescent="0.25">
      <c r="A36" s="7">
        <f t="shared" si="0"/>
        <v>35</v>
      </c>
      <c r="B36" s="8" t="s">
        <v>93</v>
      </c>
      <c r="C36" s="9" t="s">
        <v>78</v>
      </c>
      <c r="D36" s="10" t="s">
        <v>63</v>
      </c>
      <c r="E36" s="8" t="s">
        <v>28</v>
      </c>
      <c r="F36" s="8"/>
      <c r="G36" s="7">
        <v>0</v>
      </c>
      <c r="H36" s="11">
        <v>45643</v>
      </c>
      <c r="I36" s="11"/>
      <c r="J36" s="32" t="b">
        <v>1</v>
      </c>
      <c r="K36" s="32" t="b">
        <v>1</v>
      </c>
      <c r="L36" s="32" t="b">
        <v>1</v>
      </c>
      <c r="M36" s="32" t="b">
        <v>0</v>
      </c>
      <c r="N36" s="8" t="str">
        <f>IF(COUNTIF(SCADATable!$J36:$M36,TRUE)/4=1,"Completed",IF(AND(COUNTIF(SCADATable!$J36:$M36,TRUE)/4&lt;1, SCADATable!$E36&lt;&gt;""),"In Progress","Not Assigned"))</f>
        <v>In Progress</v>
      </c>
      <c r="O36" s="12">
        <f>2352000+14*250000+2*250000</f>
        <v>6352000</v>
      </c>
      <c r="P36" s="12">
        <f>SCADATable!$O36/98.5%</f>
        <v>6448730.9644670049</v>
      </c>
      <c r="Q36" s="12">
        <f>SCADATable!$P36*1.5%</f>
        <v>96730.964467005077</v>
      </c>
      <c r="R36" s="12">
        <f>SCADATable!$P36*13%</f>
        <v>838335.02538071061</v>
      </c>
      <c r="S36" s="12">
        <f>SCADATable!$P36+SCADATable!$R36</f>
        <v>7287065.9898477159</v>
      </c>
      <c r="T36" s="11">
        <v>45666</v>
      </c>
      <c r="U36" s="14" t="s">
        <v>29</v>
      </c>
      <c r="V36" s="15"/>
      <c r="W36" s="14" t="s">
        <v>29</v>
      </c>
      <c r="X36" s="16"/>
    </row>
    <row r="37" spans="1:24" ht="30" x14ac:dyDescent="0.25">
      <c r="A37" s="7">
        <f t="shared" si="0"/>
        <v>36</v>
      </c>
      <c r="B37" s="8" t="s">
        <v>94</v>
      </c>
      <c r="C37" s="9" t="s">
        <v>95</v>
      </c>
      <c r="D37" s="10" t="s">
        <v>26</v>
      </c>
      <c r="E37" s="8" t="s">
        <v>28</v>
      </c>
      <c r="F37" s="8"/>
      <c r="G37" s="7">
        <v>0</v>
      </c>
      <c r="H37" s="11">
        <v>45657</v>
      </c>
      <c r="I37" s="11">
        <v>45664</v>
      </c>
      <c r="J37" s="32" t="b">
        <v>1</v>
      </c>
      <c r="K37" s="32" t="b">
        <v>1</v>
      </c>
      <c r="L37" s="32" t="b">
        <v>1</v>
      </c>
      <c r="M37" s="32" t="b">
        <v>1</v>
      </c>
      <c r="N37" s="8" t="str">
        <f>IF(COUNTIF(SCADATable!$J37:$M37,TRUE)/4=1,"Completed",IF(AND(COUNTIF(SCADATable!$J37:$M37,TRUE)/4&lt;1, SCADATable!$E37&lt;&gt;""),"In Progress","Not Assigned"))</f>
        <v>Completed</v>
      </c>
      <c r="O37" s="12">
        <f>2352000+3*250000</f>
        <v>3102000</v>
      </c>
      <c r="P37" s="12">
        <f>SCADATable!$O37/98.5%</f>
        <v>3149238.5786802033</v>
      </c>
      <c r="Q37" s="12">
        <f>SCADATable!$P37*1.5%</f>
        <v>47238.578680203049</v>
      </c>
      <c r="R37" s="12">
        <f>SCADATable!$P37*13%</f>
        <v>409401.01522842643</v>
      </c>
      <c r="S37" s="12">
        <f>SCADATable!$P37+SCADATable!$R37</f>
        <v>3558639.5939086298</v>
      </c>
      <c r="T37" s="11">
        <v>45652</v>
      </c>
      <c r="U37" s="14" t="s">
        <v>33</v>
      </c>
      <c r="V37" s="15">
        <v>45657</v>
      </c>
      <c r="W37" s="14" t="s">
        <v>29</v>
      </c>
      <c r="X37" s="16"/>
    </row>
    <row r="38" spans="1:24" x14ac:dyDescent="0.25">
      <c r="A38" s="7">
        <f t="shared" si="0"/>
        <v>37</v>
      </c>
      <c r="B38" s="8" t="s">
        <v>96</v>
      </c>
      <c r="C38" s="9" t="s">
        <v>97</v>
      </c>
      <c r="D38" s="10" t="s">
        <v>26</v>
      </c>
      <c r="E38" s="8" t="s">
        <v>28</v>
      </c>
      <c r="F38" s="8"/>
      <c r="G38" s="7"/>
      <c r="H38" s="11">
        <v>45664</v>
      </c>
      <c r="I38" s="11"/>
      <c r="J38" s="32" t="b">
        <v>1</v>
      </c>
      <c r="K38" s="32" t="b">
        <v>1</v>
      </c>
      <c r="L38" s="32" t="b">
        <v>1</v>
      </c>
      <c r="M38" s="32" t="b">
        <v>0</v>
      </c>
      <c r="N38" s="8" t="str">
        <f>IF(COUNTIF(SCADATable!$J38:$M38,TRUE)/4=1,"Completed",IF(AND(COUNTIF(SCADATable!$J38:$M38,TRUE)/4&lt;1, SCADATable!$E38&lt;&gt;""),"In Progress","Not Assigned"))</f>
        <v>In Progress</v>
      </c>
      <c r="O38" s="12">
        <v>2602000</v>
      </c>
      <c r="P38" s="12">
        <f>SCADATable!$O38/98.5%</f>
        <v>2641624.3654822335</v>
      </c>
      <c r="Q38" s="12">
        <f>SCADATable!$P38*1.5%</f>
        <v>39624.365482233501</v>
      </c>
      <c r="R38" s="12">
        <f>SCADATable!$P38*13%</f>
        <v>343411.16751269036</v>
      </c>
      <c r="S38" s="13">
        <f>SCADATable!$P38+SCADATable!$R38</f>
        <v>2985035.5329949236</v>
      </c>
      <c r="T38" s="11">
        <v>45636</v>
      </c>
      <c r="U38" s="14" t="s">
        <v>33</v>
      </c>
      <c r="V38" s="15">
        <v>45678</v>
      </c>
      <c r="W38" s="14" t="s">
        <v>29</v>
      </c>
      <c r="X38" s="16"/>
    </row>
    <row r="39" spans="1:24" x14ac:dyDescent="0.25">
      <c r="A39" s="7">
        <f t="shared" si="0"/>
        <v>38</v>
      </c>
      <c r="B39" s="8" t="s">
        <v>98</v>
      </c>
      <c r="C39" s="9" t="s">
        <v>99</v>
      </c>
      <c r="D39" s="10" t="s">
        <v>26</v>
      </c>
      <c r="E39" s="8"/>
      <c r="F39" s="8"/>
      <c r="G39" s="7"/>
      <c r="H39" s="11"/>
      <c r="I39" s="11"/>
      <c r="J39" s="32" t="b">
        <v>0</v>
      </c>
      <c r="K39" s="32" t="b">
        <v>0</v>
      </c>
      <c r="L39" s="32" t="b">
        <v>0</v>
      </c>
      <c r="M39" s="32" t="b">
        <v>0</v>
      </c>
      <c r="N39" s="8" t="str">
        <f>IF(COUNTIF(SCADATable!$J39:$M39,TRUE)/4=1,"Completed",IF(AND(COUNTIF(SCADATable!$J39:$M39,TRUE)/4&lt;1, SCADATable!$E39&lt;&gt;""),"In Progress","Not Assigned"))</f>
        <v>Not Assigned</v>
      </c>
      <c r="O39" s="12">
        <v>2602001</v>
      </c>
      <c r="P39" s="12">
        <f>SCADATable!$O39/98.5%</f>
        <v>2641625.38071066</v>
      </c>
      <c r="Q39" s="12">
        <f>SCADATable!$P39*1.5%</f>
        <v>39624.380710659898</v>
      </c>
      <c r="R39" s="12">
        <f>SCADATable!$P39*13%</f>
        <v>343411.29949238582</v>
      </c>
      <c r="S39" s="13">
        <f>SCADATable!$P39+SCADATable!$R39</f>
        <v>2985036.6802030457</v>
      </c>
      <c r="T39" s="11">
        <v>45636</v>
      </c>
      <c r="U39" s="14" t="s">
        <v>29</v>
      </c>
      <c r="V39" s="15"/>
      <c r="W39" s="14" t="s">
        <v>29</v>
      </c>
      <c r="X39" s="16"/>
    </row>
    <row r="40" spans="1:24" x14ac:dyDescent="0.25">
      <c r="A40" s="7">
        <f t="shared" si="0"/>
        <v>39</v>
      </c>
      <c r="B40" s="8" t="s">
        <v>100</v>
      </c>
      <c r="C40" s="9" t="s">
        <v>101</v>
      </c>
      <c r="D40" s="10" t="s">
        <v>26</v>
      </c>
      <c r="E40" s="8" t="s">
        <v>28</v>
      </c>
      <c r="F40" s="8"/>
      <c r="G40" s="7"/>
      <c r="H40" s="11">
        <v>45699</v>
      </c>
      <c r="I40" s="11"/>
      <c r="J40" s="32" t="b">
        <v>1</v>
      </c>
      <c r="K40" s="32" t="b">
        <v>1</v>
      </c>
      <c r="L40" s="32" t="b">
        <v>1</v>
      </c>
      <c r="M40" s="32" t="b">
        <v>0</v>
      </c>
      <c r="N40" s="8" t="str">
        <f>IF(COUNTIF(SCADATable!$J40:$M40,TRUE)/4=1,"Completed",IF(AND(COUNTIF(SCADATable!$J40:$M40,TRUE)/4&lt;1, SCADATable!$E40&lt;&gt;""),"In Progress","Not Assigned"))</f>
        <v>In Progress</v>
      </c>
      <c r="O40" s="12">
        <v>2602002</v>
      </c>
      <c r="P40" s="12">
        <f>SCADATable!$O40/98.5%</f>
        <v>2641626.3959390861</v>
      </c>
      <c r="Q40" s="12">
        <f>SCADATable!$P40*1.5%</f>
        <v>39624.395939086287</v>
      </c>
      <c r="R40" s="12">
        <f>SCADATable!$P40*13%</f>
        <v>343411.43147208123</v>
      </c>
      <c r="S40" s="13">
        <f>SCADATable!$P40+SCADATable!$R40</f>
        <v>2985037.8274111673</v>
      </c>
      <c r="T40" s="11">
        <v>45636</v>
      </c>
      <c r="U40" s="14" t="s">
        <v>29</v>
      </c>
      <c r="V40" s="15"/>
      <c r="W40" s="14" t="s">
        <v>29</v>
      </c>
      <c r="X40" s="16"/>
    </row>
    <row r="41" spans="1:24" x14ac:dyDescent="0.25">
      <c r="A41" s="7">
        <f t="shared" si="0"/>
        <v>40</v>
      </c>
      <c r="B41" s="8" t="s">
        <v>102</v>
      </c>
      <c r="C41" s="9" t="s">
        <v>103</v>
      </c>
      <c r="D41" s="10" t="s">
        <v>26</v>
      </c>
      <c r="E41" s="8" t="s">
        <v>27</v>
      </c>
      <c r="F41" s="8"/>
      <c r="G41" s="7"/>
      <c r="H41" s="11"/>
      <c r="I41" s="11"/>
      <c r="J41" s="32" t="b">
        <v>1</v>
      </c>
      <c r="K41" s="32" t="b">
        <v>1</v>
      </c>
      <c r="L41" s="32" t="b">
        <v>1</v>
      </c>
      <c r="M41" s="32" t="b">
        <v>1</v>
      </c>
      <c r="N41" s="8" t="str">
        <f>IF(COUNTIF(SCADATable!$J41:$M41,TRUE)/4=1,"Completed",IF(AND(COUNTIF(SCADATable!$J41:$M41,TRUE)/4&lt;1, SCADATable!$E41&lt;&gt;""),"In Progress","Not Assigned"))</f>
        <v>Completed</v>
      </c>
      <c r="O41" s="12">
        <v>250000</v>
      </c>
      <c r="P41" s="12">
        <f>SCADATable!$O41/98.5%</f>
        <v>253807.10659898477</v>
      </c>
      <c r="Q41" s="12">
        <f>SCADATable!$P41*1.5%</f>
        <v>3807.1065989847716</v>
      </c>
      <c r="R41" s="12">
        <f>SCADATable!$P41*13%</f>
        <v>32994.923857868023</v>
      </c>
      <c r="S41" s="13">
        <f>SCADATable!$P41+SCADATable!$R41</f>
        <v>286802.03045685281</v>
      </c>
      <c r="T41" s="11"/>
      <c r="U41" s="14" t="s">
        <v>29</v>
      </c>
      <c r="V41" s="15"/>
      <c r="W41" s="14" t="s">
        <v>29</v>
      </c>
      <c r="X41" s="16"/>
    </row>
    <row r="42" spans="1:24" ht="30" x14ac:dyDescent="0.25">
      <c r="A42" s="7">
        <f t="shared" si="0"/>
        <v>41</v>
      </c>
      <c r="B42" s="8" t="s">
        <v>104</v>
      </c>
      <c r="C42" s="9" t="s">
        <v>105</v>
      </c>
      <c r="D42" s="10" t="s">
        <v>63</v>
      </c>
      <c r="E42" s="8"/>
      <c r="F42" s="8"/>
      <c r="G42" s="7"/>
      <c r="H42" s="11"/>
      <c r="I42" s="11">
        <v>45620</v>
      </c>
      <c r="J42" s="32" t="b">
        <v>1</v>
      </c>
      <c r="K42" s="32" t="b">
        <v>1</v>
      </c>
      <c r="L42" s="32" t="b">
        <v>1</v>
      </c>
      <c r="M42" s="32" t="b">
        <v>1</v>
      </c>
      <c r="N42" s="8" t="str">
        <f>IF(COUNTIF(SCADATable!$J42:$M42,TRUE)/4=1,"Completed",IF(AND(COUNTIF(SCADATable!$J42:$M42,TRUE)/4&lt;1, SCADATable!$E42&lt;&gt;""),"In Progress","Not Assigned"))</f>
        <v>Completed</v>
      </c>
      <c r="O42" s="12">
        <v>500000</v>
      </c>
      <c r="P42" s="12">
        <f>SCADATable!$O42/98.5%</f>
        <v>507614.21319796954</v>
      </c>
      <c r="Q42" s="12">
        <f>SCADATable!$P42*1.5%</f>
        <v>7614.2131979695432</v>
      </c>
      <c r="R42" s="12">
        <f>SCADATable!$P42*13%</f>
        <v>65989.847715736047</v>
      </c>
      <c r="S42" s="13">
        <f>SCADATable!$P42+SCADATable!$R42</f>
        <v>573604.06091370562</v>
      </c>
      <c r="T42" s="18">
        <v>45705</v>
      </c>
      <c r="U42" s="14" t="s">
        <v>29</v>
      </c>
      <c r="V42" s="15"/>
      <c r="W42" s="14" t="s">
        <v>29</v>
      </c>
      <c r="X42" s="16"/>
    </row>
    <row r="43" spans="1:24" x14ac:dyDescent="0.25">
      <c r="A43" s="7">
        <f t="shared" si="0"/>
        <v>42</v>
      </c>
      <c r="B43" s="8" t="s">
        <v>106</v>
      </c>
      <c r="C43" s="9" t="s">
        <v>107</v>
      </c>
      <c r="D43" s="10" t="s">
        <v>26</v>
      </c>
      <c r="E43" s="8" t="s">
        <v>28</v>
      </c>
      <c r="F43" s="8"/>
      <c r="G43" s="7"/>
      <c r="H43" s="11">
        <v>45664</v>
      </c>
      <c r="I43" s="11"/>
      <c r="J43" s="32" t="b">
        <v>1</v>
      </c>
      <c r="K43" s="32" t="b">
        <v>1</v>
      </c>
      <c r="L43" s="32" t="b">
        <v>1</v>
      </c>
      <c r="M43" s="32" t="b">
        <v>0</v>
      </c>
      <c r="N43" s="8" t="str">
        <f>IF(COUNTIF(SCADATable!$J43:$M43,TRUE)/4=1,"Completed",IF(AND(COUNTIF(SCADATable!$J43:$M43,TRUE)/4&lt;1, SCADATable!$E43&lt;&gt;""),"In Progress","Not Assigned"))</f>
        <v>In Progress</v>
      </c>
      <c r="O43" s="12">
        <f>2352000+4*250000</f>
        <v>3352000</v>
      </c>
      <c r="P43" s="12">
        <f>SCADATable!$O43/98.5%</f>
        <v>3403045.6852791877</v>
      </c>
      <c r="Q43" s="12">
        <f>SCADATable!$P43*1.5%</f>
        <v>51045.685279187812</v>
      </c>
      <c r="R43" s="12">
        <f>SCADATable!$P43*13%</f>
        <v>442395.93908629444</v>
      </c>
      <c r="S43" s="12">
        <f>SCADATable!$P43+SCADATable!$R43</f>
        <v>3845441.624365482</v>
      </c>
      <c r="T43" s="11">
        <v>45644</v>
      </c>
      <c r="U43" s="14" t="s">
        <v>33</v>
      </c>
      <c r="V43" s="15">
        <v>45650</v>
      </c>
      <c r="W43" s="14" t="s">
        <v>29</v>
      </c>
      <c r="X43" s="16"/>
    </row>
    <row r="44" spans="1:24" x14ac:dyDescent="0.25">
      <c r="A44" s="7">
        <f t="shared" si="0"/>
        <v>43</v>
      </c>
      <c r="B44" s="8" t="s">
        <v>108</v>
      </c>
      <c r="C44" s="9"/>
      <c r="D44" s="10" t="s">
        <v>63</v>
      </c>
      <c r="E44" s="8" t="s">
        <v>27</v>
      </c>
      <c r="F44" s="8"/>
      <c r="G44" s="7"/>
      <c r="H44" s="11"/>
      <c r="I44" s="11"/>
      <c r="J44" s="32" t="b">
        <v>1</v>
      </c>
      <c r="K44" s="32" t="b">
        <v>1</v>
      </c>
      <c r="L44" s="32" t="b">
        <v>1</v>
      </c>
      <c r="M44" s="32" t="b">
        <v>0</v>
      </c>
      <c r="N44" s="8" t="str">
        <f>IF(COUNTIF(SCADATable!$J44:$M44,TRUE)/4=1,"Completed",IF(AND(COUNTIF(SCADATable!$J44:$M44,TRUE)/4&lt;1, SCADATable!$E44&lt;&gt;""),"In Progress","Not Assigned"))</f>
        <v>In Progress</v>
      </c>
      <c r="O44" s="12">
        <f>2352000+14*250000+1*250000</f>
        <v>6102000</v>
      </c>
      <c r="P44" s="12">
        <f>SCADATable!$O44/98.5%</f>
        <v>6194923.8578680204</v>
      </c>
      <c r="Q44" s="12">
        <f>SCADATable!$P44*1.5%</f>
        <v>92923.857868020306</v>
      </c>
      <c r="R44" s="12">
        <f>SCADATable!$P44*13%</f>
        <v>805340.10152284265</v>
      </c>
      <c r="S44" s="12">
        <f>SCADATable!$P44+SCADATable!$R44</f>
        <v>7000263.9593908628</v>
      </c>
      <c r="T44" s="11">
        <v>45666</v>
      </c>
      <c r="U44" s="14" t="s">
        <v>29</v>
      </c>
      <c r="V44" s="15"/>
      <c r="W44" s="14" t="s">
        <v>29</v>
      </c>
      <c r="X44" s="16"/>
    </row>
    <row r="45" spans="1:24" x14ac:dyDescent="0.25">
      <c r="A45" s="7">
        <f t="shared" si="0"/>
        <v>44</v>
      </c>
      <c r="B45" s="8" t="s">
        <v>109</v>
      </c>
      <c r="C45" s="9" t="s">
        <v>110</v>
      </c>
      <c r="D45" s="10" t="s">
        <v>26</v>
      </c>
      <c r="E45" s="8" t="s">
        <v>27</v>
      </c>
      <c r="F45" s="8"/>
      <c r="G45" s="7"/>
      <c r="H45" s="11">
        <v>45700</v>
      </c>
      <c r="I45" s="11"/>
      <c r="J45" s="32" t="b">
        <v>1</v>
      </c>
      <c r="K45" s="32" t="b">
        <v>1</v>
      </c>
      <c r="L45" s="32" t="b">
        <v>1</v>
      </c>
      <c r="M45" s="32" t="b">
        <v>0</v>
      </c>
      <c r="N45" s="8" t="str">
        <f>IF(COUNTIF(SCADATable!$J45:$M45,TRUE)/4=1,"Completed",IF(AND(COUNTIF(SCADATable!$J45:$M45,TRUE)/4&lt;1, SCADATable!$E45&lt;&gt;""),"In Progress","Not Assigned"))</f>
        <v>In Progress</v>
      </c>
      <c r="O45" s="12">
        <f>2352000+250000</f>
        <v>2602000</v>
      </c>
      <c r="P45" s="12">
        <f>SCADATable!$O45/98.5%</f>
        <v>2641624.3654822335</v>
      </c>
      <c r="Q45" s="12">
        <f>SCADATable!$P45*1.5%</f>
        <v>39624.365482233501</v>
      </c>
      <c r="R45" s="12">
        <f>SCADATable!$P45*13%</f>
        <v>343411.16751269036</v>
      </c>
      <c r="S45" s="13">
        <f>SCADATable!$P45+SCADATable!$R45</f>
        <v>2985035.5329949236</v>
      </c>
      <c r="T45" s="11">
        <v>45660</v>
      </c>
      <c r="U45" s="14" t="s">
        <v>29</v>
      </c>
      <c r="V45" s="15"/>
      <c r="W45" s="14" t="s">
        <v>29</v>
      </c>
      <c r="X45" s="16"/>
    </row>
    <row r="46" spans="1:24" x14ac:dyDescent="0.25">
      <c r="A46" s="7">
        <f t="shared" si="0"/>
        <v>45</v>
      </c>
      <c r="B46" s="8" t="s">
        <v>111</v>
      </c>
      <c r="C46" s="9" t="s">
        <v>110</v>
      </c>
      <c r="D46" s="10" t="s">
        <v>63</v>
      </c>
      <c r="E46" s="8" t="s">
        <v>27</v>
      </c>
      <c r="F46" s="8"/>
      <c r="G46" s="7"/>
      <c r="H46" s="11">
        <v>45701</v>
      </c>
      <c r="I46" s="11"/>
      <c r="J46" s="32" t="b">
        <v>1</v>
      </c>
      <c r="K46" s="32" t="b">
        <v>1</v>
      </c>
      <c r="L46" s="32" t="b">
        <v>1</v>
      </c>
      <c r="M46" s="32" t="b">
        <v>0</v>
      </c>
      <c r="N46" s="8" t="str">
        <f>IF(COUNTIF(SCADATable!$J46:$M46,TRUE)/4=1,"Completed",IF(AND(COUNTIF(SCADATable!$J46:$M46,TRUE)/4&lt;1, SCADATable!$E46&lt;&gt;""),"In Progress","Not Assigned"))</f>
        <v>In Progress</v>
      </c>
      <c r="O46" s="12">
        <f>2352000+250000*2</f>
        <v>2852000</v>
      </c>
      <c r="P46" s="12">
        <f>SCADATable!$O46/98.5%</f>
        <v>2895431.4720812184</v>
      </c>
      <c r="Q46" s="12">
        <f>SCADATable!$P46*1.5%</f>
        <v>43431.472081218271</v>
      </c>
      <c r="R46" s="12">
        <f>SCADATable!$P46*13%</f>
        <v>376406.09137055842</v>
      </c>
      <c r="S46" s="13">
        <f>SCADATable!$P46+SCADATable!$R46</f>
        <v>3271837.5634517767</v>
      </c>
      <c r="T46" s="11">
        <v>45660</v>
      </c>
      <c r="U46" s="14" t="s">
        <v>29</v>
      </c>
      <c r="V46" s="15"/>
      <c r="W46" s="14" t="s">
        <v>29</v>
      </c>
      <c r="X46" s="16"/>
    </row>
    <row r="47" spans="1:24" x14ac:dyDescent="0.25">
      <c r="A47" s="7">
        <f t="shared" si="0"/>
        <v>46</v>
      </c>
      <c r="B47" s="8" t="s">
        <v>112</v>
      </c>
      <c r="C47" s="9" t="s">
        <v>113</v>
      </c>
      <c r="D47" s="10" t="s">
        <v>26</v>
      </c>
      <c r="E47" s="8" t="s">
        <v>28</v>
      </c>
      <c r="F47" s="8"/>
      <c r="G47" s="7"/>
      <c r="H47" s="11">
        <v>45685</v>
      </c>
      <c r="I47" s="11"/>
      <c r="J47" s="32" t="b">
        <v>1</v>
      </c>
      <c r="K47" s="32" t="b">
        <v>1</v>
      </c>
      <c r="L47" s="32" t="b">
        <v>1</v>
      </c>
      <c r="M47" s="32" t="b">
        <v>0</v>
      </c>
      <c r="N47" s="8" t="str">
        <f>IF(COUNTIF(SCADATable!$J47:$M47,TRUE)/4=1,"Completed",IF(AND(COUNTIF(SCADATable!$J47:$M47,TRUE)/4&lt;1, SCADATable!$E47&lt;&gt;""),"In Progress","Not Assigned"))</f>
        <v>In Progress</v>
      </c>
      <c r="O47" s="12">
        <v>2352000</v>
      </c>
      <c r="P47" s="12">
        <f>SCADATable!$O47/98.5%</f>
        <v>2387817.2588832485</v>
      </c>
      <c r="Q47" s="12">
        <f>SCADATable!$P47*1.5%</f>
        <v>35817.258883248724</v>
      </c>
      <c r="R47" s="12">
        <f>SCADATable!$P47*13%</f>
        <v>310416.24365482235</v>
      </c>
      <c r="S47" s="12">
        <f>SCADATable!$P47+SCADATable!$R47</f>
        <v>2698233.502538071</v>
      </c>
      <c r="T47" s="11"/>
      <c r="U47" s="14" t="s">
        <v>29</v>
      </c>
      <c r="V47" s="15"/>
      <c r="W47" s="14" t="s">
        <v>29</v>
      </c>
      <c r="X47" s="16"/>
    </row>
    <row r="48" spans="1:24" ht="30" x14ac:dyDescent="0.25">
      <c r="A48" s="7">
        <f t="shared" si="0"/>
        <v>47</v>
      </c>
      <c r="B48" s="8" t="s">
        <v>114</v>
      </c>
      <c r="C48" s="9" t="s">
        <v>115</v>
      </c>
      <c r="D48" s="10" t="s">
        <v>26</v>
      </c>
      <c r="E48" s="8" t="s">
        <v>28</v>
      </c>
      <c r="F48" s="8"/>
      <c r="G48" s="7"/>
      <c r="H48" s="11">
        <v>45704</v>
      </c>
      <c r="I48" s="11"/>
      <c r="J48" s="32" t="b">
        <v>0</v>
      </c>
      <c r="K48" s="32" t="b">
        <v>0</v>
      </c>
      <c r="L48" s="32" t="b">
        <v>0</v>
      </c>
      <c r="M48" s="32" t="b">
        <v>0</v>
      </c>
      <c r="N48" s="8" t="str">
        <f>IF(COUNTIF(SCADATable!$J48:$M48,TRUE)/4=1,"Completed",IF(AND(COUNTIF(SCADATable!$J48:$M48,TRUE)/4&lt;1, SCADATable!$E48&lt;&gt;""),"In Progress","Not Assigned"))</f>
        <v>In Progress</v>
      </c>
      <c r="O48" s="12">
        <f>2352000+2*250000</f>
        <v>2852000</v>
      </c>
      <c r="P48" s="12">
        <f>SCADATable!$O48/98.5%</f>
        <v>2895431.4720812184</v>
      </c>
      <c r="Q48" s="12">
        <f>SCADATable!$P48*1.5%</f>
        <v>43431.472081218271</v>
      </c>
      <c r="R48" s="12">
        <f>SCADATable!$P48*13%</f>
        <v>376406.09137055842</v>
      </c>
      <c r="S48" s="12">
        <f>SCADATable!$P48+SCADATable!$R48</f>
        <v>3271837.5634517767</v>
      </c>
      <c r="T48" s="11">
        <v>45685</v>
      </c>
      <c r="U48" s="14" t="s">
        <v>29</v>
      </c>
      <c r="V48" s="15"/>
      <c r="W48" s="14" t="s">
        <v>29</v>
      </c>
      <c r="X48" s="16"/>
    </row>
    <row r="49" spans="1:24" x14ac:dyDescent="0.25">
      <c r="A49" s="7">
        <f t="shared" si="0"/>
        <v>48</v>
      </c>
      <c r="B49" s="8" t="s">
        <v>116</v>
      </c>
      <c r="C49" s="9" t="s">
        <v>117</v>
      </c>
      <c r="D49" s="10" t="s">
        <v>26</v>
      </c>
      <c r="E49" s="8" t="s">
        <v>28</v>
      </c>
      <c r="F49" s="8"/>
      <c r="G49" s="7"/>
      <c r="H49" s="11">
        <v>45708</v>
      </c>
      <c r="I49" s="11"/>
      <c r="J49" s="32" t="b">
        <v>0</v>
      </c>
      <c r="K49" s="32" t="b">
        <v>0</v>
      </c>
      <c r="L49" s="32" t="b">
        <v>0</v>
      </c>
      <c r="M49" s="32" t="b">
        <v>0</v>
      </c>
      <c r="N49" s="8" t="str">
        <f>IF(COUNTIF(SCADATable!$J49:$M49,TRUE)/4=1,"Completed",IF(AND(COUNTIF(SCADATable!$J49:$M49,TRUE)/4&lt;1, SCADATable!$E49&lt;&gt;""),"In Progress","Not Assigned"))</f>
        <v>In Progress</v>
      </c>
      <c r="O49" s="12">
        <f>2352000+250000</f>
        <v>2602000</v>
      </c>
      <c r="P49" s="12">
        <f>SCADATable!$O49/98.5%</f>
        <v>2641624.3654822335</v>
      </c>
      <c r="Q49" s="12">
        <f>SCADATable!$P49*1.5%</f>
        <v>39624.365482233501</v>
      </c>
      <c r="R49" s="12">
        <f>SCADATable!$P49*13%</f>
        <v>343411.16751269036</v>
      </c>
      <c r="S49" s="12">
        <f>SCADATable!$P49+SCADATable!$R49</f>
        <v>2985035.5329949236</v>
      </c>
      <c r="T49" s="11">
        <v>45698</v>
      </c>
      <c r="U49" s="14" t="s">
        <v>29</v>
      </c>
      <c r="V49" s="15"/>
      <c r="W49" s="14" t="s">
        <v>29</v>
      </c>
      <c r="X49" s="16"/>
    </row>
    <row r="50" spans="1:24" x14ac:dyDescent="0.25">
      <c r="A50" s="7">
        <v>49</v>
      </c>
      <c r="B50" s="8" t="s">
        <v>120</v>
      </c>
      <c r="C50" s="9" t="s">
        <v>121</v>
      </c>
      <c r="D50" s="10" t="s">
        <v>26</v>
      </c>
      <c r="E50" s="8"/>
      <c r="F50" s="8"/>
      <c r="G50" s="7"/>
      <c r="H50" s="11"/>
      <c r="I50" s="11"/>
      <c r="J50" s="32" t="b">
        <v>0</v>
      </c>
      <c r="K50" s="32" t="b">
        <v>0</v>
      </c>
      <c r="L50" s="32" t="b">
        <v>0</v>
      </c>
      <c r="M50" s="32" t="b">
        <v>0</v>
      </c>
      <c r="N50" s="8" t="str">
        <f>IF(COUNTIF(SCADATable!$J50:$M50,TRUE)/4=1,"Completed",IF(AND(COUNTIF(SCADATable!$J50:$M50,TRUE)/4&lt;1, SCADATable!$E50&lt;&gt;""),"In Progress","Not Assigned"))</f>
        <v>Not Assigned</v>
      </c>
      <c r="O50" s="12"/>
      <c r="P50" s="12">
        <f>SCADATable!$O50/98.5%</f>
        <v>0</v>
      </c>
      <c r="Q50" s="12">
        <f>SCADATable!$P50*1.5%</f>
        <v>0</v>
      </c>
      <c r="R50" s="12">
        <f>SCADATable!$P50*13%</f>
        <v>0</v>
      </c>
      <c r="S50" s="12">
        <f>SCADATable!$P50+SCADATable!$R50</f>
        <v>0</v>
      </c>
      <c r="T50" s="11"/>
      <c r="U50" s="14" t="s">
        <v>29</v>
      </c>
      <c r="V50" s="15"/>
      <c r="W50" s="14" t="s">
        <v>29</v>
      </c>
      <c r="X50" s="16"/>
    </row>
    <row r="51" spans="1:24" x14ac:dyDescent="0.25">
      <c r="A51" s="7">
        <v>50</v>
      </c>
      <c r="B51" s="8" t="s">
        <v>122</v>
      </c>
      <c r="C51" s="9" t="s">
        <v>123</v>
      </c>
      <c r="D51" s="10" t="s">
        <v>26</v>
      </c>
      <c r="E51" s="8"/>
      <c r="F51" s="8"/>
      <c r="G51" s="7"/>
      <c r="H51" s="11"/>
      <c r="I51" s="11"/>
      <c r="J51" s="32" t="b">
        <v>0</v>
      </c>
      <c r="K51" s="32" t="b">
        <v>0</v>
      </c>
      <c r="L51" s="32" t="b">
        <v>0</v>
      </c>
      <c r="M51" s="32" t="b">
        <v>0</v>
      </c>
      <c r="N51" s="8" t="str">
        <f>IF(COUNTIF(SCADATable!$J51:$M51,TRUE)/4=1,"Completed",IF(AND(COUNTIF(SCADATable!$J51:$M51,TRUE)/4&lt;1, SCADATable!$E51&lt;&gt;""),"In Progress","Not Assigned"))</f>
        <v>Not Assigned</v>
      </c>
      <c r="O51" s="12"/>
      <c r="P51" s="12">
        <f>SCADATable!$O51/98.5%</f>
        <v>0</v>
      </c>
      <c r="Q51" s="12">
        <f>SCADATable!$P51*1.5%</f>
        <v>0</v>
      </c>
      <c r="R51" s="12">
        <f>SCADATable!$P51*13%</f>
        <v>0</v>
      </c>
      <c r="S51" s="12">
        <f>SCADATable!$P51+SCADATable!$R51</f>
        <v>0</v>
      </c>
      <c r="T51" s="11"/>
      <c r="U51" s="14" t="s">
        <v>29</v>
      </c>
      <c r="V51" s="15"/>
      <c r="W51" s="14" t="s">
        <v>29</v>
      </c>
      <c r="X51" s="16"/>
    </row>
    <row r="52" spans="1:24" x14ac:dyDescent="0.25">
      <c r="A52" s="7">
        <v>51</v>
      </c>
      <c r="B52" s="8" t="s">
        <v>125</v>
      </c>
      <c r="C52" s="9" t="s">
        <v>124</v>
      </c>
      <c r="D52" s="10" t="s">
        <v>26</v>
      </c>
      <c r="E52" s="8"/>
      <c r="F52" s="8"/>
      <c r="G52" s="7"/>
      <c r="H52" s="11"/>
      <c r="I52" s="11"/>
      <c r="J52" s="32" t="b">
        <v>0</v>
      </c>
      <c r="K52" s="32" t="b">
        <v>0</v>
      </c>
      <c r="L52" s="32" t="b">
        <v>0</v>
      </c>
      <c r="M52" s="32" t="b">
        <v>0</v>
      </c>
      <c r="N52" s="8" t="str">
        <f>IF(COUNTIF(SCADATable!$J52:$M52,TRUE)/4=1,"Completed",IF(AND(COUNTIF(SCADATable!$J52:$M52,TRUE)/4&lt;1, SCADATable!$E52&lt;&gt;""),"In Progress","Not Assigned"))</f>
        <v>Not Assigned</v>
      </c>
      <c r="O52" s="12"/>
      <c r="P52" s="12">
        <f>SCADATable!$O52/98.5%</f>
        <v>0</v>
      </c>
      <c r="Q52" s="12">
        <f>SCADATable!$P52*1.5%</f>
        <v>0</v>
      </c>
      <c r="R52" s="12">
        <f>SCADATable!$P52*13%</f>
        <v>0</v>
      </c>
      <c r="S52" s="12">
        <f>SCADATable!$P52+SCADATable!$R52</f>
        <v>0</v>
      </c>
      <c r="T52" s="11"/>
      <c r="U52" s="14" t="s">
        <v>29</v>
      </c>
      <c r="V52" s="15"/>
      <c r="W52" s="14" t="s">
        <v>29</v>
      </c>
      <c r="X52" s="16"/>
    </row>
    <row r="53" spans="1:24" x14ac:dyDescent="0.25">
      <c r="A53" s="7">
        <v>52</v>
      </c>
      <c r="B53" s="8" t="s">
        <v>126</v>
      </c>
      <c r="C53" s="9" t="s">
        <v>127</v>
      </c>
      <c r="D53" s="10" t="s">
        <v>26</v>
      </c>
      <c r="E53" s="8"/>
      <c r="F53" s="8"/>
      <c r="G53" s="7"/>
      <c r="H53" s="11"/>
      <c r="I53" s="11"/>
      <c r="J53" s="32" t="b">
        <v>0</v>
      </c>
      <c r="K53" s="32" t="b">
        <v>0</v>
      </c>
      <c r="L53" s="32" t="b">
        <v>0</v>
      </c>
      <c r="M53" s="32" t="b">
        <v>0</v>
      </c>
      <c r="N53" s="8" t="str">
        <f>IF(COUNTIF(SCADATable!$J53:$M53,TRUE)/4=1,"Completed",IF(AND(COUNTIF(SCADATable!$J53:$M53,TRUE)/4&lt;1, SCADATable!$E53&lt;&gt;""),"In Progress","Not Assigned"))</f>
        <v>Not Assigned</v>
      </c>
      <c r="O53" s="12"/>
      <c r="P53" s="12">
        <f>SCADATable!$O53/98.5%</f>
        <v>0</v>
      </c>
      <c r="Q53" s="12">
        <f>SCADATable!$P53*1.5%</f>
        <v>0</v>
      </c>
      <c r="R53" s="12">
        <f>SCADATable!$P53*13%</f>
        <v>0</v>
      </c>
      <c r="S53" s="12">
        <f>SCADATable!$P53+SCADATable!$R53</f>
        <v>0</v>
      </c>
      <c r="T53" s="11"/>
      <c r="U53" s="14" t="s">
        <v>29</v>
      </c>
      <c r="V53" s="15"/>
      <c r="W53" s="14" t="s">
        <v>29</v>
      </c>
      <c r="X53" s="16"/>
    </row>
    <row r="54" spans="1:24" ht="30" x14ac:dyDescent="0.25">
      <c r="A54" s="7">
        <v>53</v>
      </c>
      <c r="B54" s="8" t="s">
        <v>128</v>
      </c>
      <c r="C54" s="9" t="s">
        <v>129</v>
      </c>
      <c r="D54" s="10" t="s">
        <v>63</v>
      </c>
      <c r="E54" s="8"/>
      <c r="F54" s="8"/>
      <c r="G54" s="7"/>
      <c r="H54" s="11"/>
      <c r="I54" s="11"/>
      <c r="J54" s="32" t="b">
        <v>0</v>
      </c>
      <c r="K54" s="32" t="b">
        <v>0</v>
      </c>
      <c r="L54" s="32" t="b">
        <v>0</v>
      </c>
      <c r="M54" s="32" t="b">
        <v>0</v>
      </c>
      <c r="N54" s="8" t="str">
        <f>IF(COUNTIF(SCADATable!$J54:$M54,TRUE)/4=1,"Completed",IF(AND(COUNTIF(SCADATable!$J54:$M54,TRUE)/4&lt;1, SCADATable!$E54&lt;&gt;""),"In Progress","Not Assigned"))</f>
        <v>Not Assigned</v>
      </c>
      <c r="O54" s="12">
        <f>2352000+250000*2</f>
        <v>2852000</v>
      </c>
      <c r="P54" s="12">
        <f>SCADATable!$O54/98.5%</f>
        <v>2895431.4720812184</v>
      </c>
      <c r="Q54" s="12">
        <f>SCADATable!$P54*1.5%</f>
        <v>43431.472081218271</v>
      </c>
      <c r="R54" s="12">
        <f>SCADATable!$P54*13%</f>
        <v>376406.09137055842</v>
      </c>
      <c r="S54" s="12">
        <f>SCADATable!$P54+SCADATable!$R54</f>
        <v>3271837.5634517767</v>
      </c>
      <c r="T54" s="11"/>
      <c r="U54" s="14" t="s">
        <v>29</v>
      </c>
      <c r="V54" s="15"/>
      <c r="W54" s="14" t="s">
        <v>29</v>
      </c>
      <c r="X54" s="16"/>
    </row>
    <row r="55" spans="1:24" ht="30" x14ac:dyDescent="0.25">
      <c r="A55" s="7">
        <v>54</v>
      </c>
      <c r="B55" s="8" t="s">
        <v>130</v>
      </c>
      <c r="C55" s="9" t="s">
        <v>129</v>
      </c>
      <c r="D55" s="10" t="s">
        <v>63</v>
      </c>
      <c r="E55" s="8"/>
      <c r="F55" s="8"/>
      <c r="G55" s="7"/>
      <c r="H55" s="11"/>
      <c r="I55" s="11"/>
      <c r="J55" s="32" t="b">
        <v>0</v>
      </c>
      <c r="K55" s="32" t="b">
        <v>0</v>
      </c>
      <c r="L55" s="32" t="b">
        <v>0</v>
      </c>
      <c r="M55" s="32" t="b">
        <v>0</v>
      </c>
      <c r="N55" s="8" t="str">
        <f>IF(COUNTIF(SCADATable!$J55:$M55,TRUE)/4=1,"Completed",IF(AND(COUNTIF(SCADATable!$J55:$M55,TRUE)/4&lt;1, SCADATable!$E55&lt;&gt;""),"In Progress","Not Assigned"))</f>
        <v>Not Assigned</v>
      </c>
      <c r="O55" s="12">
        <f>2352000+250000+2*250000</f>
        <v>3102000</v>
      </c>
      <c r="P55" s="12">
        <f>SCADATable!$O55/98.5%</f>
        <v>3149238.5786802033</v>
      </c>
      <c r="Q55" s="12">
        <f>SCADATable!$P55*1.5%</f>
        <v>47238.578680203049</v>
      </c>
      <c r="R55" s="12">
        <f>SCADATable!$P55*13%</f>
        <v>409401.01522842643</v>
      </c>
      <c r="S55" s="12">
        <f>SCADATable!$P55+SCADATable!$R55</f>
        <v>3558639.5939086298</v>
      </c>
      <c r="T55" s="11"/>
      <c r="U55" s="14" t="s">
        <v>29</v>
      </c>
      <c r="V55" s="15"/>
      <c r="W55" s="14" t="s">
        <v>29</v>
      </c>
      <c r="X55" s="16"/>
    </row>
    <row r="56" spans="1:24" ht="30" x14ac:dyDescent="0.25">
      <c r="A56" s="7">
        <v>55</v>
      </c>
      <c r="B56" s="8" t="s">
        <v>131</v>
      </c>
      <c r="C56" s="33" t="s">
        <v>132</v>
      </c>
      <c r="D56" s="10" t="s">
        <v>63</v>
      </c>
      <c r="E56" s="8"/>
      <c r="F56" s="8"/>
      <c r="G56" s="7"/>
      <c r="H56" s="11"/>
      <c r="I56" s="11"/>
      <c r="J56" s="32" t="b">
        <v>0</v>
      </c>
      <c r="K56" s="32" t="b">
        <v>0</v>
      </c>
      <c r="L56" s="32" t="b">
        <v>0</v>
      </c>
      <c r="M56" s="32" t="b">
        <v>0</v>
      </c>
      <c r="N56" s="8" t="str">
        <f>IF(COUNTIF(SCADATable!$J56:$M56,TRUE)/4=1,"Completed",IF(AND(COUNTIF(SCADATable!$J56:$M56,TRUE)/4&lt;1, SCADATable!$E56&lt;&gt;""),"In Progress","Not Assigned"))</f>
        <v>Not Assigned</v>
      </c>
      <c r="O56" s="12">
        <f>2352000+4*250000</f>
        <v>3352000</v>
      </c>
      <c r="P56" s="12">
        <f>SCADATable!$O56/98.5%</f>
        <v>3403045.6852791877</v>
      </c>
      <c r="Q56" s="12">
        <f>SCADATable!$P56*1.5%</f>
        <v>51045.685279187812</v>
      </c>
      <c r="R56" s="12">
        <f>SCADATable!$P56*13%</f>
        <v>442395.93908629444</v>
      </c>
      <c r="S56" s="12">
        <f>SCADATable!$P56+SCADATable!$R56</f>
        <v>3845441.624365482</v>
      </c>
      <c r="T56" s="11"/>
      <c r="U56" s="14" t="s">
        <v>29</v>
      </c>
      <c r="V56" s="15"/>
      <c r="W56" s="14" t="s">
        <v>29</v>
      </c>
      <c r="X56" s="16"/>
    </row>
    <row r="57" spans="1:24" x14ac:dyDescent="0.25">
      <c r="A57" s="7">
        <v>56</v>
      </c>
      <c r="B57" s="34" t="s">
        <v>133</v>
      </c>
      <c r="C57" s="33" t="s">
        <v>134</v>
      </c>
      <c r="D57" s="10" t="s">
        <v>26</v>
      </c>
      <c r="E57" s="8"/>
      <c r="F57" s="8"/>
      <c r="G57" s="7"/>
      <c r="H57" s="11"/>
      <c r="I57" s="11"/>
      <c r="J57" s="32" t="b">
        <v>0</v>
      </c>
      <c r="K57" s="32" t="b">
        <v>0</v>
      </c>
      <c r="L57" s="32" t="b">
        <v>0</v>
      </c>
      <c r="M57" s="32" t="b">
        <v>0</v>
      </c>
      <c r="N57" s="8" t="str">
        <f>IF(COUNTIF(SCADATable!$J57:$M57,TRUE)/4=1,"Completed",IF(AND(COUNTIF(SCADATable!$J57:$M57,TRUE)/4&lt;1, SCADATable!$E57&lt;&gt;""),"In Progress","Not Assigned"))</f>
        <v>Not Assigned</v>
      </c>
      <c r="O57" s="12"/>
      <c r="P57" s="12">
        <f>SCADATable!$O57/98.5%</f>
        <v>0</v>
      </c>
      <c r="Q57" s="12">
        <f>SCADATable!$P57*1.5%</f>
        <v>0</v>
      </c>
      <c r="R57" s="12">
        <f>SCADATable!$P57*13%</f>
        <v>0</v>
      </c>
      <c r="S57" s="12">
        <f>SCADATable!$P57+SCADATable!$R57</f>
        <v>0</v>
      </c>
      <c r="T57" s="11"/>
      <c r="U57" s="14" t="s">
        <v>29</v>
      </c>
      <c r="V57" s="15"/>
      <c r="W57" s="14" t="s">
        <v>29</v>
      </c>
      <c r="X57" s="16"/>
    </row>
    <row r="58" spans="1:24" ht="30" x14ac:dyDescent="0.25">
      <c r="A58" s="7">
        <v>57</v>
      </c>
      <c r="B58" s="34" t="s">
        <v>135</v>
      </c>
      <c r="C58" s="33" t="s">
        <v>136</v>
      </c>
      <c r="D58" s="10" t="s">
        <v>63</v>
      </c>
      <c r="E58" s="8"/>
      <c r="F58" s="8"/>
      <c r="G58" s="7"/>
      <c r="H58" s="11"/>
      <c r="I58" s="11"/>
      <c r="J58" s="32" t="b">
        <v>0</v>
      </c>
      <c r="K58" s="32" t="b">
        <v>0</v>
      </c>
      <c r="L58" s="32" t="b">
        <v>0</v>
      </c>
      <c r="M58" s="32" t="b">
        <v>0</v>
      </c>
      <c r="N58" s="8" t="str">
        <f>IF(COUNTIF(SCADATable!$J58:$M58,TRUE)/4=1,"Completed","In Progress")</f>
        <v>In Progress</v>
      </c>
      <c r="O58" s="12"/>
      <c r="P58" s="12">
        <f>SCADATable!$O58/98.5%</f>
        <v>0</v>
      </c>
      <c r="Q58" s="12">
        <f>SCADATable!$P58*1.5%</f>
        <v>0</v>
      </c>
      <c r="R58" s="12">
        <f>SCADATable!$P58*13%</f>
        <v>0</v>
      </c>
      <c r="S58" s="12">
        <f>SCADATable!$P58+SCADATable!$R58</f>
        <v>0</v>
      </c>
      <c r="T58" s="11"/>
      <c r="U58" s="14" t="s">
        <v>29</v>
      </c>
      <c r="V58" s="15"/>
      <c r="W58" s="14" t="s">
        <v>29</v>
      </c>
      <c r="X58" s="16"/>
    </row>
    <row r="59" spans="1:24" x14ac:dyDescent="0.25">
      <c r="A59" s="7"/>
      <c r="B59" s="8"/>
      <c r="C59" s="9"/>
      <c r="D59" s="10"/>
      <c r="E59" s="8"/>
      <c r="F59" s="8"/>
      <c r="G59" s="7"/>
      <c r="H59" s="11"/>
      <c r="I59" s="11"/>
      <c r="J59" s="32" t="b">
        <v>0</v>
      </c>
      <c r="K59" s="32" t="b">
        <v>0</v>
      </c>
      <c r="L59" s="32" t="b">
        <v>0</v>
      </c>
      <c r="M59" s="32" t="b">
        <v>0</v>
      </c>
      <c r="N59" s="8" t="str">
        <f>IF(COUNTIF(SCADATable!$J59:$M59,TRUE)/4=1,"Completed","In Progress")</f>
        <v>In Progress</v>
      </c>
      <c r="O59" s="12"/>
      <c r="P59" s="12">
        <f>SCADATable!$O59/98.5%</f>
        <v>0</v>
      </c>
      <c r="Q59" s="12">
        <f>SCADATable!$P59*1.5%</f>
        <v>0</v>
      </c>
      <c r="R59" s="12">
        <f>SCADATable!$P59*13%</f>
        <v>0</v>
      </c>
      <c r="S59" s="12">
        <f>SCADATable!$P59+SCADATable!$R59</f>
        <v>0</v>
      </c>
      <c r="T59" s="11"/>
      <c r="U59" s="14" t="s">
        <v>29</v>
      </c>
      <c r="V59" s="15"/>
      <c r="W59" s="14" t="s">
        <v>29</v>
      </c>
      <c r="X59" s="16"/>
    </row>
    <row r="60" spans="1:24" x14ac:dyDescent="0.25">
      <c r="A60" s="7"/>
      <c r="B60" s="8"/>
      <c r="C60" s="9"/>
      <c r="D60" s="10"/>
      <c r="E60" s="8"/>
      <c r="F60" s="8"/>
      <c r="G60" s="7"/>
      <c r="H60" s="11"/>
      <c r="I60" s="11"/>
      <c r="J60" s="32" t="b">
        <v>0</v>
      </c>
      <c r="K60" s="32" t="b">
        <v>0</v>
      </c>
      <c r="L60" s="32" t="b">
        <v>0</v>
      </c>
      <c r="M60" s="32" t="b">
        <v>0</v>
      </c>
      <c r="N60" s="8" t="str">
        <f>IF(COUNTIF(SCADATable!$J60:$M60,TRUE)/4=1,"Completed","In Progress")</f>
        <v>In Progress</v>
      </c>
      <c r="O60" s="12"/>
      <c r="P60" s="12">
        <f>SCADATable!$O60/98.5%</f>
        <v>0</v>
      </c>
      <c r="Q60" s="12">
        <f>SCADATable!$P60*1.5%</f>
        <v>0</v>
      </c>
      <c r="R60" s="12">
        <f>SCADATable!$P60*13%</f>
        <v>0</v>
      </c>
      <c r="S60" s="12">
        <f>SCADATable!$P60+SCADATable!$R60</f>
        <v>0</v>
      </c>
      <c r="T60" s="11"/>
      <c r="U60" s="14" t="s">
        <v>29</v>
      </c>
      <c r="V60" s="15"/>
      <c r="W60" s="14" t="s">
        <v>29</v>
      </c>
      <c r="X60" s="16"/>
    </row>
    <row r="61" spans="1:24" x14ac:dyDescent="0.25">
      <c r="A61" s="7"/>
      <c r="B61" s="8"/>
      <c r="C61" s="9"/>
      <c r="D61" s="10"/>
      <c r="E61" s="8"/>
      <c r="F61" s="8"/>
      <c r="G61" s="7"/>
      <c r="H61" s="11"/>
      <c r="I61" s="11"/>
      <c r="J61" s="32" t="b">
        <v>0</v>
      </c>
      <c r="K61" s="32" t="b">
        <v>0</v>
      </c>
      <c r="L61" s="32" t="b">
        <v>0</v>
      </c>
      <c r="M61" s="32" t="b">
        <v>0</v>
      </c>
      <c r="N61" s="8" t="str">
        <f>IF(COUNTIF(SCADATable!$J61:$M61,TRUE)/4=1,"Completed","In Progress")</f>
        <v>In Progress</v>
      </c>
      <c r="O61" s="12"/>
      <c r="P61" s="12">
        <f>SCADATable!$O61/98.5%</f>
        <v>0</v>
      </c>
      <c r="Q61" s="12">
        <f>SCADATable!$P61*1.5%</f>
        <v>0</v>
      </c>
      <c r="R61" s="12">
        <f>SCADATable!$P61*13%</f>
        <v>0</v>
      </c>
      <c r="S61" s="12">
        <f>SCADATable!$P61+SCADATable!$R61</f>
        <v>0</v>
      </c>
      <c r="T61" s="11"/>
      <c r="U61" s="14" t="s">
        <v>29</v>
      </c>
      <c r="V61" s="15"/>
      <c r="W61" s="14" t="s">
        <v>29</v>
      </c>
      <c r="X61" s="16"/>
    </row>
    <row r="62" spans="1:24" x14ac:dyDescent="0.25">
      <c r="A62" s="7"/>
      <c r="B62" s="8"/>
      <c r="C62" s="9"/>
      <c r="D62" s="10"/>
      <c r="E62" s="8"/>
      <c r="F62" s="8"/>
      <c r="G62" s="7"/>
      <c r="H62" s="11"/>
      <c r="I62" s="11"/>
      <c r="J62" s="32" t="b">
        <v>0</v>
      </c>
      <c r="K62" s="32" t="b">
        <v>0</v>
      </c>
      <c r="L62" s="32" t="b">
        <v>0</v>
      </c>
      <c r="M62" s="32" t="b">
        <v>0</v>
      </c>
      <c r="N62" s="8" t="str">
        <f>IF(COUNTIF(SCADATable!$J62:$M62,TRUE)/4=1,"Completed","In Progress")</f>
        <v>In Progress</v>
      </c>
      <c r="O62" s="12"/>
      <c r="P62" s="12">
        <f>SCADATable!$O62/98.5%</f>
        <v>0</v>
      </c>
      <c r="Q62" s="12">
        <f>SCADATable!$P62*1.5%</f>
        <v>0</v>
      </c>
      <c r="R62" s="12">
        <f>SCADATable!$P62*13%</f>
        <v>0</v>
      </c>
      <c r="S62" s="12">
        <f>SCADATable!$P62+SCADATable!$R62</f>
        <v>0</v>
      </c>
      <c r="T62" s="11"/>
      <c r="U62" s="14" t="s">
        <v>29</v>
      </c>
      <c r="V62" s="15"/>
      <c r="W62" s="14" t="s">
        <v>29</v>
      </c>
      <c r="X62" s="16"/>
    </row>
    <row r="63" spans="1:24" x14ac:dyDescent="0.25">
      <c r="A63" s="7"/>
      <c r="B63" s="8"/>
      <c r="C63" s="9"/>
      <c r="D63" s="10"/>
      <c r="E63" s="8"/>
      <c r="F63" s="8"/>
      <c r="G63" s="7"/>
      <c r="H63" s="11"/>
      <c r="I63" s="11"/>
      <c r="J63" s="32" t="b">
        <v>0</v>
      </c>
      <c r="K63" s="32" t="b">
        <v>0</v>
      </c>
      <c r="L63" s="32" t="b">
        <v>0</v>
      </c>
      <c r="M63" s="32" t="b">
        <v>0</v>
      </c>
      <c r="N63" s="8" t="str">
        <f>IF(COUNTIF(SCADATable!$J63:$M63,TRUE)/4=1,"Completed","In Progress")</f>
        <v>In Progress</v>
      </c>
      <c r="O63" s="12"/>
      <c r="P63" s="12">
        <f>SCADATable!$O63/98.5%</f>
        <v>0</v>
      </c>
      <c r="Q63" s="12">
        <f>SCADATable!$P63*1.5%</f>
        <v>0</v>
      </c>
      <c r="R63" s="12">
        <f>SCADATable!$P63*13%</f>
        <v>0</v>
      </c>
      <c r="S63" s="12">
        <f>SCADATable!$P63+SCADATable!$R63</f>
        <v>0</v>
      </c>
      <c r="T63" s="11"/>
      <c r="U63" s="14" t="s">
        <v>29</v>
      </c>
      <c r="V63" s="15"/>
      <c r="W63" s="14" t="s">
        <v>29</v>
      </c>
      <c r="X63" s="16"/>
    </row>
    <row r="64" spans="1:24" x14ac:dyDescent="0.25">
      <c r="A64" s="7"/>
      <c r="B64" s="8"/>
      <c r="C64" s="9"/>
      <c r="D64" s="10"/>
      <c r="E64" s="8"/>
      <c r="F64" s="8"/>
      <c r="G64" s="7"/>
      <c r="H64" s="11"/>
      <c r="I64" s="11"/>
      <c r="J64" s="32" t="b">
        <v>0</v>
      </c>
      <c r="K64" s="32" t="b">
        <v>0</v>
      </c>
      <c r="L64" s="32" t="b">
        <v>0</v>
      </c>
      <c r="M64" s="32" t="b">
        <v>0</v>
      </c>
      <c r="N64" s="8" t="str">
        <f>IF(COUNTIF(SCADATable!$J64:$M64,TRUE)/4=1,"Completed","In Progress")</f>
        <v>In Progress</v>
      </c>
      <c r="O64" s="12"/>
      <c r="P64" s="12">
        <f>SCADATable!$O64/98.5%</f>
        <v>0</v>
      </c>
      <c r="Q64" s="12">
        <f>SCADATable!$P64*1.5%</f>
        <v>0</v>
      </c>
      <c r="R64" s="12">
        <f>SCADATable!$P64*13%</f>
        <v>0</v>
      </c>
      <c r="S64" s="12">
        <f>SCADATable!$P64+SCADATable!$R64</f>
        <v>0</v>
      </c>
      <c r="T64" s="11"/>
      <c r="U64" s="14" t="s">
        <v>29</v>
      </c>
      <c r="V64" s="15"/>
      <c r="W64" s="14" t="s">
        <v>29</v>
      </c>
      <c r="X64" s="16"/>
    </row>
    <row r="65" spans="1:24" x14ac:dyDescent="0.25">
      <c r="A65" s="7"/>
      <c r="B65" s="8"/>
      <c r="C65" s="9"/>
      <c r="D65" s="10"/>
      <c r="E65" s="8"/>
      <c r="F65" s="8"/>
      <c r="G65" s="7"/>
      <c r="H65" s="11"/>
      <c r="I65" s="11"/>
      <c r="J65" s="32" t="b">
        <v>0</v>
      </c>
      <c r="K65" s="32" t="b">
        <v>0</v>
      </c>
      <c r="L65" s="32" t="b">
        <v>0</v>
      </c>
      <c r="M65" s="32" t="b">
        <v>0</v>
      </c>
      <c r="N65" s="8" t="str">
        <f>IF(COUNTIF(SCADATable!$J65:$M65,TRUE)/4=1,"Completed","In Progress")</f>
        <v>In Progress</v>
      </c>
      <c r="O65" s="12"/>
      <c r="P65" s="12">
        <f>SCADATable!$O65/98.5%</f>
        <v>0</v>
      </c>
      <c r="Q65" s="12">
        <f>SCADATable!$P65*1.5%</f>
        <v>0</v>
      </c>
      <c r="R65" s="12">
        <f>SCADATable!$P65*13%</f>
        <v>0</v>
      </c>
      <c r="S65" s="12">
        <f>SCADATable!$P65+SCADATable!$R65</f>
        <v>0</v>
      </c>
      <c r="T65" s="11"/>
      <c r="U65" s="14" t="s">
        <v>29</v>
      </c>
      <c r="V65" s="15"/>
      <c r="W65" s="14" t="s">
        <v>29</v>
      </c>
      <c r="X65" s="16"/>
    </row>
    <row r="66" spans="1:24" x14ac:dyDescent="0.25">
      <c r="A66" s="7"/>
      <c r="B66" s="8"/>
      <c r="C66" s="9"/>
      <c r="D66" s="10"/>
      <c r="E66" s="8"/>
      <c r="F66" s="8"/>
      <c r="G66" s="7"/>
      <c r="H66" s="11"/>
      <c r="I66" s="11"/>
      <c r="J66" s="32" t="b">
        <v>0</v>
      </c>
      <c r="K66" s="32" t="b">
        <v>0</v>
      </c>
      <c r="L66" s="32" t="b">
        <v>0</v>
      </c>
      <c r="M66" s="32" t="b">
        <v>0</v>
      </c>
      <c r="N66" s="8" t="str">
        <f>IF(COUNTIF(SCADATable!$J66:$M66,TRUE)/4=1,"Completed","In Progress")</f>
        <v>In Progress</v>
      </c>
      <c r="O66" s="12"/>
      <c r="P66" s="12">
        <f>SCADATable!$O66/98.5%</f>
        <v>0</v>
      </c>
      <c r="Q66" s="12">
        <f>SCADATable!$P66*1.5%</f>
        <v>0</v>
      </c>
      <c r="R66" s="12">
        <f>SCADATable!$P66*13%</f>
        <v>0</v>
      </c>
      <c r="S66" s="12">
        <f>SCADATable!$P66+SCADATable!$R66</f>
        <v>0</v>
      </c>
      <c r="T66" s="11"/>
      <c r="U66" s="14" t="s">
        <v>29</v>
      </c>
      <c r="V66" s="15"/>
      <c r="W66" s="14" t="s">
        <v>29</v>
      </c>
      <c r="X66" s="16"/>
    </row>
    <row r="67" spans="1:24" x14ac:dyDescent="0.25">
      <c r="A67" s="7"/>
      <c r="B67" s="8"/>
      <c r="C67" s="9"/>
      <c r="D67" s="10"/>
      <c r="E67" s="8"/>
      <c r="F67" s="8"/>
      <c r="G67" s="7"/>
      <c r="H67" s="11"/>
      <c r="I67" s="11"/>
      <c r="J67" s="32" t="b">
        <v>0</v>
      </c>
      <c r="K67" s="32" t="b">
        <v>0</v>
      </c>
      <c r="L67" s="32" t="b">
        <v>0</v>
      </c>
      <c r="M67" s="32" t="b">
        <v>0</v>
      </c>
      <c r="N67" s="8" t="str">
        <f>IF(COUNTIF(SCADATable!$J67:$M67,TRUE)/4=1,"Completed","In Progress")</f>
        <v>In Progress</v>
      </c>
      <c r="O67" s="12"/>
      <c r="P67" s="12">
        <f>SCADATable!$O67/98.5%</f>
        <v>0</v>
      </c>
      <c r="Q67" s="12"/>
      <c r="R67" s="12">
        <f>SCADATable!$P67*13%</f>
        <v>0</v>
      </c>
      <c r="S67" s="12">
        <f>SCADATable!$P67+SCADATable!$R67</f>
        <v>0</v>
      </c>
      <c r="T67" s="11"/>
      <c r="U67" s="14" t="s">
        <v>29</v>
      </c>
      <c r="V67" s="15"/>
      <c r="W67" s="14" t="s">
        <v>29</v>
      </c>
      <c r="X67" s="16"/>
    </row>
    <row r="68" spans="1:24" ht="15.75" customHeight="1" x14ac:dyDescent="0.25">
      <c r="A68" s="7"/>
      <c r="B68" s="8"/>
      <c r="C68" s="9"/>
      <c r="D68" s="10"/>
      <c r="E68" s="8"/>
      <c r="F68" s="8"/>
      <c r="G68" s="7"/>
      <c r="H68" s="11"/>
      <c r="I68" s="11"/>
      <c r="J68" s="7"/>
      <c r="K68" s="7"/>
      <c r="L68" s="7"/>
      <c r="M68" s="7"/>
      <c r="N68" s="8"/>
      <c r="O68" s="12"/>
      <c r="P68" s="12"/>
      <c r="Q68" s="12"/>
      <c r="R68" s="12"/>
      <c r="S68" s="12"/>
      <c r="T68" s="12"/>
      <c r="U68" s="12"/>
      <c r="V68" s="11"/>
      <c r="W68" s="14"/>
    </row>
    <row r="69" spans="1:24" ht="15.75" customHeight="1" x14ac:dyDescent="0.25">
      <c r="A69" s="7"/>
      <c r="B69" s="8"/>
      <c r="C69" s="9"/>
      <c r="D69" s="10"/>
      <c r="E69" s="8"/>
      <c r="F69" s="8"/>
      <c r="G69" s="7"/>
      <c r="H69" s="11"/>
      <c r="I69" s="11"/>
      <c r="J69" s="7"/>
      <c r="K69" s="7"/>
      <c r="L69" s="7"/>
      <c r="M69" s="7"/>
      <c r="N69" s="8"/>
      <c r="O69" s="12"/>
      <c r="P69" s="12"/>
      <c r="Q69" s="12"/>
      <c r="R69" s="12"/>
      <c r="S69" s="12"/>
      <c r="T69" s="12"/>
      <c r="U69" s="12"/>
      <c r="V69" s="11"/>
      <c r="W69" s="14"/>
    </row>
    <row r="70" spans="1:24" ht="15.75" customHeight="1" x14ac:dyDescent="0.25">
      <c r="A70" s="7"/>
      <c r="B70" s="8"/>
      <c r="C70" s="9"/>
      <c r="D70" s="10"/>
      <c r="E70" s="8"/>
      <c r="F70" s="8"/>
      <c r="G70" s="7"/>
      <c r="H70" s="11"/>
      <c r="I70" s="11"/>
      <c r="J70" s="7"/>
      <c r="K70" s="7"/>
      <c r="L70" s="7"/>
      <c r="M70" s="7"/>
      <c r="N70" s="8"/>
      <c r="O70" s="12"/>
      <c r="P70" s="12"/>
      <c r="Q70" s="12"/>
      <c r="R70" s="12"/>
      <c r="S70" s="12"/>
      <c r="T70" s="12"/>
      <c r="U70" s="12"/>
      <c r="V70" s="11"/>
      <c r="W70" s="14"/>
    </row>
    <row r="71" spans="1:24" ht="15.75" customHeight="1" x14ac:dyDescent="0.25">
      <c r="A71" s="7"/>
      <c r="B71" s="8"/>
      <c r="C71" s="9"/>
      <c r="D71" s="10"/>
      <c r="E71" s="8"/>
      <c r="F71" s="8"/>
      <c r="G71" s="7"/>
      <c r="H71" s="11"/>
      <c r="I71" s="11"/>
      <c r="J71" s="7"/>
      <c r="K71" s="7"/>
      <c r="L71" s="7"/>
      <c r="M71" s="7"/>
      <c r="N71" s="8"/>
      <c r="O71" s="12"/>
      <c r="P71" s="12"/>
      <c r="Q71" s="12"/>
      <c r="R71" s="12"/>
      <c r="S71" s="12"/>
      <c r="T71" s="12"/>
      <c r="U71" s="12"/>
      <c r="V71" s="11"/>
      <c r="W71" s="14"/>
    </row>
    <row r="72" spans="1:24" ht="15.75" customHeight="1" x14ac:dyDescent="0.25">
      <c r="A72" s="7"/>
      <c r="B72" s="8"/>
      <c r="C72" s="9"/>
      <c r="D72" s="10"/>
      <c r="E72" s="8"/>
      <c r="F72" s="8"/>
      <c r="G72" s="7"/>
      <c r="H72" s="11"/>
      <c r="I72" s="11"/>
      <c r="J72" s="7"/>
      <c r="K72" s="7"/>
      <c r="L72" s="7"/>
      <c r="M72" s="7"/>
      <c r="N72" s="8"/>
      <c r="O72" s="12"/>
      <c r="P72" s="12"/>
      <c r="Q72" s="12"/>
      <c r="R72" s="12"/>
      <c r="S72" s="12"/>
      <c r="T72" s="12"/>
      <c r="U72" s="12"/>
      <c r="V72" s="11"/>
      <c r="W72" s="14"/>
    </row>
    <row r="73" spans="1:24" ht="15.75" customHeight="1" x14ac:dyDescent="0.25">
      <c r="A73" s="7"/>
      <c r="B73" s="8"/>
      <c r="C73" s="9"/>
      <c r="D73" s="10"/>
      <c r="E73" s="8"/>
      <c r="F73" s="8"/>
      <c r="G73" s="7"/>
      <c r="H73" s="11"/>
      <c r="I73" s="11"/>
      <c r="J73" s="7"/>
      <c r="K73" s="7"/>
      <c r="L73" s="7"/>
      <c r="M73" s="7"/>
      <c r="N73" s="8"/>
      <c r="O73" s="12"/>
      <c r="P73" s="12"/>
      <c r="Q73" s="12"/>
      <c r="R73" s="12"/>
      <c r="S73" s="12"/>
      <c r="T73" s="12"/>
      <c r="U73" s="12"/>
      <c r="V73" s="11"/>
      <c r="W73" s="14"/>
    </row>
    <row r="74" spans="1:24" ht="15.75" customHeight="1" x14ac:dyDescent="0.25">
      <c r="A74" s="7"/>
      <c r="B74" s="8"/>
      <c r="C74" s="9"/>
      <c r="D74" s="10"/>
      <c r="E74" s="8"/>
      <c r="F74" s="8"/>
      <c r="G74" s="7"/>
      <c r="H74" s="11"/>
      <c r="I74" s="11"/>
      <c r="J74" s="7"/>
      <c r="K74" s="7"/>
      <c r="L74" s="7"/>
      <c r="M74" s="7"/>
      <c r="N74" s="8"/>
      <c r="O74" s="12"/>
      <c r="P74" s="12"/>
      <c r="Q74" s="12"/>
      <c r="R74" s="12"/>
      <c r="S74" s="12"/>
      <c r="T74" s="12"/>
      <c r="U74" s="12"/>
      <c r="V74" s="11"/>
      <c r="W74" s="14"/>
    </row>
    <row r="75" spans="1:24" ht="15.75" customHeight="1" x14ac:dyDescent="0.25">
      <c r="A75" s="7"/>
      <c r="B75" s="8"/>
      <c r="C75" s="9"/>
      <c r="D75" s="10"/>
      <c r="E75" s="8"/>
      <c r="F75" s="8"/>
      <c r="G75" s="7"/>
      <c r="H75" s="11"/>
      <c r="I75" s="11"/>
      <c r="J75" s="7"/>
      <c r="K75" s="7"/>
      <c r="L75" s="7"/>
      <c r="M75" s="7"/>
      <c r="N75" s="8"/>
      <c r="O75" s="12"/>
      <c r="P75" s="12"/>
      <c r="Q75" s="12"/>
      <c r="R75" s="12"/>
      <c r="S75" s="12"/>
      <c r="T75" s="12"/>
      <c r="U75" s="12"/>
      <c r="V75" s="11"/>
      <c r="W75" s="14"/>
    </row>
    <row r="76" spans="1:24" ht="15.75" customHeight="1" x14ac:dyDescent="0.25">
      <c r="A76" s="7"/>
      <c r="B76" s="8"/>
      <c r="C76" s="9"/>
      <c r="D76" s="10"/>
      <c r="E76" s="8"/>
      <c r="F76" s="8"/>
      <c r="G76" s="7"/>
      <c r="H76" s="11"/>
      <c r="I76" s="11"/>
      <c r="J76" s="7"/>
      <c r="K76" s="7"/>
      <c r="L76" s="7"/>
      <c r="M76" s="7"/>
      <c r="N76" s="8"/>
      <c r="O76" s="12"/>
      <c r="P76" s="12"/>
      <c r="Q76" s="12"/>
      <c r="R76" s="12"/>
      <c r="S76" s="12"/>
      <c r="T76" s="12"/>
      <c r="U76" s="12"/>
      <c r="V76" s="11"/>
      <c r="W76" s="14"/>
    </row>
    <row r="77" spans="1:24" ht="15.75" customHeight="1" x14ac:dyDescent="0.25">
      <c r="A77" s="7"/>
      <c r="B77" s="8"/>
      <c r="C77" s="9"/>
      <c r="D77" s="10"/>
      <c r="E77" s="8"/>
      <c r="F77" s="8"/>
      <c r="G77" s="7"/>
      <c r="H77" s="11"/>
      <c r="I77" s="11"/>
      <c r="J77" s="7"/>
      <c r="K77" s="7"/>
      <c r="L77" s="7"/>
      <c r="M77" s="7"/>
      <c r="N77" s="8"/>
      <c r="O77" s="12"/>
      <c r="P77" s="12"/>
      <c r="Q77" s="12"/>
      <c r="R77" s="12"/>
      <c r="S77" s="12"/>
      <c r="T77" s="12"/>
      <c r="U77" s="12"/>
      <c r="V77" s="11"/>
      <c r="W77" s="14"/>
    </row>
    <row r="78" spans="1:24" ht="15.75" customHeight="1" x14ac:dyDescent="0.25">
      <c r="A78" s="7"/>
      <c r="B78" s="8"/>
      <c r="C78" s="9"/>
      <c r="D78" s="10"/>
      <c r="E78" s="8"/>
      <c r="F78" s="8"/>
      <c r="G78" s="7"/>
      <c r="H78" s="11"/>
      <c r="I78" s="11"/>
      <c r="J78" s="7"/>
      <c r="K78" s="7"/>
      <c r="L78" s="7"/>
      <c r="M78" s="7"/>
      <c r="N78" s="19" t="s">
        <v>118</v>
      </c>
      <c r="O78" s="20">
        <f t="shared" ref="O78:S78" si="1">SUM(O2:O77)</f>
        <v>164544003</v>
      </c>
      <c r="P78" s="20">
        <f t="shared" si="1"/>
        <v>167049749.23857865</v>
      </c>
      <c r="Q78" s="20">
        <f t="shared" si="1"/>
        <v>2505746.23857868</v>
      </c>
      <c r="R78" s="20">
        <f t="shared" si="1"/>
        <v>21716467.401015237</v>
      </c>
      <c r="S78" s="20">
        <f t="shared" si="1"/>
        <v>188766216.6395939</v>
      </c>
      <c r="T78" s="21"/>
      <c r="U78" s="21"/>
      <c r="V78" s="22"/>
      <c r="W78" s="14"/>
    </row>
    <row r="79" spans="1:24" ht="15.75" customHeight="1" x14ac:dyDescent="0.25">
      <c r="A79" s="7"/>
      <c r="B79" s="8"/>
      <c r="C79" s="9"/>
      <c r="D79" s="10"/>
      <c r="E79" s="8"/>
      <c r="F79" s="8"/>
      <c r="G79" s="7"/>
      <c r="H79" s="11"/>
      <c r="I79" s="11"/>
      <c r="J79" s="7"/>
      <c r="K79" s="7"/>
      <c r="L79" s="7"/>
      <c r="M79" s="7"/>
      <c r="N79" s="19"/>
      <c r="O79" s="20"/>
      <c r="P79" s="20"/>
      <c r="Q79" s="20"/>
      <c r="R79" s="20"/>
      <c r="S79" s="20"/>
      <c r="T79" s="12"/>
      <c r="U79" s="12"/>
      <c r="V79" s="11"/>
      <c r="W79" s="14"/>
    </row>
    <row r="80" spans="1:24" ht="15.75" customHeight="1" x14ac:dyDescent="0.25">
      <c r="A80" s="7"/>
      <c r="B80" s="8"/>
      <c r="C80" s="9"/>
      <c r="D80" s="10"/>
      <c r="E80" s="8"/>
      <c r="F80" s="8"/>
      <c r="G80" s="7"/>
      <c r="H80" s="11"/>
      <c r="I80" s="11"/>
      <c r="J80" s="7"/>
      <c r="K80" s="7"/>
      <c r="L80" s="7"/>
      <c r="M80" s="7"/>
      <c r="N80" s="23" t="s">
        <v>119</v>
      </c>
      <c r="O80" s="24">
        <f>SUMIF(SCADATable!$U$2:$U$67,"YES",SCADATable!$O$2:$O$67)-1500000</f>
        <v>43632000</v>
      </c>
      <c r="P80" s="24">
        <f>SUMIF(SCADATable!$U$2:$U$67,"YES",SCADATable!$P$2:$P$67)</f>
        <v>45819289.340101525</v>
      </c>
      <c r="Q80" s="24">
        <f>SUMIF(SCADATable!$U$2:$U$67,"YES",SCADATable!$Q$2:$Q$67)</f>
        <v>687289.34010152298</v>
      </c>
      <c r="R80" s="24">
        <f>SUMIF(SCADATable!$U$2:$U$67,"YES",SCADATable!$R$2:$R$67)</f>
        <v>5956507.6142131975</v>
      </c>
      <c r="S80" s="24">
        <f>SUMIF(SCADATable!$U$2:$U$67,"YES",SCADATable!$S$2:$S$67)</f>
        <v>51775796.954314709</v>
      </c>
      <c r="T80" s="12"/>
      <c r="U80" s="12">
        <f>COUNTIF(U2:U77, "YES")</f>
        <v>16</v>
      </c>
      <c r="V80" s="11"/>
      <c r="W80" s="14"/>
    </row>
    <row r="81" spans="1:23" ht="15.75" customHeight="1" x14ac:dyDescent="0.25">
      <c r="A81" s="7"/>
      <c r="B81" s="8"/>
      <c r="C81" s="9"/>
      <c r="D81" s="10"/>
      <c r="E81" s="8"/>
      <c r="F81" s="8"/>
      <c r="G81" s="7"/>
      <c r="H81" s="11"/>
      <c r="I81" s="11"/>
      <c r="J81" s="7"/>
      <c r="K81" s="7"/>
      <c r="L81" s="7"/>
      <c r="M81" s="7"/>
      <c r="N81" s="8"/>
      <c r="O81" s="12"/>
      <c r="P81" s="12"/>
      <c r="Q81" s="12"/>
      <c r="R81" s="12"/>
      <c r="S81" s="12"/>
      <c r="T81" s="12"/>
      <c r="U81" s="12"/>
      <c r="V81" s="11"/>
      <c r="W81" s="14"/>
    </row>
    <row r="82" spans="1:23" ht="15.75" customHeight="1" x14ac:dyDescent="0.25">
      <c r="A82" s="7"/>
      <c r="B82" s="8"/>
      <c r="C82" s="9"/>
      <c r="D82" s="10"/>
      <c r="E82" s="8"/>
      <c r="F82" s="8"/>
      <c r="G82" s="7"/>
      <c r="H82" s="11"/>
      <c r="I82" s="11"/>
      <c r="J82" s="7"/>
      <c r="K82" s="7"/>
      <c r="L82" s="7"/>
      <c r="M82" s="7"/>
      <c r="N82" s="8"/>
      <c r="O82" s="12"/>
      <c r="P82" s="12"/>
      <c r="Q82" s="12"/>
      <c r="R82" s="12"/>
      <c r="S82" s="12"/>
      <c r="T82" s="12"/>
      <c r="U82" s="12"/>
      <c r="V82" s="11"/>
      <c r="W82" s="14"/>
    </row>
    <row r="83" spans="1:23" ht="15.75" customHeight="1" x14ac:dyDescent="0.25">
      <c r="A83" s="7"/>
      <c r="B83" s="8"/>
      <c r="C83" s="9"/>
      <c r="D83" s="10"/>
      <c r="E83" s="8"/>
      <c r="F83" s="8"/>
      <c r="G83" s="7"/>
      <c r="H83" s="11"/>
      <c r="I83" s="11"/>
      <c r="J83" s="7"/>
      <c r="K83" s="7"/>
      <c r="L83" s="7"/>
      <c r="M83" s="7"/>
      <c r="N83" s="8"/>
      <c r="O83" s="12"/>
      <c r="P83" s="12"/>
      <c r="Q83" s="12"/>
      <c r="R83" s="12"/>
      <c r="S83" s="12"/>
      <c r="T83" s="12"/>
      <c r="U83" s="12"/>
      <c r="V83" s="11"/>
      <c r="W83" s="14"/>
    </row>
    <row r="84" spans="1:23" ht="15.75" customHeight="1" x14ac:dyDescent="0.25">
      <c r="A84" s="7"/>
      <c r="B84" s="8"/>
      <c r="C84" s="9"/>
      <c r="D84" s="10"/>
      <c r="E84" s="8"/>
      <c r="F84" s="8"/>
      <c r="G84" s="7"/>
      <c r="H84" s="11"/>
      <c r="I84" s="11"/>
      <c r="J84" s="7"/>
      <c r="K84" s="7"/>
      <c r="L84" s="7"/>
      <c r="M84" s="7"/>
      <c r="N84" s="8"/>
      <c r="O84" s="12"/>
      <c r="P84" s="12"/>
      <c r="Q84" s="12"/>
      <c r="R84" s="12"/>
      <c r="S84" s="12"/>
      <c r="T84" s="12"/>
      <c r="U84" s="12"/>
      <c r="V84" s="11"/>
      <c r="W84" s="14"/>
    </row>
    <row r="85" spans="1:23" ht="15.75" customHeight="1" x14ac:dyDescent="0.25">
      <c r="A85" s="7"/>
      <c r="B85" s="8"/>
      <c r="C85" s="9"/>
      <c r="D85" s="10"/>
      <c r="E85" s="8"/>
      <c r="F85" s="8"/>
      <c r="G85" s="7"/>
      <c r="H85" s="11"/>
      <c r="I85" s="11"/>
      <c r="J85" s="7"/>
      <c r="K85" s="7"/>
      <c r="L85" s="7"/>
      <c r="M85" s="7"/>
      <c r="N85" s="8"/>
      <c r="O85" s="12"/>
      <c r="P85" s="12"/>
      <c r="Q85" s="12"/>
      <c r="R85" s="12"/>
      <c r="S85" s="12"/>
      <c r="T85" s="12"/>
      <c r="U85" s="12"/>
      <c r="V85" s="11"/>
      <c r="W85" s="14"/>
    </row>
    <row r="86" spans="1:23" ht="15.75" customHeight="1" x14ac:dyDescent="0.25">
      <c r="A86" s="7"/>
      <c r="B86" s="8"/>
      <c r="C86" s="9"/>
      <c r="D86" s="10"/>
      <c r="E86" s="8"/>
      <c r="F86" s="8"/>
      <c r="G86" s="7"/>
      <c r="H86" s="11"/>
      <c r="I86" s="11"/>
      <c r="J86" s="7"/>
      <c r="K86" s="7"/>
      <c r="L86" s="7"/>
      <c r="M86" s="7"/>
      <c r="N86" s="8"/>
      <c r="O86" s="12"/>
      <c r="P86" s="12"/>
      <c r="Q86" s="12"/>
      <c r="R86" s="12"/>
      <c r="S86" s="12"/>
      <c r="T86" s="12"/>
      <c r="U86" s="12"/>
      <c r="V86" s="11"/>
      <c r="W86" s="14"/>
    </row>
    <row r="87" spans="1:23" ht="15.75" customHeight="1" x14ac:dyDescent="0.25">
      <c r="A87" s="7"/>
      <c r="B87" s="8"/>
      <c r="C87" s="9"/>
      <c r="D87" s="10"/>
      <c r="E87" s="8"/>
      <c r="F87" s="8"/>
      <c r="G87" s="7"/>
      <c r="H87" s="11"/>
      <c r="I87" s="11"/>
      <c r="J87" s="7"/>
      <c r="K87" s="7"/>
      <c r="L87" s="7"/>
      <c r="M87" s="7"/>
      <c r="N87" s="8"/>
      <c r="O87" s="12"/>
      <c r="P87" s="12"/>
      <c r="Q87" s="12"/>
      <c r="R87" s="12"/>
      <c r="S87" s="12"/>
      <c r="T87" s="12"/>
      <c r="U87" s="12"/>
      <c r="V87" s="11"/>
      <c r="W87" s="14"/>
    </row>
    <row r="88" spans="1:23" ht="15.75" customHeight="1" x14ac:dyDescent="0.25">
      <c r="A88" s="7"/>
      <c r="B88" s="8"/>
      <c r="C88" s="9"/>
      <c r="D88" s="10"/>
      <c r="E88" s="8"/>
      <c r="F88" s="8"/>
      <c r="G88" s="7"/>
      <c r="H88" s="11"/>
      <c r="I88" s="11"/>
      <c r="J88" s="7"/>
      <c r="K88" s="7"/>
      <c r="L88" s="7"/>
      <c r="M88" s="7"/>
      <c r="N88" s="8"/>
      <c r="O88" s="12"/>
      <c r="P88" s="12"/>
      <c r="Q88" s="12"/>
      <c r="R88" s="12"/>
      <c r="S88" s="12"/>
      <c r="T88" s="12"/>
      <c r="U88" s="12"/>
      <c r="V88" s="11"/>
      <c r="W88" s="14"/>
    </row>
    <row r="89" spans="1:23" ht="15.75" customHeight="1" x14ac:dyDescent="0.25">
      <c r="A89" s="7"/>
      <c r="B89" s="8"/>
      <c r="C89" s="9"/>
      <c r="D89" s="10"/>
      <c r="E89" s="8"/>
      <c r="F89" s="8"/>
      <c r="G89" s="7"/>
      <c r="H89" s="11"/>
      <c r="I89" s="11"/>
      <c r="J89" s="7"/>
      <c r="K89" s="7"/>
      <c r="L89" s="7"/>
      <c r="M89" s="7"/>
      <c r="N89" s="8"/>
      <c r="O89" s="12"/>
      <c r="P89" s="12"/>
      <c r="Q89" s="12"/>
      <c r="R89" s="12"/>
      <c r="S89" s="12"/>
      <c r="T89" s="12"/>
      <c r="U89" s="12"/>
      <c r="V89" s="11"/>
      <c r="W89" s="14"/>
    </row>
    <row r="90" spans="1:23" ht="15.75" customHeight="1" x14ac:dyDescent="0.25">
      <c r="A90" s="7"/>
      <c r="B90" s="8"/>
      <c r="C90" s="9"/>
      <c r="D90" s="10"/>
      <c r="E90" s="8"/>
      <c r="F90" s="8"/>
      <c r="G90" s="7"/>
      <c r="H90" s="11"/>
      <c r="I90" s="11"/>
      <c r="J90" s="7"/>
      <c r="K90" s="7"/>
      <c r="L90" s="7"/>
      <c r="M90" s="7"/>
      <c r="N90" s="8"/>
      <c r="O90" s="12"/>
      <c r="P90" s="12"/>
      <c r="Q90" s="12"/>
      <c r="R90" s="12"/>
      <c r="S90" s="12"/>
      <c r="T90" s="12"/>
      <c r="U90" s="12"/>
      <c r="V90" s="11"/>
      <c r="W90" s="14"/>
    </row>
    <row r="91" spans="1:23" ht="15.75" customHeight="1" x14ac:dyDescent="0.25">
      <c r="A91" s="7"/>
      <c r="B91" s="8"/>
      <c r="C91" s="9"/>
      <c r="D91" s="10"/>
      <c r="E91" s="8"/>
      <c r="F91" s="8"/>
      <c r="G91" s="7"/>
      <c r="H91" s="11"/>
      <c r="I91" s="11"/>
      <c r="J91" s="7"/>
      <c r="K91" s="7"/>
      <c r="L91" s="7"/>
      <c r="M91" s="7"/>
      <c r="N91" s="8"/>
      <c r="O91" s="12"/>
      <c r="P91" s="12"/>
      <c r="Q91" s="12"/>
      <c r="R91" s="12"/>
      <c r="S91" s="12"/>
      <c r="T91" s="12"/>
      <c r="U91" s="12"/>
      <c r="V91" s="11"/>
      <c r="W91" s="14"/>
    </row>
    <row r="92" spans="1:23" ht="15.75" customHeight="1" x14ac:dyDescent="0.25">
      <c r="A92" s="7"/>
      <c r="B92" s="8"/>
      <c r="C92" s="9"/>
      <c r="D92" s="10"/>
      <c r="E92" s="8"/>
      <c r="F92" s="8"/>
      <c r="G92" s="7"/>
      <c r="H92" s="11"/>
      <c r="I92" s="11"/>
      <c r="J92" s="7"/>
      <c r="K92" s="7"/>
      <c r="L92" s="7"/>
      <c r="M92" s="7"/>
      <c r="N92" s="8"/>
      <c r="O92" s="12"/>
      <c r="P92" s="12"/>
      <c r="Q92" s="12"/>
      <c r="R92" s="12"/>
      <c r="S92" s="12"/>
      <c r="T92" s="12"/>
      <c r="U92" s="12"/>
      <c r="V92" s="11"/>
      <c r="W92" s="14"/>
    </row>
    <row r="93" spans="1:23" ht="15.75" customHeight="1" x14ac:dyDescent="0.25">
      <c r="A93" s="7"/>
      <c r="B93" s="8"/>
      <c r="C93" s="9"/>
      <c r="D93" s="10"/>
      <c r="E93" s="8"/>
      <c r="F93" s="8"/>
      <c r="G93" s="7"/>
      <c r="H93" s="11"/>
      <c r="I93" s="11"/>
      <c r="J93" s="7"/>
      <c r="K93" s="7"/>
      <c r="L93" s="7"/>
      <c r="M93" s="7"/>
      <c r="N93" s="8"/>
      <c r="O93" s="12"/>
      <c r="P93" s="12"/>
      <c r="Q93" s="12"/>
      <c r="R93" s="12"/>
      <c r="S93" s="12"/>
      <c r="T93" s="12"/>
      <c r="U93" s="12"/>
      <c r="V93" s="11"/>
      <c r="W93" s="14"/>
    </row>
    <row r="94" spans="1:23" ht="15.75" customHeight="1" x14ac:dyDescent="0.25">
      <c r="A94" s="7"/>
      <c r="B94" s="8"/>
      <c r="C94" s="9"/>
      <c r="D94" s="10"/>
      <c r="E94" s="8"/>
      <c r="F94" s="8"/>
      <c r="G94" s="7"/>
      <c r="H94" s="11"/>
      <c r="I94" s="11"/>
      <c r="J94" s="7"/>
      <c r="K94" s="7"/>
      <c r="L94" s="7"/>
      <c r="M94" s="7"/>
      <c r="N94" s="8"/>
      <c r="O94" s="12"/>
      <c r="P94" s="12"/>
      <c r="Q94" s="12"/>
      <c r="R94" s="12"/>
      <c r="S94" s="12"/>
      <c r="T94" s="12"/>
      <c r="U94" s="12"/>
      <c r="V94" s="11"/>
      <c r="W94" s="14"/>
    </row>
    <row r="95" spans="1:23" ht="15.75" customHeight="1" x14ac:dyDescent="0.25">
      <c r="A95" s="7"/>
      <c r="B95" s="8"/>
      <c r="C95" s="9"/>
      <c r="D95" s="10"/>
      <c r="E95" s="8"/>
      <c r="F95" s="8"/>
      <c r="G95" s="7"/>
      <c r="H95" s="11"/>
      <c r="I95" s="11"/>
      <c r="J95" s="7"/>
      <c r="K95" s="7"/>
      <c r="L95" s="7"/>
      <c r="M95" s="7"/>
      <c r="N95" s="8"/>
      <c r="O95" s="12"/>
      <c r="P95" s="12"/>
      <c r="Q95" s="12"/>
      <c r="R95" s="12"/>
      <c r="S95" s="12"/>
      <c r="T95" s="12"/>
      <c r="U95" s="12"/>
      <c r="V95" s="11"/>
      <c r="W95" s="14"/>
    </row>
    <row r="96" spans="1:23" ht="15.75" customHeight="1" x14ac:dyDescent="0.25">
      <c r="A96" s="7"/>
      <c r="B96" s="8"/>
      <c r="C96" s="9"/>
      <c r="D96" s="10"/>
      <c r="E96" s="8"/>
      <c r="F96" s="8"/>
      <c r="G96" s="7"/>
      <c r="H96" s="11"/>
      <c r="I96" s="11"/>
      <c r="J96" s="7"/>
      <c r="K96" s="7"/>
      <c r="L96" s="7"/>
      <c r="M96" s="7"/>
      <c r="N96" s="8"/>
      <c r="O96" s="12"/>
      <c r="P96" s="12"/>
      <c r="Q96" s="12"/>
      <c r="R96" s="12"/>
      <c r="S96" s="12"/>
      <c r="T96" s="12"/>
      <c r="U96" s="12"/>
      <c r="V96" s="11"/>
      <c r="W96" s="14"/>
    </row>
    <row r="97" spans="1:23" ht="15.75" customHeight="1" x14ac:dyDescent="0.25">
      <c r="A97" s="7"/>
      <c r="B97" s="8"/>
      <c r="C97" s="9"/>
      <c r="D97" s="10"/>
      <c r="E97" s="8"/>
      <c r="F97" s="8"/>
      <c r="G97" s="7"/>
      <c r="H97" s="11"/>
      <c r="I97" s="11"/>
      <c r="J97" s="7"/>
      <c r="K97" s="7"/>
      <c r="L97" s="7"/>
      <c r="M97" s="7"/>
      <c r="N97" s="8"/>
      <c r="O97" s="12"/>
      <c r="P97" s="12"/>
      <c r="Q97" s="12"/>
      <c r="R97" s="12"/>
      <c r="S97" s="12"/>
      <c r="T97" s="12"/>
      <c r="U97" s="12"/>
      <c r="V97" s="11"/>
      <c r="W97" s="14"/>
    </row>
    <row r="98" spans="1:23" ht="15.75" customHeight="1" x14ac:dyDescent="0.25">
      <c r="A98" s="7"/>
      <c r="B98" s="8"/>
      <c r="C98" s="9"/>
      <c r="D98" s="10"/>
      <c r="E98" s="8"/>
      <c r="F98" s="8"/>
      <c r="G98" s="7"/>
      <c r="H98" s="11"/>
      <c r="I98" s="11"/>
      <c r="J98" s="7"/>
      <c r="K98" s="7"/>
      <c r="L98" s="7"/>
      <c r="M98" s="7"/>
      <c r="N98" s="8"/>
      <c r="O98" s="12"/>
      <c r="P98" s="12"/>
      <c r="Q98" s="12"/>
      <c r="R98" s="12"/>
      <c r="S98" s="12"/>
      <c r="T98" s="12"/>
      <c r="U98" s="12"/>
      <c r="V98" s="11"/>
      <c r="W98" s="14"/>
    </row>
    <row r="99" spans="1:23" ht="15.75" customHeight="1" x14ac:dyDescent="0.25">
      <c r="A99" s="7"/>
      <c r="B99" s="8"/>
      <c r="C99" s="9"/>
      <c r="D99" s="10"/>
      <c r="E99" s="8"/>
      <c r="F99" s="8"/>
      <c r="G99" s="7"/>
      <c r="H99" s="11"/>
      <c r="I99" s="11"/>
      <c r="J99" s="7"/>
      <c r="K99" s="7"/>
      <c r="L99" s="7"/>
      <c r="M99" s="7"/>
      <c r="N99" s="8"/>
      <c r="O99" s="12"/>
      <c r="P99" s="12"/>
      <c r="Q99" s="12"/>
      <c r="R99" s="12"/>
      <c r="S99" s="12"/>
      <c r="T99" s="12"/>
      <c r="U99" s="12"/>
      <c r="V99" s="11"/>
      <c r="W99" s="14"/>
    </row>
    <row r="100" spans="1:23" ht="15.75" customHeight="1" x14ac:dyDescent="0.25">
      <c r="A100" s="7"/>
      <c r="B100" s="8"/>
      <c r="C100" s="9"/>
      <c r="D100" s="10"/>
      <c r="E100" s="8"/>
      <c r="F100" s="8"/>
      <c r="G100" s="7"/>
      <c r="H100" s="11"/>
      <c r="I100" s="11"/>
      <c r="J100" s="7"/>
      <c r="K100" s="7"/>
      <c r="L100" s="7"/>
      <c r="M100" s="7"/>
      <c r="N100" s="8"/>
      <c r="O100" s="12"/>
      <c r="P100" s="12"/>
      <c r="Q100" s="12"/>
      <c r="R100" s="12"/>
      <c r="S100" s="12"/>
      <c r="T100" s="12"/>
      <c r="U100" s="12"/>
      <c r="V100" s="11"/>
      <c r="W100" s="14"/>
    </row>
    <row r="101" spans="1:23" ht="15.75" customHeight="1" x14ac:dyDescent="0.25">
      <c r="A101" s="7"/>
      <c r="B101" s="8"/>
      <c r="C101" s="9"/>
      <c r="D101" s="10"/>
      <c r="E101" s="8"/>
      <c r="F101" s="8"/>
      <c r="G101" s="7"/>
      <c r="H101" s="11"/>
      <c r="I101" s="11"/>
      <c r="J101" s="7"/>
      <c r="K101" s="7"/>
      <c r="L101" s="7"/>
      <c r="M101" s="7"/>
      <c r="N101" s="8"/>
      <c r="O101" s="12"/>
      <c r="P101" s="12"/>
      <c r="Q101" s="12"/>
      <c r="R101" s="12"/>
      <c r="S101" s="12"/>
      <c r="T101" s="12"/>
      <c r="U101" s="12"/>
      <c r="V101" s="11"/>
      <c r="W101" s="14"/>
    </row>
    <row r="102" spans="1:23" ht="15.75" customHeight="1" x14ac:dyDescent="0.25">
      <c r="A102" s="7"/>
      <c r="B102" s="8"/>
      <c r="C102" s="9"/>
      <c r="D102" s="10"/>
      <c r="E102" s="8"/>
      <c r="F102" s="8"/>
      <c r="G102" s="7"/>
      <c r="H102" s="11"/>
      <c r="I102" s="11"/>
      <c r="J102" s="7"/>
      <c r="K102" s="7"/>
      <c r="L102" s="7"/>
      <c r="M102" s="7"/>
      <c r="N102" s="8"/>
      <c r="O102" s="12"/>
      <c r="P102" s="12"/>
      <c r="Q102" s="12"/>
      <c r="R102" s="12"/>
      <c r="S102" s="12"/>
      <c r="T102" s="12"/>
      <c r="U102" s="12"/>
      <c r="V102" s="11"/>
      <c r="W102" s="14"/>
    </row>
    <row r="103" spans="1:23" ht="15.75" customHeight="1" x14ac:dyDescent="0.25">
      <c r="A103" s="7"/>
      <c r="B103" s="8"/>
      <c r="C103" s="9"/>
      <c r="D103" s="10"/>
      <c r="E103" s="8"/>
      <c r="F103" s="8"/>
      <c r="G103" s="7"/>
      <c r="H103" s="11"/>
      <c r="I103" s="11"/>
      <c r="J103" s="7"/>
      <c r="K103" s="7"/>
      <c r="L103" s="7"/>
      <c r="M103" s="7"/>
      <c r="N103" s="8"/>
      <c r="O103" s="12"/>
      <c r="P103" s="12"/>
      <c r="Q103" s="12"/>
      <c r="R103" s="12"/>
      <c r="S103" s="12"/>
      <c r="T103" s="12"/>
      <c r="U103" s="12"/>
      <c r="V103" s="11"/>
      <c r="W103" s="14"/>
    </row>
    <row r="104" spans="1:23" ht="15.75" customHeight="1" x14ac:dyDescent="0.25">
      <c r="A104" s="7"/>
      <c r="B104" s="8"/>
      <c r="C104" s="9"/>
      <c r="D104" s="10"/>
      <c r="E104" s="8"/>
      <c r="F104" s="8"/>
      <c r="G104" s="7"/>
      <c r="H104" s="11"/>
      <c r="I104" s="11"/>
      <c r="J104" s="7"/>
      <c r="K104" s="7"/>
      <c r="L104" s="7"/>
      <c r="M104" s="7"/>
      <c r="N104" s="8"/>
      <c r="O104" s="12"/>
      <c r="P104" s="12"/>
      <c r="Q104" s="12"/>
      <c r="R104" s="12"/>
      <c r="S104" s="12"/>
      <c r="T104" s="12"/>
      <c r="U104" s="12"/>
      <c r="V104" s="11"/>
      <c r="W104" s="14"/>
    </row>
    <row r="105" spans="1:23" ht="15.75" customHeight="1" x14ac:dyDescent="0.25">
      <c r="A105" s="7"/>
      <c r="B105" s="8"/>
      <c r="C105" s="9"/>
      <c r="D105" s="10"/>
      <c r="E105" s="8"/>
      <c r="F105" s="8"/>
      <c r="G105" s="7"/>
      <c r="H105" s="11"/>
      <c r="I105" s="11"/>
      <c r="J105" s="7"/>
      <c r="K105" s="7"/>
      <c r="L105" s="7"/>
      <c r="M105" s="7"/>
      <c r="N105" s="8"/>
      <c r="O105" s="12"/>
      <c r="P105" s="12"/>
      <c r="Q105" s="12"/>
      <c r="R105" s="12"/>
      <c r="S105" s="12"/>
      <c r="T105" s="12"/>
      <c r="U105" s="12"/>
      <c r="V105" s="11"/>
      <c r="W105" s="14"/>
    </row>
    <row r="106" spans="1:23" ht="15.75" customHeight="1" x14ac:dyDescent="0.25">
      <c r="A106" s="7"/>
      <c r="B106" s="8"/>
      <c r="C106" s="9"/>
      <c r="D106" s="10"/>
      <c r="E106" s="8"/>
      <c r="F106" s="8"/>
      <c r="G106" s="7"/>
      <c r="H106" s="11"/>
      <c r="I106" s="11"/>
      <c r="J106" s="7"/>
      <c r="K106" s="7"/>
      <c r="L106" s="7"/>
      <c r="M106" s="7"/>
      <c r="N106" s="8"/>
      <c r="O106" s="12"/>
      <c r="P106" s="12"/>
      <c r="Q106" s="12"/>
      <c r="R106" s="12"/>
      <c r="S106" s="12"/>
      <c r="T106" s="12"/>
      <c r="U106" s="12"/>
      <c r="V106" s="11"/>
      <c r="W106" s="14"/>
    </row>
    <row r="107" spans="1:23" ht="15.75" customHeight="1" x14ac:dyDescent="0.25">
      <c r="A107" s="7"/>
      <c r="B107" s="8"/>
      <c r="C107" s="9"/>
      <c r="D107" s="10"/>
      <c r="E107" s="8"/>
      <c r="F107" s="8"/>
      <c r="G107" s="7"/>
      <c r="H107" s="11"/>
      <c r="I107" s="11"/>
      <c r="J107" s="7"/>
      <c r="K107" s="7"/>
      <c r="L107" s="7"/>
      <c r="M107" s="7"/>
      <c r="N107" s="8"/>
      <c r="O107" s="12"/>
      <c r="P107" s="12"/>
      <c r="Q107" s="12"/>
      <c r="R107" s="12"/>
      <c r="S107" s="12"/>
      <c r="T107" s="12"/>
      <c r="U107" s="12"/>
      <c r="V107" s="11"/>
      <c r="W107" s="14"/>
    </row>
    <row r="108" spans="1:23" ht="15.75" customHeight="1" x14ac:dyDescent="0.25">
      <c r="A108" s="7"/>
      <c r="B108" s="8"/>
      <c r="C108" s="9"/>
      <c r="D108" s="10"/>
      <c r="E108" s="8"/>
      <c r="F108" s="8"/>
      <c r="G108" s="7"/>
      <c r="H108" s="11"/>
      <c r="I108" s="11"/>
      <c r="J108" s="7"/>
      <c r="K108" s="7"/>
      <c r="L108" s="7"/>
      <c r="M108" s="7"/>
      <c r="N108" s="8"/>
      <c r="O108" s="12"/>
      <c r="P108" s="12"/>
      <c r="Q108" s="12"/>
      <c r="R108" s="12"/>
      <c r="S108" s="12"/>
      <c r="T108" s="12"/>
      <c r="U108" s="12"/>
      <c r="V108" s="11"/>
      <c r="W108" s="14"/>
    </row>
    <row r="109" spans="1:23" ht="15.75" customHeight="1" x14ac:dyDescent="0.25">
      <c r="A109" s="7"/>
      <c r="B109" s="8"/>
      <c r="C109" s="9"/>
      <c r="D109" s="10"/>
      <c r="E109" s="8"/>
      <c r="F109" s="8"/>
      <c r="G109" s="7"/>
      <c r="H109" s="11"/>
      <c r="I109" s="11"/>
      <c r="J109" s="7"/>
      <c r="K109" s="7"/>
      <c r="L109" s="7"/>
      <c r="M109" s="7"/>
      <c r="N109" s="8"/>
      <c r="O109" s="12"/>
      <c r="P109" s="12"/>
      <c r="Q109" s="12"/>
      <c r="R109" s="12"/>
      <c r="S109" s="12"/>
      <c r="T109" s="12"/>
      <c r="U109" s="12"/>
      <c r="V109" s="11"/>
      <c r="W109" s="14"/>
    </row>
    <row r="110" spans="1:23" ht="15.75" customHeight="1" x14ac:dyDescent="0.25">
      <c r="A110" s="7"/>
      <c r="B110" s="8"/>
      <c r="C110" s="9"/>
      <c r="D110" s="10"/>
      <c r="E110" s="8"/>
      <c r="F110" s="8"/>
      <c r="G110" s="7"/>
      <c r="H110" s="11"/>
      <c r="I110" s="11"/>
      <c r="J110" s="7"/>
      <c r="K110" s="7"/>
      <c r="L110" s="7"/>
      <c r="M110" s="7"/>
      <c r="N110" s="8"/>
      <c r="O110" s="12"/>
      <c r="P110" s="12"/>
      <c r="Q110" s="12"/>
      <c r="R110" s="12"/>
      <c r="S110" s="12"/>
      <c r="T110" s="12"/>
      <c r="U110" s="12"/>
      <c r="V110" s="11"/>
      <c r="W110" s="14"/>
    </row>
    <row r="111" spans="1:23" ht="15.75" customHeight="1" x14ac:dyDescent="0.25">
      <c r="A111" s="7"/>
      <c r="B111" s="8"/>
      <c r="C111" s="9"/>
      <c r="D111" s="10"/>
      <c r="E111" s="8"/>
      <c r="F111" s="8"/>
      <c r="G111" s="7"/>
      <c r="H111" s="11"/>
      <c r="I111" s="11"/>
      <c r="J111" s="7"/>
      <c r="K111" s="7"/>
      <c r="L111" s="7"/>
      <c r="M111" s="7"/>
      <c r="N111" s="8"/>
      <c r="O111" s="12"/>
      <c r="P111" s="12"/>
      <c r="Q111" s="12"/>
      <c r="R111" s="12"/>
      <c r="S111" s="12"/>
      <c r="T111" s="12"/>
      <c r="U111" s="12"/>
      <c r="V111" s="11"/>
      <c r="W111" s="14"/>
    </row>
    <row r="112" spans="1:23" ht="15.75" customHeight="1" x14ac:dyDescent="0.25">
      <c r="A112" s="7"/>
      <c r="B112" s="8"/>
      <c r="C112" s="9"/>
      <c r="D112" s="10"/>
      <c r="E112" s="8"/>
      <c r="F112" s="8"/>
      <c r="G112" s="7"/>
      <c r="H112" s="11"/>
      <c r="I112" s="11"/>
      <c r="J112" s="7"/>
      <c r="K112" s="7"/>
      <c r="L112" s="7"/>
      <c r="M112" s="7"/>
      <c r="N112" s="8"/>
      <c r="O112" s="12"/>
      <c r="P112" s="12"/>
      <c r="Q112" s="12"/>
      <c r="R112" s="12"/>
      <c r="S112" s="12"/>
      <c r="T112" s="12"/>
      <c r="U112" s="12"/>
      <c r="V112" s="11"/>
      <c r="W112" s="14"/>
    </row>
    <row r="113" spans="1:23" ht="15.75" customHeight="1" x14ac:dyDescent="0.25">
      <c r="A113" s="7"/>
      <c r="B113" s="8"/>
      <c r="C113" s="9"/>
      <c r="D113" s="10"/>
      <c r="E113" s="8"/>
      <c r="F113" s="8"/>
      <c r="G113" s="7"/>
      <c r="H113" s="11"/>
      <c r="I113" s="11"/>
      <c r="J113" s="7"/>
      <c r="K113" s="7"/>
      <c r="L113" s="7"/>
      <c r="M113" s="7"/>
      <c r="N113" s="8"/>
      <c r="O113" s="12"/>
      <c r="P113" s="12"/>
      <c r="Q113" s="12"/>
      <c r="R113" s="12"/>
      <c r="S113" s="12"/>
      <c r="T113" s="12"/>
      <c r="U113" s="12"/>
      <c r="V113" s="11"/>
      <c r="W113" s="14"/>
    </row>
    <row r="114" spans="1:23" ht="15.75" customHeight="1" x14ac:dyDescent="0.25">
      <c r="A114" s="7"/>
      <c r="B114" s="8"/>
      <c r="C114" s="9"/>
      <c r="D114" s="10"/>
      <c r="E114" s="8"/>
      <c r="F114" s="8"/>
      <c r="G114" s="7"/>
      <c r="H114" s="11"/>
      <c r="I114" s="11"/>
      <c r="J114" s="7"/>
      <c r="K114" s="7"/>
      <c r="L114" s="7"/>
      <c r="M114" s="7"/>
      <c r="N114" s="8"/>
      <c r="O114" s="12"/>
      <c r="P114" s="12"/>
      <c r="Q114" s="12"/>
      <c r="R114" s="12"/>
      <c r="S114" s="12"/>
      <c r="T114" s="12"/>
      <c r="U114" s="12"/>
      <c r="V114" s="11"/>
      <c r="W114" s="14"/>
    </row>
    <row r="115" spans="1:23" ht="15.75" customHeight="1" x14ac:dyDescent="0.25">
      <c r="A115" s="7"/>
      <c r="B115" s="8"/>
      <c r="C115" s="9"/>
      <c r="D115" s="10"/>
      <c r="E115" s="8"/>
      <c r="F115" s="8"/>
      <c r="G115" s="7"/>
      <c r="H115" s="11"/>
      <c r="I115" s="11"/>
      <c r="J115" s="7"/>
      <c r="K115" s="7"/>
      <c r="L115" s="7"/>
      <c r="M115" s="7"/>
      <c r="N115" s="8"/>
      <c r="O115" s="12"/>
      <c r="P115" s="12"/>
      <c r="Q115" s="12"/>
      <c r="R115" s="12"/>
      <c r="S115" s="12"/>
      <c r="T115" s="12"/>
      <c r="U115" s="12"/>
      <c r="V115" s="11"/>
      <c r="W115" s="14"/>
    </row>
    <row r="116" spans="1:23" ht="15.75" customHeight="1" x14ac:dyDescent="0.25">
      <c r="A116" s="7"/>
      <c r="B116" s="8"/>
      <c r="C116" s="9"/>
      <c r="D116" s="10"/>
      <c r="E116" s="8"/>
      <c r="F116" s="8"/>
      <c r="G116" s="7"/>
      <c r="H116" s="11"/>
      <c r="I116" s="11"/>
      <c r="J116" s="7"/>
      <c r="K116" s="7"/>
      <c r="L116" s="7"/>
      <c r="M116" s="7"/>
      <c r="N116" s="8"/>
      <c r="O116" s="12"/>
      <c r="P116" s="12"/>
      <c r="Q116" s="12"/>
      <c r="R116" s="12"/>
      <c r="S116" s="12"/>
      <c r="T116" s="12"/>
      <c r="U116" s="12"/>
      <c r="V116" s="11"/>
      <c r="W116" s="14"/>
    </row>
    <row r="117" spans="1:23" ht="15.75" customHeight="1" x14ac:dyDescent="0.25">
      <c r="A117" s="7"/>
      <c r="B117" s="8"/>
      <c r="C117" s="9"/>
      <c r="D117" s="10"/>
      <c r="E117" s="8"/>
      <c r="F117" s="8"/>
      <c r="G117" s="7"/>
      <c r="H117" s="11"/>
      <c r="I117" s="11"/>
      <c r="J117" s="7"/>
      <c r="K117" s="7"/>
      <c r="L117" s="7"/>
      <c r="M117" s="7"/>
      <c r="N117" s="8"/>
      <c r="O117" s="12"/>
      <c r="P117" s="12"/>
      <c r="Q117" s="12"/>
      <c r="R117" s="12"/>
      <c r="S117" s="12"/>
      <c r="T117" s="12"/>
      <c r="U117" s="12"/>
      <c r="V117" s="11"/>
      <c r="W117" s="14"/>
    </row>
    <row r="118" spans="1:23" ht="15.75" customHeight="1" x14ac:dyDescent="0.25">
      <c r="A118" s="7"/>
      <c r="B118" s="8"/>
      <c r="C118" s="9"/>
      <c r="D118" s="10"/>
      <c r="E118" s="8"/>
      <c r="F118" s="8"/>
      <c r="G118" s="7"/>
      <c r="H118" s="11"/>
      <c r="I118" s="11"/>
      <c r="J118" s="7"/>
      <c r="K118" s="7"/>
      <c r="L118" s="7"/>
      <c r="M118" s="7"/>
      <c r="N118" s="8"/>
      <c r="O118" s="12"/>
      <c r="P118" s="12"/>
      <c r="Q118" s="12"/>
      <c r="R118" s="12"/>
      <c r="S118" s="12"/>
      <c r="T118" s="12"/>
      <c r="U118" s="12"/>
      <c r="V118" s="11"/>
      <c r="W118" s="14"/>
    </row>
    <row r="119" spans="1:23" ht="15.75" customHeight="1" x14ac:dyDescent="0.25">
      <c r="A119" s="7"/>
      <c r="B119" s="8"/>
      <c r="C119" s="9"/>
      <c r="D119" s="10"/>
      <c r="E119" s="8"/>
      <c r="F119" s="8"/>
      <c r="G119" s="7"/>
      <c r="H119" s="11"/>
      <c r="I119" s="11"/>
      <c r="J119" s="7"/>
      <c r="K119" s="7"/>
      <c r="L119" s="7"/>
      <c r="M119" s="7"/>
      <c r="N119" s="8"/>
      <c r="O119" s="12"/>
      <c r="P119" s="12"/>
      <c r="Q119" s="12"/>
      <c r="R119" s="12"/>
      <c r="S119" s="12"/>
      <c r="T119" s="12"/>
      <c r="U119" s="12"/>
      <c r="V119" s="11"/>
      <c r="W119" s="14"/>
    </row>
    <row r="120" spans="1:23" ht="15.75" customHeight="1" x14ac:dyDescent="0.25">
      <c r="A120" s="7"/>
      <c r="B120" s="8"/>
      <c r="C120" s="9"/>
      <c r="D120" s="10"/>
      <c r="E120" s="8"/>
      <c r="F120" s="8"/>
      <c r="G120" s="7"/>
      <c r="H120" s="11"/>
      <c r="I120" s="11"/>
      <c r="J120" s="7"/>
      <c r="K120" s="7"/>
      <c r="L120" s="7"/>
      <c r="M120" s="7"/>
      <c r="N120" s="8"/>
      <c r="O120" s="12"/>
      <c r="P120" s="12"/>
      <c r="Q120" s="12"/>
      <c r="R120" s="12"/>
      <c r="S120" s="12"/>
      <c r="T120" s="12"/>
      <c r="U120" s="12"/>
      <c r="V120" s="11"/>
      <c r="W120" s="14"/>
    </row>
    <row r="121" spans="1:23" ht="15.75" customHeight="1" x14ac:dyDescent="0.25">
      <c r="A121" s="7"/>
      <c r="B121" s="8"/>
      <c r="C121" s="9"/>
      <c r="D121" s="10"/>
      <c r="E121" s="8"/>
      <c r="F121" s="8"/>
      <c r="G121" s="7"/>
      <c r="H121" s="11"/>
      <c r="I121" s="11"/>
      <c r="J121" s="7"/>
      <c r="K121" s="7"/>
      <c r="L121" s="7"/>
      <c r="M121" s="7"/>
      <c r="N121" s="8"/>
      <c r="O121" s="12"/>
      <c r="P121" s="12"/>
      <c r="Q121" s="12"/>
      <c r="R121" s="12"/>
      <c r="S121" s="12"/>
      <c r="T121" s="12"/>
      <c r="U121" s="12"/>
      <c r="V121" s="11"/>
      <c r="W121" s="14"/>
    </row>
    <row r="122" spans="1:23" ht="15.75" customHeight="1" x14ac:dyDescent="0.25">
      <c r="A122" s="7"/>
      <c r="B122" s="8"/>
      <c r="C122" s="9"/>
      <c r="D122" s="10"/>
      <c r="E122" s="8"/>
      <c r="F122" s="8"/>
      <c r="G122" s="7"/>
      <c r="H122" s="11"/>
      <c r="I122" s="11"/>
      <c r="J122" s="7"/>
      <c r="K122" s="7"/>
      <c r="L122" s="7"/>
      <c r="M122" s="7"/>
      <c r="N122" s="8"/>
      <c r="O122" s="8"/>
      <c r="P122" s="8"/>
      <c r="Q122" s="8"/>
      <c r="R122" s="8"/>
      <c r="S122" s="8"/>
      <c r="T122" s="8"/>
      <c r="U122" s="8"/>
      <c r="V122" s="11"/>
      <c r="W122" s="7"/>
    </row>
    <row r="123" spans="1:23" ht="15.75" customHeight="1" x14ac:dyDescent="0.25">
      <c r="A123" s="7"/>
      <c r="B123" s="8"/>
      <c r="C123" s="9"/>
      <c r="D123" s="10"/>
      <c r="E123" s="8"/>
      <c r="F123" s="8"/>
      <c r="G123" s="7"/>
      <c r="H123" s="11"/>
      <c r="I123" s="11"/>
      <c r="J123" s="7"/>
      <c r="K123" s="7"/>
      <c r="L123" s="7"/>
      <c r="M123" s="7"/>
      <c r="N123" s="8"/>
      <c r="O123" s="8"/>
      <c r="P123" s="8"/>
      <c r="Q123" s="8"/>
      <c r="R123" s="8"/>
      <c r="S123" s="8"/>
      <c r="T123" s="8"/>
      <c r="U123" s="8"/>
      <c r="V123" s="11"/>
      <c r="W123" s="7"/>
    </row>
    <row r="124" spans="1:23" ht="15.75" customHeight="1" x14ac:dyDescent="0.25">
      <c r="A124" s="7"/>
      <c r="B124" s="8"/>
      <c r="C124" s="9"/>
      <c r="D124" s="10"/>
      <c r="E124" s="8"/>
      <c r="F124" s="8"/>
      <c r="G124" s="7"/>
      <c r="H124" s="11"/>
      <c r="I124" s="11"/>
      <c r="J124" s="7"/>
      <c r="K124" s="7"/>
      <c r="L124" s="7"/>
      <c r="M124" s="7"/>
      <c r="N124" s="8"/>
      <c r="O124" s="8"/>
      <c r="P124" s="8"/>
      <c r="Q124" s="8"/>
      <c r="R124" s="8"/>
      <c r="S124" s="8"/>
      <c r="T124" s="8"/>
      <c r="U124" s="8"/>
      <c r="V124" s="11"/>
      <c r="W124" s="7"/>
    </row>
    <row r="125" spans="1:23" ht="15.75" customHeight="1" x14ac:dyDescent="0.25">
      <c r="A125" s="7"/>
      <c r="B125" s="8"/>
      <c r="C125" s="9"/>
      <c r="D125" s="10"/>
      <c r="E125" s="8"/>
      <c r="F125" s="8"/>
      <c r="G125" s="7"/>
      <c r="H125" s="11"/>
      <c r="I125" s="11"/>
      <c r="J125" s="7"/>
      <c r="K125" s="7"/>
      <c r="L125" s="7"/>
      <c r="M125" s="7"/>
      <c r="N125" s="8"/>
      <c r="O125" s="8"/>
      <c r="P125" s="8"/>
      <c r="Q125" s="8"/>
      <c r="R125" s="8"/>
      <c r="S125" s="8"/>
      <c r="T125" s="8"/>
      <c r="U125" s="8"/>
      <c r="V125" s="11"/>
      <c r="W125" s="7"/>
    </row>
    <row r="126" spans="1:23" ht="15.75" customHeight="1" x14ac:dyDescent="0.25">
      <c r="A126" s="7"/>
      <c r="B126" s="8"/>
      <c r="C126" s="9"/>
      <c r="D126" s="10"/>
      <c r="E126" s="8"/>
      <c r="F126" s="8"/>
      <c r="G126" s="7"/>
      <c r="H126" s="11"/>
      <c r="I126" s="11"/>
      <c r="J126" s="7"/>
      <c r="K126" s="7"/>
      <c r="L126" s="7"/>
      <c r="M126" s="7"/>
      <c r="N126" s="8"/>
      <c r="O126" s="8"/>
      <c r="P126" s="8"/>
      <c r="Q126" s="8"/>
      <c r="R126" s="8"/>
      <c r="S126" s="8"/>
      <c r="T126" s="8"/>
      <c r="U126" s="8"/>
      <c r="V126" s="11"/>
      <c r="W126" s="7"/>
    </row>
    <row r="127" spans="1:23" ht="15.75" customHeight="1" x14ac:dyDescent="0.25">
      <c r="A127" s="7"/>
      <c r="B127" s="8"/>
      <c r="C127" s="9"/>
      <c r="D127" s="10"/>
      <c r="E127" s="8"/>
      <c r="F127" s="8"/>
      <c r="G127" s="7"/>
      <c r="H127" s="11"/>
      <c r="I127" s="11"/>
      <c r="J127" s="7"/>
      <c r="K127" s="7"/>
      <c r="L127" s="7"/>
      <c r="M127" s="7"/>
      <c r="N127" s="8"/>
      <c r="O127" s="8"/>
      <c r="P127" s="8"/>
      <c r="Q127" s="8"/>
      <c r="R127" s="8"/>
      <c r="S127" s="8"/>
      <c r="T127" s="8"/>
      <c r="U127" s="8"/>
      <c r="V127" s="11"/>
      <c r="W127" s="7"/>
    </row>
    <row r="128" spans="1:23" ht="15.75" customHeight="1" x14ac:dyDescent="0.25">
      <c r="A128" s="7"/>
      <c r="B128" s="8"/>
      <c r="C128" s="9"/>
      <c r="D128" s="10"/>
      <c r="E128" s="8"/>
      <c r="F128" s="8"/>
      <c r="G128" s="7"/>
      <c r="H128" s="11"/>
      <c r="I128" s="11"/>
      <c r="J128" s="7"/>
      <c r="K128" s="7"/>
      <c r="L128" s="7"/>
      <c r="M128" s="7"/>
      <c r="N128" s="8"/>
      <c r="O128" s="8"/>
      <c r="P128" s="8"/>
      <c r="Q128" s="8"/>
      <c r="R128" s="8"/>
      <c r="S128" s="8"/>
      <c r="T128" s="8"/>
      <c r="U128" s="8"/>
      <c r="V128" s="11"/>
      <c r="W128" s="7"/>
    </row>
    <row r="129" spans="1:23" ht="15.75" customHeight="1" x14ac:dyDescent="0.25">
      <c r="A129" s="7"/>
      <c r="B129" s="8"/>
      <c r="C129" s="9"/>
      <c r="D129" s="10"/>
      <c r="E129" s="8"/>
      <c r="F129" s="8"/>
      <c r="G129" s="7"/>
      <c r="H129" s="11"/>
      <c r="I129" s="11"/>
      <c r="J129" s="7"/>
      <c r="K129" s="7"/>
      <c r="L129" s="7"/>
      <c r="M129" s="7"/>
      <c r="N129" s="8"/>
      <c r="O129" s="8"/>
      <c r="P129" s="8"/>
      <c r="Q129" s="8"/>
      <c r="R129" s="8"/>
      <c r="S129" s="8"/>
      <c r="T129" s="8"/>
      <c r="U129" s="8"/>
      <c r="V129" s="11"/>
      <c r="W129" s="7"/>
    </row>
    <row r="130" spans="1:23" ht="15.75" customHeight="1" x14ac:dyDescent="0.25">
      <c r="A130" s="7"/>
      <c r="B130" s="8"/>
      <c r="C130" s="9"/>
      <c r="D130" s="10"/>
      <c r="E130" s="8"/>
      <c r="F130" s="8"/>
      <c r="G130" s="7"/>
      <c r="H130" s="11"/>
      <c r="I130" s="11"/>
      <c r="J130" s="7"/>
      <c r="K130" s="7"/>
      <c r="L130" s="7"/>
      <c r="M130" s="7"/>
      <c r="N130" s="8"/>
      <c r="O130" s="8"/>
      <c r="P130" s="8"/>
      <c r="Q130" s="8"/>
      <c r="R130" s="8"/>
      <c r="S130" s="8"/>
      <c r="T130" s="8"/>
      <c r="U130" s="8"/>
      <c r="V130" s="11"/>
      <c r="W130" s="7"/>
    </row>
    <row r="131" spans="1:23" ht="15.75" customHeight="1" x14ac:dyDescent="0.25">
      <c r="A131" s="7"/>
      <c r="B131" s="8"/>
      <c r="C131" s="9"/>
      <c r="D131" s="10"/>
      <c r="E131" s="8"/>
      <c r="F131" s="8"/>
      <c r="G131" s="7"/>
      <c r="H131" s="11"/>
      <c r="I131" s="11"/>
      <c r="J131" s="7"/>
      <c r="K131" s="7"/>
      <c r="L131" s="7"/>
      <c r="M131" s="7"/>
      <c r="N131" s="8"/>
      <c r="O131" s="8"/>
      <c r="P131" s="8"/>
      <c r="Q131" s="8"/>
      <c r="R131" s="8"/>
      <c r="S131" s="8"/>
      <c r="T131" s="8"/>
      <c r="U131" s="8"/>
      <c r="V131" s="11"/>
      <c r="W131" s="7"/>
    </row>
    <row r="132" spans="1:23" ht="15.75" customHeight="1" x14ac:dyDescent="0.25">
      <c r="A132" s="7"/>
      <c r="B132" s="8"/>
      <c r="C132" s="9"/>
      <c r="D132" s="10"/>
      <c r="E132" s="8"/>
      <c r="F132" s="8"/>
      <c r="G132" s="7"/>
      <c r="H132" s="11"/>
      <c r="I132" s="11"/>
      <c r="J132" s="7"/>
      <c r="K132" s="7"/>
      <c r="L132" s="7"/>
      <c r="M132" s="7"/>
      <c r="N132" s="8"/>
      <c r="O132" s="8"/>
      <c r="P132" s="8"/>
      <c r="Q132" s="8"/>
      <c r="R132" s="8"/>
      <c r="S132" s="8"/>
      <c r="T132" s="8"/>
      <c r="U132" s="8"/>
      <c r="V132" s="11"/>
      <c r="W132" s="7"/>
    </row>
    <row r="133" spans="1:23" ht="15.75" customHeight="1" x14ac:dyDescent="0.25">
      <c r="A133" s="7"/>
      <c r="B133" s="8"/>
      <c r="C133" s="9"/>
      <c r="D133" s="10"/>
      <c r="E133" s="8"/>
      <c r="F133" s="8"/>
      <c r="G133" s="7"/>
      <c r="H133" s="11"/>
      <c r="I133" s="11"/>
      <c r="J133" s="7"/>
      <c r="K133" s="7"/>
      <c r="L133" s="7"/>
      <c r="M133" s="7"/>
      <c r="N133" s="8"/>
      <c r="O133" s="8"/>
      <c r="P133" s="8"/>
      <c r="Q133" s="8"/>
      <c r="R133" s="8"/>
      <c r="S133" s="8"/>
      <c r="T133" s="8"/>
      <c r="U133" s="8"/>
      <c r="V133" s="11"/>
      <c r="W133" s="7"/>
    </row>
    <row r="134" spans="1:23" ht="15.75" customHeight="1" x14ac:dyDescent="0.25">
      <c r="A134" s="7"/>
      <c r="B134" s="8"/>
      <c r="C134" s="9"/>
      <c r="D134" s="10"/>
      <c r="E134" s="8"/>
      <c r="F134" s="8"/>
      <c r="G134" s="7"/>
      <c r="H134" s="11"/>
      <c r="I134" s="11"/>
      <c r="J134" s="7"/>
      <c r="K134" s="7"/>
      <c r="L134" s="7"/>
      <c r="M134" s="7"/>
      <c r="N134" s="8"/>
      <c r="O134" s="8"/>
      <c r="P134" s="8"/>
      <c r="Q134" s="8"/>
      <c r="R134" s="8"/>
      <c r="S134" s="8"/>
      <c r="T134" s="8"/>
      <c r="U134" s="8"/>
      <c r="V134" s="11"/>
      <c r="W134" s="7"/>
    </row>
    <row r="135" spans="1:23" ht="15.75" customHeight="1" x14ac:dyDescent="0.25">
      <c r="A135" s="7"/>
      <c r="B135" s="8"/>
      <c r="C135" s="9"/>
      <c r="D135" s="10"/>
      <c r="E135" s="8"/>
      <c r="F135" s="8"/>
      <c r="G135" s="7"/>
      <c r="H135" s="11"/>
      <c r="I135" s="11"/>
      <c r="J135" s="7"/>
      <c r="K135" s="7"/>
      <c r="L135" s="7"/>
      <c r="M135" s="7"/>
      <c r="N135" s="8"/>
      <c r="O135" s="8"/>
      <c r="P135" s="8"/>
      <c r="Q135" s="8"/>
      <c r="R135" s="8"/>
      <c r="S135" s="8"/>
      <c r="T135" s="8"/>
      <c r="U135" s="8"/>
      <c r="V135" s="11"/>
      <c r="W135" s="7"/>
    </row>
    <row r="136" spans="1:23" ht="15.75" customHeight="1" x14ac:dyDescent="0.25">
      <c r="A136" s="7"/>
      <c r="B136" s="8"/>
      <c r="C136" s="9"/>
      <c r="D136" s="10"/>
      <c r="E136" s="8"/>
      <c r="F136" s="8"/>
      <c r="G136" s="7"/>
      <c r="H136" s="11"/>
      <c r="I136" s="11"/>
      <c r="J136" s="7"/>
      <c r="K136" s="7"/>
      <c r="L136" s="7"/>
      <c r="M136" s="7"/>
      <c r="N136" s="8"/>
      <c r="O136" s="8"/>
      <c r="P136" s="8"/>
      <c r="Q136" s="8"/>
      <c r="R136" s="8"/>
      <c r="S136" s="8"/>
      <c r="T136" s="8"/>
      <c r="U136" s="8"/>
      <c r="V136" s="11"/>
      <c r="W136" s="7"/>
    </row>
    <row r="137" spans="1:23" ht="15.75" customHeight="1" x14ac:dyDescent="0.25">
      <c r="A137" s="7"/>
      <c r="B137" s="8"/>
      <c r="C137" s="9"/>
      <c r="D137" s="10"/>
      <c r="E137" s="8"/>
      <c r="F137" s="8"/>
      <c r="G137" s="7"/>
      <c r="H137" s="11"/>
      <c r="I137" s="11"/>
      <c r="J137" s="7"/>
      <c r="K137" s="7"/>
      <c r="L137" s="7"/>
      <c r="M137" s="7"/>
      <c r="N137" s="8"/>
      <c r="O137" s="8"/>
      <c r="P137" s="8"/>
      <c r="Q137" s="8"/>
      <c r="R137" s="8"/>
      <c r="S137" s="8"/>
      <c r="T137" s="8"/>
      <c r="U137" s="8"/>
      <c r="V137" s="11"/>
      <c r="W137" s="7"/>
    </row>
    <row r="138" spans="1:23" ht="15.75" customHeight="1" x14ac:dyDescent="0.25">
      <c r="A138" s="7"/>
      <c r="B138" s="8"/>
      <c r="C138" s="9"/>
      <c r="D138" s="10"/>
      <c r="E138" s="8"/>
      <c r="F138" s="8"/>
      <c r="G138" s="7"/>
      <c r="H138" s="11"/>
      <c r="I138" s="11"/>
      <c r="J138" s="7"/>
      <c r="K138" s="7"/>
      <c r="L138" s="7"/>
      <c r="M138" s="7"/>
      <c r="N138" s="8"/>
      <c r="O138" s="8"/>
      <c r="P138" s="8"/>
      <c r="Q138" s="8"/>
      <c r="R138" s="8"/>
      <c r="S138" s="8"/>
      <c r="T138" s="8"/>
      <c r="U138" s="8"/>
      <c r="V138" s="11"/>
      <c r="W138" s="7"/>
    </row>
    <row r="139" spans="1:23" ht="15.75" customHeight="1" x14ac:dyDescent="0.25">
      <c r="A139" s="7"/>
      <c r="B139" s="8"/>
      <c r="C139" s="9"/>
      <c r="D139" s="10"/>
      <c r="E139" s="8"/>
      <c r="F139" s="8"/>
      <c r="G139" s="7"/>
      <c r="H139" s="11"/>
      <c r="I139" s="11"/>
      <c r="J139" s="7"/>
      <c r="K139" s="7"/>
      <c r="L139" s="7"/>
      <c r="M139" s="7"/>
      <c r="N139" s="8"/>
      <c r="O139" s="8"/>
      <c r="P139" s="8"/>
      <c r="Q139" s="8"/>
      <c r="R139" s="8"/>
      <c r="S139" s="8"/>
      <c r="T139" s="8"/>
      <c r="U139" s="8"/>
      <c r="V139" s="11"/>
      <c r="W139" s="7"/>
    </row>
    <row r="140" spans="1:23" ht="15.75" customHeight="1" x14ac:dyDescent="0.25">
      <c r="A140" s="7"/>
      <c r="B140" s="8"/>
      <c r="C140" s="9"/>
      <c r="D140" s="10"/>
      <c r="E140" s="8"/>
      <c r="F140" s="8"/>
      <c r="G140" s="7"/>
      <c r="H140" s="11"/>
      <c r="I140" s="11"/>
      <c r="J140" s="7"/>
      <c r="K140" s="7"/>
      <c r="L140" s="7"/>
      <c r="M140" s="7"/>
      <c r="N140" s="8"/>
      <c r="O140" s="8"/>
      <c r="P140" s="8"/>
      <c r="Q140" s="8"/>
      <c r="R140" s="8"/>
      <c r="S140" s="8"/>
      <c r="T140" s="8"/>
      <c r="U140" s="8"/>
      <c r="V140" s="11"/>
      <c r="W140" s="7"/>
    </row>
    <row r="141" spans="1:23" ht="15.75" customHeight="1" x14ac:dyDescent="0.25">
      <c r="A141" s="7"/>
      <c r="B141" s="8"/>
      <c r="C141" s="9"/>
      <c r="D141" s="10"/>
      <c r="E141" s="8"/>
      <c r="F141" s="8"/>
      <c r="G141" s="7"/>
      <c r="H141" s="11"/>
      <c r="I141" s="11"/>
      <c r="J141" s="7"/>
      <c r="K141" s="7"/>
      <c r="L141" s="7"/>
      <c r="M141" s="7"/>
      <c r="N141" s="8"/>
      <c r="O141" s="8"/>
      <c r="P141" s="8"/>
      <c r="Q141" s="8"/>
      <c r="R141" s="8"/>
      <c r="S141" s="8"/>
      <c r="T141" s="8"/>
      <c r="U141" s="8"/>
      <c r="V141" s="11"/>
      <c r="W141" s="7"/>
    </row>
    <row r="142" spans="1:23" ht="15.75" customHeight="1" x14ac:dyDescent="0.25">
      <c r="A142" s="7"/>
      <c r="B142" s="8"/>
      <c r="C142" s="9"/>
      <c r="D142" s="10"/>
      <c r="E142" s="8"/>
      <c r="F142" s="8"/>
      <c r="G142" s="7"/>
      <c r="H142" s="11"/>
      <c r="I142" s="11"/>
      <c r="J142" s="7"/>
      <c r="K142" s="7"/>
      <c r="L142" s="7"/>
      <c r="M142" s="7"/>
      <c r="N142" s="8"/>
      <c r="O142" s="8"/>
      <c r="P142" s="8"/>
      <c r="Q142" s="8"/>
      <c r="R142" s="8"/>
      <c r="S142" s="8"/>
      <c r="T142" s="8"/>
      <c r="U142" s="8"/>
      <c r="V142" s="11"/>
      <c r="W142" s="7"/>
    </row>
    <row r="143" spans="1:23" ht="15.75" customHeight="1" x14ac:dyDescent="0.25">
      <c r="A143" s="7"/>
      <c r="B143" s="8"/>
      <c r="C143" s="9"/>
      <c r="D143" s="10"/>
      <c r="E143" s="8"/>
      <c r="F143" s="8"/>
      <c r="G143" s="7"/>
      <c r="H143" s="11"/>
      <c r="I143" s="11"/>
      <c r="J143" s="7"/>
      <c r="K143" s="7"/>
      <c r="L143" s="7"/>
      <c r="M143" s="7"/>
      <c r="N143" s="8"/>
      <c r="O143" s="8"/>
      <c r="P143" s="8"/>
      <c r="Q143" s="8"/>
      <c r="R143" s="8"/>
      <c r="S143" s="8"/>
      <c r="T143" s="8"/>
      <c r="U143" s="8"/>
      <c r="V143" s="11"/>
      <c r="W143" s="7"/>
    </row>
    <row r="144" spans="1:23" ht="15.75" customHeight="1" x14ac:dyDescent="0.25">
      <c r="A144" s="7"/>
      <c r="B144" s="8"/>
      <c r="C144" s="9"/>
      <c r="D144" s="10"/>
      <c r="E144" s="8"/>
      <c r="F144" s="8"/>
      <c r="G144" s="7"/>
      <c r="H144" s="11"/>
      <c r="I144" s="11"/>
      <c r="J144" s="7"/>
      <c r="K144" s="7"/>
      <c r="L144" s="7"/>
      <c r="M144" s="7"/>
      <c r="N144" s="8"/>
      <c r="O144" s="8"/>
      <c r="P144" s="8"/>
      <c r="Q144" s="8"/>
      <c r="R144" s="8"/>
      <c r="S144" s="8"/>
      <c r="T144" s="8"/>
      <c r="U144" s="8"/>
      <c r="V144" s="11"/>
      <c r="W144" s="7"/>
    </row>
    <row r="145" spans="1:23" ht="15.75" customHeight="1" x14ac:dyDescent="0.25">
      <c r="A145" s="7"/>
      <c r="B145" s="8"/>
      <c r="C145" s="9"/>
      <c r="D145" s="10"/>
      <c r="E145" s="8"/>
      <c r="F145" s="8"/>
      <c r="G145" s="7"/>
      <c r="H145" s="11"/>
      <c r="I145" s="11"/>
      <c r="J145" s="7"/>
      <c r="K145" s="7"/>
      <c r="L145" s="7"/>
      <c r="M145" s="7"/>
      <c r="N145" s="8"/>
      <c r="O145" s="8"/>
      <c r="P145" s="8"/>
      <c r="Q145" s="8"/>
      <c r="R145" s="8"/>
      <c r="S145" s="8"/>
      <c r="T145" s="8"/>
      <c r="U145" s="8"/>
      <c r="V145" s="11"/>
      <c r="W145" s="7"/>
    </row>
    <row r="146" spans="1:23" ht="15.75" customHeight="1" x14ac:dyDescent="0.25">
      <c r="A146" s="7"/>
      <c r="B146" s="8"/>
      <c r="C146" s="9"/>
      <c r="D146" s="10"/>
      <c r="E146" s="8"/>
      <c r="F146" s="8"/>
      <c r="G146" s="7"/>
      <c r="H146" s="11"/>
      <c r="I146" s="11"/>
      <c r="J146" s="7"/>
      <c r="K146" s="7"/>
      <c r="L146" s="7"/>
      <c r="M146" s="7"/>
      <c r="N146" s="8"/>
      <c r="O146" s="8"/>
      <c r="P146" s="8"/>
      <c r="Q146" s="8"/>
      <c r="R146" s="8"/>
      <c r="S146" s="8"/>
      <c r="T146" s="8"/>
      <c r="U146" s="8"/>
      <c r="V146" s="11"/>
      <c r="W146" s="7"/>
    </row>
    <row r="147" spans="1:23" ht="15.75" customHeight="1" x14ac:dyDescent="0.25">
      <c r="A147" s="7"/>
      <c r="B147" s="8"/>
      <c r="C147" s="9"/>
      <c r="D147" s="10"/>
      <c r="E147" s="8"/>
      <c r="F147" s="8"/>
      <c r="G147" s="7"/>
      <c r="H147" s="11"/>
      <c r="I147" s="11"/>
      <c r="J147" s="7"/>
      <c r="K147" s="7"/>
      <c r="L147" s="7"/>
      <c r="M147" s="7"/>
      <c r="N147" s="8"/>
      <c r="O147" s="8"/>
      <c r="P147" s="8"/>
      <c r="Q147" s="8"/>
      <c r="R147" s="8"/>
      <c r="S147" s="8"/>
      <c r="T147" s="8"/>
      <c r="U147" s="8"/>
      <c r="V147" s="11"/>
      <c r="W147" s="7"/>
    </row>
    <row r="148" spans="1:23" ht="15.75" customHeight="1" x14ac:dyDescent="0.25">
      <c r="A148" s="7"/>
      <c r="B148" s="8"/>
      <c r="C148" s="9"/>
      <c r="D148" s="10"/>
      <c r="E148" s="8"/>
      <c r="F148" s="8"/>
      <c r="G148" s="7"/>
      <c r="H148" s="11"/>
      <c r="I148" s="11"/>
      <c r="J148" s="7"/>
      <c r="K148" s="7"/>
      <c r="L148" s="7"/>
      <c r="M148" s="7"/>
      <c r="N148" s="8"/>
      <c r="O148" s="8"/>
      <c r="P148" s="8"/>
      <c r="Q148" s="8"/>
      <c r="R148" s="8"/>
      <c r="S148" s="8"/>
      <c r="T148" s="8"/>
      <c r="U148" s="8"/>
      <c r="V148" s="11"/>
      <c r="W148" s="7"/>
    </row>
    <row r="149" spans="1:23" ht="15.75" customHeight="1" x14ac:dyDescent="0.25">
      <c r="A149" s="7"/>
      <c r="B149" s="8"/>
      <c r="C149" s="9"/>
      <c r="D149" s="10"/>
      <c r="E149" s="8"/>
      <c r="F149" s="8"/>
      <c r="G149" s="7"/>
      <c r="H149" s="11"/>
      <c r="I149" s="11"/>
      <c r="J149" s="7"/>
      <c r="K149" s="7"/>
      <c r="L149" s="7"/>
      <c r="M149" s="7"/>
      <c r="N149" s="8"/>
      <c r="O149" s="8"/>
      <c r="P149" s="8"/>
      <c r="Q149" s="8"/>
      <c r="R149" s="8"/>
      <c r="S149" s="8"/>
      <c r="T149" s="8"/>
      <c r="U149" s="8"/>
      <c r="V149" s="11"/>
      <c r="W149" s="7"/>
    </row>
    <row r="150" spans="1:23" ht="15.75" customHeight="1" x14ac:dyDescent="0.25">
      <c r="A150" s="7"/>
      <c r="B150" s="8"/>
      <c r="C150" s="9"/>
      <c r="D150" s="10"/>
      <c r="E150" s="8"/>
      <c r="F150" s="8"/>
      <c r="G150" s="7"/>
      <c r="H150" s="11"/>
      <c r="I150" s="11"/>
      <c r="J150" s="7"/>
      <c r="K150" s="7"/>
      <c r="L150" s="7"/>
      <c r="M150" s="7"/>
      <c r="N150" s="8"/>
      <c r="O150" s="8"/>
      <c r="P150" s="8"/>
      <c r="Q150" s="8"/>
      <c r="R150" s="8"/>
      <c r="S150" s="8"/>
      <c r="T150" s="8"/>
      <c r="U150" s="8"/>
      <c r="V150" s="11"/>
      <c r="W150" s="7"/>
    </row>
    <row r="151" spans="1:23" ht="15.75" customHeight="1" x14ac:dyDescent="0.25">
      <c r="A151" s="7"/>
      <c r="B151" s="8"/>
      <c r="C151" s="9"/>
      <c r="D151" s="10"/>
      <c r="E151" s="8"/>
      <c r="F151" s="8"/>
      <c r="G151" s="7"/>
      <c r="H151" s="11"/>
      <c r="I151" s="11"/>
      <c r="J151" s="7"/>
      <c r="K151" s="7"/>
      <c r="L151" s="7"/>
      <c r="M151" s="7"/>
      <c r="N151" s="8"/>
      <c r="O151" s="8"/>
      <c r="P151" s="8"/>
      <c r="Q151" s="8"/>
      <c r="R151" s="8"/>
      <c r="S151" s="8"/>
      <c r="T151" s="8"/>
      <c r="U151" s="8"/>
      <c r="V151" s="11"/>
      <c r="W151" s="7"/>
    </row>
    <row r="152" spans="1:23" ht="15.75" customHeight="1" x14ac:dyDescent="0.25">
      <c r="A152" s="7"/>
      <c r="B152" s="8"/>
      <c r="C152" s="9"/>
      <c r="D152" s="10"/>
      <c r="E152" s="8"/>
      <c r="F152" s="8"/>
      <c r="G152" s="7"/>
      <c r="H152" s="11"/>
      <c r="I152" s="11"/>
      <c r="J152" s="7"/>
      <c r="K152" s="7"/>
      <c r="L152" s="7"/>
      <c r="M152" s="7"/>
      <c r="N152" s="8"/>
      <c r="O152" s="8"/>
      <c r="P152" s="8"/>
      <c r="Q152" s="8"/>
      <c r="R152" s="8"/>
      <c r="S152" s="8"/>
      <c r="T152" s="8"/>
      <c r="U152" s="8"/>
      <c r="V152" s="11"/>
      <c r="W152" s="7"/>
    </row>
    <row r="153" spans="1:23" ht="15.75" customHeight="1" x14ac:dyDescent="0.25">
      <c r="A153" s="7"/>
      <c r="B153" s="8"/>
      <c r="C153" s="9"/>
      <c r="D153" s="10"/>
      <c r="E153" s="8"/>
      <c r="F153" s="8"/>
      <c r="G153" s="7"/>
      <c r="H153" s="11"/>
      <c r="I153" s="11"/>
      <c r="J153" s="7"/>
      <c r="K153" s="7"/>
      <c r="L153" s="7"/>
      <c r="M153" s="7"/>
      <c r="N153" s="8"/>
      <c r="O153" s="8"/>
      <c r="P153" s="8"/>
      <c r="Q153" s="8"/>
      <c r="R153" s="8"/>
      <c r="S153" s="8"/>
      <c r="T153" s="8"/>
      <c r="U153" s="8"/>
      <c r="V153" s="11"/>
      <c r="W153" s="7"/>
    </row>
    <row r="154" spans="1:23" ht="15.75" customHeight="1" x14ac:dyDescent="0.25">
      <c r="A154" s="7"/>
      <c r="B154" s="8"/>
      <c r="C154" s="9"/>
      <c r="D154" s="10"/>
      <c r="E154" s="8"/>
      <c r="F154" s="8"/>
      <c r="G154" s="7"/>
      <c r="H154" s="11"/>
      <c r="I154" s="11"/>
      <c r="J154" s="7"/>
      <c r="K154" s="7"/>
      <c r="L154" s="7"/>
      <c r="M154" s="7"/>
      <c r="N154" s="8"/>
      <c r="O154" s="8"/>
      <c r="P154" s="8"/>
      <c r="Q154" s="8"/>
      <c r="R154" s="8"/>
      <c r="S154" s="8"/>
      <c r="T154" s="8"/>
      <c r="U154" s="8"/>
      <c r="V154" s="11"/>
      <c r="W154" s="7"/>
    </row>
    <row r="155" spans="1:23" ht="15.75" customHeight="1" x14ac:dyDescent="0.25">
      <c r="A155" s="7"/>
      <c r="B155" s="8"/>
      <c r="C155" s="9"/>
      <c r="D155" s="10"/>
      <c r="E155" s="8"/>
      <c r="F155" s="8"/>
      <c r="G155" s="7"/>
      <c r="H155" s="11"/>
      <c r="I155" s="11"/>
      <c r="J155" s="7"/>
      <c r="K155" s="7"/>
      <c r="L155" s="7"/>
      <c r="M155" s="7"/>
      <c r="N155" s="8"/>
      <c r="O155" s="8"/>
      <c r="P155" s="8"/>
      <c r="Q155" s="8"/>
      <c r="R155" s="8"/>
      <c r="S155" s="8"/>
      <c r="T155" s="8"/>
      <c r="U155" s="8"/>
      <c r="V155" s="11"/>
      <c r="W155" s="7"/>
    </row>
    <row r="156" spans="1:23" ht="15.75" customHeight="1" x14ac:dyDescent="0.25">
      <c r="A156" s="7"/>
      <c r="B156" s="8"/>
      <c r="C156" s="9"/>
      <c r="D156" s="10"/>
      <c r="E156" s="8"/>
      <c r="F156" s="8"/>
      <c r="G156" s="7"/>
      <c r="H156" s="11"/>
      <c r="I156" s="11"/>
      <c r="J156" s="7"/>
      <c r="K156" s="7"/>
      <c r="L156" s="7"/>
      <c r="M156" s="7"/>
      <c r="N156" s="8"/>
      <c r="O156" s="8"/>
      <c r="P156" s="8"/>
      <c r="Q156" s="8"/>
      <c r="R156" s="8"/>
      <c r="S156" s="8"/>
      <c r="T156" s="8"/>
      <c r="U156" s="8"/>
      <c r="V156" s="11"/>
      <c r="W156" s="7"/>
    </row>
    <row r="157" spans="1:23" ht="15.75" customHeight="1" x14ac:dyDescent="0.25">
      <c r="A157" s="7"/>
      <c r="B157" s="8"/>
      <c r="C157" s="9"/>
      <c r="D157" s="10"/>
      <c r="E157" s="8"/>
      <c r="F157" s="8"/>
      <c r="G157" s="7"/>
      <c r="H157" s="11"/>
      <c r="I157" s="11"/>
      <c r="J157" s="7"/>
      <c r="K157" s="7"/>
      <c r="L157" s="7"/>
      <c r="M157" s="7"/>
      <c r="N157" s="8"/>
      <c r="O157" s="8"/>
      <c r="P157" s="8"/>
      <c r="Q157" s="8"/>
      <c r="R157" s="8"/>
      <c r="S157" s="8"/>
      <c r="T157" s="8"/>
      <c r="U157" s="8"/>
      <c r="V157" s="11"/>
      <c r="W157" s="7"/>
    </row>
    <row r="158" spans="1:23" ht="15.75" customHeight="1" x14ac:dyDescent="0.25">
      <c r="A158" s="7"/>
      <c r="B158" s="8"/>
      <c r="C158" s="9"/>
      <c r="D158" s="10"/>
      <c r="E158" s="8"/>
      <c r="F158" s="8"/>
      <c r="G158" s="7"/>
      <c r="H158" s="11"/>
      <c r="I158" s="11"/>
      <c r="J158" s="7"/>
      <c r="K158" s="7"/>
      <c r="L158" s="7"/>
      <c r="M158" s="7"/>
      <c r="N158" s="8"/>
      <c r="O158" s="8"/>
      <c r="P158" s="8"/>
      <c r="Q158" s="8"/>
      <c r="R158" s="8"/>
      <c r="S158" s="8"/>
      <c r="T158" s="8"/>
      <c r="U158" s="8"/>
      <c r="V158" s="11"/>
      <c r="W158" s="7"/>
    </row>
    <row r="159" spans="1:23" ht="15.75" customHeight="1" x14ac:dyDescent="0.25">
      <c r="A159" s="7"/>
      <c r="B159" s="8"/>
      <c r="C159" s="9"/>
      <c r="D159" s="10"/>
      <c r="E159" s="8"/>
      <c r="F159" s="8"/>
      <c r="G159" s="7"/>
      <c r="H159" s="11"/>
      <c r="I159" s="11"/>
      <c r="J159" s="7"/>
      <c r="K159" s="7"/>
      <c r="L159" s="7"/>
      <c r="M159" s="7"/>
      <c r="N159" s="8"/>
      <c r="O159" s="8"/>
      <c r="P159" s="8"/>
      <c r="Q159" s="8"/>
      <c r="R159" s="8"/>
      <c r="S159" s="8"/>
      <c r="T159" s="8"/>
      <c r="U159" s="8"/>
      <c r="V159" s="11"/>
      <c r="W159" s="7"/>
    </row>
    <row r="160" spans="1:23" ht="15.75" customHeight="1" x14ac:dyDescent="0.25">
      <c r="A160" s="7"/>
      <c r="B160" s="8"/>
      <c r="C160" s="9"/>
      <c r="D160" s="10"/>
      <c r="E160" s="8"/>
      <c r="F160" s="8"/>
      <c r="G160" s="7"/>
      <c r="H160" s="11"/>
      <c r="I160" s="11"/>
      <c r="J160" s="7"/>
      <c r="K160" s="7"/>
      <c r="L160" s="7"/>
      <c r="M160" s="7"/>
      <c r="N160" s="8"/>
      <c r="O160" s="8"/>
      <c r="P160" s="8"/>
      <c r="Q160" s="8"/>
      <c r="R160" s="8"/>
      <c r="S160" s="8"/>
      <c r="T160" s="8"/>
      <c r="U160" s="8"/>
      <c r="V160" s="11"/>
      <c r="W160" s="7"/>
    </row>
    <row r="161" spans="1:23" ht="15.75" customHeight="1" x14ac:dyDescent="0.25">
      <c r="A161" s="7"/>
      <c r="B161" s="8"/>
      <c r="C161" s="9"/>
      <c r="D161" s="10"/>
      <c r="E161" s="8"/>
      <c r="F161" s="8"/>
      <c r="G161" s="7"/>
      <c r="H161" s="11"/>
      <c r="I161" s="11"/>
      <c r="J161" s="7"/>
      <c r="K161" s="7"/>
      <c r="L161" s="7"/>
      <c r="M161" s="7"/>
      <c r="N161" s="8"/>
      <c r="O161" s="8"/>
      <c r="P161" s="8"/>
      <c r="Q161" s="8"/>
      <c r="R161" s="8"/>
      <c r="S161" s="8"/>
      <c r="T161" s="8"/>
      <c r="U161" s="8"/>
      <c r="V161" s="11"/>
      <c r="W161" s="7"/>
    </row>
    <row r="162" spans="1:23" ht="15.75" customHeight="1" x14ac:dyDescent="0.25">
      <c r="A162" s="7"/>
      <c r="B162" s="8"/>
      <c r="C162" s="9"/>
      <c r="D162" s="10"/>
      <c r="E162" s="8"/>
      <c r="F162" s="8"/>
      <c r="G162" s="7"/>
      <c r="H162" s="11"/>
      <c r="I162" s="11"/>
      <c r="J162" s="7"/>
      <c r="K162" s="7"/>
      <c r="L162" s="7"/>
      <c r="M162" s="7"/>
      <c r="N162" s="8"/>
      <c r="O162" s="8"/>
      <c r="P162" s="8"/>
      <c r="Q162" s="8"/>
      <c r="R162" s="8"/>
      <c r="S162" s="8"/>
      <c r="T162" s="8"/>
      <c r="U162" s="8"/>
      <c r="V162" s="11"/>
      <c r="W162" s="7"/>
    </row>
    <row r="163" spans="1:23" ht="15.75" customHeight="1" x14ac:dyDescent="0.25">
      <c r="A163" s="7"/>
      <c r="B163" s="8"/>
      <c r="C163" s="9"/>
      <c r="D163" s="10"/>
      <c r="E163" s="8"/>
      <c r="F163" s="8"/>
      <c r="G163" s="7"/>
      <c r="H163" s="11"/>
      <c r="I163" s="11"/>
      <c r="J163" s="7"/>
      <c r="K163" s="7"/>
      <c r="L163" s="7"/>
      <c r="M163" s="7"/>
      <c r="N163" s="8"/>
      <c r="O163" s="8"/>
      <c r="P163" s="8"/>
      <c r="Q163" s="8"/>
      <c r="R163" s="8"/>
      <c r="S163" s="8"/>
      <c r="T163" s="8"/>
      <c r="U163" s="8"/>
      <c r="V163" s="11"/>
      <c r="W163" s="7"/>
    </row>
    <row r="164" spans="1:23" ht="15.75" customHeight="1" x14ac:dyDescent="0.25">
      <c r="A164" s="7"/>
      <c r="B164" s="8"/>
      <c r="C164" s="9"/>
      <c r="D164" s="10"/>
      <c r="E164" s="8"/>
      <c r="F164" s="8"/>
      <c r="G164" s="7"/>
      <c r="H164" s="11"/>
      <c r="I164" s="11"/>
      <c r="J164" s="7"/>
      <c r="K164" s="7"/>
      <c r="L164" s="7"/>
      <c r="M164" s="7"/>
      <c r="N164" s="8"/>
      <c r="O164" s="8"/>
      <c r="P164" s="8"/>
      <c r="Q164" s="8"/>
      <c r="R164" s="8"/>
      <c r="S164" s="8"/>
      <c r="T164" s="8"/>
      <c r="U164" s="8"/>
      <c r="V164" s="11"/>
      <c r="W164" s="7"/>
    </row>
    <row r="165" spans="1:23" ht="15.75" customHeight="1" x14ac:dyDescent="0.25">
      <c r="A165" s="7"/>
      <c r="B165" s="8"/>
      <c r="C165" s="9"/>
      <c r="D165" s="10"/>
      <c r="E165" s="8"/>
      <c r="F165" s="8"/>
      <c r="G165" s="7"/>
      <c r="H165" s="11"/>
      <c r="I165" s="11"/>
      <c r="J165" s="7"/>
      <c r="K165" s="7"/>
      <c r="L165" s="7"/>
      <c r="M165" s="7"/>
      <c r="N165" s="8"/>
      <c r="O165" s="8"/>
      <c r="P165" s="8"/>
      <c r="Q165" s="8"/>
      <c r="R165" s="8"/>
      <c r="S165" s="8"/>
      <c r="T165" s="8"/>
      <c r="U165" s="8"/>
      <c r="V165" s="11"/>
      <c r="W165" s="7"/>
    </row>
    <row r="166" spans="1:23" ht="15.75" customHeight="1" x14ac:dyDescent="0.25">
      <c r="A166" s="7"/>
      <c r="B166" s="8"/>
      <c r="C166" s="9"/>
      <c r="D166" s="10"/>
      <c r="E166" s="8"/>
      <c r="F166" s="8"/>
      <c r="G166" s="7"/>
      <c r="H166" s="11"/>
      <c r="I166" s="11"/>
      <c r="J166" s="7"/>
      <c r="K166" s="7"/>
      <c r="L166" s="7"/>
      <c r="M166" s="7"/>
      <c r="N166" s="8"/>
      <c r="O166" s="8"/>
      <c r="P166" s="8"/>
      <c r="Q166" s="8"/>
      <c r="R166" s="8"/>
      <c r="S166" s="8"/>
      <c r="T166" s="8"/>
      <c r="U166" s="8"/>
      <c r="V166" s="11"/>
      <c r="W166" s="7"/>
    </row>
    <row r="167" spans="1:23" ht="15.75" customHeight="1" x14ac:dyDescent="0.25">
      <c r="A167" s="7"/>
      <c r="B167" s="8"/>
      <c r="C167" s="9"/>
      <c r="D167" s="10"/>
      <c r="E167" s="8"/>
      <c r="F167" s="8"/>
      <c r="G167" s="7"/>
      <c r="H167" s="11"/>
      <c r="I167" s="11"/>
      <c r="J167" s="7"/>
      <c r="K167" s="7"/>
      <c r="L167" s="7"/>
      <c r="M167" s="7"/>
      <c r="N167" s="8"/>
      <c r="O167" s="8"/>
      <c r="P167" s="8"/>
      <c r="Q167" s="8"/>
      <c r="R167" s="8"/>
      <c r="S167" s="8"/>
      <c r="T167" s="8"/>
      <c r="U167" s="8"/>
      <c r="V167" s="11"/>
      <c r="W167" s="7"/>
    </row>
    <row r="168" spans="1:23" ht="15.75" customHeight="1" x14ac:dyDescent="0.25">
      <c r="A168" s="7"/>
      <c r="B168" s="8"/>
      <c r="C168" s="9"/>
      <c r="D168" s="10"/>
      <c r="E168" s="8"/>
      <c r="F168" s="8"/>
      <c r="G168" s="7"/>
      <c r="H168" s="11"/>
      <c r="I168" s="11"/>
      <c r="J168" s="7"/>
      <c r="K168" s="7"/>
      <c r="L168" s="7"/>
      <c r="M168" s="7"/>
      <c r="N168" s="8"/>
      <c r="O168" s="8"/>
      <c r="P168" s="8"/>
      <c r="Q168" s="8"/>
      <c r="R168" s="8"/>
      <c r="S168" s="8"/>
      <c r="T168" s="8"/>
      <c r="U168" s="8"/>
      <c r="V168" s="11"/>
      <c r="W168" s="7"/>
    </row>
    <row r="169" spans="1:23" ht="15.75" customHeight="1" x14ac:dyDescent="0.25">
      <c r="A169" s="7"/>
      <c r="B169" s="8"/>
      <c r="C169" s="9"/>
      <c r="D169" s="10"/>
      <c r="E169" s="8"/>
      <c r="F169" s="8"/>
      <c r="G169" s="7"/>
      <c r="H169" s="11"/>
      <c r="I169" s="11"/>
      <c r="J169" s="7"/>
      <c r="K169" s="7"/>
      <c r="L169" s="7"/>
      <c r="M169" s="7"/>
      <c r="N169" s="8"/>
      <c r="O169" s="8"/>
      <c r="P169" s="8"/>
      <c r="Q169" s="8"/>
      <c r="R169" s="8"/>
      <c r="S169" s="8"/>
      <c r="T169" s="8"/>
      <c r="U169" s="8"/>
      <c r="V169" s="11"/>
      <c r="W169" s="7"/>
    </row>
    <row r="170" spans="1:23" ht="15.75" customHeight="1" x14ac:dyDescent="0.25">
      <c r="A170" s="7"/>
      <c r="B170" s="8"/>
      <c r="C170" s="9"/>
      <c r="D170" s="10"/>
      <c r="E170" s="8"/>
      <c r="F170" s="8"/>
      <c r="G170" s="7"/>
      <c r="H170" s="11"/>
      <c r="I170" s="11"/>
      <c r="J170" s="7"/>
      <c r="K170" s="7"/>
      <c r="L170" s="7"/>
      <c r="M170" s="7"/>
      <c r="N170" s="8"/>
      <c r="O170" s="8"/>
      <c r="P170" s="8"/>
      <c r="Q170" s="8"/>
      <c r="R170" s="8"/>
      <c r="S170" s="8"/>
      <c r="T170" s="8"/>
      <c r="U170" s="8"/>
      <c r="V170" s="11"/>
      <c r="W170" s="7"/>
    </row>
    <row r="171" spans="1:23" ht="15.75" customHeight="1" x14ac:dyDescent="0.25">
      <c r="A171" s="7"/>
      <c r="B171" s="8"/>
      <c r="C171" s="9"/>
      <c r="D171" s="10"/>
      <c r="E171" s="8"/>
      <c r="F171" s="8"/>
      <c r="G171" s="7"/>
      <c r="H171" s="11"/>
      <c r="I171" s="11"/>
      <c r="J171" s="7"/>
      <c r="K171" s="7"/>
      <c r="L171" s="7"/>
      <c r="M171" s="7"/>
      <c r="N171" s="8"/>
      <c r="O171" s="8"/>
      <c r="P171" s="8"/>
      <c r="Q171" s="8"/>
      <c r="R171" s="8"/>
      <c r="S171" s="8"/>
      <c r="T171" s="8"/>
      <c r="U171" s="8"/>
      <c r="V171" s="11"/>
      <c r="W171" s="7"/>
    </row>
    <row r="172" spans="1:23" ht="15.75" customHeight="1" x14ac:dyDescent="0.25">
      <c r="A172" s="7"/>
      <c r="B172" s="8"/>
      <c r="C172" s="9"/>
      <c r="D172" s="10"/>
      <c r="E172" s="8"/>
      <c r="F172" s="8"/>
      <c r="G172" s="7"/>
      <c r="H172" s="11"/>
      <c r="I172" s="11"/>
      <c r="J172" s="7"/>
      <c r="K172" s="7"/>
      <c r="L172" s="7"/>
      <c r="M172" s="7"/>
      <c r="N172" s="8"/>
      <c r="O172" s="8"/>
      <c r="P172" s="8"/>
      <c r="Q172" s="8"/>
      <c r="R172" s="8"/>
      <c r="S172" s="8"/>
      <c r="T172" s="8"/>
      <c r="U172" s="8"/>
      <c r="V172" s="11"/>
      <c r="W172" s="7"/>
    </row>
    <row r="173" spans="1:23" ht="15.75" customHeight="1" x14ac:dyDescent="0.25">
      <c r="A173" s="7"/>
      <c r="B173" s="8"/>
      <c r="C173" s="9"/>
      <c r="D173" s="10"/>
      <c r="E173" s="8"/>
      <c r="F173" s="8"/>
      <c r="G173" s="7"/>
      <c r="H173" s="11"/>
      <c r="I173" s="11"/>
      <c r="J173" s="7"/>
      <c r="K173" s="7"/>
      <c r="L173" s="7"/>
      <c r="M173" s="7"/>
      <c r="N173" s="8"/>
      <c r="O173" s="8"/>
      <c r="P173" s="8"/>
      <c r="Q173" s="8"/>
      <c r="R173" s="8"/>
      <c r="S173" s="8"/>
      <c r="T173" s="8"/>
      <c r="U173" s="8"/>
      <c r="V173" s="11"/>
      <c r="W173" s="7"/>
    </row>
    <row r="174" spans="1:23" ht="15.75" customHeight="1" x14ac:dyDescent="0.25">
      <c r="A174" s="7"/>
      <c r="B174" s="8"/>
      <c r="C174" s="9"/>
      <c r="D174" s="10"/>
      <c r="E174" s="8"/>
      <c r="F174" s="8"/>
      <c r="G174" s="7"/>
      <c r="H174" s="11"/>
      <c r="I174" s="11"/>
      <c r="J174" s="7"/>
      <c r="K174" s="7"/>
      <c r="L174" s="7"/>
      <c r="M174" s="7"/>
      <c r="N174" s="8"/>
      <c r="O174" s="8"/>
      <c r="P174" s="8"/>
      <c r="Q174" s="8"/>
      <c r="R174" s="8"/>
      <c r="S174" s="8"/>
      <c r="T174" s="8"/>
      <c r="U174" s="8"/>
      <c r="V174" s="11"/>
      <c r="W174" s="7"/>
    </row>
    <row r="175" spans="1:23" ht="15.75" customHeight="1" x14ac:dyDescent="0.25">
      <c r="A175" s="7"/>
      <c r="B175" s="8"/>
      <c r="C175" s="9"/>
      <c r="D175" s="10"/>
      <c r="E175" s="8"/>
      <c r="F175" s="8"/>
      <c r="G175" s="7"/>
      <c r="H175" s="11"/>
      <c r="I175" s="11"/>
      <c r="J175" s="7"/>
      <c r="K175" s="7"/>
      <c r="L175" s="7"/>
      <c r="M175" s="7"/>
      <c r="N175" s="8"/>
      <c r="O175" s="8"/>
      <c r="P175" s="8"/>
      <c r="Q175" s="8"/>
      <c r="R175" s="8"/>
      <c r="S175" s="8"/>
      <c r="T175" s="8"/>
      <c r="U175" s="8"/>
      <c r="V175" s="11"/>
      <c r="W175" s="7"/>
    </row>
    <row r="176" spans="1:23" ht="15.75" customHeight="1" x14ac:dyDescent="0.25">
      <c r="A176" s="7"/>
      <c r="B176" s="8"/>
      <c r="C176" s="9"/>
      <c r="D176" s="10"/>
      <c r="E176" s="8"/>
      <c r="F176" s="8"/>
      <c r="G176" s="7"/>
      <c r="H176" s="11"/>
      <c r="I176" s="11"/>
      <c r="J176" s="7"/>
      <c r="K176" s="7"/>
      <c r="L176" s="7"/>
      <c r="M176" s="7"/>
      <c r="N176" s="8"/>
      <c r="O176" s="8"/>
      <c r="P176" s="8"/>
      <c r="Q176" s="8"/>
      <c r="R176" s="8"/>
      <c r="S176" s="8"/>
      <c r="T176" s="8"/>
      <c r="U176" s="8"/>
      <c r="V176" s="11"/>
      <c r="W176" s="7"/>
    </row>
    <row r="177" spans="1:23" ht="15.75" customHeight="1" x14ac:dyDescent="0.25">
      <c r="A177" s="7"/>
      <c r="B177" s="8"/>
      <c r="C177" s="9"/>
      <c r="D177" s="10"/>
      <c r="E177" s="8"/>
      <c r="F177" s="8"/>
      <c r="G177" s="7"/>
      <c r="H177" s="11"/>
      <c r="I177" s="11"/>
      <c r="J177" s="7"/>
      <c r="K177" s="7"/>
      <c r="L177" s="7"/>
      <c r="M177" s="7"/>
      <c r="N177" s="8"/>
      <c r="O177" s="8"/>
      <c r="P177" s="8"/>
      <c r="Q177" s="8"/>
      <c r="R177" s="8"/>
      <c r="S177" s="8"/>
      <c r="T177" s="8"/>
      <c r="U177" s="8"/>
      <c r="V177" s="11"/>
      <c r="W177" s="7"/>
    </row>
    <row r="178" spans="1:23" ht="15.75" customHeight="1" x14ac:dyDescent="0.25">
      <c r="A178" s="7"/>
      <c r="B178" s="8"/>
      <c r="C178" s="9"/>
      <c r="D178" s="10"/>
      <c r="E178" s="8"/>
      <c r="F178" s="8"/>
      <c r="G178" s="7"/>
      <c r="H178" s="11"/>
      <c r="I178" s="11"/>
      <c r="J178" s="7"/>
      <c r="K178" s="7"/>
      <c r="L178" s="7"/>
      <c r="M178" s="7"/>
      <c r="N178" s="8"/>
      <c r="O178" s="8"/>
      <c r="P178" s="8"/>
      <c r="Q178" s="8"/>
      <c r="R178" s="8"/>
      <c r="S178" s="8"/>
      <c r="T178" s="8"/>
      <c r="U178" s="8"/>
      <c r="V178" s="11"/>
      <c r="W178" s="7"/>
    </row>
    <row r="179" spans="1:23" ht="15.75" customHeight="1" x14ac:dyDescent="0.25">
      <c r="A179" s="7"/>
      <c r="B179" s="8"/>
      <c r="C179" s="9"/>
      <c r="D179" s="10"/>
      <c r="E179" s="8"/>
      <c r="F179" s="8"/>
      <c r="G179" s="7"/>
      <c r="H179" s="11"/>
      <c r="I179" s="11"/>
      <c r="J179" s="7"/>
      <c r="K179" s="7"/>
      <c r="L179" s="7"/>
      <c r="M179" s="7"/>
      <c r="N179" s="8"/>
      <c r="O179" s="8"/>
      <c r="P179" s="8"/>
      <c r="Q179" s="8"/>
      <c r="R179" s="8"/>
      <c r="S179" s="8"/>
      <c r="T179" s="8"/>
      <c r="U179" s="8"/>
      <c r="V179" s="11"/>
      <c r="W179" s="7"/>
    </row>
    <row r="180" spans="1:23" ht="15.75" customHeight="1" x14ac:dyDescent="0.25">
      <c r="A180" s="7"/>
      <c r="B180" s="8"/>
      <c r="C180" s="9"/>
      <c r="D180" s="10"/>
      <c r="E180" s="8"/>
      <c r="F180" s="8"/>
      <c r="G180" s="7"/>
      <c r="H180" s="11"/>
      <c r="I180" s="11"/>
      <c r="J180" s="7"/>
      <c r="K180" s="7"/>
      <c r="L180" s="7"/>
      <c r="M180" s="7"/>
      <c r="N180" s="8"/>
      <c r="O180" s="8"/>
      <c r="P180" s="8"/>
      <c r="Q180" s="8"/>
      <c r="R180" s="8"/>
      <c r="S180" s="8"/>
      <c r="T180" s="8"/>
      <c r="U180" s="8"/>
      <c r="V180" s="11"/>
      <c r="W180" s="7"/>
    </row>
    <row r="181" spans="1:23" ht="15.75" customHeight="1" x14ac:dyDescent="0.25">
      <c r="A181" s="7"/>
      <c r="B181" s="8"/>
      <c r="C181" s="9"/>
      <c r="D181" s="10"/>
      <c r="E181" s="8"/>
      <c r="F181" s="8"/>
      <c r="G181" s="7"/>
      <c r="H181" s="11"/>
      <c r="I181" s="11"/>
      <c r="J181" s="7"/>
      <c r="K181" s="7"/>
      <c r="L181" s="7"/>
      <c r="M181" s="7"/>
      <c r="N181" s="8"/>
      <c r="O181" s="8"/>
      <c r="P181" s="8"/>
      <c r="Q181" s="8"/>
      <c r="R181" s="8"/>
      <c r="S181" s="8"/>
      <c r="T181" s="8"/>
      <c r="U181" s="8"/>
      <c r="V181" s="11"/>
      <c r="W181" s="7"/>
    </row>
    <row r="182" spans="1:23" ht="15.75" customHeight="1" x14ac:dyDescent="0.25">
      <c r="A182" s="7"/>
      <c r="B182" s="8"/>
      <c r="C182" s="9"/>
      <c r="D182" s="10"/>
      <c r="E182" s="8"/>
      <c r="F182" s="8"/>
      <c r="G182" s="7"/>
      <c r="H182" s="11"/>
      <c r="I182" s="11"/>
      <c r="J182" s="7"/>
      <c r="K182" s="7"/>
      <c r="L182" s="7"/>
      <c r="M182" s="7"/>
      <c r="N182" s="8"/>
      <c r="O182" s="8"/>
      <c r="P182" s="8"/>
      <c r="Q182" s="8"/>
      <c r="R182" s="8"/>
      <c r="S182" s="8"/>
      <c r="T182" s="8"/>
      <c r="U182" s="8"/>
      <c r="V182" s="11"/>
      <c r="W182" s="7"/>
    </row>
    <row r="183" spans="1:23" ht="15.75" customHeight="1" x14ac:dyDescent="0.25">
      <c r="A183" s="7"/>
      <c r="B183" s="8"/>
      <c r="C183" s="9"/>
      <c r="D183" s="10"/>
      <c r="E183" s="8"/>
      <c r="F183" s="8"/>
      <c r="G183" s="7"/>
      <c r="H183" s="11"/>
      <c r="I183" s="11"/>
      <c r="J183" s="7"/>
      <c r="K183" s="7"/>
      <c r="L183" s="7"/>
      <c r="M183" s="7"/>
      <c r="N183" s="8"/>
      <c r="O183" s="8"/>
      <c r="P183" s="8"/>
      <c r="Q183" s="8"/>
      <c r="R183" s="8"/>
      <c r="S183" s="8"/>
      <c r="T183" s="8"/>
      <c r="U183" s="8"/>
      <c r="V183" s="11"/>
      <c r="W183" s="7"/>
    </row>
    <row r="184" spans="1:23" ht="15.75" customHeight="1" x14ac:dyDescent="0.25">
      <c r="A184" s="7"/>
      <c r="B184" s="8"/>
      <c r="C184" s="9"/>
      <c r="D184" s="10"/>
      <c r="E184" s="8"/>
      <c r="F184" s="8"/>
      <c r="G184" s="7"/>
      <c r="H184" s="11"/>
      <c r="I184" s="11"/>
      <c r="J184" s="7"/>
      <c r="K184" s="7"/>
      <c r="L184" s="7"/>
      <c r="M184" s="7"/>
      <c r="N184" s="8"/>
      <c r="O184" s="8"/>
      <c r="P184" s="8"/>
      <c r="Q184" s="8"/>
      <c r="R184" s="8"/>
      <c r="S184" s="8"/>
      <c r="T184" s="8"/>
      <c r="U184" s="8"/>
      <c r="V184" s="11"/>
      <c r="W184" s="7"/>
    </row>
    <row r="185" spans="1:23" ht="15.75" customHeight="1" x14ac:dyDescent="0.25">
      <c r="A185" s="7"/>
      <c r="B185" s="8"/>
      <c r="C185" s="9"/>
      <c r="D185" s="10"/>
      <c r="E185" s="8"/>
      <c r="F185" s="8"/>
      <c r="G185" s="7"/>
      <c r="H185" s="11"/>
      <c r="I185" s="11"/>
      <c r="J185" s="7"/>
      <c r="K185" s="7"/>
      <c r="L185" s="7"/>
      <c r="M185" s="7"/>
      <c r="N185" s="8"/>
      <c r="O185" s="8"/>
      <c r="P185" s="8"/>
      <c r="Q185" s="8"/>
      <c r="R185" s="8"/>
      <c r="S185" s="8"/>
      <c r="T185" s="8"/>
      <c r="U185" s="8"/>
      <c r="V185" s="11"/>
      <c r="W185" s="7"/>
    </row>
    <row r="186" spans="1:23" ht="15.75" customHeight="1" x14ac:dyDescent="0.25">
      <c r="A186" s="7"/>
      <c r="B186" s="8"/>
      <c r="C186" s="9"/>
      <c r="D186" s="10"/>
      <c r="E186" s="8"/>
      <c r="F186" s="8"/>
      <c r="G186" s="7"/>
      <c r="H186" s="11"/>
      <c r="I186" s="11"/>
      <c r="J186" s="7"/>
      <c r="K186" s="7"/>
      <c r="L186" s="7"/>
      <c r="M186" s="7"/>
      <c r="N186" s="8"/>
      <c r="O186" s="8"/>
      <c r="P186" s="8"/>
      <c r="Q186" s="8"/>
      <c r="R186" s="8"/>
      <c r="S186" s="8"/>
      <c r="T186" s="8"/>
      <c r="U186" s="8"/>
      <c r="V186" s="11"/>
      <c r="W186" s="7"/>
    </row>
    <row r="187" spans="1:23" ht="15.75" customHeight="1" x14ac:dyDescent="0.25">
      <c r="A187" s="7"/>
      <c r="B187" s="8"/>
      <c r="C187" s="9"/>
      <c r="D187" s="10"/>
      <c r="E187" s="8"/>
      <c r="F187" s="8"/>
      <c r="G187" s="7"/>
      <c r="H187" s="11"/>
      <c r="I187" s="11"/>
      <c r="J187" s="7"/>
      <c r="K187" s="7"/>
      <c r="L187" s="7"/>
      <c r="M187" s="7"/>
      <c r="N187" s="8"/>
      <c r="O187" s="8"/>
      <c r="P187" s="8"/>
      <c r="Q187" s="8"/>
      <c r="R187" s="8"/>
      <c r="S187" s="8"/>
      <c r="T187" s="8"/>
      <c r="U187" s="8"/>
      <c r="V187" s="11"/>
      <c r="W187" s="7"/>
    </row>
    <row r="188" spans="1:23" ht="15.75" customHeight="1" x14ac:dyDescent="0.25">
      <c r="A188" s="7"/>
      <c r="B188" s="8"/>
      <c r="C188" s="9"/>
      <c r="D188" s="10"/>
      <c r="E188" s="8"/>
      <c r="F188" s="8"/>
      <c r="G188" s="7"/>
      <c r="H188" s="11"/>
      <c r="I188" s="11"/>
      <c r="J188" s="7"/>
      <c r="K188" s="7"/>
      <c r="L188" s="7"/>
      <c r="M188" s="7"/>
      <c r="N188" s="8"/>
      <c r="O188" s="8"/>
      <c r="P188" s="8"/>
      <c r="Q188" s="8"/>
      <c r="R188" s="8"/>
      <c r="S188" s="8"/>
      <c r="T188" s="8"/>
      <c r="U188" s="8"/>
      <c r="V188" s="11"/>
      <c r="W188" s="7"/>
    </row>
    <row r="189" spans="1:23" ht="15.75" customHeight="1" x14ac:dyDescent="0.25">
      <c r="A189" s="7"/>
      <c r="B189" s="8"/>
      <c r="C189" s="9"/>
      <c r="D189" s="10"/>
      <c r="E189" s="8"/>
      <c r="F189" s="8"/>
      <c r="G189" s="7"/>
      <c r="H189" s="11"/>
      <c r="I189" s="11"/>
      <c r="J189" s="7"/>
      <c r="K189" s="7"/>
      <c r="L189" s="7"/>
      <c r="M189" s="7"/>
      <c r="N189" s="8"/>
      <c r="O189" s="8"/>
      <c r="P189" s="8"/>
      <c r="Q189" s="8"/>
      <c r="R189" s="8"/>
      <c r="S189" s="8"/>
      <c r="T189" s="8"/>
      <c r="U189" s="8"/>
      <c r="V189" s="11"/>
      <c r="W189" s="7"/>
    </row>
    <row r="190" spans="1:23" ht="15.75" customHeight="1" x14ac:dyDescent="0.25">
      <c r="A190" s="7"/>
      <c r="B190" s="8"/>
      <c r="C190" s="9"/>
      <c r="D190" s="10"/>
      <c r="E190" s="8"/>
      <c r="F190" s="8"/>
      <c r="G190" s="7"/>
      <c r="H190" s="11"/>
      <c r="I190" s="11"/>
      <c r="J190" s="7"/>
      <c r="K190" s="7"/>
      <c r="L190" s="7"/>
      <c r="M190" s="7"/>
      <c r="N190" s="8"/>
      <c r="O190" s="8"/>
      <c r="P190" s="8"/>
      <c r="Q190" s="8"/>
      <c r="R190" s="8"/>
      <c r="S190" s="8"/>
      <c r="T190" s="8"/>
      <c r="U190" s="8"/>
      <c r="V190" s="11"/>
      <c r="W190" s="7"/>
    </row>
    <row r="191" spans="1:23" ht="15.75" customHeight="1" x14ac:dyDescent="0.25">
      <c r="A191" s="7"/>
      <c r="B191" s="8"/>
      <c r="C191" s="9"/>
      <c r="D191" s="10"/>
      <c r="E191" s="8"/>
      <c r="F191" s="8"/>
      <c r="G191" s="7"/>
      <c r="H191" s="11"/>
      <c r="I191" s="11"/>
      <c r="J191" s="7"/>
      <c r="K191" s="7"/>
      <c r="L191" s="7"/>
      <c r="M191" s="7"/>
      <c r="N191" s="8"/>
      <c r="O191" s="8"/>
      <c r="P191" s="8"/>
      <c r="Q191" s="8"/>
      <c r="R191" s="8"/>
      <c r="S191" s="8"/>
      <c r="T191" s="8"/>
      <c r="U191" s="8"/>
      <c r="V191" s="11"/>
      <c r="W191" s="7"/>
    </row>
    <row r="192" spans="1:23" ht="15.75" customHeight="1" x14ac:dyDescent="0.25">
      <c r="A192" s="7"/>
      <c r="B192" s="8"/>
      <c r="C192" s="9"/>
      <c r="D192" s="10"/>
      <c r="E192" s="8"/>
      <c r="F192" s="8"/>
      <c r="G192" s="7"/>
      <c r="H192" s="11"/>
      <c r="I192" s="11"/>
      <c r="J192" s="7"/>
      <c r="K192" s="7"/>
      <c r="L192" s="7"/>
      <c r="M192" s="7"/>
      <c r="N192" s="8"/>
      <c r="O192" s="8"/>
      <c r="P192" s="8"/>
      <c r="Q192" s="8"/>
      <c r="R192" s="8"/>
      <c r="S192" s="8"/>
      <c r="T192" s="8"/>
      <c r="U192" s="8"/>
      <c r="V192" s="11"/>
      <c r="W192" s="7"/>
    </row>
    <row r="193" spans="1:23" ht="15.75" customHeight="1" x14ac:dyDescent="0.25">
      <c r="A193" s="7"/>
      <c r="B193" s="8"/>
      <c r="C193" s="9"/>
      <c r="D193" s="10"/>
      <c r="E193" s="8"/>
      <c r="F193" s="8"/>
      <c r="G193" s="7"/>
      <c r="H193" s="11"/>
      <c r="I193" s="11"/>
      <c r="J193" s="7"/>
      <c r="K193" s="7"/>
      <c r="L193" s="7"/>
      <c r="M193" s="7"/>
      <c r="N193" s="8"/>
      <c r="O193" s="8"/>
      <c r="P193" s="8"/>
      <c r="Q193" s="8"/>
      <c r="R193" s="8"/>
      <c r="S193" s="8"/>
      <c r="T193" s="8"/>
      <c r="U193" s="8"/>
      <c r="V193" s="11"/>
      <c r="W193" s="7"/>
    </row>
    <row r="194" spans="1:23" ht="15.75" customHeight="1" x14ac:dyDescent="0.25">
      <c r="A194" s="7"/>
      <c r="B194" s="8"/>
      <c r="C194" s="9"/>
      <c r="D194" s="10"/>
      <c r="E194" s="8"/>
      <c r="F194" s="8"/>
      <c r="G194" s="7"/>
      <c r="H194" s="11"/>
      <c r="I194" s="11"/>
      <c r="J194" s="7"/>
      <c r="K194" s="7"/>
      <c r="L194" s="7"/>
      <c r="M194" s="7"/>
      <c r="N194" s="8"/>
      <c r="O194" s="8"/>
      <c r="P194" s="8"/>
      <c r="Q194" s="8"/>
      <c r="R194" s="8"/>
      <c r="S194" s="8"/>
      <c r="T194" s="8"/>
      <c r="U194" s="8"/>
      <c r="V194" s="11"/>
      <c r="W194" s="7"/>
    </row>
    <row r="195" spans="1:23" ht="15.75" customHeight="1" x14ac:dyDescent="0.25">
      <c r="A195" s="7"/>
      <c r="B195" s="8"/>
      <c r="C195" s="9"/>
      <c r="D195" s="10"/>
      <c r="E195" s="8"/>
      <c r="F195" s="8"/>
      <c r="G195" s="7"/>
      <c r="H195" s="11"/>
      <c r="I195" s="11"/>
      <c r="J195" s="7"/>
      <c r="K195" s="7"/>
      <c r="L195" s="7"/>
      <c r="M195" s="7"/>
      <c r="N195" s="8"/>
      <c r="O195" s="8"/>
      <c r="P195" s="8"/>
      <c r="Q195" s="8"/>
      <c r="R195" s="8"/>
      <c r="S195" s="8"/>
      <c r="T195" s="8"/>
      <c r="U195" s="8"/>
      <c r="V195" s="11"/>
      <c r="W195" s="7"/>
    </row>
    <row r="196" spans="1:23" ht="15.75" customHeight="1" x14ac:dyDescent="0.25">
      <c r="A196" s="7"/>
      <c r="B196" s="8"/>
      <c r="C196" s="9"/>
      <c r="D196" s="10"/>
      <c r="E196" s="8"/>
      <c r="F196" s="8"/>
      <c r="G196" s="7"/>
      <c r="H196" s="11"/>
      <c r="I196" s="11"/>
      <c r="J196" s="7"/>
      <c r="K196" s="7"/>
      <c r="L196" s="7"/>
      <c r="M196" s="7"/>
      <c r="N196" s="8"/>
      <c r="O196" s="8"/>
      <c r="P196" s="8"/>
      <c r="Q196" s="8"/>
      <c r="R196" s="8"/>
      <c r="S196" s="8"/>
      <c r="T196" s="8"/>
      <c r="U196" s="8"/>
      <c r="V196" s="11"/>
      <c r="W196" s="7"/>
    </row>
    <row r="197" spans="1:23" ht="15.75" customHeight="1" x14ac:dyDescent="0.25">
      <c r="A197" s="7"/>
      <c r="B197" s="8"/>
      <c r="C197" s="9"/>
      <c r="D197" s="10"/>
      <c r="E197" s="8"/>
      <c r="F197" s="8"/>
      <c r="G197" s="7"/>
      <c r="H197" s="11"/>
      <c r="I197" s="11"/>
      <c r="J197" s="7"/>
      <c r="K197" s="7"/>
      <c r="L197" s="7"/>
      <c r="M197" s="7"/>
      <c r="N197" s="8"/>
      <c r="O197" s="8"/>
      <c r="P197" s="8"/>
      <c r="Q197" s="8"/>
      <c r="R197" s="8"/>
      <c r="S197" s="8"/>
      <c r="T197" s="8"/>
      <c r="U197" s="8"/>
      <c r="V197" s="11"/>
      <c r="W197" s="7"/>
    </row>
    <row r="198" spans="1:23" ht="15.75" customHeight="1" x14ac:dyDescent="0.25">
      <c r="A198" s="7"/>
      <c r="B198" s="8"/>
      <c r="C198" s="9"/>
      <c r="D198" s="10"/>
      <c r="E198" s="8"/>
      <c r="F198" s="8"/>
      <c r="G198" s="7"/>
      <c r="H198" s="11"/>
      <c r="I198" s="11"/>
      <c r="J198" s="7"/>
      <c r="K198" s="7"/>
      <c r="L198" s="7"/>
      <c r="M198" s="7"/>
      <c r="N198" s="8"/>
      <c r="O198" s="8"/>
      <c r="P198" s="8"/>
      <c r="Q198" s="8"/>
      <c r="R198" s="8"/>
      <c r="S198" s="8"/>
      <c r="T198" s="8"/>
      <c r="U198" s="8"/>
      <c r="V198" s="11"/>
      <c r="W198" s="7"/>
    </row>
    <row r="199" spans="1:23" ht="15.75" customHeight="1" x14ac:dyDescent="0.25">
      <c r="A199" s="7"/>
      <c r="B199" s="8"/>
      <c r="C199" s="9"/>
      <c r="D199" s="10"/>
      <c r="E199" s="8"/>
      <c r="F199" s="8"/>
      <c r="G199" s="7"/>
      <c r="H199" s="11"/>
      <c r="I199" s="11"/>
      <c r="J199" s="7"/>
      <c r="K199" s="7"/>
      <c r="L199" s="7"/>
      <c r="M199" s="7"/>
      <c r="N199" s="8"/>
      <c r="O199" s="8"/>
      <c r="P199" s="8"/>
      <c r="Q199" s="8"/>
      <c r="R199" s="8"/>
      <c r="S199" s="8"/>
      <c r="T199" s="8"/>
      <c r="U199" s="8"/>
      <c r="V199" s="11"/>
      <c r="W199" s="7"/>
    </row>
    <row r="200" spans="1:23" ht="15.75" customHeight="1" x14ac:dyDescent="0.25">
      <c r="A200" s="7"/>
      <c r="B200" s="8"/>
      <c r="C200" s="9"/>
      <c r="D200" s="10"/>
      <c r="E200" s="8"/>
      <c r="F200" s="8"/>
      <c r="G200" s="7"/>
      <c r="H200" s="11"/>
      <c r="I200" s="11"/>
      <c r="J200" s="7"/>
      <c r="K200" s="7"/>
      <c r="L200" s="7"/>
      <c r="M200" s="7"/>
      <c r="N200" s="8"/>
      <c r="O200" s="8"/>
      <c r="P200" s="8"/>
      <c r="Q200" s="8"/>
      <c r="R200" s="8"/>
      <c r="S200" s="8"/>
      <c r="T200" s="8"/>
      <c r="U200" s="8"/>
      <c r="V200" s="11"/>
      <c r="W200" s="7"/>
    </row>
    <row r="201" spans="1:23" ht="15.75" customHeight="1" x14ac:dyDescent="0.25">
      <c r="A201" s="7"/>
      <c r="B201" s="8"/>
      <c r="C201" s="9"/>
      <c r="D201" s="10"/>
      <c r="E201" s="8"/>
      <c r="F201" s="8"/>
      <c r="G201" s="7"/>
      <c r="H201" s="11"/>
      <c r="I201" s="11"/>
      <c r="J201" s="7"/>
      <c r="K201" s="7"/>
      <c r="L201" s="7"/>
      <c r="M201" s="7"/>
      <c r="N201" s="8"/>
      <c r="O201" s="8"/>
      <c r="P201" s="8"/>
      <c r="Q201" s="8"/>
      <c r="R201" s="8"/>
      <c r="S201" s="8"/>
      <c r="T201" s="8"/>
      <c r="U201" s="8"/>
      <c r="V201" s="11"/>
      <c r="W201" s="7"/>
    </row>
    <row r="202" spans="1:23" ht="15.75" customHeight="1" x14ac:dyDescent="0.25">
      <c r="A202" s="7"/>
      <c r="B202" s="8"/>
      <c r="C202" s="9"/>
      <c r="D202" s="10"/>
      <c r="E202" s="8"/>
      <c r="F202" s="8"/>
      <c r="G202" s="7"/>
      <c r="H202" s="11"/>
      <c r="I202" s="11"/>
      <c r="J202" s="7"/>
      <c r="K202" s="7"/>
      <c r="L202" s="7"/>
      <c r="M202" s="7"/>
      <c r="N202" s="8"/>
      <c r="O202" s="8"/>
      <c r="P202" s="8"/>
      <c r="Q202" s="8"/>
      <c r="R202" s="8"/>
      <c r="S202" s="8"/>
      <c r="T202" s="8"/>
      <c r="U202" s="8"/>
      <c r="V202" s="11"/>
      <c r="W202" s="7"/>
    </row>
    <row r="203" spans="1:23" ht="15.75" customHeight="1" x14ac:dyDescent="0.25">
      <c r="A203" s="7"/>
      <c r="B203" s="8"/>
      <c r="C203" s="9"/>
      <c r="D203" s="10"/>
      <c r="E203" s="8"/>
      <c r="F203" s="8"/>
      <c r="G203" s="7"/>
      <c r="H203" s="11"/>
      <c r="I203" s="11"/>
      <c r="J203" s="7"/>
      <c r="K203" s="7"/>
      <c r="L203" s="7"/>
      <c r="M203" s="7"/>
      <c r="N203" s="8"/>
      <c r="O203" s="8"/>
      <c r="P203" s="8"/>
      <c r="Q203" s="8"/>
      <c r="R203" s="8"/>
      <c r="S203" s="8"/>
      <c r="T203" s="8"/>
      <c r="U203" s="8"/>
      <c r="V203" s="11"/>
      <c r="W203" s="7"/>
    </row>
    <row r="204" spans="1:23" ht="15.75" customHeight="1" x14ac:dyDescent="0.25">
      <c r="A204" s="7"/>
      <c r="B204" s="8"/>
      <c r="C204" s="9"/>
      <c r="D204" s="10"/>
      <c r="E204" s="8"/>
      <c r="F204" s="8"/>
      <c r="G204" s="7"/>
      <c r="H204" s="11"/>
      <c r="I204" s="11"/>
      <c r="J204" s="7"/>
      <c r="K204" s="7"/>
      <c r="L204" s="7"/>
      <c r="M204" s="7"/>
      <c r="N204" s="8"/>
      <c r="O204" s="8"/>
      <c r="P204" s="8"/>
      <c r="Q204" s="8"/>
      <c r="R204" s="8"/>
      <c r="S204" s="8"/>
      <c r="T204" s="8"/>
      <c r="U204" s="8"/>
      <c r="V204" s="11"/>
      <c r="W204" s="7"/>
    </row>
    <row r="205" spans="1:23" ht="15.75" customHeight="1" x14ac:dyDescent="0.25">
      <c r="A205" s="7"/>
      <c r="B205" s="8"/>
      <c r="C205" s="9"/>
      <c r="D205" s="10"/>
      <c r="E205" s="8"/>
      <c r="F205" s="8"/>
      <c r="G205" s="7"/>
      <c r="H205" s="11"/>
      <c r="I205" s="11"/>
      <c r="J205" s="7"/>
      <c r="K205" s="7"/>
      <c r="L205" s="7"/>
      <c r="M205" s="7"/>
      <c r="N205" s="8"/>
      <c r="O205" s="8"/>
      <c r="P205" s="8"/>
      <c r="Q205" s="8"/>
      <c r="R205" s="8"/>
      <c r="S205" s="8"/>
      <c r="T205" s="8"/>
      <c r="U205" s="8"/>
      <c r="V205" s="11"/>
      <c r="W205" s="7"/>
    </row>
    <row r="206" spans="1:23" ht="15.75" customHeight="1" x14ac:dyDescent="0.25">
      <c r="A206" s="7"/>
      <c r="B206" s="8"/>
      <c r="C206" s="9"/>
      <c r="D206" s="10"/>
      <c r="E206" s="8"/>
      <c r="F206" s="8"/>
      <c r="G206" s="7"/>
      <c r="H206" s="11"/>
      <c r="I206" s="11"/>
      <c r="J206" s="7"/>
      <c r="K206" s="7"/>
      <c r="L206" s="7"/>
      <c r="M206" s="7"/>
      <c r="N206" s="8"/>
      <c r="O206" s="8"/>
      <c r="P206" s="8"/>
      <c r="Q206" s="8"/>
      <c r="R206" s="8"/>
      <c r="S206" s="8"/>
      <c r="T206" s="8"/>
      <c r="U206" s="8"/>
      <c r="V206" s="11"/>
      <c r="W206" s="7"/>
    </row>
    <row r="207" spans="1:23" ht="15.75" customHeight="1" x14ac:dyDescent="0.25">
      <c r="A207" s="7"/>
      <c r="B207" s="8"/>
      <c r="C207" s="9"/>
      <c r="D207" s="10"/>
      <c r="E207" s="8"/>
      <c r="F207" s="8"/>
      <c r="G207" s="7"/>
      <c r="H207" s="11"/>
      <c r="I207" s="11"/>
      <c r="J207" s="7"/>
      <c r="K207" s="7"/>
      <c r="L207" s="7"/>
      <c r="M207" s="7"/>
      <c r="N207" s="8"/>
      <c r="O207" s="8"/>
      <c r="P207" s="8"/>
      <c r="Q207" s="8"/>
      <c r="R207" s="8"/>
      <c r="S207" s="8"/>
      <c r="T207" s="8"/>
      <c r="U207" s="8"/>
      <c r="V207" s="11"/>
      <c r="W207" s="7"/>
    </row>
    <row r="208" spans="1:23" ht="15.75" customHeight="1" x14ac:dyDescent="0.25">
      <c r="A208" s="7"/>
      <c r="B208" s="8"/>
      <c r="C208" s="9"/>
      <c r="D208" s="10"/>
      <c r="E208" s="8"/>
      <c r="F208" s="8"/>
      <c r="G208" s="7"/>
      <c r="H208" s="11"/>
      <c r="I208" s="11"/>
      <c r="J208" s="7"/>
      <c r="K208" s="7"/>
      <c r="L208" s="7"/>
      <c r="M208" s="7"/>
      <c r="N208" s="8"/>
      <c r="O208" s="8"/>
      <c r="P208" s="8"/>
      <c r="Q208" s="8"/>
      <c r="R208" s="8"/>
      <c r="S208" s="8"/>
      <c r="T208" s="8"/>
      <c r="U208" s="8"/>
      <c r="V208" s="11"/>
      <c r="W208" s="7"/>
    </row>
    <row r="209" spans="1:23" ht="15.75" customHeight="1" x14ac:dyDescent="0.25">
      <c r="A209" s="7"/>
      <c r="B209" s="8"/>
      <c r="C209" s="9"/>
      <c r="D209" s="10"/>
      <c r="E209" s="8"/>
      <c r="F209" s="8"/>
      <c r="G209" s="7"/>
      <c r="H209" s="11"/>
      <c r="I209" s="11"/>
      <c r="J209" s="7"/>
      <c r="K209" s="7"/>
      <c r="L209" s="7"/>
      <c r="M209" s="7"/>
      <c r="N209" s="8"/>
      <c r="O209" s="8"/>
      <c r="P209" s="8"/>
      <c r="Q209" s="8"/>
      <c r="R209" s="8"/>
      <c r="S209" s="8"/>
      <c r="T209" s="8"/>
      <c r="U209" s="8"/>
      <c r="V209" s="11"/>
      <c r="W209" s="7"/>
    </row>
    <row r="210" spans="1:23" ht="15.75" customHeight="1" x14ac:dyDescent="0.25">
      <c r="A210" s="7"/>
      <c r="B210" s="8"/>
      <c r="C210" s="9"/>
      <c r="D210" s="10"/>
      <c r="E210" s="8"/>
      <c r="F210" s="8"/>
      <c r="G210" s="7"/>
      <c r="H210" s="11"/>
      <c r="I210" s="11"/>
      <c r="J210" s="7"/>
      <c r="K210" s="7"/>
      <c r="L210" s="7"/>
      <c r="M210" s="7"/>
      <c r="N210" s="8"/>
      <c r="O210" s="8"/>
      <c r="P210" s="8"/>
      <c r="Q210" s="8"/>
      <c r="R210" s="8"/>
      <c r="S210" s="8"/>
      <c r="T210" s="8"/>
      <c r="U210" s="8"/>
      <c r="V210" s="11"/>
      <c r="W210" s="7"/>
    </row>
    <row r="211" spans="1:23" ht="15.75" customHeight="1" x14ac:dyDescent="0.25">
      <c r="A211" s="7"/>
      <c r="B211" s="8"/>
      <c r="C211" s="9"/>
      <c r="D211" s="10"/>
      <c r="E211" s="8"/>
      <c r="F211" s="8"/>
      <c r="G211" s="7"/>
      <c r="H211" s="11"/>
      <c r="I211" s="11"/>
      <c r="J211" s="7"/>
      <c r="K211" s="7"/>
      <c r="L211" s="7"/>
      <c r="M211" s="7"/>
      <c r="N211" s="8"/>
      <c r="O211" s="8"/>
      <c r="P211" s="8"/>
      <c r="Q211" s="8"/>
      <c r="R211" s="8"/>
      <c r="S211" s="8"/>
      <c r="T211" s="8"/>
      <c r="U211" s="8"/>
      <c r="V211" s="11"/>
      <c r="W211" s="7"/>
    </row>
    <row r="212" spans="1:23" ht="15.75" customHeight="1" x14ac:dyDescent="0.25">
      <c r="A212" s="7"/>
      <c r="B212" s="8"/>
      <c r="C212" s="9"/>
      <c r="D212" s="10"/>
      <c r="E212" s="8"/>
      <c r="F212" s="8"/>
      <c r="G212" s="7"/>
      <c r="H212" s="11"/>
      <c r="I212" s="11"/>
      <c r="J212" s="7"/>
      <c r="K212" s="7"/>
      <c r="L212" s="7"/>
      <c r="M212" s="7"/>
      <c r="N212" s="8"/>
      <c r="O212" s="8"/>
      <c r="P212" s="8"/>
      <c r="Q212" s="8"/>
      <c r="R212" s="8"/>
      <c r="S212" s="8"/>
      <c r="T212" s="8"/>
      <c r="U212" s="8"/>
      <c r="V212" s="11"/>
      <c r="W212" s="7"/>
    </row>
    <row r="213" spans="1:23" ht="15.75" customHeight="1" x14ac:dyDescent="0.25">
      <c r="A213" s="7"/>
      <c r="B213" s="8"/>
      <c r="C213" s="9"/>
      <c r="D213" s="10"/>
      <c r="E213" s="8"/>
      <c r="F213" s="8"/>
      <c r="G213" s="7"/>
      <c r="H213" s="11"/>
      <c r="I213" s="11"/>
      <c r="J213" s="7"/>
      <c r="K213" s="7"/>
      <c r="L213" s="7"/>
      <c r="M213" s="7"/>
      <c r="N213" s="8"/>
      <c r="O213" s="8"/>
      <c r="P213" s="8"/>
      <c r="Q213" s="8"/>
      <c r="R213" s="8"/>
      <c r="S213" s="8"/>
      <c r="T213" s="8"/>
      <c r="U213" s="8"/>
      <c r="V213" s="11"/>
      <c r="W213" s="7"/>
    </row>
    <row r="214" spans="1:23" ht="15.75" customHeight="1" x14ac:dyDescent="0.25">
      <c r="A214" s="7"/>
      <c r="B214" s="8"/>
      <c r="C214" s="9"/>
      <c r="D214" s="10"/>
      <c r="E214" s="8"/>
      <c r="F214" s="8"/>
      <c r="G214" s="7"/>
      <c r="H214" s="11"/>
      <c r="I214" s="11"/>
      <c r="J214" s="7"/>
      <c r="K214" s="7"/>
      <c r="L214" s="7"/>
      <c r="M214" s="7"/>
      <c r="N214" s="8"/>
      <c r="O214" s="8"/>
      <c r="P214" s="8"/>
      <c r="Q214" s="8"/>
      <c r="R214" s="8"/>
      <c r="S214" s="8"/>
      <c r="T214" s="8"/>
      <c r="U214" s="8"/>
      <c r="V214" s="11"/>
      <c r="W214" s="7"/>
    </row>
    <row r="215" spans="1:23" ht="15.75" customHeight="1" x14ac:dyDescent="0.25">
      <c r="A215" s="7"/>
      <c r="B215" s="8"/>
      <c r="C215" s="9"/>
      <c r="D215" s="10"/>
      <c r="E215" s="8"/>
      <c r="F215" s="8"/>
      <c r="G215" s="7"/>
      <c r="H215" s="11"/>
      <c r="I215" s="11"/>
      <c r="J215" s="7"/>
      <c r="K215" s="7"/>
      <c r="L215" s="7"/>
      <c r="M215" s="7"/>
      <c r="N215" s="8"/>
      <c r="O215" s="8"/>
      <c r="P215" s="8"/>
      <c r="Q215" s="8"/>
      <c r="R215" s="8"/>
      <c r="S215" s="8"/>
      <c r="T215" s="8"/>
      <c r="U215" s="8"/>
      <c r="V215" s="11"/>
      <c r="W215" s="7"/>
    </row>
    <row r="216" spans="1:23" ht="15.75" customHeight="1" x14ac:dyDescent="0.25">
      <c r="A216" s="7"/>
      <c r="B216" s="8"/>
      <c r="C216" s="9"/>
      <c r="D216" s="10"/>
      <c r="E216" s="8"/>
      <c r="F216" s="8"/>
      <c r="G216" s="7"/>
      <c r="H216" s="11"/>
      <c r="I216" s="11"/>
      <c r="J216" s="7"/>
      <c r="K216" s="7"/>
      <c r="L216" s="7"/>
      <c r="M216" s="7"/>
      <c r="N216" s="8"/>
      <c r="O216" s="8"/>
      <c r="P216" s="8"/>
      <c r="Q216" s="8"/>
      <c r="R216" s="8"/>
      <c r="S216" s="8"/>
      <c r="T216" s="8"/>
      <c r="U216" s="8"/>
      <c r="V216" s="11"/>
      <c r="W216" s="7"/>
    </row>
    <row r="217" spans="1:23" ht="15.75" customHeight="1" x14ac:dyDescent="0.25">
      <c r="A217" s="7"/>
      <c r="B217" s="8"/>
      <c r="C217" s="9"/>
      <c r="D217" s="10"/>
      <c r="E217" s="8"/>
      <c r="F217" s="8"/>
      <c r="G217" s="7"/>
      <c r="H217" s="11"/>
      <c r="I217" s="11"/>
      <c r="J217" s="7"/>
      <c r="K217" s="7"/>
      <c r="L217" s="7"/>
      <c r="M217" s="7"/>
      <c r="N217" s="8"/>
      <c r="O217" s="8"/>
      <c r="P217" s="8"/>
      <c r="Q217" s="8"/>
      <c r="R217" s="8"/>
      <c r="S217" s="8"/>
      <c r="T217" s="8"/>
      <c r="U217" s="8"/>
      <c r="V217" s="11"/>
      <c r="W217" s="7"/>
    </row>
    <row r="218" spans="1:23" ht="15.75" customHeight="1" x14ac:dyDescent="0.25">
      <c r="A218" s="7"/>
      <c r="B218" s="8"/>
      <c r="C218" s="9"/>
      <c r="D218" s="10"/>
      <c r="E218" s="8"/>
      <c r="F218" s="8"/>
      <c r="G218" s="7"/>
      <c r="H218" s="11"/>
      <c r="I218" s="11"/>
      <c r="J218" s="7"/>
      <c r="K218" s="7"/>
      <c r="L218" s="7"/>
      <c r="M218" s="7"/>
      <c r="N218" s="8"/>
      <c r="O218" s="8"/>
      <c r="P218" s="8"/>
      <c r="Q218" s="8"/>
      <c r="R218" s="8"/>
      <c r="S218" s="8"/>
      <c r="T218" s="8"/>
      <c r="U218" s="8"/>
      <c r="V218" s="11"/>
      <c r="W218" s="7"/>
    </row>
    <row r="219" spans="1:23" ht="15.75" customHeight="1" x14ac:dyDescent="0.25">
      <c r="A219" s="7"/>
      <c r="B219" s="8"/>
      <c r="C219" s="9"/>
      <c r="D219" s="10"/>
      <c r="E219" s="8"/>
      <c r="F219" s="8"/>
      <c r="G219" s="7"/>
      <c r="H219" s="11"/>
      <c r="I219" s="11"/>
      <c r="J219" s="7"/>
      <c r="K219" s="7"/>
      <c r="L219" s="7"/>
      <c r="M219" s="7"/>
      <c r="N219" s="8"/>
      <c r="O219" s="8"/>
      <c r="P219" s="8"/>
      <c r="Q219" s="8"/>
      <c r="R219" s="8"/>
      <c r="S219" s="8"/>
      <c r="T219" s="8"/>
      <c r="U219" s="8"/>
      <c r="V219" s="11"/>
      <c r="W219" s="7"/>
    </row>
    <row r="220" spans="1:23" ht="15.75" customHeight="1" x14ac:dyDescent="0.25">
      <c r="A220" s="7"/>
      <c r="B220" s="8"/>
      <c r="C220" s="9"/>
      <c r="D220" s="10"/>
      <c r="E220" s="8"/>
      <c r="F220" s="8"/>
      <c r="G220" s="7"/>
      <c r="H220" s="11"/>
      <c r="I220" s="11"/>
      <c r="J220" s="7"/>
      <c r="K220" s="7"/>
      <c r="L220" s="7"/>
      <c r="M220" s="7"/>
      <c r="N220" s="8"/>
      <c r="O220" s="8"/>
      <c r="P220" s="8"/>
      <c r="Q220" s="8"/>
      <c r="R220" s="8"/>
      <c r="S220" s="8"/>
      <c r="T220" s="8"/>
      <c r="U220" s="8"/>
      <c r="V220" s="11"/>
      <c r="W220" s="7"/>
    </row>
    <row r="221" spans="1:23" ht="15.75" customHeight="1" x14ac:dyDescent="0.25">
      <c r="A221" s="7"/>
      <c r="B221" s="8"/>
      <c r="C221" s="9"/>
      <c r="D221" s="10"/>
      <c r="E221" s="8"/>
      <c r="F221" s="8"/>
      <c r="G221" s="7"/>
      <c r="H221" s="11"/>
      <c r="I221" s="11"/>
      <c r="J221" s="7"/>
      <c r="K221" s="7"/>
      <c r="L221" s="7"/>
      <c r="M221" s="7"/>
      <c r="N221" s="8"/>
      <c r="O221" s="8"/>
      <c r="P221" s="8"/>
      <c r="Q221" s="8"/>
      <c r="R221" s="8"/>
      <c r="S221" s="8"/>
      <c r="T221" s="8"/>
      <c r="U221" s="8"/>
      <c r="V221" s="11"/>
      <c r="W221" s="7"/>
    </row>
    <row r="222" spans="1:23" ht="15.75" customHeight="1" x14ac:dyDescent="0.25">
      <c r="A222" s="7"/>
      <c r="B222" s="8"/>
      <c r="C222" s="9"/>
      <c r="D222" s="10"/>
      <c r="E222" s="8"/>
      <c r="F222" s="8"/>
      <c r="G222" s="7"/>
      <c r="H222" s="11"/>
      <c r="I222" s="11"/>
      <c r="J222" s="7"/>
      <c r="K222" s="7"/>
      <c r="L222" s="7"/>
      <c r="M222" s="7"/>
      <c r="N222" s="8"/>
      <c r="O222" s="8"/>
      <c r="P222" s="8"/>
      <c r="Q222" s="8"/>
      <c r="R222" s="8"/>
      <c r="S222" s="8"/>
      <c r="T222" s="8"/>
      <c r="U222" s="8"/>
      <c r="V222" s="11"/>
      <c r="W222" s="7"/>
    </row>
    <row r="223" spans="1:23" ht="15.75" customHeight="1" x14ac:dyDescent="0.25">
      <c r="A223" s="7"/>
      <c r="B223" s="8"/>
      <c r="C223" s="9"/>
      <c r="D223" s="10"/>
      <c r="E223" s="8"/>
      <c r="F223" s="8"/>
      <c r="G223" s="7"/>
      <c r="H223" s="11"/>
      <c r="I223" s="11"/>
      <c r="J223" s="7"/>
      <c r="K223" s="7"/>
      <c r="L223" s="7"/>
      <c r="M223" s="7"/>
      <c r="N223" s="8"/>
      <c r="O223" s="8"/>
      <c r="P223" s="8"/>
      <c r="Q223" s="8"/>
      <c r="R223" s="8"/>
      <c r="S223" s="8"/>
      <c r="T223" s="8"/>
      <c r="U223" s="8"/>
      <c r="V223" s="11"/>
      <c r="W223" s="7"/>
    </row>
    <row r="224" spans="1:23" ht="15.75" customHeight="1" x14ac:dyDescent="0.25">
      <c r="A224" s="7"/>
      <c r="B224" s="8"/>
      <c r="C224" s="9"/>
      <c r="D224" s="10"/>
      <c r="E224" s="8"/>
      <c r="F224" s="8"/>
      <c r="G224" s="7"/>
      <c r="H224" s="11"/>
      <c r="I224" s="11"/>
      <c r="J224" s="7"/>
      <c r="K224" s="7"/>
      <c r="L224" s="7"/>
      <c r="M224" s="7"/>
      <c r="N224" s="8"/>
      <c r="O224" s="8"/>
      <c r="P224" s="8"/>
      <c r="Q224" s="8"/>
      <c r="R224" s="8"/>
      <c r="S224" s="8"/>
      <c r="T224" s="8"/>
      <c r="U224" s="8"/>
      <c r="V224" s="11"/>
      <c r="W224" s="7"/>
    </row>
    <row r="225" spans="1:23" ht="15.75" customHeight="1" x14ac:dyDescent="0.25">
      <c r="A225" s="7"/>
      <c r="B225" s="8"/>
      <c r="C225" s="9"/>
      <c r="D225" s="10"/>
      <c r="E225" s="8"/>
      <c r="F225" s="8"/>
      <c r="G225" s="7"/>
      <c r="H225" s="11"/>
      <c r="I225" s="11"/>
      <c r="J225" s="7"/>
      <c r="K225" s="7"/>
      <c r="L225" s="7"/>
      <c r="M225" s="7"/>
      <c r="N225" s="8"/>
      <c r="O225" s="8"/>
      <c r="P225" s="8"/>
      <c r="Q225" s="8"/>
      <c r="R225" s="8"/>
      <c r="S225" s="8"/>
      <c r="T225" s="8"/>
      <c r="U225" s="8"/>
      <c r="V225" s="11"/>
      <c r="W225" s="7"/>
    </row>
    <row r="226" spans="1:23" ht="15.75" customHeight="1" x14ac:dyDescent="0.25">
      <c r="A226" s="7"/>
      <c r="B226" s="8"/>
      <c r="C226" s="9"/>
      <c r="D226" s="10"/>
      <c r="E226" s="8"/>
      <c r="F226" s="8"/>
      <c r="G226" s="7"/>
      <c r="H226" s="11"/>
      <c r="I226" s="11"/>
      <c r="J226" s="7"/>
      <c r="K226" s="7"/>
      <c r="L226" s="7"/>
      <c r="M226" s="7"/>
      <c r="N226" s="8"/>
      <c r="O226" s="8"/>
      <c r="P226" s="8"/>
      <c r="Q226" s="8"/>
      <c r="R226" s="8"/>
      <c r="S226" s="8"/>
      <c r="T226" s="8"/>
      <c r="U226" s="8"/>
      <c r="V226" s="11"/>
      <c r="W226" s="7"/>
    </row>
    <row r="227" spans="1:23" ht="15.75" customHeight="1" x14ac:dyDescent="0.25">
      <c r="A227" s="7"/>
      <c r="B227" s="8"/>
      <c r="C227" s="9"/>
      <c r="D227" s="10"/>
      <c r="E227" s="8"/>
      <c r="F227" s="8"/>
      <c r="G227" s="7"/>
      <c r="H227" s="11"/>
      <c r="I227" s="11"/>
      <c r="J227" s="7"/>
      <c r="K227" s="7"/>
      <c r="L227" s="7"/>
      <c r="M227" s="7"/>
      <c r="N227" s="8"/>
      <c r="O227" s="8"/>
      <c r="P227" s="8"/>
      <c r="Q227" s="8"/>
      <c r="R227" s="8"/>
      <c r="S227" s="8"/>
      <c r="T227" s="8"/>
      <c r="U227" s="8"/>
      <c r="V227" s="11"/>
      <c r="W227" s="7"/>
    </row>
    <row r="228" spans="1:23" ht="15.75" customHeight="1" x14ac:dyDescent="0.25">
      <c r="A228" s="7"/>
      <c r="B228" s="8"/>
      <c r="C228" s="9"/>
      <c r="D228" s="10"/>
      <c r="E228" s="8"/>
      <c r="F228" s="8"/>
      <c r="G228" s="7"/>
      <c r="H228" s="11"/>
      <c r="I228" s="11"/>
      <c r="J228" s="7"/>
      <c r="K228" s="7"/>
      <c r="L228" s="7"/>
      <c r="M228" s="7"/>
      <c r="N228" s="8"/>
      <c r="O228" s="8"/>
      <c r="P228" s="8"/>
      <c r="Q228" s="8"/>
      <c r="R228" s="8"/>
      <c r="S228" s="8"/>
      <c r="T228" s="8"/>
      <c r="U228" s="8"/>
      <c r="V228" s="11"/>
      <c r="W228" s="7"/>
    </row>
    <row r="229" spans="1:23" ht="15.75" customHeight="1" x14ac:dyDescent="0.25">
      <c r="A229" s="7"/>
      <c r="B229" s="8"/>
      <c r="C229" s="9"/>
      <c r="D229" s="10"/>
      <c r="E229" s="8"/>
      <c r="F229" s="8"/>
      <c r="G229" s="7"/>
      <c r="H229" s="11"/>
      <c r="I229" s="11"/>
      <c r="J229" s="7"/>
      <c r="K229" s="7"/>
      <c r="L229" s="7"/>
      <c r="M229" s="7"/>
      <c r="N229" s="8"/>
      <c r="O229" s="8"/>
      <c r="P229" s="8"/>
      <c r="Q229" s="8"/>
      <c r="R229" s="8"/>
      <c r="S229" s="8"/>
      <c r="T229" s="8"/>
      <c r="U229" s="8"/>
      <c r="V229" s="11"/>
      <c r="W229" s="7"/>
    </row>
    <row r="230" spans="1:23" ht="15.75" customHeight="1" x14ac:dyDescent="0.25">
      <c r="A230" s="7"/>
      <c r="B230" s="8"/>
      <c r="C230" s="9"/>
      <c r="D230" s="10"/>
      <c r="E230" s="8"/>
      <c r="F230" s="8"/>
      <c r="G230" s="7"/>
      <c r="H230" s="11"/>
      <c r="I230" s="11"/>
      <c r="J230" s="7"/>
      <c r="K230" s="7"/>
      <c r="L230" s="7"/>
      <c r="M230" s="7"/>
      <c r="N230" s="8"/>
      <c r="O230" s="8"/>
      <c r="P230" s="8"/>
      <c r="Q230" s="8"/>
      <c r="R230" s="8"/>
      <c r="S230" s="8"/>
      <c r="T230" s="8"/>
      <c r="U230" s="8"/>
      <c r="V230" s="11"/>
      <c r="W230" s="7"/>
    </row>
    <row r="231" spans="1:23" ht="15.75" customHeight="1" x14ac:dyDescent="0.25">
      <c r="A231" s="7"/>
      <c r="B231" s="8"/>
      <c r="C231" s="9"/>
      <c r="D231" s="10"/>
      <c r="E231" s="8"/>
      <c r="F231" s="8"/>
      <c r="G231" s="7"/>
      <c r="H231" s="11"/>
      <c r="I231" s="11"/>
      <c r="J231" s="7"/>
      <c r="K231" s="7"/>
      <c r="L231" s="7"/>
      <c r="M231" s="7"/>
      <c r="N231" s="8"/>
      <c r="O231" s="8"/>
      <c r="P231" s="8"/>
      <c r="Q231" s="8"/>
      <c r="R231" s="8"/>
      <c r="S231" s="8"/>
      <c r="T231" s="8"/>
      <c r="U231" s="8"/>
      <c r="V231" s="11"/>
      <c r="W231" s="7"/>
    </row>
    <row r="232" spans="1:23" ht="15.75" customHeight="1" x14ac:dyDescent="0.25">
      <c r="A232" s="7"/>
      <c r="B232" s="8"/>
      <c r="C232" s="9"/>
      <c r="D232" s="10"/>
      <c r="E232" s="8"/>
      <c r="F232" s="8"/>
      <c r="G232" s="7"/>
      <c r="H232" s="11"/>
      <c r="I232" s="11"/>
      <c r="J232" s="7"/>
      <c r="K232" s="7"/>
      <c r="L232" s="7"/>
      <c r="M232" s="7"/>
      <c r="N232" s="8"/>
      <c r="O232" s="8"/>
      <c r="P232" s="8"/>
      <c r="Q232" s="8"/>
      <c r="R232" s="8"/>
      <c r="S232" s="8"/>
      <c r="T232" s="8"/>
      <c r="U232" s="8"/>
      <c r="V232" s="11"/>
      <c r="W232" s="7"/>
    </row>
    <row r="233" spans="1:23" ht="15.75" customHeight="1" x14ac:dyDescent="0.25">
      <c r="A233" s="7"/>
      <c r="B233" s="8"/>
      <c r="C233" s="9"/>
      <c r="D233" s="10"/>
      <c r="E233" s="8"/>
      <c r="F233" s="8"/>
      <c r="G233" s="7"/>
      <c r="H233" s="11"/>
      <c r="I233" s="11"/>
      <c r="J233" s="7"/>
      <c r="K233" s="7"/>
      <c r="L233" s="7"/>
      <c r="M233" s="7"/>
      <c r="N233" s="8"/>
      <c r="O233" s="8"/>
      <c r="P233" s="8"/>
      <c r="Q233" s="8"/>
      <c r="R233" s="8"/>
      <c r="S233" s="8"/>
      <c r="T233" s="8"/>
      <c r="U233" s="8"/>
      <c r="V233" s="11"/>
      <c r="W233" s="7"/>
    </row>
    <row r="234" spans="1:23" ht="15.75" customHeight="1" x14ac:dyDescent="0.25">
      <c r="A234" s="7"/>
      <c r="B234" s="8"/>
      <c r="C234" s="9"/>
      <c r="D234" s="10"/>
      <c r="E234" s="8"/>
      <c r="F234" s="8"/>
      <c r="G234" s="7"/>
      <c r="H234" s="11"/>
      <c r="I234" s="11"/>
      <c r="J234" s="7"/>
      <c r="K234" s="7"/>
      <c r="L234" s="7"/>
      <c r="M234" s="7"/>
      <c r="N234" s="8"/>
      <c r="O234" s="8"/>
      <c r="P234" s="8"/>
      <c r="Q234" s="8"/>
      <c r="R234" s="8"/>
      <c r="S234" s="8"/>
      <c r="T234" s="8"/>
      <c r="U234" s="8"/>
      <c r="V234" s="11"/>
      <c r="W234" s="7"/>
    </row>
    <row r="235" spans="1:23" ht="15.75" customHeight="1" x14ac:dyDescent="0.25">
      <c r="A235" s="7"/>
      <c r="B235" s="8"/>
      <c r="C235" s="9"/>
      <c r="D235" s="10"/>
      <c r="E235" s="8"/>
      <c r="F235" s="8"/>
      <c r="G235" s="7"/>
      <c r="H235" s="11"/>
      <c r="I235" s="11"/>
      <c r="J235" s="7"/>
      <c r="K235" s="7"/>
      <c r="L235" s="7"/>
      <c r="M235" s="7"/>
      <c r="N235" s="8"/>
      <c r="O235" s="8"/>
      <c r="P235" s="8"/>
      <c r="Q235" s="8"/>
      <c r="R235" s="8"/>
      <c r="S235" s="8"/>
      <c r="T235" s="8"/>
      <c r="U235" s="8"/>
      <c r="V235" s="11"/>
      <c r="W235" s="7"/>
    </row>
    <row r="236" spans="1:23" ht="15.75" customHeight="1" x14ac:dyDescent="0.25">
      <c r="A236" s="7"/>
      <c r="B236" s="8"/>
      <c r="C236" s="9"/>
      <c r="D236" s="10"/>
      <c r="E236" s="8"/>
      <c r="F236" s="8"/>
      <c r="G236" s="7"/>
      <c r="H236" s="11"/>
      <c r="I236" s="11"/>
      <c r="J236" s="7"/>
      <c r="K236" s="7"/>
      <c r="L236" s="7"/>
      <c r="M236" s="7"/>
      <c r="N236" s="8"/>
      <c r="O236" s="8"/>
      <c r="P236" s="8"/>
      <c r="Q236" s="8"/>
      <c r="R236" s="8"/>
      <c r="S236" s="8"/>
      <c r="T236" s="8"/>
      <c r="U236" s="8"/>
      <c r="V236" s="11"/>
      <c r="W236" s="7"/>
    </row>
    <row r="237" spans="1:23" ht="15.75" customHeight="1" x14ac:dyDescent="0.25">
      <c r="A237" s="7"/>
      <c r="B237" s="8"/>
      <c r="C237" s="9"/>
      <c r="D237" s="10"/>
      <c r="E237" s="8"/>
      <c r="F237" s="8"/>
      <c r="G237" s="7"/>
      <c r="H237" s="11"/>
      <c r="I237" s="11"/>
      <c r="J237" s="7"/>
      <c r="K237" s="7"/>
      <c r="L237" s="7"/>
      <c r="M237" s="7"/>
      <c r="N237" s="8"/>
      <c r="O237" s="8"/>
      <c r="P237" s="8"/>
      <c r="Q237" s="8"/>
      <c r="R237" s="8"/>
      <c r="S237" s="8"/>
      <c r="T237" s="8"/>
      <c r="U237" s="8"/>
      <c r="V237" s="11"/>
      <c r="W237" s="7"/>
    </row>
    <row r="238" spans="1:23" ht="15.75" customHeight="1" x14ac:dyDescent="0.25">
      <c r="A238" s="7"/>
      <c r="B238" s="8"/>
      <c r="C238" s="9"/>
      <c r="D238" s="10"/>
      <c r="E238" s="8"/>
      <c r="F238" s="8"/>
      <c r="G238" s="7"/>
      <c r="H238" s="11"/>
      <c r="I238" s="11"/>
      <c r="J238" s="7"/>
      <c r="K238" s="7"/>
      <c r="L238" s="7"/>
      <c r="M238" s="7"/>
      <c r="N238" s="8"/>
      <c r="O238" s="8"/>
      <c r="P238" s="8"/>
      <c r="Q238" s="8"/>
      <c r="R238" s="8"/>
      <c r="S238" s="8"/>
      <c r="T238" s="8"/>
      <c r="U238" s="8"/>
      <c r="V238" s="11"/>
      <c r="W238" s="7"/>
    </row>
    <row r="239" spans="1:23" ht="15.75" customHeight="1" x14ac:dyDescent="0.25">
      <c r="A239" s="7"/>
      <c r="B239" s="8"/>
      <c r="C239" s="9"/>
      <c r="D239" s="10"/>
      <c r="E239" s="8"/>
      <c r="F239" s="8"/>
      <c r="G239" s="7"/>
      <c r="H239" s="11"/>
      <c r="I239" s="11"/>
      <c r="J239" s="7"/>
      <c r="K239" s="7"/>
      <c r="L239" s="7"/>
      <c r="M239" s="7"/>
      <c r="N239" s="8"/>
      <c r="O239" s="8"/>
      <c r="P239" s="8"/>
      <c r="Q239" s="8"/>
      <c r="R239" s="8"/>
      <c r="S239" s="8"/>
      <c r="T239" s="8"/>
      <c r="U239" s="8"/>
      <c r="V239" s="11"/>
      <c r="W239" s="7"/>
    </row>
    <row r="240" spans="1:23" ht="15.75" customHeight="1" x14ac:dyDescent="0.25">
      <c r="A240" s="7"/>
      <c r="B240" s="8"/>
      <c r="C240" s="9"/>
      <c r="D240" s="10"/>
      <c r="E240" s="8"/>
      <c r="F240" s="8"/>
      <c r="G240" s="7"/>
      <c r="H240" s="11"/>
      <c r="I240" s="11"/>
      <c r="J240" s="7"/>
      <c r="K240" s="7"/>
      <c r="L240" s="7"/>
      <c r="M240" s="7"/>
      <c r="N240" s="8"/>
      <c r="O240" s="8"/>
      <c r="P240" s="8"/>
      <c r="Q240" s="8"/>
      <c r="R240" s="8"/>
      <c r="S240" s="8"/>
      <c r="T240" s="8"/>
      <c r="U240" s="8"/>
      <c r="V240" s="11"/>
      <c r="W240" s="7"/>
    </row>
    <row r="241" spans="1:23" ht="15.75" customHeight="1" x14ac:dyDescent="0.25">
      <c r="A241" s="7"/>
      <c r="B241" s="8"/>
      <c r="C241" s="9"/>
      <c r="D241" s="10"/>
      <c r="E241" s="8"/>
      <c r="F241" s="8"/>
      <c r="G241" s="7"/>
      <c r="H241" s="11"/>
      <c r="I241" s="11"/>
      <c r="J241" s="7"/>
      <c r="K241" s="7"/>
      <c r="L241" s="7"/>
      <c r="M241" s="7"/>
      <c r="N241" s="8"/>
      <c r="O241" s="8"/>
      <c r="P241" s="8"/>
      <c r="Q241" s="8"/>
      <c r="R241" s="8"/>
      <c r="S241" s="8"/>
      <c r="T241" s="8"/>
      <c r="U241" s="8"/>
      <c r="V241" s="11"/>
      <c r="W241" s="7"/>
    </row>
    <row r="242" spans="1:23" ht="15.75" customHeight="1" x14ac:dyDescent="0.25">
      <c r="A242" s="7"/>
      <c r="B242" s="8"/>
      <c r="C242" s="9"/>
      <c r="D242" s="10"/>
      <c r="E242" s="8"/>
      <c r="F242" s="8"/>
      <c r="G242" s="7"/>
      <c r="H242" s="11"/>
      <c r="I242" s="11"/>
      <c r="J242" s="7"/>
      <c r="K242" s="7"/>
      <c r="L242" s="7"/>
      <c r="M242" s="7"/>
      <c r="N242" s="8"/>
      <c r="O242" s="8"/>
      <c r="P242" s="8"/>
      <c r="Q242" s="8"/>
      <c r="R242" s="8"/>
      <c r="S242" s="8"/>
      <c r="T242" s="8"/>
      <c r="U242" s="8"/>
      <c r="V242" s="11"/>
      <c r="W242" s="7"/>
    </row>
    <row r="243" spans="1:23" ht="15.75" customHeight="1" x14ac:dyDescent="0.25">
      <c r="A243" s="7"/>
      <c r="B243" s="8"/>
      <c r="C243" s="9"/>
      <c r="D243" s="10"/>
      <c r="E243" s="8"/>
      <c r="F243" s="8"/>
      <c r="G243" s="7"/>
      <c r="H243" s="11"/>
      <c r="I243" s="11"/>
      <c r="J243" s="7"/>
      <c r="K243" s="7"/>
      <c r="L243" s="7"/>
      <c r="M243" s="7"/>
      <c r="N243" s="8"/>
      <c r="O243" s="8"/>
      <c r="P243" s="8"/>
      <c r="Q243" s="8"/>
      <c r="R243" s="8"/>
      <c r="S243" s="8"/>
      <c r="T243" s="8"/>
      <c r="U243" s="8"/>
      <c r="V243" s="11"/>
      <c r="W243" s="7"/>
    </row>
    <row r="244" spans="1:23" ht="15.75" customHeight="1" x14ac:dyDescent="0.25">
      <c r="A244" s="7"/>
      <c r="B244" s="8"/>
      <c r="C244" s="9"/>
      <c r="D244" s="10"/>
      <c r="E244" s="8"/>
      <c r="F244" s="8"/>
      <c r="G244" s="7"/>
      <c r="H244" s="11"/>
      <c r="I244" s="11"/>
      <c r="J244" s="7"/>
      <c r="K244" s="7"/>
      <c r="L244" s="7"/>
      <c r="M244" s="7"/>
      <c r="N244" s="8"/>
      <c r="O244" s="8"/>
      <c r="P244" s="8"/>
      <c r="Q244" s="8"/>
      <c r="R244" s="8"/>
      <c r="S244" s="8"/>
      <c r="T244" s="8"/>
      <c r="U244" s="8"/>
      <c r="V244" s="11"/>
      <c r="W244" s="7"/>
    </row>
    <row r="245" spans="1:23" ht="15.75" customHeight="1" x14ac:dyDescent="0.25">
      <c r="A245" s="7"/>
      <c r="B245" s="8"/>
      <c r="C245" s="9"/>
      <c r="D245" s="10"/>
      <c r="E245" s="8"/>
      <c r="F245" s="8"/>
      <c r="G245" s="7"/>
      <c r="H245" s="11"/>
      <c r="I245" s="11"/>
      <c r="J245" s="7"/>
      <c r="K245" s="7"/>
      <c r="L245" s="7"/>
      <c r="M245" s="7"/>
      <c r="N245" s="8"/>
      <c r="O245" s="8"/>
      <c r="P245" s="8"/>
      <c r="Q245" s="8"/>
      <c r="R245" s="8"/>
      <c r="S245" s="8"/>
      <c r="T245" s="8"/>
      <c r="U245" s="8"/>
      <c r="V245" s="11"/>
      <c r="W245" s="7"/>
    </row>
    <row r="246" spans="1:23" ht="15.75" customHeight="1" x14ac:dyDescent="0.25">
      <c r="A246" s="7"/>
      <c r="B246" s="8"/>
      <c r="C246" s="9"/>
      <c r="D246" s="10"/>
      <c r="E246" s="8"/>
      <c r="F246" s="8"/>
      <c r="G246" s="7"/>
      <c r="H246" s="11"/>
      <c r="I246" s="11"/>
      <c r="J246" s="7"/>
      <c r="K246" s="7"/>
      <c r="L246" s="7"/>
      <c r="M246" s="7"/>
      <c r="N246" s="8"/>
      <c r="O246" s="8"/>
      <c r="P246" s="8"/>
      <c r="Q246" s="8"/>
      <c r="R246" s="8"/>
      <c r="S246" s="8"/>
      <c r="T246" s="8"/>
      <c r="U246" s="8"/>
      <c r="V246" s="11"/>
      <c r="W246" s="7"/>
    </row>
    <row r="247" spans="1:23" ht="15.75" customHeight="1" x14ac:dyDescent="0.25">
      <c r="A247" s="7"/>
      <c r="B247" s="8"/>
      <c r="C247" s="9"/>
      <c r="D247" s="10"/>
      <c r="E247" s="8"/>
      <c r="F247" s="8"/>
      <c r="G247" s="7"/>
      <c r="H247" s="11"/>
      <c r="I247" s="11"/>
      <c r="J247" s="7"/>
      <c r="K247" s="7"/>
      <c r="L247" s="7"/>
      <c r="M247" s="7"/>
      <c r="N247" s="8"/>
      <c r="O247" s="8"/>
      <c r="P247" s="8"/>
      <c r="Q247" s="8"/>
      <c r="R247" s="8"/>
      <c r="S247" s="8"/>
      <c r="T247" s="8"/>
      <c r="U247" s="8"/>
      <c r="V247" s="11"/>
      <c r="W247" s="7"/>
    </row>
    <row r="248" spans="1:23" ht="15.75" customHeight="1" x14ac:dyDescent="0.25">
      <c r="A248" s="7"/>
      <c r="B248" s="8"/>
      <c r="C248" s="9"/>
      <c r="D248" s="10"/>
      <c r="E248" s="8"/>
      <c r="F248" s="8"/>
      <c r="G248" s="7"/>
      <c r="H248" s="11"/>
      <c r="I248" s="11"/>
      <c r="J248" s="7"/>
      <c r="K248" s="7"/>
      <c r="L248" s="7"/>
      <c r="M248" s="7"/>
      <c r="N248" s="8"/>
      <c r="O248" s="8"/>
      <c r="P248" s="8"/>
      <c r="Q248" s="8"/>
      <c r="R248" s="8"/>
      <c r="S248" s="8"/>
      <c r="T248" s="8"/>
      <c r="U248" s="8"/>
      <c r="V248" s="11"/>
      <c r="W248" s="7"/>
    </row>
    <row r="249" spans="1:23" ht="15.75" customHeight="1" x14ac:dyDescent="0.25">
      <c r="A249" s="7"/>
      <c r="B249" s="8"/>
      <c r="C249" s="9"/>
      <c r="D249" s="10"/>
      <c r="E249" s="8"/>
      <c r="F249" s="8"/>
      <c r="G249" s="7"/>
      <c r="H249" s="11"/>
      <c r="I249" s="11"/>
      <c r="J249" s="7"/>
      <c r="K249" s="7"/>
      <c r="L249" s="7"/>
      <c r="M249" s="7"/>
      <c r="N249" s="8"/>
      <c r="O249" s="8"/>
      <c r="P249" s="8"/>
      <c r="Q249" s="8"/>
      <c r="R249" s="8"/>
      <c r="S249" s="8"/>
      <c r="T249" s="8"/>
      <c r="U249" s="8"/>
      <c r="V249" s="11"/>
      <c r="W249" s="7"/>
    </row>
    <row r="250" spans="1:23" ht="15.75" customHeight="1" x14ac:dyDescent="0.25">
      <c r="A250" s="7"/>
      <c r="B250" s="8"/>
      <c r="C250" s="9"/>
      <c r="D250" s="10"/>
      <c r="E250" s="8"/>
      <c r="F250" s="8"/>
      <c r="G250" s="7"/>
      <c r="H250" s="11"/>
      <c r="I250" s="11"/>
      <c r="J250" s="7"/>
      <c r="K250" s="7"/>
      <c r="L250" s="7"/>
      <c r="M250" s="7"/>
      <c r="N250" s="8"/>
      <c r="O250" s="8"/>
      <c r="P250" s="8"/>
      <c r="Q250" s="8"/>
      <c r="R250" s="8"/>
      <c r="S250" s="8"/>
      <c r="T250" s="8"/>
      <c r="U250" s="8"/>
      <c r="V250" s="11"/>
      <c r="W250" s="7"/>
    </row>
    <row r="251" spans="1:23" ht="15.75" customHeight="1" x14ac:dyDescent="0.25">
      <c r="A251" s="7"/>
      <c r="B251" s="8"/>
      <c r="C251" s="9"/>
      <c r="D251" s="10"/>
      <c r="E251" s="8"/>
      <c r="F251" s="8"/>
      <c r="G251" s="7"/>
      <c r="H251" s="11"/>
      <c r="I251" s="11"/>
      <c r="J251" s="7"/>
      <c r="K251" s="7"/>
      <c r="L251" s="7"/>
      <c r="M251" s="7"/>
      <c r="N251" s="8"/>
      <c r="O251" s="8"/>
      <c r="P251" s="8"/>
      <c r="Q251" s="8"/>
      <c r="R251" s="8"/>
      <c r="S251" s="8"/>
      <c r="T251" s="8"/>
      <c r="U251" s="8"/>
      <c r="V251" s="11"/>
      <c r="W251" s="7"/>
    </row>
    <row r="252" spans="1:23" ht="15.75" customHeight="1" x14ac:dyDescent="0.25">
      <c r="A252" s="7"/>
      <c r="B252" s="8"/>
      <c r="C252" s="9"/>
      <c r="D252" s="10"/>
      <c r="E252" s="8"/>
      <c r="F252" s="8"/>
      <c r="G252" s="7"/>
      <c r="H252" s="11"/>
      <c r="I252" s="11"/>
      <c r="J252" s="7"/>
      <c r="K252" s="7"/>
      <c r="L252" s="7"/>
      <c r="M252" s="7"/>
      <c r="N252" s="8"/>
      <c r="O252" s="8"/>
      <c r="P252" s="8"/>
      <c r="Q252" s="8"/>
      <c r="R252" s="8"/>
      <c r="S252" s="8"/>
      <c r="T252" s="8"/>
      <c r="U252" s="8"/>
      <c r="V252" s="11"/>
      <c r="W252" s="7"/>
    </row>
    <row r="253" spans="1:23" ht="15.75" customHeight="1" x14ac:dyDescent="0.25">
      <c r="A253" s="7"/>
      <c r="B253" s="8"/>
      <c r="C253" s="9"/>
      <c r="D253" s="10"/>
      <c r="E253" s="8"/>
      <c r="F253" s="8"/>
      <c r="G253" s="7"/>
      <c r="H253" s="11"/>
      <c r="I253" s="11"/>
      <c r="J253" s="7"/>
      <c r="K253" s="7"/>
      <c r="L253" s="7"/>
      <c r="M253" s="7"/>
      <c r="N253" s="8"/>
      <c r="O253" s="8"/>
      <c r="P253" s="8"/>
      <c r="Q253" s="8"/>
      <c r="R253" s="8"/>
      <c r="S253" s="8"/>
      <c r="T253" s="8"/>
      <c r="U253" s="8"/>
      <c r="V253" s="11"/>
      <c r="W253" s="7"/>
    </row>
    <row r="254" spans="1:23" ht="15.75" customHeight="1" x14ac:dyDescent="0.25">
      <c r="A254" s="7"/>
      <c r="B254" s="8"/>
      <c r="C254" s="9"/>
      <c r="D254" s="10"/>
      <c r="E254" s="8"/>
      <c r="F254" s="8"/>
      <c r="G254" s="7"/>
      <c r="H254" s="11"/>
      <c r="I254" s="11"/>
      <c r="J254" s="7"/>
      <c r="K254" s="7"/>
      <c r="L254" s="7"/>
      <c r="M254" s="7"/>
      <c r="N254" s="8"/>
      <c r="O254" s="8"/>
      <c r="P254" s="8"/>
      <c r="Q254" s="8"/>
      <c r="R254" s="8"/>
      <c r="S254" s="8"/>
      <c r="T254" s="8"/>
      <c r="U254" s="8"/>
      <c r="V254" s="11"/>
      <c r="W254" s="7"/>
    </row>
    <row r="255" spans="1:23" ht="15.75" customHeight="1" x14ac:dyDescent="0.25">
      <c r="A255" s="7"/>
      <c r="B255" s="8"/>
      <c r="C255" s="9"/>
      <c r="D255" s="10"/>
      <c r="E255" s="8"/>
      <c r="F255" s="8"/>
      <c r="G255" s="7"/>
      <c r="H255" s="11"/>
      <c r="I255" s="11"/>
      <c r="J255" s="7"/>
      <c r="K255" s="7"/>
      <c r="L255" s="7"/>
      <c r="M255" s="7"/>
      <c r="N255" s="8"/>
      <c r="O255" s="8"/>
      <c r="P255" s="8"/>
      <c r="Q255" s="8"/>
      <c r="R255" s="8"/>
      <c r="S255" s="8"/>
      <c r="T255" s="8"/>
      <c r="U255" s="8"/>
      <c r="V255" s="11"/>
      <c r="W255" s="7"/>
    </row>
    <row r="256" spans="1:23" ht="15.75" customHeight="1" x14ac:dyDescent="0.25">
      <c r="A256" s="7"/>
      <c r="B256" s="8"/>
      <c r="C256" s="9"/>
      <c r="D256" s="10"/>
      <c r="E256" s="8"/>
      <c r="F256" s="8"/>
      <c r="G256" s="7"/>
      <c r="H256" s="11"/>
      <c r="I256" s="11"/>
      <c r="J256" s="7"/>
      <c r="K256" s="7"/>
      <c r="L256" s="7"/>
      <c r="M256" s="7"/>
      <c r="N256" s="8"/>
      <c r="O256" s="8"/>
      <c r="P256" s="8"/>
      <c r="Q256" s="8"/>
      <c r="R256" s="8"/>
      <c r="S256" s="8"/>
      <c r="T256" s="8"/>
      <c r="U256" s="8"/>
      <c r="V256" s="11"/>
      <c r="W256" s="7"/>
    </row>
    <row r="257" spans="1:23" ht="15.75" customHeight="1" x14ac:dyDescent="0.25">
      <c r="A257" s="7"/>
      <c r="B257" s="8"/>
      <c r="C257" s="9"/>
      <c r="D257" s="10"/>
      <c r="E257" s="8"/>
      <c r="F257" s="8"/>
      <c r="G257" s="7"/>
      <c r="H257" s="11"/>
      <c r="I257" s="11"/>
      <c r="J257" s="7"/>
      <c r="K257" s="7"/>
      <c r="L257" s="7"/>
      <c r="M257" s="7"/>
      <c r="N257" s="8"/>
      <c r="O257" s="8"/>
      <c r="P257" s="8"/>
      <c r="Q257" s="8"/>
      <c r="R257" s="8"/>
      <c r="S257" s="8"/>
      <c r="T257" s="8"/>
      <c r="U257" s="8"/>
      <c r="V257" s="11"/>
      <c r="W257" s="7"/>
    </row>
    <row r="258" spans="1:23" ht="15.75" customHeight="1" x14ac:dyDescent="0.25">
      <c r="A258" s="7"/>
      <c r="B258" s="8"/>
      <c r="C258" s="9"/>
      <c r="D258" s="10"/>
      <c r="E258" s="8"/>
      <c r="F258" s="8"/>
      <c r="G258" s="7"/>
      <c r="H258" s="11"/>
      <c r="I258" s="11"/>
      <c r="J258" s="7"/>
      <c r="K258" s="7"/>
      <c r="L258" s="7"/>
      <c r="M258" s="7"/>
      <c r="N258" s="8"/>
      <c r="O258" s="8"/>
      <c r="P258" s="8"/>
      <c r="Q258" s="8"/>
      <c r="R258" s="8"/>
      <c r="S258" s="8"/>
      <c r="T258" s="8"/>
      <c r="U258" s="8"/>
      <c r="V258" s="11"/>
      <c r="W258" s="7"/>
    </row>
    <row r="259" spans="1:23" ht="15.75" customHeight="1" x14ac:dyDescent="0.25">
      <c r="A259" s="7"/>
      <c r="B259" s="8"/>
      <c r="C259" s="9"/>
      <c r="D259" s="10"/>
      <c r="E259" s="8"/>
      <c r="F259" s="8"/>
      <c r="G259" s="7"/>
      <c r="H259" s="11"/>
      <c r="I259" s="11"/>
      <c r="J259" s="7"/>
      <c r="K259" s="7"/>
      <c r="L259" s="7"/>
      <c r="M259" s="7"/>
      <c r="N259" s="8"/>
      <c r="O259" s="8"/>
      <c r="P259" s="8"/>
      <c r="Q259" s="8"/>
      <c r="R259" s="8"/>
      <c r="S259" s="8"/>
      <c r="T259" s="8"/>
      <c r="U259" s="8"/>
      <c r="V259" s="11"/>
      <c r="W259" s="7"/>
    </row>
    <row r="260" spans="1:23" ht="15.75" customHeight="1" x14ac:dyDescent="0.25">
      <c r="A260" s="7"/>
      <c r="B260" s="8"/>
      <c r="C260" s="9"/>
      <c r="D260" s="10"/>
      <c r="E260" s="8"/>
      <c r="F260" s="8"/>
      <c r="G260" s="7"/>
      <c r="H260" s="11"/>
      <c r="I260" s="11"/>
      <c r="J260" s="7"/>
      <c r="K260" s="7"/>
      <c r="L260" s="7"/>
      <c r="M260" s="7"/>
      <c r="N260" s="8"/>
      <c r="O260" s="8"/>
      <c r="P260" s="8"/>
      <c r="Q260" s="8"/>
      <c r="R260" s="8"/>
      <c r="S260" s="8"/>
      <c r="T260" s="8"/>
      <c r="U260" s="8"/>
      <c r="V260" s="11"/>
      <c r="W260" s="7"/>
    </row>
    <row r="261" spans="1:23" ht="15.75" customHeight="1" x14ac:dyDescent="0.25">
      <c r="A261" s="7"/>
      <c r="B261" s="8"/>
      <c r="C261" s="9"/>
      <c r="D261" s="10"/>
      <c r="E261" s="8"/>
      <c r="F261" s="8"/>
      <c r="G261" s="7"/>
      <c r="H261" s="11"/>
      <c r="I261" s="11"/>
      <c r="J261" s="7"/>
      <c r="K261" s="7"/>
      <c r="L261" s="7"/>
      <c r="M261" s="7"/>
      <c r="N261" s="8"/>
      <c r="O261" s="8"/>
      <c r="P261" s="8"/>
      <c r="Q261" s="8"/>
      <c r="R261" s="8"/>
      <c r="S261" s="8"/>
      <c r="T261" s="8"/>
      <c r="U261" s="8"/>
      <c r="V261" s="11"/>
      <c r="W261" s="7"/>
    </row>
    <row r="262" spans="1:23" ht="15.75" customHeight="1" x14ac:dyDescent="0.25">
      <c r="A262" s="7"/>
      <c r="B262" s="8"/>
      <c r="C262" s="9"/>
      <c r="D262" s="10"/>
      <c r="E262" s="8"/>
      <c r="F262" s="8"/>
      <c r="G262" s="7"/>
      <c r="H262" s="11"/>
      <c r="I262" s="11"/>
      <c r="J262" s="7"/>
      <c r="K262" s="7"/>
      <c r="L262" s="7"/>
      <c r="M262" s="7"/>
      <c r="N262" s="8"/>
      <c r="O262" s="8"/>
      <c r="P262" s="8"/>
      <c r="Q262" s="8"/>
      <c r="R262" s="8"/>
      <c r="S262" s="8"/>
      <c r="T262" s="8"/>
      <c r="U262" s="8"/>
      <c r="V262" s="11"/>
      <c r="W262" s="7"/>
    </row>
    <row r="263" spans="1:23" ht="15.75" customHeight="1" x14ac:dyDescent="0.25">
      <c r="A263" s="7"/>
      <c r="B263" s="8"/>
      <c r="C263" s="9"/>
      <c r="D263" s="10"/>
      <c r="E263" s="8"/>
      <c r="F263" s="8"/>
      <c r="G263" s="7"/>
      <c r="H263" s="11"/>
      <c r="I263" s="11"/>
      <c r="J263" s="7"/>
      <c r="K263" s="7"/>
      <c r="L263" s="7"/>
      <c r="M263" s="7"/>
      <c r="N263" s="8"/>
      <c r="O263" s="8"/>
      <c r="P263" s="8"/>
      <c r="Q263" s="8"/>
      <c r="R263" s="8"/>
      <c r="S263" s="8"/>
      <c r="T263" s="8"/>
      <c r="U263" s="8"/>
      <c r="V263" s="11"/>
      <c r="W263" s="7"/>
    </row>
    <row r="264" spans="1:23" ht="15.75" customHeight="1" x14ac:dyDescent="0.25">
      <c r="A264" s="7"/>
      <c r="B264" s="8"/>
      <c r="C264" s="9"/>
      <c r="D264" s="10"/>
      <c r="E264" s="8"/>
      <c r="F264" s="8"/>
      <c r="G264" s="7"/>
      <c r="H264" s="11"/>
      <c r="I264" s="11"/>
      <c r="J264" s="7"/>
      <c r="K264" s="7"/>
      <c r="L264" s="7"/>
      <c r="M264" s="7"/>
      <c r="N264" s="8"/>
      <c r="O264" s="8"/>
      <c r="P264" s="8"/>
      <c r="Q264" s="8"/>
      <c r="R264" s="8"/>
      <c r="S264" s="8"/>
      <c r="T264" s="8"/>
      <c r="U264" s="8"/>
      <c r="V264" s="11"/>
      <c r="W264" s="7"/>
    </row>
    <row r="265" spans="1:23" ht="15.75" customHeight="1" x14ac:dyDescent="0.25">
      <c r="A265" s="7"/>
      <c r="B265" s="8"/>
      <c r="C265" s="9"/>
      <c r="D265" s="10"/>
      <c r="E265" s="8"/>
      <c r="F265" s="8"/>
      <c r="G265" s="7"/>
      <c r="H265" s="11"/>
      <c r="I265" s="11"/>
      <c r="J265" s="7"/>
      <c r="K265" s="7"/>
      <c r="L265" s="7"/>
      <c r="M265" s="7"/>
      <c r="N265" s="8"/>
      <c r="O265" s="8"/>
      <c r="P265" s="8"/>
      <c r="Q265" s="8"/>
      <c r="R265" s="8"/>
      <c r="S265" s="8"/>
      <c r="T265" s="8"/>
      <c r="U265" s="8"/>
      <c r="V265" s="11"/>
      <c r="W265" s="7"/>
    </row>
    <row r="266" spans="1:23" ht="15.75" customHeight="1" x14ac:dyDescent="0.25">
      <c r="A266" s="7"/>
      <c r="B266" s="8"/>
      <c r="C266" s="9"/>
      <c r="D266" s="10"/>
      <c r="E266" s="8"/>
      <c r="F266" s="8"/>
      <c r="G266" s="7"/>
      <c r="H266" s="11"/>
      <c r="I266" s="11"/>
      <c r="J266" s="7"/>
      <c r="K266" s="7"/>
      <c r="L266" s="7"/>
      <c r="M266" s="7"/>
      <c r="N266" s="8"/>
      <c r="O266" s="8"/>
      <c r="P266" s="8"/>
      <c r="Q266" s="8"/>
      <c r="R266" s="8"/>
      <c r="S266" s="8"/>
      <c r="T266" s="8"/>
      <c r="U266" s="8"/>
      <c r="V266" s="11"/>
      <c r="W266" s="7"/>
    </row>
    <row r="267" spans="1:23" ht="15.75" customHeight="1" x14ac:dyDescent="0.25">
      <c r="A267" s="7"/>
      <c r="B267" s="8"/>
      <c r="C267" s="9"/>
      <c r="D267" s="10"/>
      <c r="E267" s="8"/>
      <c r="F267" s="8"/>
      <c r="G267" s="7"/>
      <c r="H267" s="11"/>
      <c r="I267" s="11"/>
      <c r="J267" s="7"/>
      <c r="K267" s="7"/>
      <c r="L267" s="7"/>
      <c r="M267" s="7"/>
      <c r="N267" s="8"/>
      <c r="O267" s="8"/>
      <c r="P267" s="8"/>
      <c r="Q267" s="8"/>
      <c r="R267" s="8"/>
      <c r="S267" s="8"/>
      <c r="T267" s="8"/>
      <c r="U267" s="8"/>
      <c r="V267" s="11"/>
      <c r="W267" s="7"/>
    </row>
    <row r="268" spans="1:23" ht="15.75" customHeight="1" x14ac:dyDescent="0.25">
      <c r="A268" s="7"/>
      <c r="B268" s="8"/>
      <c r="C268" s="9"/>
      <c r="D268" s="10"/>
      <c r="E268" s="8"/>
      <c r="F268" s="8"/>
      <c r="G268" s="7"/>
      <c r="H268" s="11"/>
      <c r="I268" s="11"/>
      <c r="J268" s="7"/>
      <c r="K268" s="7"/>
      <c r="L268" s="7"/>
      <c r="M268" s="7"/>
      <c r="N268" s="8"/>
      <c r="O268" s="8"/>
      <c r="P268" s="8"/>
      <c r="Q268" s="8"/>
      <c r="R268" s="8"/>
      <c r="S268" s="8"/>
      <c r="T268" s="8"/>
      <c r="U268" s="8"/>
      <c r="V268" s="11"/>
      <c r="W268" s="7"/>
    </row>
    <row r="269" spans="1:23" ht="15.75" customHeight="1" x14ac:dyDescent="0.25">
      <c r="A269" s="7"/>
      <c r="B269" s="8"/>
      <c r="C269" s="9"/>
      <c r="D269" s="10"/>
      <c r="E269" s="8"/>
      <c r="F269" s="8"/>
      <c r="G269" s="7"/>
      <c r="H269" s="11"/>
      <c r="I269" s="11"/>
      <c r="J269" s="7"/>
      <c r="K269" s="7"/>
      <c r="L269" s="7"/>
      <c r="M269" s="7"/>
      <c r="N269" s="8"/>
      <c r="O269" s="8"/>
      <c r="P269" s="8"/>
      <c r="Q269" s="8"/>
      <c r="R269" s="8"/>
      <c r="S269" s="8"/>
      <c r="T269" s="8"/>
      <c r="U269" s="8"/>
      <c r="V269" s="11"/>
      <c r="W269" s="7"/>
    </row>
    <row r="270" spans="1:23" ht="15.75" customHeight="1" x14ac:dyDescent="0.25">
      <c r="A270" s="7"/>
      <c r="B270" s="8"/>
      <c r="C270" s="9"/>
      <c r="D270" s="10"/>
      <c r="E270" s="8"/>
      <c r="F270" s="8"/>
      <c r="G270" s="7"/>
      <c r="H270" s="11"/>
      <c r="I270" s="11"/>
      <c r="J270" s="7"/>
      <c r="K270" s="7"/>
      <c r="L270" s="7"/>
      <c r="M270" s="7"/>
      <c r="N270" s="8"/>
      <c r="O270" s="8"/>
      <c r="P270" s="8"/>
      <c r="Q270" s="8"/>
      <c r="R270" s="8"/>
      <c r="S270" s="8"/>
      <c r="T270" s="8"/>
      <c r="U270" s="8"/>
      <c r="V270" s="11"/>
      <c r="W270" s="7"/>
    </row>
    <row r="271" spans="1:23" ht="15.75" customHeight="1" x14ac:dyDescent="0.25">
      <c r="A271" s="7"/>
      <c r="B271" s="8"/>
      <c r="C271" s="9"/>
      <c r="D271" s="10"/>
      <c r="E271" s="8"/>
      <c r="F271" s="8"/>
      <c r="G271" s="7"/>
      <c r="H271" s="11"/>
      <c r="I271" s="11"/>
      <c r="J271" s="7"/>
      <c r="K271" s="7"/>
      <c r="L271" s="7"/>
      <c r="M271" s="7"/>
      <c r="N271" s="8"/>
      <c r="O271" s="8"/>
      <c r="P271" s="8"/>
      <c r="Q271" s="8"/>
      <c r="R271" s="8"/>
      <c r="S271" s="8"/>
      <c r="T271" s="8"/>
      <c r="U271" s="8"/>
      <c r="V271" s="11"/>
      <c r="W271" s="7"/>
    </row>
    <row r="272" spans="1:23" ht="15.75" customHeight="1" x14ac:dyDescent="0.25">
      <c r="A272" s="7"/>
      <c r="B272" s="8"/>
      <c r="C272" s="9"/>
      <c r="D272" s="10"/>
      <c r="E272" s="8"/>
      <c r="F272" s="8"/>
      <c r="G272" s="7"/>
      <c r="H272" s="11"/>
      <c r="I272" s="11"/>
      <c r="J272" s="7"/>
      <c r="K272" s="7"/>
      <c r="L272" s="7"/>
      <c r="M272" s="7"/>
      <c r="N272" s="8"/>
      <c r="O272" s="8"/>
      <c r="P272" s="8"/>
      <c r="Q272" s="8"/>
      <c r="R272" s="8"/>
      <c r="S272" s="8"/>
      <c r="T272" s="8"/>
      <c r="U272" s="8"/>
      <c r="V272" s="11"/>
      <c r="W272" s="7"/>
    </row>
    <row r="273" spans="1:23" ht="15.75" customHeight="1" x14ac:dyDescent="0.25">
      <c r="A273" s="7"/>
      <c r="B273" s="8"/>
      <c r="C273" s="9"/>
      <c r="D273" s="10"/>
      <c r="E273" s="8"/>
      <c r="F273" s="8"/>
      <c r="G273" s="7"/>
      <c r="H273" s="11"/>
      <c r="I273" s="11"/>
      <c r="J273" s="7"/>
      <c r="K273" s="7"/>
      <c r="L273" s="7"/>
      <c r="M273" s="7"/>
      <c r="N273" s="8"/>
      <c r="O273" s="8"/>
      <c r="P273" s="8"/>
      <c r="Q273" s="8"/>
      <c r="R273" s="8"/>
      <c r="S273" s="8"/>
      <c r="T273" s="8"/>
      <c r="U273" s="8"/>
      <c r="V273" s="11"/>
      <c r="W273" s="7"/>
    </row>
    <row r="274" spans="1:23" ht="15.75" customHeight="1" x14ac:dyDescent="0.25">
      <c r="A274" s="7"/>
      <c r="B274" s="8"/>
      <c r="C274" s="9"/>
      <c r="D274" s="10"/>
      <c r="E274" s="8"/>
      <c r="F274" s="8"/>
      <c r="G274" s="7"/>
      <c r="H274" s="11"/>
      <c r="I274" s="11"/>
      <c r="J274" s="7"/>
      <c r="K274" s="7"/>
      <c r="L274" s="7"/>
      <c r="M274" s="7"/>
      <c r="N274" s="8"/>
      <c r="O274" s="8"/>
      <c r="P274" s="8"/>
      <c r="Q274" s="8"/>
      <c r="R274" s="8"/>
      <c r="S274" s="8"/>
      <c r="T274" s="8"/>
      <c r="U274" s="8"/>
      <c r="V274" s="11"/>
      <c r="W274" s="7"/>
    </row>
    <row r="275" spans="1:23" ht="15.75" customHeight="1" x14ac:dyDescent="0.25">
      <c r="A275" s="7"/>
      <c r="B275" s="8"/>
      <c r="C275" s="9"/>
      <c r="D275" s="10"/>
      <c r="E275" s="8"/>
      <c r="F275" s="8"/>
      <c r="G275" s="7"/>
      <c r="H275" s="11"/>
      <c r="I275" s="11"/>
      <c r="J275" s="7"/>
      <c r="K275" s="7"/>
      <c r="L275" s="7"/>
      <c r="M275" s="7"/>
      <c r="N275" s="8"/>
      <c r="O275" s="8"/>
      <c r="P275" s="8"/>
      <c r="Q275" s="8"/>
      <c r="R275" s="8"/>
      <c r="S275" s="8"/>
      <c r="T275" s="8"/>
      <c r="U275" s="8"/>
      <c r="V275" s="11"/>
      <c r="W275" s="7"/>
    </row>
    <row r="276" spans="1:23" ht="15.75" customHeight="1" x14ac:dyDescent="0.25">
      <c r="A276" s="7"/>
      <c r="B276" s="8"/>
      <c r="C276" s="9"/>
      <c r="D276" s="10"/>
      <c r="E276" s="8"/>
      <c r="F276" s="8"/>
      <c r="G276" s="7"/>
      <c r="H276" s="11"/>
      <c r="I276" s="11"/>
      <c r="J276" s="7"/>
      <c r="K276" s="7"/>
      <c r="L276" s="7"/>
      <c r="M276" s="7"/>
      <c r="N276" s="8"/>
      <c r="O276" s="8"/>
      <c r="P276" s="8"/>
      <c r="Q276" s="8"/>
      <c r="R276" s="8"/>
      <c r="S276" s="8"/>
      <c r="T276" s="8"/>
      <c r="U276" s="8"/>
      <c r="V276" s="11"/>
      <c r="W276" s="7"/>
    </row>
    <row r="277" spans="1:23" ht="15.75" customHeight="1" x14ac:dyDescent="0.25">
      <c r="A277" s="7"/>
      <c r="B277" s="8"/>
      <c r="C277" s="9"/>
      <c r="D277" s="10"/>
      <c r="E277" s="8"/>
      <c r="F277" s="8"/>
      <c r="G277" s="7"/>
      <c r="H277" s="11"/>
      <c r="I277" s="11"/>
      <c r="J277" s="7"/>
      <c r="K277" s="7"/>
      <c r="L277" s="7"/>
      <c r="M277" s="7"/>
      <c r="N277" s="8"/>
      <c r="O277" s="8"/>
      <c r="P277" s="8"/>
      <c r="Q277" s="8"/>
      <c r="R277" s="8"/>
      <c r="S277" s="8"/>
      <c r="T277" s="8"/>
      <c r="U277" s="8"/>
      <c r="V277" s="11"/>
      <c r="W277" s="7"/>
    </row>
    <row r="278" spans="1:23" ht="15.75" customHeight="1" x14ac:dyDescent="0.25">
      <c r="A278" s="7"/>
      <c r="B278" s="8"/>
      <c r="C278" s="9"/>
      <c r="D278" s="10"/>
      <c r="E278" s="8"/>
      <c r="F278" s="8"/>
      <c r="G278" s="7"/>
      <c r="H278" s="11"/>
      <c r="I278" s="11"/>
      <c r="J278" s="7"/>
      <c r="K278" s="7"/>
      <c r="L278" s="7"/>
      <c r="M278" s="7"/>
      <c r="N278" s="8"/>
      <c r="O278" s="8"/>
      <c r="P278" s="8"/>
      <c r="Q278" s="8"/>
      <c r="R278" s="8"/>
      <c r="S278" s="8"/>
      <c r="T278" s="8"/>
      <c r="U278" s="8"/>
      <c r="V278" s="11"/>
      <c r="W278" s="7"/>
    </row>
    <row r="279" spans="1:23" ht="15.75" customHeight="1" x14ac:dyDescent="0.25">
      <c r="A279" s="7"/>
      <c r="B279" s="8"/>
      <c r="C279" s="9"/>
      <c r="D279" s="10"/>
      <c r="E279" s="8"/>
      <c r="F279" s="8"/>
      <c r="G279" s="7"/>
      <c r="H279" s="11"/>
      <c r="I279" s="11"/>
      <c r="J279" s="7"/>
      <c r="K279" s="7"/>
      <c r="L279" s="7"/>
      <c r="M279" s="7"/>
      <c r="N279" s="8"/>
      <c r="O279" s="8"/>
      <c r="P279" s="8"/>
      <c r="Q279" s="8"/>
      <c r="R279" s="8"/>
      <c r="S279" s="8"/>
      <c r="T279" s="8"/>
      <c r="U279" s="8"/>
      <c r="V279" s="11"/>
      <c r="W279" s="7"/>
    </row>
    <row r="280" spans="1:23" ht="15.75" customHeight="1" x14ac:dyDescent="0.25">
      <c r="A280" s="7"/>
      <c r="B280" s="8"/>
      <c r="C280" s="9"/>
      <c r="D280" s="10"/>
      <c r="E280" s="8"/>
      <c r="F280" s="8"/>
      <c r="G280" s="7"/>
      <c r="H280" s="11"/>
      <c r="I280" s="11"/>
      <c r="J280" s="7"/>
      <c r="K280" s="7"/>
      <c r="L280" s="7"/>
      <c r="M280" s="7"/>
      <c r="N280" s="8"/>
      <c r="O280" s="8"/>
      <c r="P280" s="8"/>
      <c r="Q280" s="8"/>
      <c r="R280" s="8"/>
      <c r="S280" s="8"/>
      <c r="T280" s="8"/>
      <c r="U280" s="8"/>
      <c r="V280" s="11"/>
      <c r="W280" s="7"/>
    </row>
    <row r="281" spans="1:23" ht="15.75" customHeight="1" x14ac:dyDescent="0.25">
      <c r="A281" s="25"/>
      <c r="C281" s="26"/>
      <c r="D281" s="27"/>
      <c r="G281" s="25"/>
      <c r="J281" s="25"/>
      <c r="K281" s="25"/>
      <c r="L281" s="25"/>
      <c r="M281" s="25"/>
      <c r="V281" s="28"/>
      <c r="W281" s="25"/>
    </row>
    <row r="282" spans="1:23" ht="15.75" customHeight="1" x14ac:dyDescent="0.25">
      <c r="A282" s="25"/>
      <c r="C282" s="26"/>
      <c r="D282" s="27"/>
      <c r="G282" s="25"/>
      <c r="J282" s="25"/>
      <c r="K282" s="25"/>
      <c r="L282" s="25"/>
      <c r="M282" s="25"/>
      <c r="V282" s="28"/>
      <c r="W282" s="25"/>
    </row>
    <row r="283" spans="1:23" ht="15.75" customHeight="1" x14ac:dyDescent="0.25">
      <c r="A283" s="25"/>
      <c r="C283" s="26"/>
      <c r="D283" s="27"/>
      <c r="G283" s="25"/>
      <c r="J283" s="25"/>
      <c r="K283" s="25"/>
      <c r="L283" s="25"/>
      <c r="M283" s="25"/>
      <c r="V283" s="28"/>
      <c r="W283" s="25"/>
    </row>
    <row r="284" spans="1:23" ht="15.75" customHeight="1" x14ac:dyDescent="0.25">
      <c r="A284" s="25"/>
      <c r="C284" s="26"/>
      <c r="D284" s="27"/>
      <c r="G284" s="25"/>
      <c r="J284" s="25"/>
      <c r="K284" s="25"/>
      <c r="L284" s="25"/>
      <c r="M284" s="25"/>
      <c r="V284" s="28"/>
      <c r="W284" s="25"/>
    </row>
    <row r="285" spans="1:23" ht="15.75" customHeight="1" x14ac:dyDescent="0.25">
      <c r="A285" s="25"/>
      <c r="C285" s="26"/>
      <c r="D285" s="27"/>
      <c r="G285" s="25"/>
      <c r="J285" s="25"/>
      <c r="K285" s="25"/>
      <c r="L285" s="25"/>
      <c r="M285" s="25"/>
      <c r="V285" s="28"/>
      <c r="W285" s="25"/>
    </row>
    <row r="286" spans="1:23" ht="15.75" customHeight="1" x14ac:dyDescent="0.25">
      <c r="A286" s="25"/>
      <c r="C286" s="26"/>
      <c r="D286" s="27"/>
      <c r="G286" s="25"/>
      <c r="J286" s="25"/>
      <c r="K286" s="25"/>
      <c r="L286" s="25"/>
      <c r="M286" s="25"/>
      <c r="V286" s="28"/>
      <c r="W286" s="25"/>
    </row>
    <row r="287" spans="1:23" ht="15.75" customHeight="1" x14ac:dyDescent="0.25">
      <c r="A287" s="25"/>
      <c r="C287" s="26"/>
      <c r="D287" s="27"/>
      <c r="G287" s="25"/>
      <c r="J287" s="25"/>
      <c r="K287" s="25"/>
      <c r="L287" s="25"/>
      <c r="M287" s="25"/>
      <c r="V287" s="28"/>
      <c r="W287" s="25"/>
    </row>
    <row r="288" spans="1:23" ht="15.75" customHeight="1" x14ac:dyDescent="0.25">
      <c r="A288" s="25"/>
      <c r="C288" s="26"/>
      <c r="D288" s="27"/>
      <c r="G288" s="25"/>
      <c r="J288" s="25"/>
      <c r="K288" s="25"/>
      <c r="L288" s="25"/>
      <c r="M288" s="25"/>
      <c r="V288" s="28"/>
      <c r="W288" s="25"/>
    </row>
    <row r="289" spans="1:23" ht="15.75" customHeight="1" x14ac:dyDescent="0.25">
      <c r="A289" s="25"/>
      <c r="C289" s="26"/>
      <c r="D289" s="27"/>
      <c r="G289" s="25"/>
      <c r="J289" s="25"/>
      <c r="K289" s="25"/>
      <c r="L289" s="25"/>
      <c r="M289" s="25"/>
      <c r="V289" s="28"/>
      <c r="W289" s="25"/>
    </row>
    <row r="290" spans="1:23" ht="15.75" customHeight="1" x14ac:dyDescent="0.25">
      <c r="A290" s="25"/>
      <c r="C290" s="26"/>
      <c r="D290" s="27"/>
      <c r="G290" s="25"/>
      <c r="J290" s="25"/>
      <c r="K290" s="25"/>
      <c r="L290" s="25"/>
      <c r="M290" s="25"/>
      <c r="V290" s="28"/>
      <c r="W290" s="25"/>
    </row>
    <row r="291" spans="1:23" ht="15.75" customHeight="1" x14ac:dyDescent="0.25">
      <c r="A291" s="25"/>
      <c r="C291" s="26"/>
      <c r="D291" s="27"/>
      <c r="G291" s="25"/>
      <c r="J291" s="25"/>
      <c r="K291" s="25"/>
      <c r="L291" s="25"/>
      <c r="M291" s="25"/>
      <c r="V291" s="28"/>
      <c r="W291" s="25"/>
    </row>
    <row r="292" spans="1:23" ht="15.75" customHeight="1" x14ac:dyDescent="0.25">
      <c r="A292" s="25"/>
      <c r="C292" s="26"/>
      <c r="D292" s="27"/>
      <c r="G292" s="25"/>
      <c r="J292" s="25"/>
      <c r="K292" s="25"/>
      <c r="L292" s="25"/>
      <c r="M292" s="25"/>
      <c r="V292" s="28"/>
      <c r="W292" s="25"/>
    </row>
    <row r="293" spans="1:23" ht="15.75" customHeight="1" x14ac:dyDescent="0.25">
      <c r="A293" s="25"/>
      <c r="C293" s="26"/>
      <c r="D293" s="27"/>
      <c r="G293" s="25"/>
      <c r="J293" s="25"/>
      <c r="K293" s="25"/>
      <c r="L293" s="25"/>
      <c r="M293" s="25"/>
      <c r="V293" s="28"/>
      <c r="W293" s="25"/>
    </row>
    <row r="294" spans="1:23" ht="15.75" customHeight="1" x14ac:dyDescent="0.25">
      <c r="A294" s="25"/>
      <c r="C294" s="26"/>
      <c r="D294" s="27"/>
      <c r="G294" s="25"/>
      <c r="J294" s="25"/>
      <c r="K294" s="25"/>
      <c r="L294" s="25"/>
      <c r="M294" s="25"/>
      <c r="V294" s="28"/>
      <c r="W294" s="25"/>
    </row>
    <row r="295" spans="1:23" ht="15.75" customHeight="1" x14ac:dyDescent="0.25">
      <c r="A295" s="25"/>
      <c r="C295" s="26"/>
      <c r="D295" s="27"/>
      <c r="G295" s="25"/>
      <c r="J295" s="25"/>
      <c r="K295" s="25"/>
      <c r="L295" s="25"/>
      <c r="M295" s="25"/>
      <c r="V295" s="28"/>
      <c r="W295" s="25"/>
    </row>
    <row r="296" spans="1:23" ht="15.75" customHeight="1" x14ac:dyDescent="0.25">
      <c r="A296" s="25"/>
      <c r="C296" s="26"/>
      <c r="D296" s="27"/>
      <c r="G296" s="25"/>
      <c r="J296" s="25"/>
      <c r="K296" s="25"/>
      <c r="L296" s="25"/>
      <c r="M296" s="25"/>
      <c r="V296" s="28"/>
      <c r="W296" s="25"/>
    </row>
    <row r="297" spans="1:23" ht="15.75" customHeight="1" x14ac:dyDescent="0.25">
      <c r="A297" s="25"/>
      <c r="C297" s="26"/>
      <c r="D297" s="27"/>
      <c r="G297" s="25"/>
      <c r="J297" s="25"/>
      <c r="K297" s="25"/>
      <c r="L297" s="25"/>
      <c r="M297" s="25"/>
      <c r="V297" s="28"/>
      <c r="W297" s="25"/>
    </row>
    <row r="298" spans="1:23" ht="15.75" customHeight="1" x14ac:dyDescent="0.25">
      <c r="A298" s="25"/>
      <c r="C298" s="26"/>
      <c r="D298" s="27"/>
      <c r="G298" s="25"/>
      <c r="J298" s="25"/>
      <c r="K298" s="25"/>
      <c r="L298" s="25"/>
      <c r="M298" s="25"/>
      <c r="V298" s="28"/>
      <c r="W298" s="25"/>
    </row>
    <row r="299" spans="1:23" ht="15.75" customHeight="1" x14ac:dyDescent="0.25">
      <c r="A299" s="25"/>
      <c r="C299" s="26"/>
      <c r="D299" s="27"/>
      <c r="G299" s="25"/>
      <c r="J299" s="25"/>
      <c r="K299" s="25"/>
      <c r="L299" s="25"/>
      <c r="M299" s="25"/>
      <c r="V299" s="28"/>
      <c r="W299" s="25"/>
    </row>
    <row r="300" spans="1:23" ht="15.75" customHeight="1" x14ac:dyDescent="0.25">
      <c r="A300" s="25"/>
      <c r="C300" s="26"/>
      <c r="D300" s="27"/>
      <c r="G300" s="25"/>
      <c r="J300" s="25"/>
      <c r="K300" s="25"/>
      <c r="L300" s="25"/>
      <c r="M300" s="25"/>
      <c r="V300" s="28"/>
      <c r="W300" s="25"/>
    </row>
    <row r="301" spans="1:23" ht="15.75" customHeight="1" x14ac:dyDescent="0.25">
      <c r="A301" s="25"/>
      <c r="C301" s="26"/>
      <c r="D301" s="27"/>
      <c r="G301" s="25"/>
      <c r="J301" s="25"/>
      <c r="K301" s="25"/>
      <c r="L301" s="25"/>
      <c r="M301" s="25"/>
      <c r="V301" s="28"/>
      <c r="W301" s="25"/>
    </row>
    <row r="302" spans="1:23" ht="15.75" customHeight="1" x14ac:dyDescent="0.25">
      <c r="A302" s="25"/>
      <c r="C302" s="26"/>
      <c r="D302" s="27"/>
      <c r="G302" s="25"/>
      <c r="J302" s="25"/>
      <c r="K302" s="25"/>
      <c r="L302" s="25"/>
      <c r="M302" s="25"/>
      <c r="V302" s="28"/>
      <c r="W302" s="25"/>
    </row>
    <row r="303" spans="1:23" ht="15.75" customHeight="1" x14ac:dyDescent="0.25">
      <c r="A303" s="25"/>
      <c r="C303" s="26"/>
      <c r="D303" s="27"/>
      <c r="G303" s="25"/>
      <c r="J303" s="25"/>
      <c r="K303" s="25"/>
      <c r="L303" s="25"/>
      <c r="M303" s="25"/>
      <c r="V303" s="28"/>
      <c r="W303" s="25"/>
    </row>
    <row r="304" spans="1:23" ht="15.75" customHeight="1" x14ac:dyDescent="0.25">
      <c r="A304" s="25"/>
      <c r="C304" s="26"/>
      <c r="D304" s="27"/>
      <c r="G304" s="25"/>
      <c r="J304" s="25"/>
      <c r="K304" s="25"/>
      <c r="L304" s="25"/>
      <c r="M304" s="25"/>
      <c r="V304" s="28"/>
      <c r="W304" s="25"/>
    </row>
    <row r="305" spans="1:23" ht="15.75" customHeight="1" x14ac:dyDescent="0.25">
      <c r="A305" s="25"/>
      <c r="C305" s="26"/>
      <c r="D305" s="27"/>
      <c r="G305" s="25"/>
      <c r="J305" s="25"/>
      <c r="K305" s="25"/>
      <c r="L305" s="25"/>
      <c r="M305" s="25"/>
      <c r="V305" s="28"/>
      <c r="W305" s="25"/>
    </row>
    <row r="306" spans="1:23" ht="15.75" customHeight="1" x14ac:dyDescent="0.25">
      <c r="A306" s="25"/>
      <c r="C306" s="26"/>
      <c r="D306" s="27"/>
      <c r="G306" s="25"/>
      <c r="J306" s="25"/>
      <c r="K306" s="25"/>
      <c r="L306" s="25"/>
      <c r="M306" s="25"/>
      <c r="V306" s="28"/>
      <c r="W306" s="25"/>
    </row>
    <row r="307" spans="1:23" ht="15.75" customHeight="1" x14ac:dyDescent="0.25">
      <c r="A307" s="25"/>
      <c r="C307" s="26"/>
      <c r="D307" s="27"/>
      <c r="G307" s="25"/>
      <c r="J307" s="25"/>
      <c r="K307" s="25"/>
      <c r="L307" s="25"/>
      <c r="M307" s="25"/>
      <c r="V307" s="28"/>
      <c r="W307" s="25"/>
    </row>
    <row r="308" spans="1:23" ht="15.75" customHeight="1" x14ac:dyDescent="0.25">
      <c r="A308" s="25"/>
      <c r="C308" s="26"/>
      <c r="D308" s="27"/>
      <c r="G308" s="25"/>
      <c r="J308" s="25"/>
      <c r="K308" s="25"/>
      <c r="L308" s="25"/>
      <c r="M308" s="25"/>
      <c r="V308" s="28"/>
      <c r="W308" s="25"/>
    </row>
    <row r="309" spans="1:23" ht="15.75" customHeight="1" x14ac:dyDescent="0.25">
      <c r="A309" s="25"/>
      <c r="C309" s="26"/>
      <c r="D309" s="27"/>
      <c r="G309" s="25"/>
      <c r="J309" s="25"/>
      <c r="K309" s="25"/>
      <c r="L309" s="25"/>
      <c r="M309" s="25"/>
      <c r="V309" s="28"/>
      <c r="W309" s="25"/>
    </row>
    <row r="310" spans="1:23" ht="15.75" customHeight="1" x14ac:dyDescent="0.25">
      <c r="A310" s="25"/>
      <c r="C310" s="26"/>
      <c r="D310" s="27"/>
      <c r="G310" s="25"/>
      <c r="J310" s="25"/>
      <c r="K310" s="25"/>
      <c r="L310" s="25"/>
      <c r="M310" s="25"/>
      <c r="V310" s="28"/>
      <c r="W310" s="25"/>
    </row>
    <row r="311" spans="1:23" ht="15.75" customHeight="1" x14ac:dyDescent="0.25">
      <c r="A311" s="25"/>
      <c r="C311" s="26"/>
      <c r="D311" s="27"/>
      <c r="G311" s="25"/>
      <c r="J311" s="25"/>
      <c r="K311" s="25"/>
      <c r="L311" s="25"/>
      <c r="M311" s="25"/>
      <c r="V311" s="28"/>
      <c r="W311" s="25"/>
    </row>
    <row r="312" spans="1:23" ht="15.75" customHeight="1" x14ac:dyDescent="0.25">
      <c r="A312" s="25"/>
      <c r="C312" s="26"/>
      <c r="D312" s="27"/>
      <c r="G312" s="25"/>
      <c r="J312" s="25"/>
      <c r="K312" s="25"/>
      <c r="L312" s="25"/>
      <c r="M312" s="25"/>
      <c r="V312" s="28"/>
      <c r="W312" s="25"/>
    </row>
    <row r="313" spans="1:23" ht="15.75" customHeight="1" x14ac:dyDescent="0.25">
      <c r="A313" s="25"/>
      <c r="C313" s="26"/>
      <c r="D313" s="27"/>
      <c r="G313" s="25"/>
      <c r="J313" s="25"/>
      <c r="K313" s="25"/>
      <c r="L313" s="25"/>
      <c r="M313" s="25"/>
      <c r="V313" s="28"/>
      <c r="W313" s="25"/>
    </row>
    <row r="314" spans="1:23" ht="15.75" customHeight="1" x14ac:dyDescent="0.25">
      <c r="A314" s="25"/>
      <c r="C314" s="26"/>
      <c r="D314" s="27"/>
      <c r="G314" s="25"/>
      <c r="J314" s="25"/>
      <c r="K314" s="25"/>
      <c r="L314" s="25"/>
      <c r="M314" s="25"/>
      <c r="V314" s="28"/>
      <c r="W314" s="25"/>
    </row>
    <row r="315" spans="1:23" ht="15.75" customHeight="1" x14ac:dyDescent="0.25">
      <c r="A315" s="25"/>
      <c r="C315" s="26"/>
      <c r="D315" s="27"/>
      <c r="G315" s="25"/>
      <c r="J315" s="25"/>
      <c r="K315" s="25"/>
      <c r="L315" s="25"/>
      <c r="M315" s="25"/>
      <c r="V315" s="28"/>
      <c r="W315" s="25"/>
    </row>
    <row r="316" spans="1:23" ht="15.75" customHeight="1" x14ac:dyDescent="0.25">
      <c r="A316" s="25"/>
      <c r="C316" s="26"/>
      <c r="D316" s="27"/>
      <c r="G316" s="25"/>
      <c r="J316" s="25"/>
      <c r="K316" s="25"/>
      <c r="L316" s="25"/>
      <c r="M316" s="25"/>
      <c r="V316" s="28"/>
      <c r="W316" s="25"/>
    </row>
    <row r="317" spans="1:23" ht="15.75" customHeight="1" x14ac:dyDescent="0.25">
      <c r="A317" s="25"/>
      <c r="C317" s="26"/>
      <c r="D317" s="27"/>
      <c r="G317" s="25"/>
      <c r="J317" s="25"/>
      <c r="K317" s="25"/>
      <c r="L317" s="25"/>
      <c r="M317" s="25"/>
      <c r="V317" s="28"/>
      <c r="W317" s="25"/>
    </row>
    <row r="318" spans="1:23" ht="15.75" customHeight="1" x14ac:dyDescent="0.25">
      <c r="A318" s="25"/>
      <c r="C318" s="26"/>
      <c r="D318" s="27"/>
      <c r="G318" s="25"/>
      <c r="J318" s="25"/>
      <c r="K318" s="25"/>
      <c r="L318" s="25"/>
      <c r="M318" s="25"/>
      <c r="V318" s="28"/>
      <c r="W318" s="25"/>
    </row>
    <row r="319" spans="1:23" ht="15.75" customHeight="1" x14ac:dyDescent="0.25">
      <c r="A319" s="25"/>
      <c r="C319" s="26"/>
      <c r="D319" s="27"/>
      <c r="G319" s="25"/>
      <c r="J319" s="25"/>
      <c r="K319" s="25"/>
      <c r="L319" s="25"/>
      <c r="M319" s="25"/>
      <c r="V319" s="28"/>
      <c r="W319" s="25"/>
    </row>
    <row r="320" spans="1:23" ht="15.75" customHeight="1" x14ac:dyDescent="0.25">
      <c r="A320" s="25"/>
      <c r="C320" s="26"/>
      <c r="D320" s="27"/>
      <c r="G320" s="25"/>
      <c r="J320" s="25"/>
      <c r="K320" s="25"/>
      <c r="L320" s="25"/>
      <c r="M320" s="25"/>
      <c r="V320" s="28"/>
      <c r="W320" s="25"/>
    </row>
    <row r="321" spans="1:23" ht="15.75" customHeight="1" x14ac:dyDescent="0.25">
      <c r="A321" s="25"/>
      <c r="C321" s="26"/>
      <c r="D321" s="27"/>
      <c r="G321" s="25"/>
      <c r="J321" s="25"/>
      <c r="K321" s="25"/>
      <c r="L321" s="25"/>
      <c r="M321" s="25"/>
      <c r="V321" s="28"/>
      <c r="W321" s="25"/>
    </row>
    <row r="322" spans="1:23" ht="15.75" customHeight="1" x14ac:dyDescent="0.25">
      <c r="A322" s="25"/>
      <c r="C322" s="26"/>
      <c r="D322" s="27"/>
      <c r="G322" s="25"/>
      <c r="J322" s="25"/>
      <c r="K322" s="25"/>
      <c r="L322" s="25"/>
      <c r="M322" s="25"/>
      <c r="V322" s="28"/>
      <c r="W322" s="25"/>
    </row>
    <row r="323" spans="1:23" ht="15.75" customHeight="1" x14ac:dyDescent="0.25">
      <c r="A323" s="25"/>
      <c r="C323" s="26"/>
      <c r="D323" s="27"/>
      <c r="G323" s="25"/>
      <c r="J323" s="25"/>
      <c r="K323" s="25"/>
      <c r="L323" s="25"/>
      <c r="M323" s="25"/>
      <c r="V323" s="28"/>
      <c r="W323" s="25"/>
    </row>
    <row r="324" spans="1:23" ht="15.75" customHeight="1" x14ac:dyDescent="0.25">
      <c r="A324" s="25"/>
      <c r="C324" s="26"/>
      <c r="D324" s="27"/>
      <c r="G324" s="25"/>
      <c r="J324" s="25"/>
      <c r="K324" s="25"/>
      <c r="L324" s="25"/>
      <c r="M324" s="25"/>
      <c r="V324" s="28"/>
      <c r="W324" s="25"/>
    </row>
    <row r="325" spans="1:23" ht="15.75" customHeight="1" x14ac:dyDescent="0.25">
      <c r="A325" s="25"/>
      <c r="C325" s="26"/>
      <c r="D325" s="27"/>
      <c r="G325" s="25"/>
      <c r="J325" s="25"/>
      <c r="K325" s="25"/>
      <c r="L325" s="25"/>
      <c r="M325" s="25"/>
      <c r="V325" s="28"/>
      <c r="W325" s="25"/>
    </row>
    <row r="326" spans="1:23" ht="15.75" customHeight="1" x14ac:dyDescent="0.25">
      <c r="A326" s="25"/>
      <c r="C326" s="26"/>
      <c r="D326" s="27"/>
      <c r="G326" s="25"/>
      <c r="J326" s="25"/>
      <c r="K326" s="25"/>
      <c r="L326" s="25"/>
      <c r="M326" s="25"/>
      <c r="V326" s="28"/>
      <c r="W326" s="25"/>
    </row>
    <row r="327" spans="1:23" ht="15.75" customHeight="1" x14ac:dyDescent="0.25">
      <c r="A327" s="25"/>
      <c r="C327" s="26"/>
      <c r="D327" s="27"/>
      <c r="G327" s="25"/>
      <c r="J327" s="25"/>
      <c r="K327" s="25"/>
      <c r="L327" s="25"/>
      <c r="M327" s="25"/>
      <c r="V327" s="28"/>
      <c r="W327" s="25"/>
    </row>
    <row r="328" spans="1:23" ht="15.75" customHeight="1" x14ac:dyDescent="0.25">
      <c r="A328" s="25"/>
      <c r="C328" s="26"/>
      <c r="D328" s="27"/>
      <c r="G328" s="25"/>
      <c r="J328" s="25"/>
      <c r="K328" s="25"/>
      <c r="L328" s="25"/>
      <c r="M328" s="25"/>
      <c r="V328" s="28"/>
      <c r="W328" s="25"/>
    </row>
    <row r="329" spans="1:23" ht="15.75" customHeight="1" x14ac:dyDescent="0.25">
      <c r="A329" s="25"/>
      <c r="C329" s="26"/>
      <c r="D329" s="27"/>
      <c r="G329" s="25"/>
      <c r="J329" s="25"/>
      <c r="K329" s="25"/>
      <c r="L329" s="25"/>
      <c r="M329" s="25"/>
      <c r="V329" s="28"/>
      <c r="W329" s="25"/>
    </row>
    <row r="330" spans="1:23" ht="15.75" customHeight="1" x14ac:dyDescent="0.25">
      <c r="A330" s="25"/>
      <c r="C330" s="26"/>
      <c r="D330" s="27"/>
      <c r="G330" s="25"/>
      <c r="J330" s="25"/>
      <c r="K330" s="25"/>
      <c r="L330" s="25"/>
      <c r="M330" s="25"/>
      <c r="V330" s="28"/>
      <c r="W330" s="25"/>
    </row>
    <row r="331" spans="1:23" ht="15.75" customHeight="1" x14ac:dyDescent="0.25">
      <c r="A331" s="25"/>
      <c r="C331" s="26"/>
      <c r="D331" s="27"/>
      <c r="G331" s="25"/>
      <c r="J331" s="25"/>
      <c r="K331" s="25"/>
      <c r="L331" s="25"/>
      <c r="M331" s="25"/>
      <c r="V331" s="28"/>
      <c r="W331" s="25"/>
    </row>
    <row r="332" spans="1:23" ht="15.75" customHeight="1" x14ac:dyDescent="0.25">
      <c r="A332" s="25"/>
      <c r="C332" s="26"/>
      <c r="D332" s="27"/>
      <c r="G332" s="25"/>
      <c r="J332" s="25"/>
      <c r="K332" s="25"/>
      <c r="L332" s="25"/>
      <c r="M332" s="25"/>
      <c r="V332" s="28"/>
      <c r="W332" s="25"/>
    </row>
    <row r="333" spans="1:23" ht="15.75" customHeight="1" x14ac:dyDescent="0.25">
      <c r="A333" s="25"/>
      <c r="C333" s="26"/>
      <c r="D333" s="27"/>
      <c r="G333" s="25"/>
      <c r="J333" s="25"/>
      <c r="K333" s="25"/>
      <c r="L333" s="25"/>
      <c r="M333" s="25"/>
      <c r="V333" s="28"/>
      <c r="W333" s="25"/>
    </row>
    <row r="334" spans="1:23" ht="15.75" customHeight="1" x14ac:dyDescent="0.25">
      <c r="A334" s="25"/>
      <c r="C334" s="26"/>
      <c r="D334" s="27"/>
      <c r="G334" s="25"/>
      <c r="J334" s="25"/>
      <c r="K334" s="25"/>
      <c r="L334" s="25"/>
      <c r="M334" s="25"/>
      <c r="V334" s="28"/>
      <c r="W334" s="25"/>
    </row>
    <row r="335" spans="1:23" ht="15.75" customHeight="1" x14ac:dyDescent="0.25">
      <c r="A335" s="25"/>
      <c r="C335" s="26"/>
      <c r="D335" s="27"/>
      <c r="G335" s="25"/>
      <c r="J335" s="25"/>
      <c r="K335" s="25"/>
      <c r="L335" s="25"/>
      <c r="M335" s="25"/>
      <c r="V335" s="28"/>
      <c r="W335" s="25"/>
    </row>
    <row r="336" spans="1:23" ht="15.75" customHeight="1" x14ac:dyDescent="0.25">
      <c r="A336" s="25"/>
      <c r="C336" s="26"/>
      <c r="D336" s="27"/>
      <c r="G336" s="25"/>
      <c r="J336" s="25"/>
      <c r="K336" s="25"/>
      <c r="L336" s="25"/>
      <c r="M336" s="25"/>
      <c r="V336" s="28"/>
      <c r="W336" s="25"/>
    </row>
    <row r="337" spans="1:23" ht="15.75" customHeight="1" x14ac:dyDescent="0.25">
      <c r="A337" s="25"/>
      <c r="C337" s="26"/>
      <c r="D337" s="27"/>
      <c r="G337" s="25"/>
      <c r="J337" s="25"/>
      <c r="K337" s="25"/>
      <c r="L337" s="25"/>
      <c r="M337" s="25"/>
      <c r="V337" s="28"/>
      <c r="W337" s="25"/>
    </row>
    <row r="338" spans="1:23" ht="15.75" customHeight="1" x14ac:dyDescent="0.25">
      <c r="A338" s="25"/>
      <c r="C338" s="26"/>
      <c r="D338" s="27"/>
      <c r="G338" s="25"/>
      <c r="J338" s="25"/>
      <c r="K338" s="25"/>
      <c r="L338" s="25"/>
      <c r="M338" s="25"/>
      <c r="V338" s="28"/>
      <c r="W338" s="25"/>
    </row>
    <row r="339" spans="1:23" ht="15.75" customHeight="1" x14ac:dyDescent="0.25">
      <c r="A339" s="25"/>
      <c r="C339" s="26"/>
      <c r="D339" s="27"/>
      <c r="G339" s="25"/>
      <c r="J339" s="25"/>
      <c r="K339" s="25"/>
      <c r="L339" s="25"/>
      <c r="M339" s="25"/>
      <c r="V339" s="28"/>
      <c r="W339" s="25"/>
    </row>
    <row r="340" spans="1:23" ht="15.75" customHeight="1" x14ac:dyDescent="0.25">
      <c r="A340" s="25"/>
      <c r="C340" s="26"/>
      <c r="D340" s="27"/>
      <c r="G340" s="25"/>
      <c r="J340" s="25"/>
      <c r="K340" s="25"/>
      <c r="L340" s="25"/>
      <c r="M340" s="25"/>
      <c r="V340" s="28"/>
      <c r="W340" s="25"/>
    </row>
    <row r="341" spans="1:23" ht="15.75" customHeight="1" x14ac:dyDescent="0.25">
      <c r="A341" s="25"/>
      <c r="C341" s="26"/>
      <c r="D341" s="27"/>
      <c r="G341" s="25"/>
      <c r="J341" s="25"/>
      <c r="K341" s="25"/>
      <c r="L341" s="25"/>
      <c r="M341" s="25"/>
      <c r="V341" s="28"/>
      <c r="W341" s="25"/>
    </row>
    <row r="342" spans="1:23" ht="15.75" customHeight="1" x14ac:dyDescent="0.25">
      <c r="A342" s="25"/>
      <c r="C342" s="26"/>
      <c r="D342" s="27"/>
      <c r="G342" s="25"/>
      <c r="J342" s="25"/>
      <c r="K342" s="25"/>
      <c r="L342" s="25"/>
      <c r="M342" s="25"/>
      <c r="V342" s="28"/>
      <c r="W342" s="25"/>
    </row>
    <row r="343" spans="1:23" ht="15.75" customHeight="1" x14ac:dyDescent="0.25">
      <c r="A343" s="25"/>
      <c r="C343" s="26"/>
      <c r="D343" s="27"/>
      <c r="G343" s="25"/>
      <c r="J343" s="25"/>
      <c r="K343" s="25"/>
      <c r="L343" s="25"/>
      <c r="M343" s="25"/>
      <c r="V343" s="28"/>
      <c r="W343" s="25"/>
    </row>
    <row r="344" spans="1:23" ht="15.75" customHeight="1" x14ac:dyDescent="0.25">
      <c r="A344" s="25"/>
      <c r="C344" s="26"/>
      <c r="D344" s="27"/>
      <c r="G344" s="25"/>
      <c r="J344" s="25"/>
      <c r="K344" s="25"/>
      <c r="L344" s="25"/>
      <c r="M344" s="25"/>
      <c r="V344" s="28"/>
      <c r="W344" s="25"/>
    </row>
    <row r="345" spans="1:23" ht="15.75" customHeight="1" x14ac:dyDescent="0.25">
      <c r="A345" s="25"/>
      <c r="C345" s="26"/>
      <c r="D345" s="27"/>
      <c r="G345" s="25"/>
      <c r="J345" s="25"/>
      <c r="K345" s="25"/>
      <c r="L345" s="25"/>
      <c r="M345" s="25"/>
      <c r="V345" s="28"/>
      <c r="W345" s="25"/>
    </row>
    <row r="346" spans="1:23" ht="15.75" customHeight="1" x14ac:dyDescent="0.25">
      <c r="A346" s="25"/>
      <c r="C346" s="26"/>
      <c r="D346" s="27"/>
      <c r="G346" s="25"/>
      <c r="J346" s="25"/>
      <c r="K346" s="25"/>
      <c r="L346" s="25"/>
      <c r="M346" s="25"/>
      <c r="V346" s="28"/>
      <c r="W346" s="25"/>
    </row>
    <row r="347" spans="1:23" ht="15.75" customHeight="1" x14ac:dyDescent="0.25">
      <c r="A347" s="25"/>
      <c r="C347" s="26"/>
      <c r="D347" s="27"/>
      <c r="G347" s="25"/>
      <c r="J347" s="25"/>
      <c r="K347" s="25"/>
      <c r="L347" s="25"/>
      <c r="M347" s="25"/>
      <c r="V347" s="28"/>
      <c r="W347" s="25"/>
    </row>
    <row r="348" spans="1:23" ht="15.75" customHeight="1" x14ac:dyDescent="0.25">
      <c r="A348" s="25"/>
      <c r="C348" s="26"/>
      <c r="D348" s="27"/>
      <c r="G348" s="25"/>
      <c r="J348" s="25"/>
      <c r="K348" s="25"/>
      <c r="L348" s="25"/>
      <c r="M348" s="25"/>
      <c r="V348" s="28"/>
      <c r="W348" s="25"/>
    </row>
    <row r="349" spans="1:23" ht="15.75" customHeight="1" x14ac:dyDescent="0.25">
      <c r="A349" s="25"/>
      <c r="C349" s="26"/>
      <c r="D349" s="27"/>
      <c r="G349" s="25"/>
      <c r="J349" s="25"/>
      <c r="K349" s="25"/>
      <c r="L349" s="25"/>
      <c r="M349" s="25"/>
      <c r="V349" s="28"/>
      <c r="W349" s="25"/>
    </row>
    <row r="350" spans="1:23" ht="15.75" customHeight="1" x14ac:dyDescent="0.25">
      <c r="A350" s="25"/>
      <c r="C350" s="26"/>
      <c r="D350" s="27"/>
      <c r="G350" s="25"/>
      <c r="J350" s="25"/>
      <c r="K350" s="25"/>
      <c r="L350" s="25"/>
      <c r="M350" s="25"/>
      <c r="V350" s="28"/>
      <c r="W350" s="25"/>
    </row>
    <row r="351" spans="1:23" ht="15.75" customHeight="1" x14ac:dyDescent="0.25">
      <c r="A351" s="25"/>
      <c r="C351" s="26"/>
      <c r="D351" s="27"/>
      <c r="G351" s="25"/>
      <c r="J351" s="25"/>
      <c r="K351" s="25"/>
      <c r="L351" s="25"/>
      <c r="M351" s="25"/>
      <c r="V351" s="28"/>
      <c r="W351" s="25"/>
    </row>
    <row r="352" spans="1:23" ht="15.75" customHeight="1" x14ac:dyDescent="0.25">
      <c r="A352" s="25"/>
      <c r="C352" s="26"/>
      <c r="D352" s="27"/>
      <c r="G352" s="25"/>
      <c r="J352" s="25"/>
      <c r="K352" s="25"/>
      <c r="L352" s="25"/>
      <c r="M352" s="25"/>
      <c r="V352" s="28"/>
      <c r="W352" s="25"/>
    </row>
    <row r="353" spans="1:23" ht="15.75" customHeight="1" x14ac:dyDescent="0.25">
      <c r="A353" s="25"/>
      <c r="C353" s="26"/>
      <c r="D353" s="27"/>
      <c r="G353" s="25"/>
      <c r="J353" s="25"/>
      <c r="K353" s="25"/>
      <c r="L353" s="25"/>
      <c r="M353" s="25"/>
      <c r="V353" s="28"/>
      <c r="W353" s="25"/>
    </row>
    <row r="354" spans="1:23" ht="15.75" customHeight="1" x14ac:dyDescent="0.25">
      <c r="A354" s="25"/>
      <c r="C354" s="26"/>
      <c r="D354" s="27"/>
      <c r="G354" s="25"/>
      <c r="J354" s="25"/>
      <c r="K354" s="25"/>
      <c r="L354" s="25"/>
      <c r="M354" s="25"/>
      <c r="V354" s="28"/>
      <c r="W354" s="25"/>
    </row>
    <row r="355" spans="1:23" ht="15.75" customHeight="1" x14ac:dyDescent="0.25">
      <c r="A355" s="25"/>
      <c r="C355" s="26"/>
      <c r="D355" s="27"/>
      <c r="G355" s="25"/>
      <c r="J355" s="25"/>
      <c r="K355" s="25"/>
      <c r="L355" s="25"/>
      <c r="M355" s="25"/>
      <c r="V355" s="28"/>
      <c r="W355" s="25"/>
    </row>
    <row r="356" spans="1:23" ht="15.75" customHeight="1" x14ac:dyDescent="0.25">
      <c r="A356" s="25"/>
      <c r="C356" s="26"/>
      <c r="D356" s="27"/>
      <c r="G356" s="25"/>
      <c r="J356" s="25"/>
      <c r="K356" s="25"/>
      <c r="L356" s="25"/>
      <c r="M356" s="25"/>
      <c r="V356" s="28"/>
      <c r="W356" s="25"/>
    </row>
    <row r="357" spans="1:23" ht="15.75" customHeight="1" x14ac:dyDescent="0.25">
      <c r="A357" s="25"/>
      <c r="C357" s="26"/>
      <c r="D357" s="27"/>
      <c r="G357" s="25"/>
      <c r="J357" s="25"/>
      <c r="K357" s="25"/>
      <c r="L357" s="25"/>
      <c r="M357" s="25"/>
      <c r="V357" s="28"/>
      <c r="W357" s="25"/>
    </row>
    <row r="358" spans="1:23" ht="15.75" customHeight="1" x14ac:dyDescent="0.25">
      <c r="A358" s="25"/>
      <c r="C358" s="26"/>
      <c r="D358" s="27"/>
      <c r="G358" s="25"/>
      <c r="J358" s="25"/>
      <c r="K358" s="25"/>
      <c r="L358" s="25"/>
      <c r="M358" s="25"/>
      <c r="V358" s="28"/>
      <c r="W358" s="25"/>
    </row>
    <row r="359" spans="1:23" ht="15.75" customHeight="1" x14ac:dyDescent="0.25">
      <c r="A359" s="25"/>
      <c r="C359" s="26"/>
      <c r="D359" s="27"/>
      <c r="G359" s="25"/>
      <c r="J359" s="25"/>
      <c r="K359" s="25"/>
      <c r="L359" s="25"/>
      <c r="M359" s="25"/>
      <c r="V359" s="28"/>
      <c r="W359" s="25"/>
    </row>
    <row r="360" spans="1:23" ht="15.75" customHeight="1" x14ac:dyDescent="0.25">
      <c r="A360" s="25"/>
      <c r="C360" s="26"/>
      <c r="D360" s="27"/>
      <c r="G360" s="25"/>
      <c r="J360" s="25"/>
      <c r="K360" s="25"/>
      <c r="L360" s="25"/>
      <c r="M360" s="25"/>
      <c r="V360" s="28"/>
      <c r="W360" s="25"/>
    </row>
    <row r="361" spans="1:23" ht="15.75" customHeight="1" x14ac:dyDescent="0.25">
      <c r="A361" s="25"/>
      <c r="C361" s="26"/>
      <c r="D361" s="27"/>
      <c r="G361" s="25"/>
      <c r="J361" s="25"/>
      <c r="K361" s="25"/>
      <c r="L361" s="25"/>
      <c r="M361" s="25"/>
      <c r="V361" s="28"/>
      <c r="W361" s="25"/>
    </row>
    <row r="362" spans="1:23" ht="15.75" customHeight="1" x14ac:dyDescent="0.25">
      <c r="A362" s="25"/>
      <c r="C362" s="26"/>
      <c r="D362" s="27"/>
      <c r="G362" s="25"/>
      <c r="J362" s="25"/>
      <c r="K362" s="25"/>
      <c r="L362" s="25"/>
      <c r="M362" s="25"/>
      <c r="V362" s="28"/>
      <c r="W362" s="25"/>
    </row>
    <row r="363" spans="1:23" ht="15.75" customHeight="1" x14ac:dyDescent="0.25">
      <c r="A363" s="25"/>
      <c r="C363" s="26"/>
      <c r="D363" s="27"/>
      <c r="G363" s="25"/>
      <c r="J363" s="25"/>
      <c r="K363" s="25"/>
      <c r="L363" s="25"/>
      <c r="M363" s="25"/>
      <c r="V363" s="28"/>
      <c r="W363" s="25"/>
    </row>
    <row r="364" spans="1:23" ht="15.75" customHeight="1" x14ac:dyDescent="0.25">
      <c r="A364" s="25"/>
      <c r="C364" s="26"/>
      <c r="D364" s="27"/>
      <c r="G364" s="25"/>
      <c r="J364" s="25"/>
      <c r="K364" s="25"/>
      <c r="L364" s="25"/>
      <c r="M364" s="25"/>
      <c r="V364" s="28"/>
      <c r="W364" s="25"/>
    </row>
    <row r="365" spans="1:23" ht="15.75" customHeight="1" x14ac:dyDescent="0.25">
      <c r="A365" s="25"/>
      <c r="C365" s="26"/>
      <c r="D365" s="27"/>
      <c r="G365" s="25"/>
      <c r="J365" s="25"/>
      <c r="K365" s="25"/>
      <c r="L365" s="25"/>
      <c r="M365" s="25"/>
      <c r="V365" s="28"/>
      <c r="W365" s="25"/>
    </row>
    <row r="366" spans="1:23" ht="15.75" customHeight="1" x14ac:dyDescent="0.25">
      <c r="A366" s="25"/>
      <c r="C366" s="26"/>
      <c r="D366" s="27"/>
      <c r="G366" s="25"/>
      <c r="J366" s="25"/>
      <c r="K366" s="25"/>
      <c r="L366" s="25"/>
      <c r="M366" s="25"/>
      <c r="V366" s="28"/>
      <c r="W366" s="25"/>
    </row>
    <row r="367" spans="1:23" ht="15.75" customHeight="1" x14ac:dyDescent="0.25">
      <c r="A367" s="25"/>
      <c r="C367" s="26"/>
      <c r="D367" s="27"/>
      <c r="G367" s="25"/>
      <c r="J367" s="25"/>
      <c r="K367" s="25"/>
      <c r="L367" s="25"/>
      <c r="M367" s="25"/>
      <c r="V367" s="28"/>
      <c r="W367" s="25"/>
    </row>
    <row r="368" spans="1:23" ht="15.75" customHeight="1" x14ac:dyDescent="0.25">
      <c r="A368" s="25"/>
      <c r="C368" s="26"/>
      <c r="D368" s="27"/>
      <c r="G368" s="25"/>
      <c r="J368" s="25"/>
      <c r="K368" s="25"/>
      <c r="L368" s="25"/>
      <c r="M368" s="25"/>
      <c r="V368" s="28"/>
      <c r="W368" s="25"/>
    </row>
    <row r="369" spans="1:23" ht="15.75" customHeight="1" x14ac:dyDescent="0.25">
      <c r="A369" s="25"/>
      <c r="C369" s="26"/>
      <c r="D369" s="27"/>
      <c r="G369" s="25"/>
      <c r="J369" s="25"/>
      <c r="K369" s="25"/>
      <c r="L369" s="25"/>
      <c r="M369" s="25"/>
      <c r="V369" s="28"/>
      <c r="W369" s="25"/>
    </row>
    <row r="370" spans="1:23" ht="15.75" customHeight="1" x14ac:dyDescent="0.25">
      <c r="A370" s="25"/>
      <c r="C370" s="26"/>
      <c r="D370" s="27"/>
      <c r="G370" s="25"/>
      <c r="J370" s="25"/>
      <c r="K370" s="25"/>
      <c r="L370" s="25"/>
      <c r="M370" s="25"/>
      <c r="V370" s="28"/>
      <c r="W370" s="25"/>
    </row>
    <row r="371" spans="1:23" ht="15.75" customHeight="1" x14ac:dyDescent="0.25">
      <c r="A371" s="25"/>
      <c r="C371" s="26"/>
      <c r="D371" s="27"/>
      <c r="G371" s="25"/>
      <c r="J371" s="25"/>
      <c r="K371" s="25"/>
      <c r="L371" s="25"/>
      <c r="M371" s="25"/>
      <c r="V371" s="28"/>
      <c r="W371" s="25"/>
    </row>
    <row r="372" spans="1:23" ht="15.75" customHeight="1" x14ac:dyDescent="0.25">
      <c r="A372" s="25"/>
      <c r="C372" s="26"/>
      <c r="D372" s="27"/>
      <c r="G372" s="25"/>
      <c r="J372" s="25"/>
      <c r="K372" s="25"/>
      <c r="L372" s="25"/>
      <c r="M372" s="25"/>
      <c r="V372" s="28"/>
      <c r="W372" s="25"/>
    </row>
    <row r="373" spans="1:23" ht="15.75" customHeight="1" x14ac:dyDescent="0.25">
      <c r="A373" s="25"/>
      <c r="C373" s="26"/>
      <c r="D373" s="27"/>
      <c r="G373" s="25"/>
      <c r="J373" s="25"/>
      <c r="K373" s="25"/>
      <c r="L373" s="25"/>
      <c r="M373" s="25"/>
      <c r="V373" s="28"/>
      <c r="W373" s="25"/>
    </row>
    <row r="374" spans="1:23" ht="15.75" customHeight="1" x14ac:dyDescent="0.25">
      <c r="A374" s="25"/>
      <c r="C374" s="26"/>
      <c r="D374" s="27"/>
      <c r="G374" s="25"/>
      <c r="J374" s="25"/>
      <c r="K374" s="25"/>
      <c r="L374" s="25"/>
      <c r="M374" s="25"/>
      <c r="V374" s="28"/>
      <c r="W374" s="25"/>
    </row>
    <row r="375" spans="1:23" ht="15.75" customHeight="1" x14ac:dyDescent="0.25">
      <c r="A375" s="25"/>
      <c r="C375" s="26"/>
      <c r="D375" s="27"/>
      <c r="G375" s="25"/>
      <c r="J375" s="25"/>
      <c r="K375" s="25"/>
      <c r="L375" s="25"/>
      <c r="M375" s="25"/>
      <c r="V375" s="28"/>
      <c r="W375" s="25"/>
    </row>
    <row r="376" spans="1:23" ht="15.75" customHeight="1" x14ac:dyDescent="0.25">
      <c r="A376" s="25"/>
      <c r="C376" s="26"/>
      <c r="D376" s="27"/>
      <c r="G376" s="25"/>
      <c r="J376" s="25"/>
      <c r="K376" s="25"/>
      <c r="L376" s="25"/>
      <c r="M376" s="25"/>
      <c r="V376" s="28"/>
      <c r="W376" s="25"/>
    </row>
    <row r="377" spans="1:23" ht="15.75" customHeight="1" x14ac:dyDescent="0.25">
      <c r="A377" s="25"/>
      <c r="C377" s="26"/>
      <c r="D377" s="27"/>
      <c r="G377" s="25"/>
      <c r="J377" s="25"/>
      <c r="K377" s="25"/>
      <c r="L377" s="25"/>
      <c r="M377" s="25"/>
      <c r="V377" s="28"/>
      <c r="W377" s="25"/>
    </row>
    <row r="378" spans="1:23" ht="15.75" customHeight="1" x14ac:dyDescent="0.25">
      <c r="A378" s="25"/>
      <c r="C378" s="26"/>
      <c r="D378" s="27"/>
      <c r="G378" s="25"/>
      <c r="J378" s="25"/>
      <c r="K378" s="25"/>
      <c r="L378" s="25"/>
      <c r="M378" s="25"/>
      <c r="V378" s="28"/>
      <c r="W378" s="25"/>
    </row>
    <row r="379" spans="1:23" ht="15.75" customHeight="1" x14ac:dyDescent="0.25">
      <c r="A379" s="25"/>
      <c r="C379" s="26"/>
      <c r="D379" s="27"/>
      <c r="G379" s="25"/>
      <c r="J379" s="25"/>
      <c r="K379" s="25"/>
      <c r="L379" s="25"/>
      <c r="M379" s="25"/>
      <c r="V379" s="28"/>
      <c r="W379" s="25"/>
    </row>
    <row r="380" spans="1:23" ht="15.75" customHeight="1" x14ac:dyDescent="0.25">
      <c r="A380" s="25"/>
      <c r="C380" s="26"/>
      <c r="D380" s="27"/>
      <c r="G380" s="25"/>
      <c r="J380" s="25"/>
      <c r="K380" s="25"/>
      <c r="L380" s="25"/>
      <c r="M380" s="25"/>
      <c r="V380" s="28"/>
      <c r="W380" s="25"/>
    </row>
    <row r="381" spans="1:23" ht="15.75" customHeight="1" x14ac:dyDescent="0.25">
      <c r="A381" s="25"/>
      <c r="C381" s="26"/>
      <c r="D381" s="27"/>
      <c r="G381" s="25"/>
      <c r="J381" s="25"/>
      <c r="K381" s="25"/>
      <c r="L381" s="25"/>
      <c r="M381" s="25"/>
      <c r="V381" s="28"/>
      <c r="W381" s="25"/>
    </row>
    <row r="382" spans="1:23" ht="15.75" customHeight="1" x14ac:dyDescent="0.25">
      <c r="A382" s="25"/>
      <c r="C382" s="26"/>
      <c r="D382" s="27"/>
      <c r="G382" s="25"/>
      <c r="J382" s="25"/>
      <c r="K382" s="25"/>
      <c r="L382" s="25"/>
      <c r="M382" s="25"/>
      <c r="V382" s="28"/>
      <c r="W382" s="25"/>
    </row>
    <row r="383" spans="1:23" ht="15.75" customHeight="1" x14ac:dyDescent="0.25">
      <c r="A383" s="25"/>
      <c r="C383" s="26"/>
      <c r="D383" s="27"/>
      <c r="G383" s="25"/>
      <c r="J383" s="25"/>
      <c r="K383" s="25"/>
      <c r="L383" s="25"/>
      <c r="M383" s="25"/>
      <c r="V383" s="28"/>
      <c r="W383" s="25"/>
    </row>
    <row r="384" spans="1:23" ht="15.75" customHeight="1" x14ac:dyDescent="0.25">
      <c r="A384" s="25"/>
      <c r="C384" s="26"/>
      <c r="D384" s="27"/>
      <c r="G384" s="25"/>
      <c r="J384" s="25"/>
      <c r="K384" s="25"/>
      <c r="L384" s="25"/>
      <c r="M384" s="25"/>
      <c r="V384" s="28"/>
      <c r="W384" s="25"/>
    </row>
    <row r="385" spans="1:23" ht="15.75" customHeight="1" x14ac:dyDescent="0.25">
      <c r="A385" s="25"/>
      <c r="C385" s="26"/>
      <c r="D385" s="27"/>
      <c r="G385" s="25"/>
      <c r="J385" s="25"/>
      <c r="K385" s="25"/>
      <c r="L385" s="25"/>
      <c r="M385" s="25"/>
      <c r="V385" s="28"/>
      <c r="W385" s="25"/>
    </row>
    <row r="386" spans="1:23" ht="15.75" customHeight="1" x14ac:dyDescent="0.25">
      <c r="A386" s="25"/>
      <c r="C386" s="26"/>
      <c r="D386" s="27"/>
      <c r="G386" s="25"/>
      <c r="J386" s="25"/>
      <c r="K386" s="25"/>
      <c r="L386" s="25"/>
      <c r="M386" s="25"/>
      <c r="V386" s="28"/>
      <c r="W386" s="25"/>
    </row>
    <row r="387" spans="1:23" ht="15.75" customHeight="1" x14ac:dyDescent="0.25">
      <c r="A387" s="25"/>
      <c r="C387" s="26"/>
      <c r="D387" s="27"/>
      <c r="G387" s="25"/>
      <c r="J387" s="25"/>
      <c r="K387" s="25"/>
      <c r="L387" s="25"/>
      <c r="M387" s="25"/>
      <c r="V387" s="28"/>
      <c r="W387" s="25"/>
    </row>
    <row r="388" spans="1:23" ht="15.75" customHeight="1" x14ac:dyDescent="0.25">
      <c r="A388" s="25"/>
      <c r="C388" s="26"/>
      <c r="D388" s="27"/>
      <c r="G388" s="25"/>
      <c r="J388" s="25"/>
      <c r="K388" s="25"/>
      <c r="L388" s="25"/>
      <c r="M388" s="25"/>
      <c r="V388" s="28"/>
      <c r="W388" s="25"/>
    </row>
    <row r="389" spans="1:23" ht="15.75" customHeight="1" x14ac:dyDescent="0.25">
      <c r="A389" s="25"/>
      <c r="C389" s="26"/>
      <c r="D389" s="27"/>
      <c r="G389" s="25"/>
      <c r="J389" s="25"/>
      <c r="K389" s="25"/>
      <c r="L389" s="25"/>
      <c r="M389" s="25"/>
      <c r="V389" s="28"/>
      <c r="W389" s="25"/>
    </row>
    <row r="390" spans="1:23" ht="15.75" customHeight="1" x14ac:dyDescent="0.25">
      <c r="A390" s="25"/>
      <c r="C390" s="26"/>
      <c r="D390" s="27"/>
      <c r="G390" s="25"/>
      <c r="J390" s="25"/>
      <c r="K390" s="25"/>
      <c r="L390" s="25"/>
      <c r="M390" s="25"/>
      <c r="V390" s="28"/>
      <c r="W390" s="25"/>
    </row>
    <row r="391" spans="1:23" ht="15.75" customHeight="1" x14ac:dyDescent="0.25">
      <c r="A391" s="25"/>
      <c r="C391" s="26"/>
      <c r="D391" s="27"/>
      <c r="G391" s="25"/>
      <c r="J391" s="25"/>
      <c r="K391" s="25"/>
      <c r="L391" s="25"/>
      <c r="M391" s="25"/>
      <c r="V391" s="28"/>
      <c r="W391" s="25"/>
    </row>
    <row r="392" spans="1:23" ht="15.75" customHeight="1" x14ac:dyDescent="0.25">
      <c r="A392" s="25"/>
      <c r="C392" s="26"/>
      <c r="D392" s="27"/>
      <c r="G392" s="25"/>
      <c r="J392" s="25"/>
      <c r="K392" s="25"/>
      <c r="L392" s="25"/>
      <c r="M392" s="25"/>
      <c r="V392" s="28"/>
      <c r="W392" s="25"/>
    </row>
    <row r="393" spans="1:23" ht="15.75" customHeight="1" x14ac:dyDescent="0.25">
      <c r="A393" s="25"/>
      <c r="C393" s="26"/>
      <c r="D393" s="27"/>
      <c r="G393" s="25"/>
      <c r="J393" s="25"/>
      <c r="K393" s="25"/>
      <c r="L393" s="25"/>
      <c r="M393" s="25"/>
      <c r="V393" s="28"/>
      <c r="W393" s="25"/>
    </row>
    <row r="394" spans="1:23" ht="15.75" customHeight="1" x14ac:dyDescent="0.25">
      <c r="A394" s="25"/>
      <c r="C394" s="26"/>
      <c r="D394" s="27"/>
      <c r="G394" s="25"/>
      <c r="J394" s="25"/>
      <c r="K394" s="25"/>
      <c r="L394" s="25"/>
      <c r="M394" s="25"/>
      <c r="V394" s="28"/>
      <c r="W394" s="25"/>
    </row>
    <row r="395" spans="1:23" ht="15.75" customHeight="1" x14ac:dyDescent="0.25">
      <c r="A395" s="25"/>
      <c r="C395" s="26"/>
      <c r="D395" s="27"/>
      <c r="G395" s="25"/>
      <c r="J395" s="25"/>
      <c r="K395" s="25"/>
      <c r="L395" s="25"/>
      <c r="M395" s="25"/>
      <c r="V395" s="28"/>
      <c r="W395" s="25"/>
    </row>
    <row r="396" spans="1:23" ht="15.75" customHeight="1" x14ac:dyDescent="0.25">
      <c r="A396" s="25"/>
      <c r="C396" s="26"/>
      <c r="D396" s="27"/>
      <c r="G396" s="25"/>
      <c r="J396" s="25"/>
      <c r="K396" s="25"/>
      <c r="L396" s="25"/>
      <c r="M396" s="25"/>
      <c r="V396" s="28"/>
      <c r="W396" s="25"/>
    </row>
    <row r="397" spans="1:23" ht="15.75" customHeight="1" x14ac:dyDescent="0.25">
      <c r="A397" s="25"/>
      <c r="C397" s="26"/>
      <c r="D397" s="27"/>
      <c r="G397" s="25"/>
      <c r="J397" s="25"/>
      <c r="K397" s="25"/>
      <c r="L397" s="25"/>
      <c r="M397" s="25"/>
      <c r="V397" s="28"/>
      <c r="W397" s="25"/>
    </row>
    <row r="398" spans="1:23" ht="15.75" customHeight="1" x14ac:dyDescent="0.25">
      <c r="A398" s="25"/>
      <c r="C398" s="26"/>
      <c r="D398" s="27"/>
      <c r="G398" s="25"/>
      <c r="J398" s="25"/>
      <c r="K398" s="25"/>
      <c r="L398" s="25"/>
      <c r="M398" s="25"/>
      <c r="V398" s="28"/>
      <c r="W398" s="25"/>
    </row>
    <row r="399" spans="1:23" ht="15.75" customHeight="1" x14ac:dyDescent="0.25">
      <c r="A399" s="25"/>
      <c r="C399" s="26"/>
      <c r="D399" s="27"/>
      <c r="G399" s="25"/>
      <c r="J399" s="25"/>
      <c r="K399" s="25"/>
      <c r="L399" s="25"/>
      <c r="M399" s="25"/>
      <c r="V399" s="28"/>
      <c r="W399" s="25"/>
    </row>
    <row r="400" spans="1:23" ht="15.75" customHeight="1" x14ac:dyDescent="0.25">
      <c r="A400" s="25"/>
      <c r="C400" s="26"/>
      <c r="D400" s="27"/>
      <c r="G400" s="25"/>
      <c r="J400" s="25"/>
      <c r="K400" s="25"/>
      <c r="L400" s="25"/>
      <c r="M400" s="25"/>
      <c r="V400" s="28"/>
      <c r="W400" s="25"/>
    </row>
    <row r="401" spans="1:23" ht="15.75" customHeight="1" x14ac:dyDescent="0.25">
      <c r="A401" s="25"/>
      <c r="C401" s="26"/>
      <c r="D401" s="27"/>
      <c r="G401" s="25"/>
      <c r="J401" s="25"/>
      <c r="K401" s="25"/>
      <c r="L401" s="25"/>
      <c r="M401" s="25"/>
      <c r="V401" s="28"/>
      <c r="W401" s="25"/>
    </row>
    <row r="402" spans="1:23" ht="15.75" customHeight="1" x14ac:dyDescent="0.25">
      <c r="A402" s="25"/>
      <c r="C402" s="26"/>
      <c r="D402" s="27"/>
      <c r="G402" s="25"/>
      <c r="J402" s="25"/>
      <c r="K402" s="25"/>
      <c r="L402" s="25"/>
      <c r="M402" s="25"/>
      <c r="V402" s="28"/>
      <c r="W402" s="25"/>
    </row>
    <row r="403" spans="1:23" ht="15.75" customHeight="1" x14ac:dyDescent="0.25">
      <c r="A403" s="25"/>
      <c r="C403" s="26"/>
      <c r="D403" s="27"/>
      <c r="G403" s="25"/>
      <c r="J403" s="25"/>
      <c r="K403" s="25"/>
      <c r="L403" s="25"/>
      <c r="M403" s="25"/>
      <c r="V403" s="28"/>
      <c r="W403" s="25"/>
    </row>
    <row r="404" spans="1:23" ht="15.75" customHeight="1" x14ac:dyDescent="0.25">
      <c r="A404" s="25"/>
      <c r="C404" s="26"/>
      <c r="D404" s="27"/>
      <c r="G404" s="25"/>
      <c r="J404" s="25"/>
      <c r="K404" s="25"/>
      <c r="L404" s="25"/>
      <c r="M404" s="25"/>
      <c r="V404" s="28"/>
      <c r="W404" s="25"/>
    </row>
    <row r="405" spans="1:23" ht="15.75" customHeight="1" x14ac:dyDescent="0.25">
      <c r="A405" s="25"/>
      <c r="C405" s="26"/>
      <c r="D405" s="27"/>
      <c r="G405" s="25"/>
      <c r="J405" s="25"/>
      <c r="K405" s="25"/>
      <c r="L405" s="25"/>
      <c r="M405" s="25"/>
      <c r="V405" s="28"/>
      <c r="W405" s="25"/>
    </row>
    <row r="406" spans="1:23" ht="15.75" customHeight="1" x14ac:dyDescent="0.25">
      <c r="A406" s="25"/>
      <c r="C406" s="26"/>
      <c r="D406" s="27"/>
      <c r="G406" s="25"/>
      <c r="J406" s="25"/>
      <c r="K406" s="25"/>
      <c r="L406" s="25"/>
      <c r="M406" s="25"/>
      <c r="V406" s="28"/>
      <c r="W406" s="25"/>
    </row>
    <row r="407" spans="1:23" ht="15.75" customHeight="1" x14ac:dyDescent="0.25">
      <c r="A407" s="25"/>
      <c r="C407" s="26"/>
      <c r="D407" s="27"/>
      <c r="G407" s="25"/>
      <c r="J407" s="25"/>
      <c r="K407" s="25"/>
      <c r="L407" s="25"/>
      <c r="M407" s="25"/>
      <c r="V407" s="28"/>
      <c r="W407" s="25"/>
    </row>
    <row r="408" spans="1:23" ht="15.75" customHeight="1" x14ac:dyDescent="0.25">
      <c r="A408" s="25"/>
      <c r="C408" s="26"/>
      <c r="D408" s="27"/>
      <c r="G408" s="25"/>
      <c r="J408" s="25"/>
      <c r="K408" s="25"/>
      <c r="L408" s="25"/>
      <c r="M408" s="25"/>
      <c r="V408" s="28"/>
      <c r="W408" s="25"/>
    </row>
    <row r="409" spans="1:23" ht="15.75" customHeight="1" x14ac:dyDescent="0.25">
      <c r="A409" s="25"/>
      <c r="C409" s="26"/>
      <c r="D409" s="27"/>
      <c r="G409" s="25"/>
      <c r="J409" s="25"/>
      <c r="K409" s="25"/>
      <c r="L409" s="25"/>
      <c r="M409" s="25"/>
      <c r="V409" s="28"/>
      <c r="W409" s="25"/>
    </row>
    <row r="410" spans="1:23" ht="15.75" customHeight="1" x14ac:dyDescent="0.25">
      <c r="A410" s="25"/>
      <c r="C410" s="26"/>
      <c r="D410" s="27"/>
      <c r="G410" s="25"/>
      <c r="J410" s="25"/>
      <c r="K410" s="25"/>
      <c r="L410" s="25"/>
      <c r="M410" s="25"/>
      <c r="V410" s="28"/>
      <c r="W410" s="25"/>
    </row>
    <row r="411" spans="1:23" ht="15.75" customHeight="1" x14ac:dyDescent="0.25">
      <c r="A411" s="25"/>
      <c r="C411" s="26"/>
      <c r="D411" s="27"/>
      <c r="G411" s="25"/>
      <c r="J411" s="25"/>
      <c r="K411" s="25"/>
      <c r="L411" s="25"/>
      <c r="M411" s="25"/>
      <c r="V411" s="28"/>
      <c r="W411" s="25"/>
    </row>
    <row r="412" spans="1:23" ht="15.75" customHeight="1" x14ac:dyDescent="0.25">
      <c r="A412" s="25"/>
      <c r="C412" s="26"/>
      <c r="D412" s="27"/>
      <c r="G412" s="25"/>
      <c r="J412" s="25"/>
      <c r="K412" s="25"/>
      <c r="L412" s="25"/>
      <c r="M412" s="25"/>
      <c r="V412" s="28"/>
      <c r="W412" s="25"/>
    </row>
    <row r="413" spans="1:23" ht="15.75" customHeight="1" x14ac:dyDescent="0.25">
      <c r="A413" s="25"/>
      <c r="C413" s="26"/>
      <c r="D413" s="27"/>
      <c r="G413" s="25"/>
      <c r="J413" s="25"/>
      <c r="K413" s="25"/>
      <c r="L413" s="25"/>
      <c r="M413" s="25"/>
      <c r="V413" s="28"/>
      <c r="W413" s="25"/>
    </row>
    <row r="414" spans="1:23" ht="15.75" customHeight="1" x14ac:dyDescent="0.25">
      <c r="A414" s="25"/>
      <c r="C414" s="26"/>
      <c r="D414" s="27"/>
      <c r="G414" s="25"/>
      <c r="J414" s="25"/>
      <c r="K414" s="25"/>
      <c r="L414" s="25"/>
      <c r="M414" s="25"/>
      <c r="V414" s="28"/>
      <c r="W414" s="25"/>
    </row>
    <row r="415" spans="1:23" ht="15.75" customHeight="1" x14ac:dyDescent="0.25">
      <c r="A415" s="25"/>
      <c r="C415" s="26"/>
      <c r="D415" s="27"/>
      <c r="G415" s="25"/>
      <c r="J415" s="25"/>
      <c r="K415" s="25"/>
      <c r="L415" s="25"/>
      <c r="M415" s="25"/>
      <c r="V415" s="28"/>
      <c r="W415" s="25"/>
    </row>
    <row r="416" spans="1:23" ht="15.75" customHeight="1" x14ac:dyDescent="0.25">
      <c r="A416" s="25"/>
      <c r="C416" s="26"/>
      <c r="D416" s="27"/>
      <c r="G416" s="25"/>
      <c r="J416" s="25"/>
      <c r="K416" s="25"/>
      <c r="L416" s="25"/>
      <c r="M416" s="25"/>
      <c r="V416" s="28"/>
      <c r="W416" s="25"/>
    </row>
    <row r="417" spans="1:23" ht="15.75" customHeight="1" x14ac:dyDescent="0.25">
      <c r="A417" s="25"/>
      <c r="C417" s="26"/>
      <c r="D417" s="27"/>
      <c r="G417" s="25"/>
      <c r="J417" s="25"/>
      <c r="K417" s="25"/>
      <c r="L417" s="25"/>
      <c r="M417" s="25"/>
      <c r="V417" s="28"/>
      <c r="W417" s="25"/>
    </row>
    <row r="418" spans="1:23" ht="15.75" customHeight="1" x14ac:dyDescent="0.25">
      <c r="A418" s="25"/>
      <c r="C418" s="26"/>
      <c r="D418" s="27"/>
      <c r="G418" s="25"/>
      <c r="J418" s="25"/>
      <c r="K418" s="25"/>
      <c r="L418" s="25"/>
      <c r="M418" s="25"/>
      <c r="V418" s="28"/>
      <c r="W418" s="25"/>
    </row>
    <row r="419" spans="1:23" ht="15.75" customHeight="1" x14ac:dyDescent="0.25">
      <c r="A419" s="25"/>
      <c r="C419" s="26"/>
      <c r="D419" s="27"/>
      <c r="G419" s="25"/>
      <c r="J419" s="25"/>
      <c r="K419" s="25"/>
      <c r="L419" s="25"/>
      <c r="M419" s="25"/>
      <c r="V419" s="28"/>
      <c r="W419" s="25"/>
    </row>
    <row r="420" spans="1:23" ht="15.75" customHeight="1" x14ac:dyDescent="0.25">
      <c r="A420" s="25"/>
      <c r="C420" s="26"/>
      <c r="D420" s="27"/>
      <c r="G420" s="25"/>
      <c r="J420" s="25"/>
      <c r="K420" s="25"/>
      <c r="L420" s="25"/>
      <c r="M420" s="25"/>
      <c r="V420" s="28"/>
      <c r="W420" s="25"/>
    </row>
    <row r="421" spans="1:23" ht="15.75" customHeight="1" x14ac:dyDescent="0.25">
      <c r="A421" s="25"/>
      <c r="C421" s="26"/>
      <c r="D421" s="27"/>
      <c r="G421" s="25"/>
      <c r="J421" s="25"/>
      <c r="K421" s="25"/>
      <c r="L421" s="25"/>
      <c r="M421" s="25"/>
      <c r="V421" s="28"/>
      <c r="W421" s="25"/>
    </row>
    <row r="422" spans="1:23" ht="15.75" customHeight="1" x14ac:dyDescent="0.25">
      <c r="A422" s="25"/>
      <c r="C422" s="26"/>
      <c r="D422" s="27"/>
      <c r="G422" s="25"/>
      <c r="J422" s="25"/>
      <c r="K422" s="25"/>
      <c r="L422" s="25"/>
      <c r="M422" s="25"/>
      <c r="V422" s="28"/>
      <c r="W422" s="25"/>
    </row>
    <row r="423" spans="1:23" ht="15.75" customHeight="1" x14ac:dyDescent="0.25">
      <c r="A423" s="25"/>
      <c r="C423" s="26"/>
      <c r="D423" s="27"/>
      <c r="G423" s="25"/>
      <c r="J423" s="25"/>
      <c r="K423" s="25"/>
      <c r="L423" s="25"/>
      <c r="M423" s="25"/>
      <c r="V423" s="28"/>
      <c r="W423" s="25"/>
    </row>
    <row r="424" spans="1:23" ht="15.75" customHeight="1" x14ac:dyDescent="0.25">
      <c r="A424" s="25"/>
      <c r="C424" s="26"/>
      <c r="D424" s="27"/>
      <c r="G424" s="25"/>
      <c r="J424" s="25"/>
      <c r="K424" s="25"/>
      <c r="L424" s="25"/>
      <c r="M424" s="25"/>
      <c r="V424" s="28"/>
      <c r="W424" s="25"/>
    </row>
    <row r="425" spans="1:23" ht="15.75" customHeight="1" x14ac:dyDescent="0.25">
      <c r="A425" s="25"/>
      <c r="C425" s="26"/>
      <c r="D425" s="27"/>
      <c r="G425" s="25"/>
      <c r="J425" s="25"/>
      <c r="K425" s="25"/>
      <c r="L425" s="25"/>
      <c r="M425" s="25"/>
      <c r="V425" s="28"/>
      <c r="W425" s="25"/>
    </row>
    <row r="426" spans="1:23" ht="15.75" customHeight="1" x14ac:dyDescent="0.25">
      <c r="A426" s="25"/>
      <c r="C426" s="26"/>
      <c r="D426" s="27"/>
      <c r="G426" s="25"/>
      <c r="J426" s="25"/>
      <c r="K426" s="25"/>
      <c r="L426" s="25"/>
      <c r="M426" s="25"/>
      <c r="V426" s="28"/>
      <c r="W426" s="25"/>
    </row>
    <row r="427" spans="1:23" ht="15.75" customHeight="1" x14ac:dyDescent="0.25">
      <c r="A427" s="25"/>
      <c r="C427" s="26"/>
      <c r="D427" s="27"/>
      <c r="G427" s="25"/>
      <c r="J427" s="25"/>
      <c r="K427" s="25"/>
      <c r="L427" s="25"/>
      <c r="M427" s="25"/>
      <c r="V427" s="28"/>
      <c r="W427" s="25"/>
    </row>
    <row r="428" spans="1:23" ht="15.75" customHeight="1" x14ac:dyDescent="0.25">
      <c r="A428" s="25"/>
      <c r="C428" s="26"/>
      <c r="D428" s="27"/>
      <c r="G428" s="25"/>
      <c r="J428" s="25"/>
      <c r="K428" s="25"/>
      <c r="L428" s="25"/>
      <c r="M428" s="25"/>
      <c r="V428" s="28"/>
      <c r="W428" s="25"/>
    </row>
    <row r="429" spans="1:23" ht="15.75" customHeight="1" x14ac:dyDescent="0.25">
      <c r="A429" s="25"/>
      <c r="C429" s="26"/>
      <c r="D429" s="27"/>
      <c r="G429" s="25"/>
      <c r="J429" s="25"/>
      <c r="K429" s="25"/>
      <c r="L429" s="25"/>
      <c r="M429" s="25"/>
      <c r="V429" s="28"/>
      <c r="W429" s="25"/>
    </row>
    <row r="430" spans="1:23" ht="15.75" customHeight="1" x14ac:dyDescent="0.25">
      <c r="A430" s="25"/>
      <c r="C430" s="26"/>
      <c r="D430" s="27"/>
      <c r="G430" s="25"/>
      <c r="J430" s="25"/>
      <c r="K430" s="25"/>
      <c r="L430" s="25"/>
      <c r="M430" s="25"/>
      <c r="V430" s="28"/>
      <c r="W430" s="25"/>
    </row>
    <row r="431" spans="1:23" ht="15.75" customHeight="1" x14ac:dyDescent="0.25">
      <c r="A431" s="25"/>
      <c r="C431" s="26"/>
      <c r="D431" s="27"/>
      <c r="G431" s="25"/>
      <c r="J431" s="25"/>
      <c r="K431" s="25"/>
      <c r="L431" s="25"/>
      <c r="M431" s="25"/>
      <c r="V431" s="28"/>
      <c r="W431" s="25"/>
    </row>
    <row r="432" spans="1:23" ht="15.75" customHeight="1" x14ac:dyDescent="0.25">
      <c r="A432" s="25"/>
      <c r="C432" s="26"/>
      <c r="D432" s="27"/>
      <c r="G432" s="25"/>
      <c r="J432" s="25"/>
      <c r="K432" s="25"/>
      <c r="L432" s="25"/>
      <c r="M432" s="25"/>
      <c r="V432" s="28"/>
      <c r="W432" s="25"/>
    </row>
    <row r="433" spans="1:23" ht="15.75" customHeight="1" x14ac:dyDescent="0.25">
      <c r="A433" s="25"/>
      <c r="C433" s="26"/>
      <c r="D433" s="27"/>
      <c r="G433" s="25"/>
      <c r="J433" s="25"/>
      <c r="K433" s="25"/>
      <c r="L433" s="25"/>
      <c r="M433" s="25"/>
      <c r="V433" s="28"/>
      <c r="W433" s="25"/>
    </row>
    <row r="434" spans="1:23" ht="15.75" customHeight="1" x14ac:dyDescent="0.25">
      <c r="A434" s="25"/>
      <c r="C434" s="26"/>
      <c r="D434" s="27"/>
      <c r="G434" s="25"/>
      <c r="J434" s="25"/>
      <c r="K434" s="25"/>
      <c r="L434" s="25"/>
      <c r="M434" s="25"/>
      <c r="V434" s="28"/>
      <c r="W434" s="25"/>
    </row>
    <row r="435" spans="1:23" ht="15.75" customHeight="1" x14ac:dyDescent="0.25">
      <c r="A435" s="25"/>
      <c r="C435" s="26"/>
      <c r="D435" s="27"/>
      <c r="G435" s="25"/>
      <c r="J435" s="25"/>
      <c r="K435" s="25"/>
      <c r="L435" s="25"/>
      <c r="M435" s="25"/>
      <c r="V435" s="28"/>
      <c r="W435" s="25"/>
    </row>
    <row r="436" spans="1:23" ht="15.75" customHeight="1" x14ac:dyDescent="0.25">
      <c r="A436" s="25"/>
      <c r="C436" s="26"/>
      <c r="D436" s="27"/>
      <c r="G436" s="25"/>
      <c r="J436" s="25"/>
      <c r="K436" s="25"/>
      <c r="L436" s="25"/>
      <c r="M436" s="25"/>
      <c r="V436" s="28"/>
      <c r="W436" s="25"/>
    </row>
    <row r="437" spans="1:23" ht="15.75" customHeight="1" x14ac:dyDescent="0.25">
      <c r="A437" s="25"/>
      <c r="C437" s="26"/>
      <c r="D437" s="27"/>
      <c r="G437" s="25"/>
      <c r="J437" s="25"/>
      <c r="K437" s="25"/>
      <c r="L437" s="25"/>
      <c r="M437" s="25"/>
      <c r="V437" s="28"/>
      <c r="W437" s="25"/>
    </row>
    <row r="438" spans="1:23" ht="15.75" customHeight="1" x14ac:dyDescent="0.25">
      <c r="A438" s="25"/>
      <c r="C438" s="26"/>
      <c r="D438" s="27"/>
      <c r="G438" s="25"/>
      <c r="J438" s="25"/>
      <c r="K438" s="25"/>
      <c r="L438" s="25"/>
      <c r="M438" s="25"/>
      <c r="V438" s="28"/>
      <c r="W438" s="25"/>
    </row>
    <row r="439" spans="1:23" ht="15.75" customHeight="1" x14ac:dyDescent="0.25">
      <c r="A439" s="25"/>
      <c r="C439" s="26"/>
      <c r="D439" s="27"/>
      <c r="G439" s="25"/>
      <c r="J439" s="25"/>
      <c r="K439" s="25"/>
      <c r="L439" s="25"/>
      <c r="M439" s="25"/>
      <c r="V439" s="28"/>
      <c r="W439" s="25"/>
    </row>
    <row r="440" spans="1:23" ht="15.75" customHeight="1" x14ac:dyDescent="0.25">
      <c r="A440" s="25"/>
      <c r="C440" s="26"/>
      <c r="D440" s="27"/>
      <c r="G440" s="25"/>
      <c r="J440" s="25"/>
      <c r="K440" s="25"/>
      <c r="L440" s="25"/>
      <c r="M440" s="25"/>
      <c r="V440" s="28"/>
      <c r="W440" s="25"/>
    </row>
    <row r="441" spans="1:23" ht="15.75" customHeight="1" x14ac:dyDescent="0.25">
      <c r="A441" s="25"/>
      <c r="C441" s="26"/>
      <c r="D441" s="27"/>
      <c r="G441" s="25"/>
      <c r="J441" s="25"/>
      <c r="K441" s="25"/>
      <c r="L441" s="25"/>
      <c r="M441" s="25"/>
      <c r="V441" s="28"/>
      <c r="W441" s="25"/>
    </row>
    <row r="442" spans="1:23" ht="15.75" customHeight="1" x14ac:dyDescent="0.25">
      <c r="A442" s="25"/>
      <c r="C442" s="26"/>
      <c r="D442" s="27"/>
      <c r="G442" s="25"/>
      <c r="J442" s="25"/>
      <c r="K442" s="25"/>
      <c r="L442" s="25"/>
      <c r="M442" s="25"/>
      <c r="V442" s="28"/>
      <c r="W442" s="25"/>
    </row>
    <row r="443" spans="1:23" ht="15.75" customHeight="1" x14ac:dyDescent="0.25">
      <c r="A443" s="25"/>
      <c r="C443" s="26"/>
      <c r="D443" s="27"/>
      <c r="G443" s="25"/>
      <c r="J443" s="25"/>
      <c r="K443" s="25"/>
      <c r="L443" s="25"/>
      <c r="M443" s="25"/>
      <c r="V443" s="28"/>
      <c r="W443" s="25"/>
    </row>
    <row r="444" spans="1:23" ht="15.75" customHeight="1" x14ac:dyDescent="0.25">
      <c r="A444" s="25"/>
      <c r="C444" s="26"/>
      <c r="D444" s="27"/>
      <c r="G444" s="25"/>
      <c r="J444" s="25"/>
      <c r="K444" s="25"/>
      <c r="L444" s="25"/>
      <c r="M444" s="25"/>
      <c r="V444" s="28"/>
      <c r="W444" s="25"/>
    </row>
    <row r="445" spans="1:23" ht="15.75" customHeight="1" x14ac:dyDescent="0.25">
      <c r="A445" s="25"/>
      <c r="C445" s="26"/>
      <c r="D445" s="27"/>
      <c r="G445" s="25"/>
      <c r="J445" s="25"/>
      <c r="K445" s="25"/>
      <c r="L445" s="25"/>
      <c r="M445" s="25"/>
      <c r="V445" s="28"/>
      <c r="W445" s="25"/>
    </row>
    <row r="446" spans="1:23" ht="15.75" customHeight="1" x14ac:dyDescent="0.25">
      <c r="A446" s="25"/>
      <c r="C446" s="26"/>
      <c r="D446" s="27"/>
      <c r="G446" s="25"/>
      <c r="J446" s="25"/>
      <c r="K446" s="25"/>
      <c r="L446" s="25"/>
      <c r="M446" s="25"/>
      <c r="V446" s="28"/>
      <c r="W446" s="25"/>
    </row>
    <row r="447" spans="1:23" ht="15.75" customHeight="1" x14ac:dyDescent="0.25">
      <c r="A447" s="25"/>
      <c r="C447" s="26"/>
      <c r="D447" s="27"/>
      <c r="G447" s="25"/>
      <c r="J447" s="25"/>
      <c r="K447" s="25"/>
      <c r="L447" s="25"/>
      <c r="M447" s="25"/>
      <c r="V447" s="28"/>
      <c r="W447" s="25"/>
    </row>
    <row r="448" spans="1:23" ht="15.75" customHeight="1" x14ac:dyDescent="0.25">
      <c r="A448" s="25"/>
      <c r="C448" s="26"/>
      <c r="D448" s="27"/>
      <c r="G448" s="25"/>
      <c r="J448" s="25"/>
      <c r="K448" s="25"/>
      <c r="L448" s="25"/>
      <c r="M448" s="25"/>
      <c r="V448" s="28"/>
      <c r="W448" s="25"/>
    </row>
    <row r="449" spans="1:23" ht="15.75" customHeight="1" x14ac:dyDescent="0.25">
      <c r="A449" s="25"/>
      <c r="C449" s="26"/>
      <c r="D449" s="27"/>
      <c r="G449" s="25"/>
      <c r="J449" s="25"/>
      <c r="K449" s="25"/>
      <c r="L449" s="25"/>
      <c r="M449" s="25"/>
      <c r="V449" s="28"/>
      <c r="W449" s="25"/>
    </row>
    <row r="450" spans="1:23" ht="15.75" customHeight="1" x14ac:dyDescent="0.25">
      <c r="A450" s="25"/>
      <c r="C450" s="26"/>
      <c r="D450" s="27"/>
      <c r="G450" s="25"/>
      <c r="J450" s="25"/>
      <c r="K450" s="25"/>
      <c r="L450" s="25"/>
      <c r="M450" s="25"/>
      <c r="V450" s="28"/>
      <c r="W450" s="25"/>
    </row>
    <row r="451" spans="1:23" ht="15.75" customHeight="1" x14ac:dyDescent="0.25">
      <c r="A451" s="25"/>
      <c r="C451" s="26"/>
      <c r="D451" s="27"/>
      <c r="G451" s="25"/>
      <c r="J451" s="25"/>
      <c r="K451" s="25"/>
      <c r="L451" s="25"/>
      <c r="M451" s="25"/>
      <c r="V451" s="28"/>
      <c r="W451" s="25"/>
    </row>
    <row r="452" spans="1:23" ht="15.75" customHeight="1" x14ac:dyDescent="0.25">
      <c r="A452" s="25"/>
      <c r="C452" s="26"/>
      <c r="D452" s="27"/>
      <c r="G452" s="25"/>
      <c r="J452" s="25"/>
      <c r="K452" s="25"/>
      <c r="L452" s="25"/>
      <c r="M452" s="25"/>
      <c r="V452" s="28"/>
      <c r="W452" s="25"/>
    </row>
    <row r="453" spans="1:23" ht="15.75" customHeight="1" x14ac:dyDescent="0.25">
      <c r="A453" s="25"/>
      <c r="C453" s="26"/>
      <c r="D453" s="27"/>
      <c r="G453" s="25"/>
      <c r="J453" s="25"/>
      <c r="K453" s="25"/>
      <c r="L453" s="25"/>
      <c r="M453" s="25"/>
      <c r="V453" s="28"/>
      <c r="W453" s="25"/>
    </row>
    <row r="454" spans="1:23" ht="15.75" customHeight="1" x14ac:dyDescent="0.25">
      <c r="A454" s="25"/>
      <c r="C454" s="26"/>
      <c r="D454" s="27"/>
      <c r="G454" s="25"/>
      <c r="J454" s="25"/>
      <c r="K454" s="25"/>
      <c r="L454" s="25"/>
      <c r="M454" s="25"/>
      <c r="V454" s="28"/>
      <c r="W454" s="25"/>
    </row>
    <row r="455" spans="1:23" ht="15.75" customHeight="1" x14ac:dyDescent="0.25">
      <c r="A455" s="25"/>
      <c r="C455" s="26"/>
      <c r="D455" s="27"/>
      <c r="G455" s="25"/>
      <c r="J455" s="25"/>
      <c r="K455" s="25"/>
      <c r="L455" s="25"/>
      <c r="M455" s="25"/>
      <c r="V455" s="28"/>
      <c r="W455" s="25"/>
    </row>
    <row r="456" spans="1:23" ht="15.75" customHeight="1" x14ac:dyDescent="0.25">
      <c r="A456" s="25"/>
      <c r="C456" s="26"/>
      <c r="D456" s="27"/>
      <c r="G456" s="25"/>
      <c r="J456" s="25"/>
      <c r="K456" s="25"/>
      <c r="L456" s="25"/>
      <c r="M456" s="25"/>
      <c r="V456" s="28"/>
      <c r="W456" s="25"/>
    </row>
    <row r="457" spans="1:23" ht="15.75" customHeight="1" x14ac:dyDescent="0.25">
      <c r="A457" s="25"/>
      <c r="C457" s="26"/>
      <c r="D457" s="27"/>
      <c r="G457" s="25"/>
      <c r="J457" s="25"/>
      <c r="K457" s="25"/>
      <c r="L457" s="25"/>
      <c r="M457" s="25"/>
      <c r="V457" s="28"/>
      <c r="W457" s="25"/>
    </row>
    <row r="458" spans="1:23" ht="15.75" customHeight="1" x14ac:dyDescent="0.25">
      <c r="A458" s="25"/>
      <c r="C458" s="26"/>
      <c r="D458" s="27"/>
      <c r="G458" s="25"/>
      <c r="J458" s="25"/>
      <c r="K458" s="25"/>
      <c r="L458" s="25"/>
      <c r="M458" s="25"/>
      <c r="V458" s="28"/>
      <c r="W458" s="25"/>
    </row>
    <row r="459" spans="1:23" ht="15.75" customHeight="1" x14ac:dyDescent="0.25">
      <c r="A459" s="25"/>
      <c r="C459" s="26"/>
      <c r="D459" s="27"/>
      <c r="G459" s="25"/>
      <c r="J459" s="25"/>
      <c r="K459" s="25"/>
      <c r="L459" s="25"/>
      <c r="M459" s="25"/>
      <c r="V459" s="28"/>
      <c r="W459" s="25"/>
    </row>
    <row r="460" spans="1:23" ht="15.75" customHeight="1" x14ac:dyDescent="0.25">
      <c r="A460" s="25"/>
      <c r="C460" s="26"/>
      <c r="D460" s="27"/>
      <c r="G460" s="25"/>
      <c r="J460" s="25"/>
      <c r="K460" s="25"/>
      <c r="L460" s="25"/>
      <c r="M460" s="25"/>
      <c r="V460" s="28"/>
      <c r="W460" s="25"/>
    </row>
    <row r="461" spans="1:23" ht="15.75" customHeight="1" x14ac:dyDescent="0.25">
      <c r="A461" s="25"/>
      <c r="C461" s="26"/>
      <c r="D461" s="27"/>
      <c r="G461" s="25"/>
      <c r="J461" s="25"/>
      <c r="K461" s="25"/>
      <c r="L461" s="25"/>
      <c r="M461" s="25"/>
      <c r="V461" s="28"/>
      <c r="W461" s="25"/>
    </row>
    <row r="462" spans="1:23" ht="15.75" customHeight="1" x14ac:dyDescent="0.25">
      <c r="A462" s="25"/>
      <c r="C462" s="26"/>
      <c r="D462" s="27"/>
      <c r="G462" s="25"/>
      <c r="J462" s="25"/>
      <c r="K462" s="25"/>
      <c r="L462" s="25"/>
      <c r="M462" s="25"/>
      <c r="V462" s="28"/>
      <c r="W462" s="25"/>
    </row>
    <row r="463" spans="1:23" ht="15.75" customHeight="1" x14ac:dyDescent="0.25">
      <c r="A463" s="25"/>
      <c r="C463" s="26"/>
      <c r="D463" s="27"/>
      <c r="G463" s="25"/>
      <c r="J463" s="25"/>
      <c r="K463" s="25"/>
      <c r="L463" s="25"/>
      <c r="M463" s="25"/>
      <c r="V463" s="28"/>
      <c r="W463" s="25"/>
    </row>
    <row r="464" spans="1:23" ht="15.75" customHeight="1" x14ac:dyDescent="0.25">
      <c r="A464" s="25"/>
      <c r="C464" s="26"/>
      <c r="D464" s="27"/>
      <c r="G464" s="25"/>
      <c r="J464" s="25"/>
      <c r="K464" s="25"/>
      <c r="L464" s="25"/>
      <c r="M464" s="25"/>
      <c r="V464" s="28"/>
      <c r="W464" s="25"/>
    </row>
    <row r="465" spans="1:23" ht="15.75" customHeight="1" x14ac:dyDescent="0.25">
      <c r="A465" s="25"/>
      <c r="C465" s="26"/>
      <c r="D465" s="27"/>
      <c r="G465" s="25"/>
      <c r="J465" s="25"/>
      <c r="K465" s="25"/>
      <c r="L465" s="25"/>
      <c r="M465" s="25"/>
      <c r="V465" s="28"/>
      <c r="W465" s="25"/>
    </row>
    <row r="466" spans="1:23" ht="15.75" customHeight="1" x14ac:dyDescent="0.25">
      <c r="A466" s="25"/>
      <c r="C466" s="26"/>
      <c r="D466" s="27"/>
      <c r="G466" s="25"/>
      <c r="J466" s="25"/>
      <c r="K466" s="25"/>
      <c r="L466" s="25"/>
      <c r="M466" s="25"/>
      <c r="V466" s="28"/>
      <c r="W466" s="25"/>
    </row>
    <row r="467" spans="1:23" ht="15.75" customHeight="1" x14ac:dyDescent="0.25">
      <c r="A467" s="25"/>
      <c r="C467" s="26"/>
      <c r="D467" s="27"/>
      <c r="G467" s="25"/>
      <c r="J467" s="25"/>
      <c r="K467" s="25"/>
      <c r="L467" s="25"/>
      <c r="M467" s="25"/>
      <c r="V467" s="28"/>
      <c r="W467" s="25"/>
    </row>
    <row r="468" spans="1:23" ht="15.75" customHeight="1" x14ac:dyDescent="0.25">
      <c r="A468" s="25"/>
      <c r="C468" s="26"/>
      <c r="D468" s="27"/>
      <c r="G468" s="25"/>
      <c r="J468" s="25"/>
      <c r="K468" s="25"/>
      <c r="L468" s="25"/>
      <c r="M468" s="25"/>
      <c r="V468" s="28"/>
      <c r="W468" s="25"/>
    </row>
    <row r="469" spans="1:23" ht="15.75" customHeight="1" x14ac:dyDescent="0.25">
      <c r="A469" s="25"/>
      <c r="C469" s="26"/>
      <c r="D469" s="27"/>
      <c r="G469" s="25"/>
      <c r="J469" s="25"/>
      <c r="K469" s="25"/>
      <c r="L469" s="25"/>
      <c r="M469" s="25"/>
      <c r="V469" s="28"/>
      <c r="W469" s="25"/>
    </row>
    <row r="470" spans="1:23" ht="15.75" customHeight="1" x14ac:dyDescent="0.25">
      <c r="A470" s="25"/>
      <c r="C470" s="26"/>
      <c r="D470" s="27"/>
      <c r="G470" s="25"/>
      <c r="J470" s="25"/>
      <c r="K470" s="25"/>
      <c r="L470" s="25"/>
      <c r="M470" s="25"/>
      <c r="V470" s="28"/>
      <c r="W470" s="25"/>
    </row>
    <row r="471" spans="1:23" ht="15.75" customHeight="1" x14ac:dyDescent="0.25">
      <c r="A471" s="25"/>
      <c r="C471" s="26"/>
      <c r="D471" s="27"/>
      <c r="G471" s="25"/>
      <c r="J471" s="25"/>
      <c r="K471" s="25"/>
      <c r="L471" s="25"/>
      <c r="M471" s="25"/>
      <c r="V471" s="28"/>
      <c r="W471" s="25"/>
    </row>
    <row r="472" spans="1:23" ht="15.75" customHeight="1" x14ac:dyDescent="0.25">
      <c r="A472" s="25"/>
      <c r="C472" s="26"/>
      <c r="D472" s="27"/>
      <c r="G472" s="25"/>
      <c r="J472" s="25"/>
      <c r="K472" s="25"/>
      <c r="L472" s="25"/>
      <c r="M472" s="25"/>
      <c r="V472" s="28"/>
      <c r="W472" s="25"/>
    </row>
    <row r="473" spans="1:23" ht="15.75" customHeight="1" x14ac:dyDescent="0.25">
      <c r="A473" s="25"/>
      <c r="C473" s="26"/>
      <c r="D473" s="27"/>
      <c r="G473" s="25"/>
      <c r="J473" s="25"/>
      <c r="K473" s="25"/>
      <c r="L473" s="25"/>
      <c r="M473" s="25"/>
      <c r="V473" s="28"/>
      <c r="W473" s="25"/>
    </row>
    <row r="474" spans="1:23" ht="15.75" customHeight="1" x14ac:dyDescent="0.25">
      <c r="A474" s="25"/>
      <c r="C474" s="26"/>
      <c r="D474" s="27"/>
      <c r="G474" s="25"/>
      <c r="J474" s="25"/>
      <c r="K474" s="25"/>
      <c r="L474" s="25"/>
      <c r="M474" s="25"/>
      <c r="V474" s="28"/>
      <c r="W474" s="25"/>
    </row>
    <row r="475" spans="1:23" ht="15.75" customHeight="1" x14ac:dyDescent="0.25">
      <c r="A475" s="25"/>
      <c r="C475" s="26"/>
      <c r="D475" s="27"/>
      <c r="G475" s="25"/>
      <c r="J475" s="25"/>
      <c r="K475" s="25"/>
      <c r="L475" s="25"/>
      <c r="M475" s="25"/>
      <c r="V475" s="28"/>
      <c r="W475" s="25"/>
    </row>
    <row r="476" spans="1:23" ht="15.75" customHeight="1" x14ac:dyDescent="0.25">
      <c r="A476" s="25"/>
      <c r="C476" s="26"/>
      <c r="D476" s="27"/>
      <c r="G476" s="25"/>
      <c r="J476" s="25"/>
      <c r="K476" s="25"/>
      <c r="L476" s="25"/>
      <c r="M476" s="25"/>
      <c r="V476" s="28"/>
      <c r="W476" s="25"/>
    </row>
    <row r="477" spans="1:23" ht="15.75" customHeight="1" x14ac:dyDescent="0.25">
      <c r="A477" s="25"/>
      <c r="C477" s="26"/>
      <c r="D477" s="27"/>
      <c r="G477" s="25"/>
      <c r="J477" s="25"/>
      <c r="K477" s="25"/>
      <c r="L477" s="25"/>
      <c r="M477" s="25"/>
      <c r="V477" s="28"/>
      <c r="W477" s="25"/>
    </row>
    <row r="478" spans="1:23" ht="15.75" customHeight="1" x14ac:dyDescent="0.25">
      <c r="A478" s="25"/>
      <c r="C478" s="26"/>
      <c r="D478" s="27"/>
      <c r="G478" s="25"/>
      <c r="J478" s="25"/>
      <c r="K478" s="25"/>
      <c r="L478" s="25"/>
      <c r="M478" s="25"/>
      <c r="V478" s="28"/>
      <c r="W478" s="25"/>
    </row>
    <row r="479" spans="1:23" ht="15.75" customHeight="1" x14ac:dyDescent="0.25">
      <c r="A479" s="25"/>
      <c r="C479" s="26"/>
      <c r="D479" s="27"/>
      <c r="G479" s="25"/>
      <c r="J479" s="25"/>
      <c r="K479" s="25"/>
      <c r="L479" s="25"/>
      <c r="M479" s="25"/>
      <c r="V479" s="28"/>
      <c r="W479" s="25"/>
    </row>
    <row r="480" spans="1:23" ht="15.75" customHeight="1" x14ac:dyDescent="0.25">
      <c r="A480" s="25"/>
      <c r="C480" s="26"/>
      <c r="D480" s="27"/>
      <c r="G480" s="25"/>
      <c r="J480" s="25"/>
      <c r="K480" s="25"/>
      <c r="L480" s="25"/>
      <c r="M480" s="25"/>
      <c r="V480" s="28"/>
      <c r="W480" s="25"/>
    </row>
    <row r="481" spans="1:23" ht="15.75" customHeight="1" x14ac:dyDescent="0.25">
      <c r="A481" s="25"/>
      <c r="C481" s="26"/>
      <c r="D481" s="27"/>
      <c r="G481" s="25"/>
      <c r="J481" s="25"/>
      <c r="K481" s="25"/>
      <c r="L481" s="25"/>
      <c r="M481" s="25"/>
      <c r="V481" s="28"/>
      <c r="W481" s="25"/>
    </row>
    <row r="482" spans="1:23" ht="15.75" customHeight="1" x14ac:dyDescent="0.25">
      <c r="A482" s="25"/>
      <c r="C482" s="26"/>
      <c r="D482" s="27"/>
      <c r="G482" s="25"/>
      <c r="J482" s="25"/>
      <c r="K482" s="25"/>
      <c r="L482" s="25"/>
      <c r="M482" s="25"/>
      <c r="V482" s="28"/>
      <c r="W482" s="25"/>
    </row>
    <row r="483" spans="1:23" ht="15.75" customHeight="1" x14ac:dyDescent="0.25">
      <c r="A483" s="25"/>
      <c r="C483" s="26"/>
      <c r="D483" s="27"/>
      <c r="G483" s="25"/>
      <c r="J483" s="25"/>
      <c r="K483" s="25"/>
      <c r="L483" s="25"/>
      <c r="M483" s="25"/>
      <c r="V483" s="28"/>
      <c r="W483" s="25"/>
    </row>
    <row r="484" spans="1:23" ht="15.75" customHeight="1" x14ac:dyDescent="0.25">
      <c r="A484" s="25"/>
      <c r="C484" s="26"/>
      <c r="D484" s="27"/>
      <c r="G484" s="25"/>
      <c r="J484" s="25"/>
      <c r="K484" s="25"/>
      <c r="L484" s="25"/>
      <c r="M484" s="25"/>
      <c r="V484" s="28"/>
      <c r="W484" s="25"/>
    </row>
    <row r="485" spans="1:23" ht="15.75" customHeight="1" x14ac:dyDescent="0.25">
      <c r="A485" s="25"/>
      <c r="C485" s="26"/>
      <c r="D485" s="27"/>
      <c r="G485" s="25"/>
      <c r="J485" s="25"/>
      <c r="K485" s="25"/>
      <c r="L485" s="25"/>
      <c r="M485" s="25"/>
      <c r="V485" s="28"/>
      <c r="W485" s="25"/>
    </row>
    <row r="486" spans="1:23" ht="15.75" customHeight="1" x14ac:dyDescent="0.25">
      <c r="A486" s="25"/>
      <c r="C486" s="26"/>
      <c r="D486" s="27"/>
      <c r="G486" s="25"/>
      <c r="J486" s="25"/>
      <c r="K486" s="25"/>
      <c r="L486" s="25"/>
      <c r="M486" s="25"/>
      <c r="V486" s="28"/>
      <c r="W486" s="25"/>
    </row>
    <row r="487" spans="1:23" ht="15.75" customHeight="1" x14ac:dyDescent="0.25">
      <c r="A487" s="25"/>
      <c r="C487" s="26"/>
      <c r="D487" s="27"/>
      <c r="G487" s="25"/>
      <c r="J487" s="25"/>
      <c r="K487" s="25"/>
      <c r="L487" s="25"/>
      <c r="M487" s="25"/>
      <c r="V487" s="28"/>
      <c r="W487" s="25"/>
    </row>
    <row r="488" spans="1:23" ht="15.75" customHeight="1" x14ac:dyDescent="0.25">
      <c r="A488" s="25"/>
      <c r="C488" s="26"/>
      <c r="D488" s="27"/>
      <c r="G488" s="25"/>
      <c r="J488" s="25"/>
      <c r="K488" s="25"/>
      <c r="L488" s="25"/>
      <c r="M488" s="25"/>
      <c r="V488" s="28"/>
      <c r="W488" s="25"/>
    </row>
    <row r="489" spans="1:23" ht="15.75" customHeight="1" x14ac:dyDescent="0.25">
      <c r="A489" s="25"/>
      <c r="C489" s="26"/>
      <c r="D489" s="27"/>
      <c r="G489" s="25"/>
      <c r="J489" s="25"/>
      <c r="K489" s="25"/>
      <c r="L489" s="25"/>
      <c r="M489" s="25"/>
      <c r="V489" s="28"/>
      <c r="W489" s="25"/>
    </row>
    <row r="490" spans="1:23" ht="15.75" customHeight="1" x14ac:dyDescent="0.25">
      <c r="A490" s="25"/>
      <c r="C490" s="26"/>
      <c r="D490" s="27"/>
      <c r="G490" s="25"/>
      <c r="J490" s="25"/>
      <c r="K490" s="25"/>
      <c r="L490" s="25"/>
      <c r="M490" s="25"/>
      <c r="V490" s="28"/>
      <c r="W490" s="25"/>
    </row>
    <row r="491" spans="1:23" ht="15.75" customHeight="1" x14ac:dyDescent="0.25">
      <c r="A491" s="25"/>
      <c r="C491" s="26"/>
      <c r="D491" s="27"/>
      <c r="G491" s="25"/>
      <c r="J491" s="25"/>
      <c r="K491" s="25"/>
      <c r="L491" s="25"/>
      <c r="M491" s="25"/>
      <c r="V491" s="28"/>
      <c r="W491" s="25"/>
    </row>
    <row r="492" spans="1:23" ht="15.75" customHeight="1" x14ac:dyDescent="0.25">
      <c r="A492" s="25"/>
      <c r="C492" s="26"/>
      <c r="D492" s="27"/>
      <c r="G492" s="25"/>
      <c r="J492" s="25"/>
      <c r="K492" s="25"/>
      <c r="L492" s="25"/>
      <c r="M492" s="25"/>
      <c r="V492" s="28"/>
      <c r="W492" s="25"/>
    </row>
    <row r="493" spans="1:23" ht="15.75" customHeight="1" x14ac:dyDescent="0.25">
      <c r="A493" s="25"/>
      <c r="C493" s="26"/>
      <c r="D493" s="27"/>
      <c r="G493" s="25"/>
      <c r="J493" s="25"/>
      <c r="K493" s="25"/>
      <c r="L493" s="25"/>
      <c r="M493" s="25"/>
      <c r="V493" s="28"/>
      <c r="W493" s="25"/>
    </row>
    <row r="494" spans="1:23" ht="15.75" customHeight="1" x14ac:dyDescent="0.25">
      <c r="A494" s="25"/>
      <c r="C494" s="26"/>
      <c r="D494" s="27"/>
      <c r="G494" s="25"/>
      <c r="J494" s="25"/>
      <c r="K494" s="25"/>
      <c r="L494" s="25"/>
      <c r="M494" s="25"/>
      <c r="V494" s="28"/>
      <c r="W494" s="25"/>
    </row>
    <row r="495" spans="1:23" ht="15.75" customHeight="1" x14ac:dyDescent="0.25">
      <c r="A495" s="25"/>
      <c r="C495" s="26"/>
      <c r="D495" s="27"/>
      <c r="G495" s="25"/>
      <c r="J495" s="25"/>
      <c r="K495" s="25"/>
      <c r="L495" s="25"/>
      <c r="M495" s="25"/>
      <c r="V495" s="28"/>
      <c r="W495" s="25"/>
    </row>
    <row r="496" spans="1:23" ht="15.75" customHeight="1" x14ac:dyDescent="0.25">
      <c r="A496" s="25"/>
      <c r="C496" s="26"/>
      <c r="D496" s="27"/>
      <c r="G496" s="25"/>
      <c r="J496" s="25"/>
      <c r="K496" s="25"/>
      <c r="L496" s="25"/>
      <c r="M496" s="25"/>
      <c r="V496" s="28"/>
      <c r="W496" s="25"/>
    </row>
    <row r="497" spans="1:23" ht="15.75" customHeight="1" x14ac:dyDescent="0.25">
      <c r="A497" s="25"/>
      <c r="C497" s="26"/>
      <c r="D497" s="27"/>
      <c r="G497" s="25"/>
      <c r="J497" s="25"/>
      <c r="K497" s="25"/>
      <c r="L497" s="25"/>
      <c r="M497" s="25"/>
      <c r="V497" s="28"/>
      <c r="W497" s="25"/>
    </row>
    <row r="498" spans="1:23" ht="15.75" customHeight="1" x14ac:dyDescent="0.25">
      <c r="A498" s="25"/>
      <c r="C498" s="26"/>
      <c r="D498" s="27"/>
      <c r="G498" s="25"/>
      <c r="J498" s="25"/>
      <c r="K498" s="25"/>
      <c r="L498" s="25"/>
      <c r="M498" s="25"/>
      <c r="V498" s="28"/>
      <c r="W498" s="25"/>
    </row>
    <row r="499" spans="1:23" ht="15.75" customHeight="1" x14ac:dyDescent="0.25">
      <c r="A499" s="25"/>
      <c r="C499" s="26"/>
      <c r="D499" s="27"/>
      <c r="G499" s="25"/>
      <c r="J499" s="25"/>
      <c r="K499" s="25"/>
      <c r="L499" s="25"/>
      <c r="M499" s="25"/>
      <c r="V499" s="28"/>
      <c r="W499" s="25"/>
    </row>
    <row r="500" spans="1:23" ht="15.75" customHeight="1" x14ac:dyDescent="0.25">
      <c r="A500" s="25"/>
      <c r="C500" s="26"/>
      <c r="D500" s="27"/>
      <c r="G500" s="25"/>
      <c r="J500" s="25"/>
      <c r="K500" s="25"/>
      <c r="L500" s="25"/>
      <c r="M500" s="25"/>
      <c r="V500" s="28"/>
      <c r="W500" s="25"/>
    </row>
    <row r="501" spans="1:23" ht="15.75" customHeight="1" x14ac:dyDescent="0.25">
      <c r="A501" s="25"/>
      <c r="C501" s="26"/>
      <c r="D501" s="27"/>
      <c r="G501" s="25"/>
      <c r="J501" s="25"/>
      <c r="K501" s="25"/>
      <c r="L501" s="25"/>
      <c r="M501" s="25"/>
      <c r="V501" s="28"/>
      <c r="W501" s="25"/>
    </row>
    <row r="502" spans="1:23" ht="15.75" customHeight="1" x14ac:dyDescent="0.25">
      <c r="A502" s="25"/>
      <c r="C502" s="26"/>
      <c r="D502" s="27"/>
      <c r="G502" s="25"/>
      <c r="J502" s="25"/>
      <c r="K502" s="25"/>
      <c r="L502" s="25"/>
      <c r="M502" s="25"/>
      <c r="V502" s="28"/>
      <c r="W502" s="25"/>
    </row>
    <row r="503" spans="1:23" ht="15.75" customHeight="1" x14ac:dyDescent="0.25">
      <c r="A503" s="25"/>
      <c r="C503" s="26"/>
      <c r="D503" s="27"/>
      <c r="G503" s="25"/>
      <c r="J503" s="25"/>
      <c r="K503" s="25"/>
      <c r="L503" s="25"/>
      <c r="M503" s="25"/>
      <c r="V503" s="28"/>
      <c r="W503" s="25"/>
    </row>
    <row r="504" spans="1:23" ht="15.75" customHeight="1" x14ac:dyDescent="0.25">
      <c r="A504" s="25"/>
      <c r="C504" s="26"/>
      <c r="D504" s="27"/>
      <c r="G504" s="25"/>
      <c r="J504" s="25"/>
      <c r="K504" s="25"/>
      <c r="L504" s="25"/>
      <c r="M504" s="25"/>
      <c r="V504" s="28"/>
      <c r="W504" s="25"/>
    </row>
    <row r="505" spans="1:23" ht="15.75" customHeight="1" x14ac:dyDescent="0.25">
      <c r="A505" s="25"/>
      <c r="C505" s="26"/>
      <c r="D505" s="27"/>
      <c r="G505" s="25"/>
      <c r="J505" s="25"/>
      <c r="K505" s="25"/>
      <c r="L505" s="25"/>
      <c r="M505" s="25"/>
      <c r="V505" s="28"/>
      <c r="W505" s="25"/>
    </row>
    <row r="506" spans="1:23" ht="15.75" customHeight="1" x14ac:dyDescent="0.25">
      <c r="A506" s="25"/>
      <c r="C506" s="26"/>
      <c r="D506" s="27"/>
      <c r="G506" s="25"/>
      <c r="J506" s="25"/>
      <c r="K506" s="25"/>
      <c r="L506" s="25"/>
      <c r="M506" s="25"/>
      <c r="V506" s="28"/>
      <c r="W506" s="25"/>
    </row>
    <row r="507" spans="1:23" ht="15.75" customHeight="1" x14ac:dyDescent="0.25">
      <c r="A507" s="25"/>
      <c r="C507" s="26"/>
      <c r="D507" s="27"/>
      <c r="G507" s="25"/>
      <c r="J507" s="25"/>
      <c r="K507" s="25"/>
      <c r="L507" s="25"/>
      <c r="M507" s="25"/>
      <c r="V507" s="28"/>
      <c r="W507" s="25"/>
    </row>
    <row r="508" spans="1:23" ht="15.75" customHeight="1" x14ac:dyDescent="0.25">
      <c r="A508" s="25"/>
      <c r="C508" s="26"/>
      <c r="D508" s="27"/>
      <c r="G508" s="25"/>
      <c r="J508" s="25"/>
      <c r="K508" s="25"/>
      <c r="L508" s="25"/>
      <c r="M508" s="25"/>
      <c r="V508" s="28"/>
      <c r="W508" s="25"/>
    </row>
    <row r="509" spans="1:23" ht="15.75" customHeight="1" x14ac:dyDescent="0.25">
      <c r="A509" s="25"/>
      <c r="C509" s="26"/>
      <c r="D509" s="27"/>
      <c r="G509" s="25"/>
      <c r="J509" s="25"/>
      <c r="K509" s="25"/>
      <c r="L509" s="25"/>
      <c r="M509" s="25"/>
      <c r="V509" s="28"/>
      <c r="W509" s="25"/>
    </row>
    <row r="510" spans="1:23" ht="15.75" customHeight="1" x14ac:dyDescent="0.25">
      <c r="A510" s="25"/>
      <c r="C510" s="26"/>
      <c r="D510" s="27"/>
      <c r="G510" s="25"/>
      <c r="J510" s="25"/>
      <c r="K510" s="25"/>
      <c r="L510" s="25"/>
      <c r="M510" s="25"/>
      <c r="V510" s="28"/>
      <c r="W510" s="25"/>
    </row>
    <row r="511" spans="1:23" ht="15.75" customHeight="1" x14ac:dyDescent="0.25">
      <c r="A511" s="25"/>
      <c r="C511" s="26"/>
      <c r="D511" s="27"/>
      <c r="G511" s="25"/>
      <c r="J511" s="25"/>
      <c r="K511" s="25"/>
      <c r="L511" s="25"/>
      <c r="M511" s="25"/>
      <c r="V511" s="28"/>
      <c r="W511" s="25"/>
    </row>
    <row r="512" spans="1:23" ht="15.75" customHeight="1" x14ac:dyDescent="0.25">
      <c r="A512" s="25"/>
      <c r="C512" s="26"/>
      <c r="D512" s="27"/>
      <c r="G512" s="25"/>
      <c r="J512" s="25"/>
      <c r="K512" s="25"/>
      <c r="L512" s="25"/>
      <c r="M512" s="25"/>
      <c r="V512" s="28"/>
      <c r="W512" s="25"/>
    </row>
    <row r="513" spans="1:23" ht="15.75" customHeight="1" x14ac:dyDescent="0.25">
      <c r="A513" s="25"/>
      <c r="C513" s="26"/>
      <c r="D513" s="27"/>
      <c r="G513" s="25"/>
      <c r="J513" s="25"/>
      <c r="K513" s="25"/>
      <c r="L513" s="25"/>
      <c r="M513" s="25"/>
      <c r="V513" s="28"/>
      <c r="W513" s="25"/>
    </row>
    <row r="514" spans="1:23" ht="15.75" customHeight="1" x14ac:dyDescent="0.25">
      <c r="A514" s="25"/>
      <c r="C514" s="26"/>
      <c r="D514" s="27"/>
      <c r="G514" s="25"/>
      <c r="J514" s="25"/>
      <c r="K514" s="25"/>
      <c r="L514" s="25"/>
      <c r="M514" s="25"/>
      <c r="V514" s="28"/>
      <c r="W514" s="25"/>
    </row>
    <row r="515" spans="1:23" ht="15.75" customHeight="1" x14ac:dyDescent="0.25">
      <c r="A515" s="25"/>
      <c r="C515" s="26"/>
      <c r="D515" s="27"/>
      <c r="G515" s="25"/>
      <c r="J515" s="25"/>
      <c r="K515" s="25"/>
      <c r="L515" s="25"/>
      <c r="M515" s="25"/>
      <c r="V515" s="28"/>
      <c r="W515" s="25"/>
    </row>
    <row r="516" spans="1:23" ht="15.75" customHeight="1" x14ac:dyDescent="0.25">
      <c r="A516" s="25"/>
      <c r="C516" s="26"/>
      <c r="D516" s="27"/>
      <c r="G516" s="25"/>
      <c r="J516" s="25"/>
      <c r="K516" s="25"/>
      <c r="L516" s="25"/>
      <c r="M516" s="25"/>
      <c r="V516" s="28"/>
      <c r="W516" s="25"/>
    </row>
    <row r="517" spans="1:23" ht="15.75" customHeight="1" x14ac:dyDescent="0.25">
      <c r="A517" s="25"/>
      <c r="C517" s="26"/>
      <c r="D517" s="27"/>
      <c r="G517" s="25"/>
      <c r="J517" s="25"/>
      <c r="K517" s="25"/>
      <c r="L517" s="25"/>
      <c r="M517" s="25"/>
      <c r="V517" s="28"/>
      <c r="W517" s="25"/>
    </row>
    <row r="518" spans="1:23" ht="15.75" customHeight="1" x14ac:dyDescent="0.25">
      <c r="A518" s="25"/>
      <c r="C518" s="26"/>
      <c r="D518" s="27"/>
      <c r="G518" s="25"/>
      <c r="J518" s="25"/>
      <c r="K518" s="25"/>
      <c r="L518" s="25"/>
      <c r="M518" s="25"/>
      <c r="V518" s="28"/>
      <c r="W518" s="25"/>
    </row>
    <row r="519" spans="1:23" ht="15.75" customHeight="1" x14ac:dyDescent="0.25">
      <c r="A519" s="25"/>
      <c r="C519" s="26"/>
      <c r="D519" s="27"/>
      <c r="G519" s="25"/>
      <c r="J519" s="25"/>
      <c r="K519" s="25"/>
      <c r="L519" s="25"/>
      <c r="M519" s="25"/>
      <c r="V519" s="28"/>
      <c r="W519" s="25"/>
    </row>
    <row r="520" spans="1:23" ht="15.75" customHeight="1" x14ac:dyDescent="0.25">
      <c r="A520" s="25"/>
      <c r="C520" s="26"/>
      <c r="D520" s="27"/>
      <c r="G520" s="25"/>
      <c r="J520" s="25"/>
      <c r="K520" s="25"/>
      <c r="L520" s="25"/>
      <c r="M520" s="25"/>
      <c r="V520" s="28"/>
      <c r="W520" s="25"/>
    </row>
    <row r="521" spans="1:23" ht="15.75" customHeight="1" x14ac:dyDescent="0.25">
      <c r="A521" s="25"/>
      <c r="C521" s="26"/>
      <c r="D521" s="27"/>
      <c r="G521" s="25"/>
      <c r="J521" s="25"/>
      <c r="K521" s="25"/>
      <c r="L521" s="25"/>
      <c r="M521" s="25"/>
      <c r="V521" s="28"/>
      <c r="W521" s="25"/>
    </row>
    <row r="522" spans="1:23" ht="15.75" customHeight="1" x14ac:dyDescent="0.25">
      <c r="A522" s="25"/>
      <c r="C522" s="26"/>
      <c r="D522" s="27"/>
      <c r="G522" s="25"/>
      <c r="J522" s="25"/>
      <c r="K522" s="25"/>
      <c r="L522" s="25"/>
      <c r="M522" s="25"/>
      <c r="V522" s="28"/>
      <c r="W522" s="25"/>
    </row>
    <row r="523" spans="1:23" ht="15.75" customHeight="1" x14ac:dyDescent="0.25">
      <c r="A523" s="25"/>
      <c r="C523" s="26"/>
      <c r="D523" s="27"/>
      <c r="G523" s="25"/>
      <c r="J523" s="25"/>
      <c r="K523" s="25"/>
      <c r="L523" s="25"/>
      <c r="M523" s="25"/>
      <c r="V523" s="28"/>
      <c r="W523" s="25"/>
    </row>
    <row r="524" spans="1:23" ht="15.75" customHeight="1" x14ac:dyDescent="0.25">
      <c r="A524" s="25"/>
      <c r="C524" s="26"/>
      <c r="D524" s="27"/>
      <c r="G524" s="25"/>
      <c r="J524" s="25"/>
      <c r="K524" s="25"/>
      <c r="L524" s="25"/>
      <c r="M524" s="25"/>
      <c r="V524" s="28"/>
      <c r="W524" s="25"/>
    </row>
    <row r="525" spans="1:23" ht="15.75" customHeight="1" x14ac:dyDescent="0.25">
      <c r="A525" s="25"/>
      <c r="C525" s="26"/>
      <c r="D525" s="27"/>
      <c r="G525" s="25"/>
      <c r="J525" s="25"/>
      <c r="K525" s="25"/>
      <c r="L525" s="25"/>
      <c r="M525" s="25"/>
      <c r="V525" s="28"/>
      <c r="W525" s="25"/>
    </row>
    <row r="526" spans="1:23" ht="15.75" customHeight="1" x14ac:dyDescent="0.25">
      <c r="A526" s="25"/>
      <c r="C526" s="26"/>
      <c r="D526" s="27"/>
      <c r="G526" s="25"/>
      <c r="J526" s="25"/>
      <c r="K526" s="25"/>
      <c r="L526" s="25"/>
      <c r="M526" s="25"/>
      <c r="V526" s="28"/>
      <c r="W526" s="25"/>
    </row>
    <row r="527" spans="1:23" ht="15.75" customHeight="1" x14ac:dyDescent="0.25">
      <c r="A527" s="25"/>
      <c r="C527" s="26"/>
      <c r="D527" s="27"/>
      <c r="G527" s="25"/>
      <c r="J527" s="25"/>
      <c r="K527" s="25"/>
      <c r="L527" s="25"/>
      <c r="M527" s="25"/>
      <c r="V527" s="28"/>
      <c r="W527" s="25"/>
    </row>
    <row r="528" spans="1:23" ht="15.75" customHeight="1" x14ac:dyDescent="0.25">
      <c r="A528" s="25"/>
      <c r="C528" s="26"/>
      <c r="D528" s="27"/>
      <c r="G528" s="25"/>
      <c r="J528" s="25"/>
      <c r="K528" s="25"/>
      <c r="L528" s="25"/>
      <c r="M528" s="25"/>
      <c r="V528" s="28"/>
      <c r="W528" s="25"/>
    </row>
    <row r="529" spans="1:23" ht="15.75" customHeight="1" x14ac:dyDescent="0.25">
      <c r="A529" s="25"/>
      <c r="C529" s="26"/>
      <c r="D529" s="27"/>
      <c r="G529" s="25"/>
      <c r="J529" s="25"/>
      <c r="K529" s="25"/>
      <c r="L529" s="25"/>
      <c r="M529" s="25"/>
      <c r="V529" s="28"/>
      <c r="W529" s="25"/>
    </row>
    <row r="530" spans="1:23" ht="15.75" customHeight="1" x14ac:dyDescent="0.25">
      <c r="A530" s="25"/>
      <c r="C530" s="26"/>
      <c r="D530" s="27"/>
      <c r="G530" s="25"/>
      <c r="J530" s="25"/>
      <c r="K530" s="25"/>
      <c r="L530" s="25"/>
      <c r="M530" s="25"/>
      <c r="V530" s="28"/>
      <c r="W530" s="25"/>
    </row>
    <row r="531" spans="1:23" ht="15.75" customHeight="1" x14ac:dyDescent="0.25">
      <c r="A531" s="25"/>
      <c r="C531" s="26"/>
      <c r="D531" s="27"/>
      <c r="G531" s="25"/>
      <c r="J531" s="25"/>
      <c r="K531" s="25"/>
      <c r="L531" s="25"/>
      <c r="M531" s="25"/>
      <c r="V531" s="28"/>
      <c r="W531" s="25"/>
    </row>
    <row r="532" spans="1:23" ht="15.75" customHeight="1" x14ac:dyDescent="0.25">
      <c r="A532" s="25"/>
      <c r="C532" s="26"/>
      <c r="D532" s="27"/>
      <c r="G532" s="25"/>
      <c r="J532" s="25"/>
      <c r="K532" s="25"/>
      <c r="L532" s="25"/>
      <c r="M532" s="25"/>
      <c r="V532" s="28"/>
      <c r="W532" s="25"/>
    </row>
    <row r="533" spans="1:23" ht="15.75" customHeight="1" x14ac:dyDescent="0.25">
      <c r="A533" s="25"/>
      <c r="C533" s="26"/>
      <c r="D533" s="27"/>
      <c r="G533" s="25"/>
      <c r="J533" s="25"/>
      <c r="K533" s="25"/>
      <c r="L533" s="25"/>
      <c r="M533" s="25"/>
      <c r="V533" s="28"/>
      <c r="W533" s="25"/>
    </row>
    <row r="534" spans="1:23" ht="15.75" customHeight="1" x14ac:dyDescent="0.25">
      <c r="A534" s="25"/>
      <c r="C534" s="26"/>
      <c r="D534" s="27"/>
      <c r="G534" s="25"/>
      <c r="J534" s="25"/>
      <c r="K534" s="25"/>
      <c r="L534" s="25"/>
      <c r="M534" s="25"/>
      <c r="V534" s="28"/>
      <c r="W534" s="25"/>
    </row>
    <row r="535" spans="1:23" ht="15.75" customHeight="1" x14ac:dyDescent="0.25">
      <c r="A535" s="25"/>
      <c r="C535" s="26"/>
      <c r="D535" s="27"/>
      <c r="G535" s="25"/>
      <c r="J535" s="25"/>
      <c r="K535" s="25"/>
      <c r="L535" s="25"/>
      <c r="M535" s="25"/>
      <c r="V535" s="28"/>
      <c r="W535" s="25"/>
    </row>
    <row r="536" spans="1:23" ht="15.75" customHeight="1" x14ac:dyDescent="0.25">
      <c r="A536" s="25"/>
      <c r="C536" s="26"/>
      <c r="D536" s="27"/>
      <c r="G536" s="25"/>
      <c r="J536" s="25"/>
      <c r="K536" s="25"/>
      <c r="L536" s="25"/>
      <c r="M536" s="25"/>
      <c r="V536" s="28"/>
      <c r="W536" s="25"/>
    </row>
    <row r="537" spans="1:23" ht="15.75" customHeight="1" x14ac:dyDescent="0.25">
      <c r="A537" s="25"/>
      <c r="C537" s="26"/>
      <c r="D537" s="27"/>
      <c r="G537" s="25"/>
      <c r="J537" s="25"/>
      <c r="K537" s="25"/>
      <c r="L537" s="25"/>
      <c r="M537" s="25"/>
      <c r="V537" s="28"/>
      <c r="W537" s="25"/>
    </row>
    <row r="538" spans="1:23" ht="15.75" customHeight="1" x14ac:dyDescent="0.25">
      <c r="A538" s="25"/>
      <c r="C538" s="26"/>
      <c r="D538" s="27"/>
      <c r="G538" s="25"/>
      <c r="J538" s="25"/>
      <c r="K538" s="25"/>
      <c r="L538" s="25"/>
      <c r="M538" s="25"/>
      <c r="V538" s="28"/>
      <c r="W538" s="25"/>
    </row>
    <row r="539" spans="1:23" ht="15.75" customHeight="1" x14ac:dyDescent="0.25">
      <c r="A539" s="25"/>
      <c r="C539" s="26"/>
      <c r="D539" s="27"/>
      <c r="G539" s="25"/>
      <c r="J539" s="25"/>
      <c r="K539" s="25"/>
      <c r="L539" s="25"/>
      <c r="M539" s="25"/>
      <c r="V539" s="28"/>
      <c r="W539" s="25"/>
    </row>
    <row r="540" spans="1:23" ht="15.75" customHeight="1" x14ac:dyDescent="0.25">
      <c r="A540" s="25"/>
      <c r="C540" s="26"/>
      <c r="D540" s="27"/>
      <c r="G540" s="25"/>
      <c r="J540" s="25"/>
      <c r="K540" s="25"/>
      <c r="L540" s="25"/>
      <c r="M540" s="25"/>
      <c r="V540" s="28"/>
      <c r="W540" s="25"/>
    </row>
    <row r="541" spans="1:23" ht="15.75" customHeight="1" x14ac:dyDescent="0.25">
      <c r="A541" s="25"/>
      <c r="C541" s="26"/>
      <c r="D541" s="27"/>
      <c r="G541" s="25"/>
      <c r="J541" s="25"/>
      <c r="K541" s="25"/>
      <c r="L541" s="25"/>
      <c r="M541" s="25"/>
      <c r="V541" s="28"/>
      <c r="W541" s="25"/>
    </row>
    <row r="542" spans="1:23" ht="15.75" customHeight="1" x14ac:dyDescent="0.25">
      <c r="A542" s="25"/>
      <c r="C542" s="26"/>
      <c r="D542" s="27"/>
      <c r="G542" s="25"/>
      <c r="J542" s="25"/>
      <c r="K542" s="25"/>
      <c r="L542" s="25"/>
      <c r="M542" s="25"/>
      <c r="V542" s="28"/>
      <c r="W542" s="25"/>
    </row>
    <row r="543" spans="1:23" ht="15.75" customHeight="1" x14ac:dyDescent="0.25">
      <c r="A543" s="25"/>
      <c r="C543" s="26"/>
      <c r="D543" s="27"/>
      <c r="G543" s="25"/>
      <c r="J543" s="25"/>
      <c r="K543" s="25"/>
      <c r="L543" s="25"/>
      <c r="M543" s="25"/>
      <c r="V543" s="28"/>
      <c r="W543" s="25"/>
    </row>
    <row r="544" spans="1:23" ht="15.75" customHeight="1" x14ac:dyDescent="0.25">
      <c r="A544" s="25"/>
      <c r="C544" s="26"/>
      <c r="D544" s="27"/>
      <c r="G544" s="25"/>
      <c r="J544" s="25"/>
      <c r="K544" s="25"/>
      <c r="L544" s="25"/>
      <c r="M544" s="25"/>
      <c r="V544" s="28"/>
      <c r="W544" s="25"/>
    </row>
    <row r="545" spans="1:23" ht="15.75" customHeight="1" x14ac:dyDescent="0.25">
      <c r="A545" s="25"/>
      <c r="C545" s="26"/>
      <c r="D545" s="27"/>
      <c r="G545" s="25"/>
      <c r="J545" s="25"/>
      <c r="K545" s="25"/>
      <c r="L545" s="25"/>
      <c r="M545" s="25"/>
      <c r="V545" s="28"/>
      <c r="W545" s="25"/>
    </row>
    <row r="546" spans="1:23" ht="15.75" customHeight="1" x14ac:dyDescent="0.25">
      <c r="A546" s="25"/>
      <c r="C546" s="26"/>
      <c r="D546" s="27"/>
      <c r="G546" s="25"/>
      <c r="J546" s="25"/>
      <c r="K546" s="25"/>
      <c r="L546" s="25"/>
      <c r="M546" s="25"/>
      <c r="V546" s="28"/>
      <c r="W546" s="25"/>
    </row>
    <row r="547" spans="1:23" ht="15.75" customHeight="1" x14ac:dyDescent="0.25">
      <c r="A547" s="25"/>
      <c r="C547" s="26"/>
      <c r="D547" s="27"/>
      <c r="G547" s="25"/>
      <c r="J547" s="25"/>
      <c r="K547" s="25"/>
      <c r="L547" s="25"/>
      <c r="M547" s="25"/>
      <c r="V547" s="28"/>
      <c r="W547" s="25"/>
    </row>
    <row r="548" spans="1:23" ht="15.75" customHeight="1" x14ac:dyDescent="0.25">
      <c r="A548" s="25"/>
      <c r="C548" s="26"/>
      <c r="D548" s="27"/>
      <c r="G548" s="25"/>
      <c r="J548" s="25"/>
      <c r="K548" s="25"/>
      <c r="L548" s="25"/>
      <c r="M548" s="25"/>
      <c r="V548" s="28"/>
      <c r="W548" s="25"/>
    </row>
    <row r="549" spans="1:23" ht="15.75" customHeight="1" x14ac:dyDescent="0.25">
      <c r="A549" s="25"/>
      <c r="C549" s="26"/>
      <c r="D549" s="27"/>
      <c r="G549" s="25"/>
      <c r="J549" s="25"/>
      <c r="K549" s="25"/>
      <c r="L549" s="25"/>
      <c r="M549" s="25"/>
      <c r="V549" s="28"/>
      <c r="W549" s="25"/>
    </row>
    <row r="550" spans="1:23" ht="15.75" customHeight="1" x14ac:dyDescent="0.25">
      <c r="A550" s="25"/>
      <c r="C550" s="26"/>
      <c r="D550" s="27"/>
      <c r="G550" s="25"/>
      <c r="J550" s="25"/>
      <c r="K550" s="25"/>
      <c r="L550" s="25"/>
      <c r="M550" s="25"/>
      <c r="V550" s="28"/>
      <c r="W550" s="25"/>
    </row>
    <row r="551" spans="1:23" ht="15.75" customHeight="1" x14ac:dyDescent="0.25">
      <c r="A551" s="25"/>
      <c r="C551" s="26"/>
      <c r="D551" s="27"/>
      <c r="G551" s="25"/>
      <c r="J551" s="25"/>
      <c r="K551" s="25"/>
      <c r="L551" s="25"/>
      <c r="M551" s="25"/>
      <c r="V551" s="28"/>
      <c r="W551" s="25"/>
    </row>
    <row r="552" spans="1:23" ht="15.75" customHeight="1" x14ac:dyDescent="0.25">
      <c r="A552" s="25"/>
      <c r="C552" s="26"/>
      <c r="D552" s="27"/>
      <c r="G552" s="25"/>
      <c r="J552" s="25"/>
      <c r="K552" s="25"/>
      <c r="L552" s="25"/>
      <c r="M552" s="25"/>
      <c r="V552" s="28"/>
      <c r="W552" s="25"/>
    </row>
    <row r="553" spans="1:23" ht="15.75" customHeight="1" x14ac:dyDescent="0.25">
      <c r="A553" s="25"/>
      <c r="C553" s="26"/>
      <c r="D553" s="27"/>
      <c r="G553" s="25"/>
      <c r="J553" s="25"/>
      <c r="K553" s="25"/>
      <c r="L553" s="25"/>
      <c r="M553" s="25"/>
      <c r="V553" s="28"/>
      <c r="W553" s="25"/>
    </row>
    <row r="554" spans="1:23" ht="15.75" customHeight="1" x14ac:dyDescent="0.25">
      <c r="A554" s="25"/>
      <c r="C554" s="26"/>
      <c r="D554" s="27"/>
      <c r="G554" s="25"/>
      <c r="J554" s="25"/>
      <c r="K554" s="25"/>
      <c r="L554" s="25"/>
      <c r="M554" s="25"/>
      <c r="V554" s="28"/>
      <c r="W554" s="25"/>
    </row>
    <row r="555" spans="1:23" ht="15.75" customHeight="1" x14ac:dyDescent="0.25">
      <c r="A555" s="25"/>
      <c r="C555" s="26"/>
      <c r="D555" s="27"/>
      <c r="G555" s="25"/>
      <c r="J555" s="25"/>
      <c r="K555" s="25"/>
      <c r="L555" s="25"/>
      <c r="M555" s="25"/>
      <c r="V555" s="28"/>
      <c r="W555" s="25"/>
    </row>
    <row r="556" spans="1:23" ht="15.75" customHeight="1" x14ac:dyDescent="0.25">
      <c r="A556" s="25"/>
      <c r="C556" s="26"/>
      <c r="D556" s="27"/>
      <c r="G556" s="25"/>
      <c r="J556" s="25"/>
      <c r="K556" s="25"/>
      <c r="L556" s="25"/>
      <c r="M556" s="25"/>
      <c r="V556" s="28"/>
      <c r="W556" s="25"/>
    </row>
    <row r="557" spans="1:23" ht="15.75" customHeight="1" x14ac:dyDescent="0.25">
      <c r="A557" s="25"/>
      <c r="C557" s="26"/>
      <c r="D557" s="27"/>
      <c r="G557" s="25"/>
      <c r="J557" s="25"/>
      <c r="K557" s="25"/>
      <c r="L557" s="25"/>
      <c r="M557" s="25"/>
      <c r="V557" s="28"/>
      <c r="W557" s="25"/>
    </row>
    <row r="558" spans="1:23" ht="15.75" customHeight="1" x14ac:dyDescent="0.25">
      <c r="A558" s="25"/>
      <c r="C558" s="26"/>
      <c r="D558" s="27"/>
      <c r="G558" s="25"/>
      <c r="J558" s="25"/>
      <c r="K558" s="25"/>
      <c r="L558" s="25"/>
      <c r="M558" s="25"/>
      <c r="V558" s="28"/>
      <c r="W558" s="25"/>
    </row>
    <row r="559" spans="1:23" ht="15.75" customHeight="1" x14ac:dyDescent="0.25">
      <c r="A559" s="25"/>
      <c r="C559" s="26"/>
      <c r="D559" s="27"/>
      <c r="G559" s="25"/>
      <c r="J559" s="25"/>
      <c r="K559" s="25"/>
      <c r="L559" s="25"/>
      <c r="M559" s="25"/>
      <c r="V559" s="28"/>
      <c r="W559" s="25"/>
    </row>
    <row r="560" spans="1:23" ht="15.75" customHeight="1" x14ac:dyDescent="0.25">
      <c r="A560" s="25"/>
      <c r="C560" s="26"/>
      <c r="D560" s="27"/>
      <c r="G560" s="25"/>
      <c r="J560" s="25"/>
      <c r="K560" s="25"/>
      <c r="L560" s="25"/>
      <c r="M560" s="25"/>
      <c r="V560" s="28"/>
      <c r="W560" s="25"/>
    </row>
    <row r="561" spans="1:23" ht="15.75" customHeight="1" x14ac:dyDescent="0.25">
      <c r="A561" s="25"/>
      <c r="C561" s="26"/>
      <c r="D561" s="27"/>
      <c r="G561" s="25"/>
      <c r="J561" s="25"/>
      <c r="K561" s="25"/>
      <c r="L561" s="25"/>
      <c r="M561" s="25"/>
      <c r="V561" s="28"/>
      <c r="W561" s="25"/>
    </row>
    <row r="562" spans="1:23" ht="15.75" customHeight="1" x14ac:dyDescent="0.25">
      <c r="A562" s="25"/>
      <c r="C562" s="26"/>
      <c r="D562" s="27"/>
      <c r="G562" s="25"/>
      <c r="J562" s="25"/>
      <c r="K562" s="25"/>
      <c r="L562" s="25"/>
      <c r="M562" s="25"/>
      <c r="V562" s="28"/>
      <c r="W562" s="25"/>
    </row>
    <row r="563" spans="1:23" ht="15.75" customHeight="1" x14ac:dyDescent="0.25">
      <c r="A563" s="25"/>
      <c r="C563" s="26"/>
      <c r="D563" s="27"/>
      <c r="G563" s="25"/>
      <c r="J563" s="25"/>
      <c r="K563" s="25"/>
      <c r="L563" s="25"/>
      <c r="M563" s="25"/>
      <c r="V563" s="28"/>
      <c r="W563" s="25"/>
    </row>
    <row r="564" spans="1:23" ht="15.75" customHeight="1" x14ac:dyDescent="0.25">
      <c r="A564" s="25"/>
      <c r="C564" s="26"/>
      <c r="D564" s="27"/>
      <c r="G564" s="25"/>
      <c r="J564" s="25"/>
      <c r="K564" s="25"/>
      <c r="L564" s="25"/>
      <c r="M564" s="25"/>
      <c r="V564" s="28"/>
      <c r="W564" s="25"/>
    </row>
    <row r="565" spans="1:23" ht="15.75" customHeight="1" x14ac:dyDescent="0.25">
      <c r="A565" s="25"/>
      <c r="C565" s="26"/>
      <c r="D565" s="27"/>
      <c r="G565" s="25"/>
      <c r="J565" s="25"/>
      <c r="K565" s="25"/>
      <c r="L565" s="25"/>
      <c r="M565" s="25"/>
      <c r="V565" s="28"/>
      <c r="W565" s="25"/>
    </row>
    <row r="566" spans="1:23" ht="15.75" customHeight="1" x14ac:dyDescent="0.25">
      <c r="A566" s="25"/>
      <c r="C566" s="26"/>
      <c r="D566" s="27"/>
      <c r="G566" s="25"/>
      <c r="J566" s="25"/>
      <c r="K566" s="25"/>
      <c r="L566" s="25"/>
      <c r="M566" s="25"/>
      <c r="V566" s="28"/>
      <c r="W566" s="25"/>
    </row>
    <row r="567" spans="1:23" ht="15.75" customHeight="1" x14ac:dyDescent="0.25">
      <c r="A567" s="25"/>
      <c r="C567" s="26"/>
      <c r="D567" s="27"/>
      <c r="G567" s="25"/>
      <c r="J567" s="25"/>
      <c r="K567" s="25"/>
      <c r="L567" s="25"/>
      <c r="M567" s="25"/>
      <c r="V567" s="28"/>
      <c r="W567" s="25"/>
    </row>
    <row r="568" spans="1:23" ht="15.75" customHeight="1" x14ac:dyDescent="0.25">
      <c r="A568" s="25"/>
      <c r="C568" s="26"/>
      <c r="D568" s="27"/>
      <c r="G568" s="25"/>
      <c r="J568" s="25"/>
      <c r="K568" s="25"/>
      <c r="L568" s="25"/>
      <c r="M568" s="25"/>
      <c r="V568" s="28"/>
      <c r="W568" s="25"/>
    </row>
    <row r="569" spans="1:23" ht="15.75" customHeight="1" x14ac:dyDescent="0.25">
      <c r="A569" s="25"/>
      <c r="C569" s="26"/>
      <c r="D569" s="27"/>
      <c r="G569" s="25"/>
      <c r="J569" s="25"/>
      <c r="K569" s="25"/>
      <c r="L569" s="25"/>
      <c r="M569" s="25"/>
      <c r="V569" s="28"/>
      <c r="W569" s="25"/>
    </row>
    <row r="570" spans="1:23" ht="15.75" customHeight="1" x14ac:dyDescent="0.25">
      <c r="A570" s="25"/>
      <c r="C570" s="26"/>
      <c r="D570" s="27"/>
      <c r="G570" s="25"/>
      <c r="J570" s="25"/>
      <c r="K570" s="25"/>
      <c r="L570" s="25"/>
      <c r="M570" s="25"/>
      <c r="V570" s="28"/>
      <c r="W570" s="25"/>
    </row>
    <row r="571" spans="1:23" ht="15.75" customHeight="1" x14ac:dyDescent="0.25">
      <c r="A571" s="25"/>
      <c r="C571" s="26"/>
      <c r="D571" s="27"/>
      <c r="G571" s="25"/>
      <c r="J571" s="25"/>
      <c r="K571" s="25"/>
      <c r="L571" s="25"/>
      <c r="M571" s="25"/>
      <c r="V571" s="28"/>
      <c r="W571" s="25"/>
    </row>
    <row r="572" spans="1:23" ht="15.75" customHeight="1" x14ac:dyDescent="0.25">
      <c r="A572" s="25"/>
      <c r="C572" s="26"/>
      <c r="D572" s="27"/>
      <c r="G572" s="25"/>
      <c r="J572" s="25"/>
      <c r="K572" s="25"/>
      <c r="L572" s="25"/>
      <c r="M572" s="25"/>
      <c r="V572" s="28"/>
      <c r="W572" s="25"/>
    </row>
    <row r="573" spans="1:23" ht="15.75" customHeight="1" x14ac:dyDescent="0.25">
      <c r="A573" s="25"/>
      <c r="C573" s="26"/>
      <c r="D573" s="27"/>
      <c r="G573" s="25"/>
      <c r="J573" s="25"/>
      <c r="K573" s="25"/>
      <c r="L573" s="25"/>
      <c r="M573" s="25"/>
      <c r="V573" s="28"/>
      <c r="W573" s="25"/>
    </row>
    <row r="574" spans="1:23" ht="15.75" customHeight="1" x14ac:dyDescent="0.25">
      <c r="A574" s="25"/>
      <c r="C574" s="26"/>
      <c r="D574" s="27"/>
      <c r="G574" s="25"/>
      <c r="J574" s="25"/>
      <c r="K574" s="25"/>
      <c r="L574" s="25"/>
      <c r="M574" s="25"/>
      <c r="V574" s="28"/>
      <c r="W574" s="25"/>
    </row>
    <row r="575" spans="1:23" ht="15.75" customHeight="1" x14ac:dyDescent="0.25">
      <c r="A575" s="25"/>
      <c r="C575" s="26"/>
      <c r="D575" s="27"/>
      <c r="G575" s="25"/>
      <c r="J575" s="25"/>
      <c r="K575" s="25"/>
      <c r="L575" s="25"/>
      <c r="M575" s="25"/>
      <c r="V575" s="28"/>
      <c r="W575" s="25"/>
    </row>
    <row r="576" spans="1:23" ht="15.75" customHeight="1" x14ac:dyDescent="0.25">
      <c r="A576" s="25"/>
      <c r="C576" s="26"/>
      <c r="D576" s="27"/>
      <c r="G576" s="25"/>
      <c r="J576" s="25"/>
      <c r="K576" s="25"/>
      <c r="L576" s="25"/>
      <c r="M576" s="25"/>
      <c r="V576" s="28"/>
      <c r="W576" s="25"/>
    </row>
    <row r="577" spans="1:23" ht="15.75" customHeight="1" x14ac:dyDescent="0.25">
      <c r="A577" s="25"/>
      <c r="C577" s="26"/>
      <c r="D577" s="27"/>
      <c r="G577" s="25"/>
      <c r="J577" s="25"/>
      <c r="K577" s="25"/>
      <c r="L577" s="25"/>
      <c r="M577" s="25"/>
      <c r="V577" s="28"/>
      <c r="W577" s="25"/>
    </row>
    <row r="578" spans="1:23" ht="15.75" customHeight="1" x14ac:dyDescent="0.25">
      <c r="A578" s="25"/>
      <c r="C578" s="26"/>
      <c r="D578" s="27"/>
      <c r="G578" s="25"/>
      <c r="J578" s="25"/>
      <c r="K578" s="25"/>
      <c r="L578" s="25"/>
      <c r="M578" s="25"/>
      <c r="V578" s="28"/>
      <c r="W578" s="25"/>
    </row>
    <row r="579" spans="1:23" ht="15.75" customHeight="1" x14ac:dyDescent="0.25">
      <c r="A579" s="25"/>
      <c r="C579" s="26"/>
      <c r="D579" s="27"/>
      <c r="G579" s="25"/>
      <c r="J579" s="25"/>
      <c r="K579" s="25"/>
      <c r="L579" s="25"/>
      <c r="M579" s="25"/>
      <c r="V579" s="28"/>
      <c r="W579" s="25"/>
    </row>
    <row r="580" spans="1:23" ht="15.75" customHeight="1" x14ac:dyDescent="0.25">
      <c r="A580" s="25"/>
      <c r="C580" s="26"/>
      <c r="D580" s="27"/>
      <c r="G580" s="25"/>
      <c r="J580" s="25"/>
      <c r="K580" s="25"/>
      <c r="L580" s="25"/>
      <c r="M580" s="25"/>
      <c r="V580" s="28"/>
      <c r="W580" s="25"/>
    </row>
    <row r="581" spans="1:23" ht="15.75" customHeight="1" x14ac:dyDescent="0.25">
      <c r="A581" s="25"/>
      <c r="C581" s="26"/>
      <c r="D581" s="27"/>
      <c r="G581" s="25"/>
      <c r="J581" s="25"/>
      <c r="K581" s="25"/>
      <c r="L581" s="25"/>
      <c r="M581" s="25"/>
      <c r="V581" s="28"/>
      <c r="W581" s="25"/>
    </row>
    <row r="582" spans="1:23" ht="15.75" customHeight="1" x14ac:dyDescent="0.25">
      <c r="A582" s="25"/>
      <c r="C582" s="26"/>
      <c r="D582" s="27"/>
      <c r="G582" s="25"/>
      <c r="J582" s="25"/>
      <c r="K582" s="25"/>
      <c r="L582" s="25"/>
      <c r="M582" s="25"/>
      <c r="V582" s="28"/>
      <c r="W582" s="25"/>
    </row>
    <row r="583" spans="1:23" ht="15.75" customHeight="1" x14ac:dyDescent="0.25">
      <c r="A583" s="25"/>
      <c r="C583" s="26"/>
      <c r="D583" s="27"/>
      <c r="G583" s="25"/>
      <c r="J583" s="25"/>
      <c r="K583" s="25"/>
      <c r="L583" s="25"/>
      <c r="M583" s="25"/>
      <c r="V583" s="28"/>
      <c r="W583" s="25"/>
    </row>
    <row r="584" spans="1:23" ht="15.75" customHeight="1" x14ac:dyDescent="0.25">
      <c r="A584" s="25"/>
      <c r="C584" s="26"/>
      <c r="D584" s="27"/>
      <c r="G584" s="25"/>
      <c r="J584" s="25"/>
      <c r="K584" s="25"/>
      <c r="L584" s="25"/>
      <c r="M584" s="25"/>
      <c r="V584" s="28"/>
      <c r="W584" s="25"/>
    </row>
    <row r="585" spans="1:23" ht="15.75" customHeight="1" x14ac:dyDescent="0.25">
      <c r="A585" s="25"/>
      <c r="C585" s="26"/>
      <c r="D585" s="27"/>
      <c r="G585" s="25"/>
      <c r="J585" s="25"/>
      <c r="K585" s="25"/>
      <c r="L585" s="25"/>
      <c r="M585" s="25"/>
      <c r="V585" s="28"/>
      <c r="W585" s="25"/>
    </row>
    <row r="586" spans="1:23" ht="15.75" customHeight="1" x14ac:dyDescent="0.25">
      <c r="A586" s="25"/>
      <c r="C586" s="26"/>
      <c r="D586" s="27"/>
      <c r="G586" s="25"/>
      <c r="J586" s="25"/>
      <c r="K586" s="25"/>
      <c r="L586" s="25"/>
      <c r="M586" s="25"/>
      <c r="V586" s="28"/>
      <c r="W586" s="25"/>
    </row>
    <row r="587" spans="1:23" ht="15.75" customHeight="1" x14ac:dyDescent="0.25">
      <c r="A587" s="25"/>
      <c r="C587" s="26"/>
      <c r="D587" s="27"/>
      <c r="G587" s="25"/>
      <c r="J587" s="25"/>
      <c r="K587" s="25"/>
      <c r="L587" s="25"/>
      <c r="M587" s="25"/>
      <c r="V587" s="28"/>
      <c r="W587" s="25"/>
    </row>
    <row r="588" spans="1:23" ht="15.75" customHeight="1" x14ac:dyDescent="0.25">
      <c r="A588" s="25"/>
      <c r="C588" s="26"/>
      <c r="D588" s="27"/>
      <c r="G588" s="25"/>
      <c r="J588" s="25"/>
      <c r="K588" s="25"/>
      <c r="L588" s="25"/>
      <c r="M588" s="25"/>
      <c r="V588" s="28"/>
      <c r="W588" s="25"/>
    </row>
    <row r="589" spans="1:23" ht="15.75" customHeight="1" x14ac:dyDescent="0.25">
      <c r="A589" s="25"/>
      <c r="C589" s="26"/>
      <c r="D589" s="27"/>
      <c r="G589" s="25"/>
      <c r="J589" s="25"/>
      <c r="K589" s="25"/>
      <c r="L589" s="25"/>
      <c r="M589" s="25"/>
      <c r="V589" s="28"/>
      <c r="W589" s="25"/>
    </row>
    <row r="590" spans="1:23" ht="15.75" customHeight="1" x14ac:dyDescent="0.25">
      <c r="A590" s="25"/>
      <c r="C590" s="26"/>
      <c r="D590" s="27"/>
      <c r="G590" s="25"/>
      <c r="J590" s="25"/>
      <c r="K590" s="25"/>
      <c r="L590" s="25"/>
      <c r="M590" s="25"/>
      <c r="V590" s="28"/>
      <c r="W590" s="25"/>
    </row>
    <row r="591" spans="1:23" ht="15.75" customHeight="1" x14ac:dyDescent="0.25">
      <c r="A591" s="25"/>
      <c r="C591" s="26"/>
      <c r="D591" s="27"/>
      <c r="G591" s="25"/>
      <c r="J591" s="25"/>
      <c r="K591" s="25"/>
      <c r="L591" s="25"/>
      <c r="M591" s="25"/>
      <c r="V591" s="28"/>
      <c r="W591" s="25"/>
    </row>
    <row r="592" spans="1:23" ht="15.75" customHeight="1" x14ac:dyDescent="0.25">
      <c r="A592" s="25"/>
      <c r="C592" s="26"/>
      <c r="D592" s="27"/>
      <c r="G592" s="25"/>
      <c r="J592" s="25"/>
      <c r="K592" s="25"/>
      <c r="L592" s="25"/>
      <c r="M592" s="25"/>
      <c r="V592" s="28"/>
      <c r="W592" s="25"/>
    </row>
    <row r="593" spans="1:23" ht="15.75" customHeight="1" x14ac:dyDescent="0.25">
      <c r="A593" s="25"/>
      <c r="C593" s="26"/>
      <c r="D593" s="27"/>
      <c r="G593" s="25"/>
      <c r="J593" s="25"/>
      <c r="K593" s="25"/>
      <c r="L593" s="25"/>
      <c r="M593" s="25"/>
      <c r="V593" s="28"/>
      <c r="W593" s="25"/>
    </row>
    <row r="594" spans="1:23" ht="15.75" customHeight="1" x14ac:dyDescent="0.25">
      <c r="A594" s="25"/>
      <c r="C594" s="26"/>
      <c r="D594" s="27"/>
      <c r="G594" s="25"/>
      <c r="J594" s="25"/>
      <c r="K594" s="25"/>
      <c r="L594" s="25"/>
      <c r="M594" s="25"/>
      <c r="V594" s="28"/>
      <c r="W594" s="25"/>
    </row>
    <row r="595" spans="1:23" ht="15.75" customHeight="1" x14ac:dyDescent="0.25">
      <c r="A595" s="25"/>
      <c r="C595" s="26"/>
      <c r="D595" s="27"/>
      <c r="G595" s="25"/>
      <c r="J595" s="25"/>
      <c r="K595" s="25"/>
      <c r="L595" s="25"/>
      <c r="M595" s="25"/>
      <c r="V595" s="28"/>
      <c r="W595" s="25"/>
    </row>
    <row r="596" spans="1:23" ht="15.75" customHeight="1" x14ac:dyDescent="0.25">
      <c r="A596" s="25"/>
      <c r="C596" s="26"/>
      <c r="D596" s="27"/>
      <c r="G596" s="25"/>
      <c r="J596" s="25"/>
      <c r="K596" s="25"/>
      <c r="L596" s="25"/>
      <c r="M596" s="25"/>
      <c r="V596" s="28"/>
      <c r="W596" s="25"/>
    </row>
    <row r="597" spans="1:23" ht="15.75" customHeight="1" x14ac:dyDescent="0.25">
      <c r="A597" s="25"/>
      <c r="C597" s="26"/>
      <c r="D597" s="27"/>
      <c r="G597" s="25"/>
      <c r="J597" s="25"/>
      <c r="K597" s="25"/>
      <c r="L597" s="25"/>
      <c r="M597" s="25"/>
      <c r="V597" s="28"/>
      <c r="W597" s="25"/>
    </row>
    <row r="598" spans="1:23" ht="15.75" customHeight="1" x14ac:dyDescent="0.25">
      <c r="A598" s="25"/>
      <c r="C598" s="26"/>
      <c r="D598" s="27"/>
      <c r="G598" s="25"/>
      <c r="J598" s="25"/>
      <c r="K598" s="25"/>
      <c r="L598" s="25"/>
      <c r="M598" s="25"/>
      <c r="V598" s="28"/>
      <c r="W598" s="25"/>
    </row>
    <row r="599" spans="1:23" ht="15.75" customHeight="1" x14ac:dyDescent="0.25">
      <c r="A599" s="25"/>
      <c r="C599" s="26"/>
      <c r="D599" s="27"/>
      <c r="G599" s="25"/>
      <c r="J599" s="25"/>
      <c r="K599" s="25"/>
      <c r="L599" s="25"/>
      <c r="M599" s="25"/>
      <c r="V599" s="28"/>
      <c r="W599" s="25"/>
    </row>
    <row r="600" spans="1:23" ht="15.75" customHeight="1" x14ac:dyDescent="0.25">
      <c r="A600" s="25"/>
      <c r="C600" s="26"/>
      <c r="D600" s="27"/>
      <c r="G600" s="25"/>
      <c r="J600" s="25"/>
      <c r="K600" s="25"/>
      <c r="L600" s="25"/>
      <c r="M600" s="25"/>
      <c r="V600" s="28"/>
      <c r="W600" s="25"/>
    </row>
    <row r="601" spans="1:23" ht="15.75" customHeight="1" x14ac:dyDescent="0.25">
      <c r="A601" s="25"/>
      <c r="C601" s="26"/>
      <c r="D601" s="27"/>
      <c r="G601" s="25"/>
      <c r="J601" s="25"/>
      <c r="K601" s="25"/>
      <c r="L601" s="25"/>
      <c r="M601" s="25"/>
      <c r="V601" s="28"/>
      <c r="W601" s="25"/>
    </row>
    <row r="602" spans="1:23" ht="15.75" customHeight="1" x14ac:dyDescent="0.25">
      <c r="A602" s="25"/>
      <c r="C602" s="26"/>
      <c r="D602" s="27"/>
      <c r="G602" s="25"/>
      <c r="J602" s="25"/>
      <c r="K602" s="25"/>
      <c r="L602" s="25"/>
      <c r="M602" s="25"/>
      <c r="V602" s="28"/>
      <c r="W602" s="25"/>
    </row>
    <row r="603" spans="1:23" ht="15.75" customHeight="1" x14ac:dyDescent="0.25">
      <c r="A603" s="25"/>
      <c r="C603" s="26"/>
      <c r="D603" s="27"/>
      <c r="G603" s="25"/>
      <c r="J603" s="25"/>
      <c r="K603" s="25"/>
      <c r="L603" s="25"/>
      <c r="M603" s="25"/>
      <c r="V603" s="28"/>
      <c r="W603" s="25"/>
    </row>
    <row r="604" spans="1:23" ht="15.75" customHeight="1" x14ac:dyDescent="0.25">
      <c r="A604" s="25"/>
      <c r="C604" s="26"/>
      <c r="D604" s="27"/>
      <c r="G604" s="25"/>
      <c r="J604" s="25"/>
      <c r="K604" s="25"/>
      <c r="L604" s="25"/>
      <c r="M604" s="25"/>
      <c r="V604" s="28"/>
      <c r="W604" s="25"/>
    </row>
    <row r="605" spans="1:23" ht="15.75" customHeight="1" x14ac:dyDescent="0.25">
      <c r="A605" s="25"/>
      <c r="C605" s="26"/>
      <c r="D605" s="27"/>
      <c r="G605" s="25"/>
      <c r="J605" s="25"/>
      <c r="K605" s="25"/>
      <c r="L605" s="25"/>
      <c r="M605" s="25"/>
      <c r="V605" s="28"/>
      <c r="W605" s="25"/>
    </row>
    <row r="606" spans="1:23" ht="15.75" customHeight="1" x14ac:dyDescent="0.25">
      <c r="A606" s="25"/>
      <c r="C606" s="26"/>
      <c r="D606" s="27"/>
      <c r="G606" s="25"/>
      <c r="J606" s="25"/>
      <c r="K606" s="25"/>
      <c r="L606" s="25"/>
      <c r="M606" s="25"/>
      <c r="V606" s="28"/>
      <c r="W606" s="25"/>
    </row>
    <row r="607" spans="1:23" ht="15.75" customHeight="1" x14ac:dyDescent="0.25">
      <c r="A607" s="25"/>
      <c r="C607" s="26"/>
      <c r="D607" s="27"/>
      <c r="G607" s="25"/>
      <c r="J607" s="25"/>
      <c r="K607" s="25"/>
      <c r="L607" s="25"/>
      <c r="M607" s="25"/>
      <c r="V607" s="28"/>
      <c r="W607" s="25"/>
    </row>
    <row r="608" spans="1:23" ht="15.75" customHeight="1" x14ac:dyDescent="0.25">
      <c r="A608" s="25"/>
      <c r="C608" s="26"/>
      <c r="D608" s="27"/>
      <c r="G608" s="25"/>
      <c r="J608" s="25"/>
      <c r="K608" s="25"/>
      <c r="L608" s="25"/>
      <c r="M608" s="25"/>
      <c r="V608" s="28"/>
      <c r="W608" s="25"/>
    </row>
    <row r="609" spans="1:23" ht="15.75" customHeight="1" x14ac:dyDescent="0.25">
      <c r="A609" s="25"/>
      <c r="C609" s="26"/>
      <c r="D609" s="27"/>
      <c r="G609" s="25"/>
      <c r="J609" s="25"/>
      <c r="K609" s="25"/>
      <c r="L609" s="25"/>
      <c r="M609" s="25"/>
      <c r="V609" s="28"/>
      <c r="W609" s="25"/>
    </row>
    <row r="610" spans="1:23" ht="15.75" customHeight="1" x14ac:dyDescent="0.25">
      <c r="A610" s="25"/>
      <c r="C610" s="26"/>
      <c r="D610" s="27"/>
      <c r="G610" s="25"/>
      <c r="J610" s="25"/>
      <c r="K610" s="25"/>
      <c r="L610" s="25"/>
      <c r="M610" s="25"/>
      <c r="V610" s="28"/>
      <c r="W610" s="25"/>
    </row>
    <row r="611" spans="1:23" ht="15.75" customHeight="1" x14ac:dyDescent="0.25">
      <c r="A611" s="25"/>
      <c r="C611" s="26"/>
      <c r="D611" s="27"/>
      <c r="G611" s="25"/>
      <c r="J611" s="25"/>
      <c r="K611" s="25"/>
      <c r="L611" s="25"/>
      <c r="M611" s="25"/>
      <c r="V611" s="28"/>
      <c r="W611" s="25"/>
    </row>
    <row r="612" spans="1:23" ht="15.75" customHeight="1" x14ac:dyDescent="0.25">
      <c r="A612" s="25"/>
      <c r="C612" s="26"/>
      <c r="D612" s="27"/>
      <c r="G612" s="25"/>
      <c r="J612" s="25"/>
      <c r="K612" s="25"/>
      <c r="L612" s="25"/>
      <c r="M612" s="25"/>
      <c r="V612" s="28"/>
      <c r="W612" s="25"/>
    </row>
    <row r="613" spans="1:23" ht="15.75" customHeight="1" x14ac:dyDescent="0.25">
      <c r="A613" s="25"/>
      <c r="C613" s="26"/>
      <c r="D613" s="27"/>
      <c r="G613" s="25"/>
      <c r="J613" s="25"/>
      <c r="K613" s="25"/>
      <c r="L613" s="25"/>
      <c r="M613" s="25"/>
      <c r="V613" s="28"/>
      <c r="W613" s="25"/>
    </row>
    <row r="614" spans="1:23" ht="15.75" customHeight="1" x14ac:dyDescent="0.25">
      <c r="A614" s="25"/>
      <c r="C614" s="26"/>
      <c r="D614" s="27"/>
      <c r="G614" s="25"/>
      <c r="J614" s="25"/>
      <c r="K614" s="25"/>
      <c r="L614" s="25"/>
      <c r="M614" s="25"/>
      <c r="V614" s="28"/>
      <c r="W614" s="25"/>
    </row>
    <row r="615" spans="1:23" ht="15.75" customHeight="1" x14ac:dyDescent="0.25">
      <c r="A615" s="25"/>
      <c r="C615" s="26"/>
      <c r="D615" s="27"/>
      <c r="G615" s="25"/>
      <c r="J615" s="25"/>
      <c r="K615" s="25"/>
      <c r="L615" s="25"/>
      <c r="M615" s="25"/>
      <c r="V615" s="28"/>
      <c r="W615" s="25"/>
    </row>
    <row r="616" spans="1:23" ht="15.75" customHeight="1" x14ac:dyDescent="0.25">
      <c r="A616" s="25"/>
      <c r="C616" s="26"/>
      <c r="D616" s="27"/>
      <c r="G616" s="25"/>
      <c r="J616" s="25"/>
      <c r="K616" s="25"/>
      <c r="L616" s="25"/>
      <c r="M616" s="25"/>
      <c r="V616" s="28"/>
      <c r="W616" s="25"/>
    </row>
    <row r="617" spans="1:23" ht="15.75" customHeight="1" x14ac:dyDescent="0.25">
      <c r="A617" s="25"/>
      <c r="C617" s="26"/>
      <c r="D617" s="27"/>
      <c r="G617" s="25"/>
      <c r="J617" s="25"/>
      <c r="K617" s="25"/>
      <c r="L617" s="25"/>
      <c r="M617" s="25"/>
      <c r="V617" s="28"/>
      <c r="W617" s="25"/>
    </row>
    <row r="618" spans="1:23" ht="15.75" customHeight="1" x14ac:dyDescent="0.25">
      <c r="A618" s="25"/>
      <c r="C618" s="26"/>
      <c r="D618" s="27"/>
      <c r="G618" s="25"/>
      <c r="J618" s="25"/>
      <c r="K618" s="25"/>
      <c r="L618" s="25"/>
      <c r="M618" s="25"/>
      <c r="V618" s="28"/>
      <c r="W618" s="25"/>
    </row>
    <row r="619" spans="1:23" ht="15.75" customHeight="1" x14ac:dyDescent="0.25">
      <c r="A619" s="25"/>
      <c r="C619" s="26"/>
      <c r="D619" s="27"/>
      <c r="G619" s="25"/>
      <c r="J619" s="25"/>
      <c r="K619" s="25"/>
      <c r="L619" s="25"/>
      <c r="M619" s="25"/>
      <c r="V619" s="28"/>
      <c r="W619" s="25"/>
    </row>
    <row r="620" spans="1:23" ht="15.75" customHeight="1" x14ac:dyDescent="0.25">
      <c r="A620" s="25"/>
      <c r="C620" s="26"/>
      <c r="D620" s="27"/>
      <c r="G620" s="25"/>
      <c r="J620" s="25"/>
      <c r="K620" s="25"/>
      <c r="L620" s="25"/>
      <c r="M620" s="25"/>
      <c r="V620" s="28"/>
      <c r="W620" s="25"/>
    </row>
    <row r="621" spans="1:23" ht="15.75" customHeight="1" x14ac:dyDescent="0.25">
      <c r="A621" s="25"/>
      <c r="C621" s="26"/>
      <c r="D621" s="27"/>
      <c r="G621" s="25"/>
      <c r="J621" s="25"/>
      <c r="K621" s="25"/>
      <c r="L621" s="25"/>
      <c r="M621" s="25"/>
      <c r="V621" s="28"/>
      <c r="W621" s="25"/>
    </row>
    <row r="622" spans="1:23" ht="15.75" customHeight="1" x14ac:dyDescent="0.25">
      <c r="A622" s="25"/>
      <c r="C622" s="26"/>
      <c r="D622" s="27"/>
      <c r="G622" s="25"/>
      <c r="J622" s="25"/>
      <c r="K622" s="25"/>
      <c r="L622" s="25"/>
      <c r="M622" s="25"/>
      <c r="V622" s="28"/>
      <c r="W622" s="25"/>
    </row>
    <row r="623" spans="1:23" ht="15.75" customHeight="1" x14ac:dyDescent="0.25">
      <c r="A623" s="25"/>
      <c r="C623" s="26"/>
      <c r="D623" s="27"/>
      <c r="G623" s="25"/>
      <c r="J623" s="25"/>
      <c r="K623" s="25"/>
      <c r="L623" s="25"/>
      <c r="M623" s="25"/>
      <c r="V623" s="28"/>
      <c r="W623" s="25"/>
    </row>
    <row r="624" spans="1:23" ht="15.75" customHeight="1" x14ac:dyDescent="0.25">
      <c r="A624" s="25"/>
      <c r="C624" s="26"/>
      <c r="D624" s="27"/>
      <c r="G624" s="25"/>
      <c r="J624" s="25"/>
      <c r="K624" s="25"/>
      <c r="L624" s="25"/>
      <c r="M624" s="25"/>
      <c r="V624" s="28"/>
      <c r="W624" s="25"/>
    </row>
    <row r="625" spans="1:23" ht="15.75" customHeight="1" x14ac:dyDescent="0.25">
      <c r="A625" s="25"/>
      <c r="C625" s="26"/>
      <c r="D625" s="27"/>
      <c r="G625" s="25"/>
      <c r="J625" s="25"/>
      <c r="K625" s="25"/>
      <c r="L625" s="25"/>
      <c r="M625" s="25"/>
      <c r="V625" s="28"/>
      <c r="W625" s="25"/>
    </row>
    <row r="626" spans="1:23" ht="15.75" customHeight="1" x14ac:dyDescent="0.25">
      <c r="A626" s="25"/>
      <c r="C626" s="26"/>
      <c r="D626" s="27"/>
      <c r="G626" s="25"/>
      <c r="J626" s="25"/>
      <c r="K626" s="25"/>
      <c r="L626" s="25"/>
      <c r="M626" s="25"/>
      <c r="V626" s="28"/>
      <c r="W626" s="25"/>
    </row>
    <row r="627" spans="1:23" ht="15.75" customHeight="1" x14ac:dyDescent="0.25">
      <c r="A627" s="25"/>
      <c r="C627" s="26"/>
      <c r="D627" s="27"/>
      <c r="G627" s="25"/>
      <c r="J627" s="25"/>
      <c r="K627" s="25"/>
      <c r="L627" s="25"/>
      <c r="M627" s="25"/>
      <c r="V627" s="28"/>
      <c r="W627" s="25"/>
    </row>
    <row r="628" spans="1:23" ht="15.75" customHeight="1" x14ac:dyDescent="0.25">
      <c r="A628" s="25"/>
      <c r="C628" s="26"/>
      <c r="D628" s="27"/>
      <c r="G628" s="25"/>
      <c r="J628" s="25"/>
      <c r="K628" s="25"/>
      <c r="L628" s="25"/>
      <c r="M628" s="25"/>
      <c r="V628" s="28"/>
      <c r="W628" s="25"/>
    </row>
    <row r="629" spans="1:23" ht="15.75" customHeight="1" x14ac:dyDescent="0.25">
      <c r="A629" s="25"/>
      <c r="C629" s="26"/>
      <c r="D629" s="27"/>
      <c r="G629" s="25"/>
      <c r="J629" s="25"/>
      <c r="K629" s="25"/>
      <c r="L629" s="25"/>
      <c r="M629" s="25"/>
      <c r="V629" s="28"/>
      <c r="W629" s="25"/>
    </row>
    <row r="630" spans="1:23" ht="15.75" customHeight="1" x14ac:dyDescent="0.25">
      <c r="A630" s="25"/>
      <c r="C630" s="26"/>
      <c r="D630" s="27"/>
      <c r="G630" s="25"/>
      <c r="J630" s="25"/>
      <c r="K630" s="25"/>
      <c r="L630" s="25"/>
      <c r="M630" s="25"/>
      <c r="V630" s="28"/>
      <c r="W630" s="25"/>
    </row>
    <row r="631" spans="1:23" ht="15.75" customHeight="1" x14ac:dyDescent="0.25">
      <c r="A631" s="25"/>
      <c r="C631" s="26"/>
      <c r="D631" s="27"/>
      <c r="G631" s="25"/>
      <c r="J631" s="25"/>
      <c r="K631" s="25"/>
      <c r="L631" s="25"/>
      <c r="M631" s="25"/>
      <c r="V631" s="28"/>
      <c r="W631" s="25"/>
    </row>
    <row r="632" spans="1:23" ht="15.75" customHeight="1" x14ac:dyDescent="0.25">
      <c r="A632" s="25"/>
      <c r="C632" s="26"/>
      <c r="D632" s="27"/>
      <c r="G632" s="25"/>
      <c r="J632" s="25"/>
      <c r="K632" s="25"/>
      <c r="L632" s="25"/>
      <c r="M632" s="25"/>
      <c r="V632" s="28"/>
      <c r="W632" s="25"/>
    </row>
    <row r="633" spans="1:23" ht="15.75" customHeight="1" x14ac:dyDescent="0.25">
      <c r="A633" s="25"/>
      <c r="C633" s="26"/>
      <c r="D633" s="27"/>
      <c r="G633" s="25"/>
      <c r="J633" s="25"/>
      <c r="K633" s="25"/>
      <c r="L633" s="25"/>
      <c r="M633" s="25"/>
      <c r="V633" s="28"/>
      <c r="W633" s="25"/>
    </row>
    <row r="634" spans="1:23" ht="15.75" customHeight="1" x14ac:dyDescent="0.25">
      <c r="A634" s="25"/>
      <c r="C634" s="26"/>
      <c r="D634" s="27"/>
      <c r="G634" s="25"/>
      <c r="J634" s="25"/>
      <c r="K634" s="25"/>
      <c r="L634" s="25"/>
      <c r="M634" s="25"/>
      <c r="V634" s="28"/>
      <c r="W634" s="25"/>
    </row>
    <row r="635" spans="1:23" ht="15.75" customHeight="1" x14ac:dyDescent="0.25">
      <c r="A635" s="25"/>
      <c r="C635" s="26"/>
      <c r="D635" s="27"/>
      <c r="G635" s="25"/>
      <c r="J635" s="25"/>
      <c r="K635" s="25"/>
      <c r="L635" s="25"/>
      <c r="M635" s="25"/>
      <c r="V635" s="28"/>
      <c r="W635" s="25"/>
    </row>
    <row r="636" spans="1:23" ht="15.75" customHeight="1" x14ac:dyDescent="0.25">
      <c r="A636" s="25"/>
      <c r="C636" s="26"/>
      <c r="D636" s="27"/>
      <c r="G636" s="25"/>
      <c r="J636" s="25"/>
      <c r="K636" s="25"/>
      <c r="L636" s="25"/>
      <c r="M636" s="25"/>
      <c r="V636" s="28"/>
      <c r="W636" s="25"/>
    </row>
    <row r="637" spans="1:23" ht="15.75" customHeight="1" x14ac:dyDescent="0.25">
      <c r="A637" s="25"/>
      <c r="C637" s="26"/>
      <c r="D637" s="27"/>
      <c r="G637" s="25"/>
      <c r="J637" s="25"/>
      <c r="K637" s="25"/>
      <c r="L637" s="25"/>
      <c r="M637" s="25"/>
      <c r="V637" s="28"/>
      <c r="W637" s="25"/>
    </row>
    <row r="638" spans="1:23" ht="15.75" customHeight="1" x14ac:dyDescent="0.25">
      <c r="A638" s="25"/>
      <c r="C638" s="26"/>
      <c r="D638" s="27"/>
      <c r="G638" s="25"/>
      <c r="J638" s="25"/>
      <c r="K638" s="25"/>
      <c r="L638" s="25"/>
      <c r="M638" s="25"/>
      <c r="V638" s="28"/>
      <c r="W638" s="25"/>
    </row>
    <row r="639" spans="1:23" ht="15.75" customHeight="1" x14ac:dyDescent="0.25">
      <c r="A639" s="25"/>
      <c r="C639" s="26"/>
      <c r="D639" s="27"/>
      <c r="G639" s="25"/>
      <c r="J639" s="25"/>
      <c r="K639" s="25"/>
      <c r="L639" s="25"/>
      <c r="M639" s="25"/>
      <c r="V639" s="28"/>
      <c r="W639" s="25"/>
    </row>
    <row r="640" spans="1:23" ht="15.75" customHeight="1" x14ac:dyDescent="0.25">
      <c r="A640" s="25"/>
      <c r="C640" s="26"/>
      <c r="D640" s="27"/>
      <c r="G640" s="25"/>
      <c r="J640" s="25"/>
      <c r="K640" s="25"/>
      <c r="L640" s="25"/>
      <c r="M640" s="25"/>
      <c r="V640" s="28"/>
      <c r="W640" s="25"/>
    </row>
    <row r="641" spans="1:23" ht="15.75" customHeight="1" x14ac:dyDescent="0.25">
      <c r="A641" s="25"/>
      <c r="C641" s="26"/>
      <c r="D641" s="27"/>
      <c r="G641" s="25"/>
      <c r="J641" s="25"/>
      <c r="K641" s="25"/>
      <c r="L641" s="25"/>
      <c r="M641" s="25"/>
      <c r="V641" s="28"/>
      <c r="W641" s="25"/>
    </row>
    <row r="642" spans="1:23" ht="15.75" customHeight="1" x14ac:dyDescent="0.25">
      <c r="A642" s="25"/>
      <c r="C642" s="26"/>
      <c r="D642" s="27"/>
      <c r="G642" s="25"/>
      <c r="J642" s="25"/>
      <c r="K642" s="25"/>
      <c r="L642" s="25"/>
      <c r="M642" s="25"/>
      <c r="V642" s="28"/>
      <c r="W642" s="25"/>
    </row>
    <row r="643" spans="1:23" ht="15.75" customHeight="1" x14ac:dyDescent="0.25">
      <c r="A643" s="25"/>
      <c r="C643" s="26"/>
      <c r="D643" s="27"/>
      <c r="G643" s="25"/>
      <c r="J643" s="25"/>
      <c r="K643" s="25"/>
      <c r="L643" s="25"/>
      <c r="M643" s="25"/>
      <c r="V643" s="28"/>
      <c r="W643" s="25"/>
    </row>
    <row r="644" spans="1:23" ht="15.75" customHeight="1" x14ac:dyDescent="0.25">
      <c r="A644" s="25"/>
      <c r="C644" s="26"/>
      <c r="D644" s="27"/>
      <c r="G644" s="25"/>
      <c r="J644" s="25"/>
      <c r="K644" s="25"/>
      <c r="L644" s="25"/>
      <c r="M644" s="25"/>
      <c r="V644" s="28"/>
      <c r="W644" s="25"/>
    </row>
    <row r="645" spans="1:23" ht="15.75" customHeight="1" x14ac:dyDescent="0.25">
      <c r="A645" s="25"/>
      <c r="C645" s="26"/>
      <c r="D645" s="27"/>
      <c r="G645" s="25"/>
      <c r="J645" s="25"/>
      <c r="K645" s="25"/>
      <c r="L645" s="25"/>
      <c r="M645" s="25"/>
      <c r="V645" s="28"/>
      <c r="W645" s="25"/>
    </row>
    <row r="646" spans="1:23" ht="15.75" customHeight="1" x14ac:dyDescent="0.25">
      <c r="A646" s="25"/>
      <c r="C646" s="26"/>
      <c r="D646" s="27"/>
      <c r="G646" s="25"/>
      <c r="J646" s="25"/>
      <c r="K646" s="25"/>
      <c r="L646" s="25"/>
      <c r="M646" s="25"/>
      <c r="V646" s="28"/>
      <c r="W646" s="25"/>
    </row>
    <row r="647" spans="1:23" ht="15.75" customHeight="1" x14ac:dyDescent="0.25">
      <c r="A647" s="25"/>
      <c r="C647" s="26"/>
      <c r="D647" s="27"/>
      <c r="G647" s="25"/>
      <c r="J647" s="25"/>
      <c r="K647" s="25"/>
      <c r="L647" s="25"/>
      <c r="M647" s="25"/>
      <c r="V647" s="28"/>
      <c r="W647" s="25"/>
    </row>
    <row r="648" spans="1:23" ht="15.75" customHeight="1" x14ac:dyDescent="0.25">
      <c r="A648" s="25"/>
      <c r="C648" s="26"/>
      <c r="D648" s="27"/>
      <c r="G648" s="25"/>
      <c r="J648" s="25"/>
      <c r="K648" s="25"/>
      <c r="L648" s="25"/>
      <c r="M648" s="25"/>
      <c r="V648" s="28"/>
      <c r="W648" s="25"/>
    </row>
    <row r="649" spans="1:23" ht="15.75" customHeight="1" x14ac:dyDescent="0.25">
      <c r="A649" s="25"/>
      <c r="C649" s="26"/>
      <c r="D649" s="27"/>
      <c r="G649" s="25"/>
      <c r="J649" s="25"/>
      <c r="K649" s="25"/>
      <c r="L649" s="25"/>
      <c r="M649" s="25"/>
      <c r="V649" s="28"/>
      <c r="W649" s="25"/>
    </row>
    <row r="650" spans="1:23" ht="15.75" customHeight="1" x14ac:dyDescent="0.25">
      <c r="A650" s="25"/>
      <c r="C650" s="26"/>
      <c r="D650" s="27"/>
      <c r="G650" s="25"/>
      <c r="J650" s="25"/>
      <c r="K650" s="25"/>
      <c r="L650" s="25"/>
      <c r="M650" s="25"/>
      <c r="V650" s="28"/>
      <c r="W650" s="25"/>
    </row>
    <row r="651" spans="1:23" ht="15.75" customHeight="1" x14ac:dyDescent="0.25">
      <c r="A651" s="25"/>
      <c r="C651" s="26"/>
      <c r="D651" s="27"/>
      <c r="G651" s="25"/>
      <c r="J651" s="25"/>
      <c r="K651" s="25"/>
      <c r="L651" s="25"/>
      <c r="M651" s="25"/>
      <c r="V651" s="28"/>
      <c r="W651" s="25"/>
    </row>
    <row r="652" spans="1:23" ht="15.75" customHeight="1" x14ac:dyDescent="0.25">
      <c r="A652" s="25"/>
      <c r="C652" s="26"/>
      <c r="D652" s="27"/>
      <c r="G652" s="25"/>
      <c r="J652" s="25"/>
      <c r="K652" s="25"/>
      <c r="L652" s="25"/>
      <c r="M652" s="25"/>
      <c r="V652" s="28"/>
      <c r="W652" s="25"/>
    </row>
    <row r="653" spans="1:23" ht="15.75" customHeight="1" x14ac:dyDescent="0.25">
      <c r="A653" s="25"/>
      <c r="C653" s="26"/>
      <c r="D653" s="27"/>
      <c r="G653" s="25"/>
      <c r="J653" s="25"/>
      <c r="K653" s="25"/>
      <c r="L653" s="25"/>
      <c r="M653" s="25"/>
      <c r="V653" s="28"/>
      <c r="W653" s="25"/>
    </row>
    <row r="654" spans="1:23" ht="15.75" customHeight="1" x14ac:dyDescent="0.25">
      <c r="A654" s="25"/>
      <c r="C654" s="26"/>
      <c r="D654" s="27"/>
      <c r="G654" s="25"/>
      <c r="J654" s="25"/>
      <c r="K654" s="25"/>
      <c r="L654" s="25"/>
      <c r="M654" s="25"/>
      <c r="V654" s="28"/>
      <c r="W654" s="25"/>
    </row>
    <row r="655" spans="1:23" ht="15.75" customHeight="1" x14ac:dyDescent="0.25">
      <c r="A655" s="25"/>
      <c r="C655" s="26"/>
      <c r="D655" s="27"/>
      <c r="G655" s="25"/>
      <c r="J655" s="25"/>
      <c r="K655" s="25"/>
      <c r="L655" s="25"/>
      <c r="M655" s="25"/>
      <c r="V655" s="28"/>
      <c r="W655" s="25"/>
    </row>
    <row r="656" spans="1:23" ht="15.75" customHeight="1" x14ac:dyDescent="0.25">
      <c r="A656" s="25"/>
      <c r="C656" s="26"/>
      <c r="D656" s="27"/>
      <c r="G656" s="25"/>
      <c r="J656" s="25"/>
      <c r="K656" s="25"/>
      <c r="L656" s="25"/>
      <c r="M656" s="25"/>
      <c r="V656" s="28"/>
      <c r="W656" s="25"/>
    </row>
    <row r="657" spans="1:23" ht="15.75" customHeight="1" x14ac:dyDescent="0.25">
      <c r="A657" s="25"/>
      <c r="C657" s="26"/>
      <c r="D657" s="27"/>
      <c r="G657" s="25"/>
      <c r="J657" s="25"/>
      <c r="K657" s="25"/>
      <c r="L657" s="25"/>
      <c r="M657" s="25"/>
      <c r="V657" s="28"/>
      <c r="W657" s="25"/>
    </row>
    <row r="658" spans="1:23" ht="15.75" customHeight="1" x14ac:dyDescent="0.25">
      <c r="A658" s="25"/>
      <c r="C658" s="26"/>
      <c r="D658" s="27"/>
      <c r="G658" s="25"/>
      <c r="J658" s="25"/>
      <c r="K658" s="25"/>
      <c r="L658" s="25"/>
      <c r="M658" s="25"/>
      <c r="V658" s="28"/>
      <c r="W658" s="25"/>
    </row>
    <row r="659" spans="1:23" ht="15.75" customHeight="1" x14ac:dyDescent="0.25">
      <c r="A659" s="25"/>
      <c r="C659" s="26"/>
      <c r="D659" s="27"/>
      <c r="G659" s="25"/>
      <c r="J659" s="25"/>
      <c r="K659" s="25"/>
      <c r="L659" s="25"/>
      <c r="M659" s="25"/>
      <c r="V659" s="28"/>
      <c r="W659" s="25"/>
    </row>
    <row r="660" spans="1:23" ht="15.75" customHeight="1" x14ac:dyDescent="0.25">
      <c r="A660" s="25"/>
      <c r="C660" s="26"/>
      <c r="D660" s="27"/>
      <c r="G660" s="25"/>
      <c r="J660" s="25"/>
      <c r="K660" s="25"/>
      <c r="L660" s="25"/>
      <c r="M660" s="25"/>
      <c r="V660" s="28"/>
      <c r="W660" s="25"/>
    </row>
    <row r="661" spans="1:23" ht="15.75" customHeight="1" x14ac:dyDescent="0.25">
      <c r="A661" s="25"/>
      <c r="C661" s="26"/>
      <c r="D661" s="27"/>
      <c r="G661" s="25"/>
      <c r="J661" s="25"/>
      <c r="K661" s="25"/>
      <c r="L661" s="25"/>
      <c r="M661" s="25"/>
      <c r="V661" s="28"/>
      <c r="W661" s="25"/>
    </row>
    <row r="662" spans="1:23" ht="15.75" customHeight="1" x14ac:dyDescent="0.25">
      <c r="A662" s="25"/>
      <c r="C662" s="26"/>
      <c r="D662" s="27"/>
      <c r="G662" s="25"/>
      <c r="J662" s="25"/>
      <c r="K662" s="25"/>
      <c r="L662" s="25"/>
      <c r="M662" s="25"/>
      <c r="V662" s="28"/>
      <c r="W662" s="25"/>
    </row>
    <row r="663" spans="1:23" ht="15.75" customHeight="1" x14ac:dyDescent="0.25">
      <c r="A663" s="25"/>
      <c r="C663" s="26"/>
      <c r="D663" s="27"/>
      <c r="G663" s="25"/>
      <c r="J663" s="25"/>
      <c r="K663" s="25"/>
      <c r="L663" s="25"/>
      <c r="M663" s="25"/>
      <c r="V663" s="28"/>
      <c r="W663" s="25"/>
    </row>
    <row r="664" spans="1:23" ht="15.75" customHeight="1" x14ac:dyDescent="0.25">
      <c r="A664" s="25"/>
      <c r="C664" s="26"/>
      <c r="D664" s="27"/>
      <c r="G664" s="25"/>
      <c r="J664" s="25"/>
      <c r="K664" s="25"/>
      <c r="L664" s="25"/>
      <c r="M664" s="25"/>
      <c r="V664" s="28"/>
      <c r="W664" s="25"/>
    </row>
    <row r="665" spans="1:23" ht="15.75" customHeight="1" x14ac:dyDescent="0.25">
      <c r="A665" s="25"/>
      <c r="C665" s="26"/>
      <c r="D665" s="27"/>
      <c r="G665" s="25"/>
      <c r="J665" s="25"/>
      <c r="K665" s="25"/>
      <c r="L665" s="25"/>
      <c r="M665" s="25"/>
      <c r="V665" s="28"/>
      <c r="W665" s="25"/>
    </row>
    <row r="666" spans="1:23" ht="15.75" customHeight="1" x14ac:dyDescent="0.25">
      <c r="A666" s="25"/>
      <c r="C666" s="26"/>
      <c r="D666" s="27"/>
      <c r="G666" s="25"/>
      <c r="J666" s="25"/>
      <c r="K666" s="25"/>
      <c r="L666" s="25"/>
      <c r="M666" s="25"/>
      <c r="V666" s="28"/>
      <c r="W666" s="25"/>
    </row>
    <row r="667" spans="1:23" ht="15.75" customHeight="1" x14ac:dyDescent="0.25">
      <c r="A667" s="25"/>
      <c r="C667" s="26"/>
      <c r="D667" s="27"/>
      <c r="G667" s="25"/>
      <c r="J667" s="25"/>
      <c r="K667" s="25"/>
      <c r="L667" s="25"/>
      <c r="M667" s="25"/>
      <c r="V667" s="28"/>
      <c r="W667" s="25"/>
    </row>
    <row r="668" spans="1:23" ht="15.75" customHeight="1" x14ac:dyDescent="0.25">
      <c r="A668" s="25"/>
      <c r="C668" s="26"/>
      <c r="D668" s="27"/>
      <c r="G668" s="25"/>
      <c r="J668" s="25"/>
      <c r="K668" s="25"/>
      <c r="L668" s="25"/>
      <c r="M668" s="25"/>
      <c r="V668" s="28"/>
      <c r="W668" s="25"/>
    </row>
    <row r="669" spans="1:23" ht="15.75" customHeight="1" x14ac:dyDescent="0.25">
      <c r="A669" s="25"/>
      <c r="C669" s="26"/>
      <c r="D669" s="27"/>
      <c r="G669" s="25"/>
      <c r="J669" s="25"/>
      <c r="K669" s="25"/>
      <c r="L669" s="25"/>
      <c r="M669" s="25"/>
      <c r="V669" s="28"/>
      <c r="W669" s="25"/>
    </row>
    <row r="670" spans="1:23" ht="15.75" customHeight="1" x14ac:dyDescent="0.25">
      <c r="A670" s="25"/>
      <c r="C670" s="26"/>
      <c r="D670" s="27"/>
      <c r="G670" s="25"/>
      <c r="J670" s="25"/>
      <c r="K670" s="25"/>
      <c r="L670" s="25"/>
      <c r="M670" s="25"/>
      <c r="V670" s="28"/>
      <c r="W670" s="25"/>
    </row>
    <row r="671" spans="1:23" ht="15.75" customHeight="1" x14ac:dyDescent="0.25">
      <c r="A671" s="25"/>
      <c r="C671" s="26"/>
      <c r="D671" s="27"/>
      <c r="G671" s="25"/>
      <c r="J671" s="25"/>
      <c r="K671" s="25"/>
      <c r="L671" s="25"/>
      <c r="M671" s="25"/>
      <c r="V671" s="28"/>
      <c r="W671" s="25"/>
    </row>
    <row r="672" spans="1:23" ht="15.75" customHeight="1" x14ac:dyDescent="0.25">
      <c r="A672" s="25"/>
      <c r="C672" s="26"/>
      <c r="D672" s="27"/>
      <c r="G672" s="25"/>
      <c r="J672" s="25"/>
      <c r="K672" s="25"/>
      <c r="L672" s="25"/>
      <c r="M672" s="25"/>
      <c r="V672" s="28"/>
      <c r="W672" s="25"/>
    </row>
    <row r="673" spans="1:23" ht="15.75" customHeight="1" x14ac:dyDescent="0.25">
      <c r="A673" s="25"/>
      <c r="C673" s="26"/>
      <c r="D673" s="27"/>
      <c r="G673" s="25"/>
      <c r="J673" s="25"/>
      <c r="K673" s="25"/>
      <c r="L673" s="25"/>
      <c r="M673" s="25"/>
      <c r="V673" s="28"/>
      <c r="W673" s="25"/>
    </row>
    <row r="674" spans="1:23" ht="15.75" customHeight="1" x14ac:dyDescent="0.25">
      <c r="A674" s="25"/>
      <c r="C674" s="26"/>
      <c r="D674" s="27"/>
      <c r="G674" s="25"/>
      <c r="J674" s="25"/>
      <c r="K674" s="25"/>
      <c r="L674" s="25"/>
      <c r="M674" s="25"/>
      <c r="V674" s="28"/>
      <c r="W674" s="25"/>
    </row>
    <row r="675" spans="1:23" ht="15.75" customHeight="1" x14ac:dyDescent="0.25">
      <c r="A675" s="25"/>
      <c r="C675" s="26"/>
      <c r="D675" s="27"/>
      <c r="G675" s="25"/>
      <c r="J675" s="25"/>
      <c r="K675" s="25"/>
      <c r="L675" s="25"/>
      <c r="M675" s="25"/>
      <c r="V675" s="28"/>
      <c r="W675" s="25"/>
    </row>
    <row r="676" spans="1:23" ht="15.75" customHeight="1" x14ac:dyDescent="0.25">
      <c r="A676" s="25"/>
      <c r="C676" s="26"/>
      <c r="D676" s="27"/>
      <c r="G676" s="25"/>
      <c r="J676" s="25"/>
      <c r="K676" s="25"/>
      <c r="L676" s="25"/>
      <c r="M676" s="25"/>
      <c r="V676" s="28"/>
      <c r="W676" s="25"/>
    </row>
    <row r="677" spans="1:23" ht="15.75" customHeight="1" x14ac:dyDescent="0.25">
      <c r="A677" s="25"/>
      <c r="C677" s="26"/>
      <c r="D677" s="27"/>
      <c r="G677" s="25"/>
      <c r="J677" s="25"/>
      <c r="K677" s="25"/>
      <c r="L677" s="25"/>
      <c r="M677" s="25"/>
      <c r="V677" s="28"/>
      <c r="W677" s="25"/>
    </row>
    <row r="678" spans="1:23" ht="15.75" customHeight="1" x14ac:dyDescent="0.25">
      <c r="A678" s="25"/>
      <c r="C678" s="26"/>
      <c r="D678" s="27"/>
      <c r="G678" s="25"/>
      <c r="J678" s="25"/>
      <c r="K678" s="25"/>
      <c r="L678" s="25"/>
      <c r="M678" s="25"/>
      <c r="V678" s="28"/>
      <c r="W678" s="25"/>
    </row>
    <row r="679" spans="1:23" ht="15.75" customHeight="1" x14ac:dyDescent="0.25">
      <c r="A679" s="25"/>
      <c r="C679" s="26"/>
      <c r="D679" s="27"/>
      <c r="G679" s="25"/>
      <c r="J679" s="25"/>
      <c r="K679" s="25"/>
      <c r="L679" s="25"/>
      <c r="M679" s="25"/>
      <c r="V679" s="28"/>
      <c r="W679" s="25"/>
    </row>
    <row r="680" spans="1:23" ht="15.75" customHeight="1" x14ac:dyDescent="0.25">
      <c r="A680" s="25"/>
      <c r="C680" s="26"/>
      <c r="D680" s="27"/>
      <c r="G680" s="25"/>
      <c r="J680" s="25"/>
      <c r="K680" s="25"/>
      <c r="L680" s="25"/>
      <c r="M680" s="25"/>
      <c r="V680" s="28"/>
      <c r="W680" s="25"/>
    </row>
    <row r="681" spans="1:23" ht="15.75" customHeight="1" x14ac:dyDescent="0.25">
      <c r="A681" s="25"/>
      <c r="C681" s="26"/>
      <c r="D681" s="27"/>
      <c r="G681" s="25"/>
      <c r="J681" s="25"/>
      <c r="K681" s="25"/>
      <c r="L681" s="25"/>
      <c r="M681" s="25"/>
      <c r="V681" s="28"/>
      <c r="W681" s="25"/>
    </row>
    <row r="682" spans="1:23" ht="15.75" customHeight="1" x14ac:dyDescent="0.25">
      <c r="A682" s="25"/>
      <c r="C682" s="26"/>
      <c r="D682" s="27"/>
      <c r="G682" s="25"/>
      <c r="J682" s="25"/>
      <c r="K682" s="25"/>
      <c r="L682" s="25"/>
      <c r="M682" s="25"/>
      <c r="V682" s="28"/>
      <c r="W682" s="25"/>
    </row>
    <row r="683" spans="1:23" ht="15.75" customHeight="1" x14ac:dyDescent="0.25">
      <c r="A683" s="25"/>
      <c r="C683" s="26"/>
      <c r="D683" s="27"/>
      <c r="G683" s="25"/>
      <c r="J683" s="25"/>
      <c r="K683" s="25"/>
      <c r="L683" s="25"/>
      <c r="M683" s="25"/>
      <c r="V683" s="28"/>
      <c r="W683" s="25"/>
    </row>
    <row r="684" spans="1:23" ht="15.75" customHeight="1" x14ac:dyDescent="0.25">
      <c r="A684" s="25"/>
      <c r="C684" s="26"/>
      <c r="D684" s="27"/>
      <c r="G684" s="25"/>
      <c r="J684" s="25"/>
      <c r="K684" s="25"/>
      <c r="L684" s="25"/>
      <c r="M684" s="25"/>
      <c r="V684" s="28"/>
      <c r="W684" s="25"/>
    </row>
    <row r="685" spans="1:23" ht="15.75" customHeight="1" x14ac:dyDescent="0.25">
      <c r="A685" s="25"/>
      <c r="C685" s="26"/>
      <c r="D685" s="27"/>
      <c r="G685" s="25"/>
      <c r="J685" s="25"/>
      <c r="K685" s="25"/>
      <c r="L685" s="25"/>
      <c r="M685" s="25"/>
      <c r="V685" s="28"/>
      <c r="W685" s="25"/>
    </row>
    <row r="686" spans="1:23" ht="15.75" customHeight="1" x14ac:dyDescent="0.25">
      <c r="A686" s="25"/>
      <c r="C686" s="26"/>
      <c r="D686" s="27"/>
      <c r="G686" s="25"/>
      <c r="J686" s="25"/>
      <c r="K686" s="25"/>
      <c r="L686" s="25"/>
      <c r="M686" s="25"/>
      <c r="V686" s="28"/>
      <c r="W686" s="25"/>
    </row>
    <row r="687" spans="1:23" ht="15.75" customHeight="1" x14ac:dyDescent="0.25">
      <c r="A687" s="25"/>
      <c r="C687" s="26"/>
      <c r="D687" s="27"/>
      <c r="G687" s="25"/>
      <c r="J687" s="25"/>
      <c r="K687" s="25"/>
      <c r="L687" s="25"/>
      <c r="M687" s="25"/>
      <c r="V687" s="28"/>
      <c r="W687" s="25"/>
    </row>
    <row r="688" spans="1:23" ht="15.75" customHeight="1" x14ac:dyDescent="0.25">
      <c r="A688" s="25"/>
      <c r="C688" s="26"/>
      <c r="D688" s="27"/>
      <c r="G688" s="25"/>
      <c r="J688" s="25"/>
      <c r="K688" s="25"/>
      <c r="L688" s="25"/>
      <c r="M688" s="25"/>
      <c r="V688" s="28"/>
      <c r="W688" s="25"/>
    </row>
    <row r="689" spans="1:23" ht="15.75" customHeight="1" x14ac:dyDescent="0.25">
      <c r="A689" s="25"/>
      <c r="C689" s="26"/>
      <c r="D689" s="27"/>
      <c r="G689" s="25"/>
      <c r="J689" s="25"/>
      <c r="K689" s="25"/>
      <c r="L689" s="25"/>
      <c r="M689" s="25"/>
      <c r="V689" s="28"/>
      <c r="W689" s="25"/>
    </row>
    <row r="690" spans="1:23" ht="15.75" customHeight="1" x14ac:dyDescent="0.25">
      <c r="A690" s="25"/>
      <c r="C690" s="26"/>
      <c r="D690" s="27"/>
      <c r="G690" s="25"/>
      <c r="J690" s="25"/>
      <c r="K690" s="25"/>
      <c r="L690" s="25"/>
      <c r="M690" s="25"/>
      <c r="V690" s="28"/>
      <c r="W690" s="25"/>
    </row>
    <row r="691" spans="1:23" ht="15.75" customHeight="1" x14ac:dyDescent="0.25">
      <c r="A691" s="25"/>
      <c r="C691" s="26"/>
      <c r="D691" s="27"/>
      <c r="G691" s="25"/>
      <c r="J691" s="25"/>
      <c r="K691" s="25"/>
      <c r="L691" s="25"/>
      <c r="M691" s="25"/>
      <c r="V691" s="28"/>
      <c r="W691" s="25"/>
    </row>
    <row r="692" spans="1:23" ht="15.75" customHeight="1" x14ac:dyDescent="0.25">
      <c r="A692" s="25"/>
      <c r="C692" s="26"/>
      <c r="D692" s="27"/>
      <c r="G692" s="25"/>
      <c r="J692" s="25"/>
      <c r="K692" s="25"/>
      <c r="L692" s="25"/>
      <c r="M692" s="25"/>
      <c r="V692" s="28"/>
      <c r="W692" s="25"/>
    </row>
    <row r="693" spans="1:23" ht="15.75" customHeight="1" x14ac:dyDescent="0.25">
      <c r="A693" s="25"/>
      <c r="C693" s="26"/>
      <c r="D693" s="27"/>
      <c r="G693" s="25"/>
      <c r="J693" s="25"/>
      <c r="K693" s="25"/>
      <c r="L693" s="25"/>
      <c r="M693" s="25"/>
      <c r="V693" s="28"/>
      <c r="W693" s="25"/>
    </row>
    <row r="694" spans="1:23" ht="15.75" customHeight="1" x14ac:dyDescent="0.25">
      <c r="A694" s="25"/>
      <c r="C694" s="26"/>
      <c r="D694" s="27"/>
      <c r="G694" s="25"/>
      <c r="J694" s="25"/>
      <c r="K694" s="25"/>
      <c r="L694" s="25"/>
      <c r="M694" s="25"/>
      <c r="V694" s="28"/>
      <c r="W694" s="25"/>
    </row>
    <row r="695" spans="1:23" ht="15.75" customHeight="1" x14ac:dyDescent="0.25">
      <c r="A695" s="25"/>
      <c r="C695" s="26"/>
      <c r="D695" s="27"/>
      <c r="G695" s="25"/>
      <c r="J695" s="25"/>
      <c r="K695" s="25"/>
      <c r="L695" s="25"/>
      <c r="M695" s="25"/>
      <c r="V695" s="28"/>
      <c r="W695" s="25"/>
    </row>
    <row r="696" spans="1:23" ht="15.75" customHeight="1" x14ac:dyDescent="0.25">
      <c r="A696" s="25"/>
      <c r="C696" s="26"/>
      <c r="D696" s="27"/>
      <c r="G696" s="25"/>
      <c r="J696" s="25"/>
      <c r="K696" s="25"/>
      <c r="L696" s="25"/>
      <c r="M696" s="25"/>
      <c r="V696" s="28"/>
      <c r="W696" s="25"/>
    </row>
    <row r="697" spans="1:23" ht="15.75" customHeight="1" x14ac:dyDescent="0.25">
      <c r="A697" s="25"/>
      <c r="C697" s="26"/>
      <c r="D697" s="27"/>
      <c r="G697" s="25"/>
      <c r="J697" s="25"/>
      <c r="K697" s="25"/>
      <c r="L697" s="25"/>
      <c r="M697" s="25"/>
      <c r="V697" s="28"/>
      <c r="W697" s="25"/>
    </row>
    <row r="698" spans="1:23" ht="15.75" customHeight="1" x14ac:dyDescent="0.25">
      <c r="A698" s="25"/>
      <c r="C698" s="26"/>
      <c r="D698" s="27"/>
      <c r="G698" s="25"/>
      <c r="J698" s="25"/>
      <c r="K698" s="25"/>
      <c r="L698" s="25"/>
      <c r="M698" s="25"/>
      <c r="V698" s="28"/>
      <c r="W698" s="25"/>
    </row>
    <row r="699" spans="1:23" ht="15.75" customHeight="1" x14ac:dyDescent="0.25">
      <c r="A699" s="25"/>
      <c r="C699" s="26"/>
      <c r="D699" s="27"/>
      <c r="G699" s="25"/>
      <c r="J699" s="25"/>
      <c r="K699" s="25"/>
      <c r="L699" s="25"/>
      <c r="M699" s="25"/>
      <c r="V699" s="28"/>
      <c r="W699" s="25"/>
    </row>
    <row r="700" spans="1:23" ht="15.75" customHeight="1" x14ac:dyDescent="0.25">
      <c r="A700" s="25"/>
      <c r="C700" s="26"/>
      <c r="D700" s="27"/>
      <c r="G700" s="25"/>
      <c r="J700" s="25"/>
      <c r="K700" s="25"/>
      <c r="L700" s="25"/>
      <c r="M700" s="25"/>
      <c r="V700" s="28"/>
      <c r="W700" s="25"/>
    </row>
    <row r="701" spans="1:23" ht="15.75" customHeight="1" x14ac:dyDescent="0.25">
      <c r="A701" s="25"/>
      <c r="C701" s="26"/>
      <c r="D701" s="27"/>
      <c r="G701" s="25"/>
      <c r="J701" s="25"/>
      <c r="K701" s="25"/>
      <c r="L701" s="25"/>
      <c r="M701" s="25"/>
      <c r="V701" s="28"/>
      <c r="W701" s="25"/>
    </row>
    <row r="702" spans="1:23" ht="15.75" customHeight="1" x14ac:dyDescent="0.25">
      <c r="A702" s="25"/>
      <c r="C702" s="26"/>
      <c r="D702" s="27"/>
      <c r="G702" s="25"/>
      <c r="J702" s="25"/>
      <c r="K702" s="25"/>
      <c r="L702" s="25"/>
      <c r="M702" s="25"/>
      <c r="V702" s="28"/>
      <c r="W702" s="25"/>
    </row>
    <row r="703" spans="1:23" ht="15.75" customHeight="1" x14ac:dyDescent="0.25">
      <c r="A703" s="25"/>
      <c r="C703" s="26"/>
      <c r="D703" s="27"/>
      <c r="G703" s="25"/>
      <c r="J703" s="25"/>
      <c r="K703" s="25"/>
      <c r="L703" s="25"/>
      <c r="M703" s="25"/>
      <c r="V703" s="28"/>
      <c r="W703" s="25"/>
    </row>
    <row r="704" spans="1:23" ht="15.75" customHeight="1" x14ac:dyDescent="0.25">
      <c r="A704" s="25"/>
      <c r="C704" s="26"/>
      <c r="D704" s="27"/>
      <c r="G704" s="25"/>
      <c r="J704" s="25"/>
      <c r="K704" s="25"/>
      <c r="L704" s="25"/>
      <c r="M704" s="25"/>
      <c r="V704" s="28"/>
      <c r="W704" s="25"/>
    </row>
    <row r="705" spans="1:23" ht="15.75" customHeight="1" x14ac:dyDescent="0.25">
      <c r="A705" s="25"/>
      <c r="C705" s="26"/>
      <c r="D705" s="27"/>
      <c r="G705" s="25"/>
      <c r="J705" s="25"/>
      <c r="K705" s="25"/>
      <c r="L705" s="25"/>
      <c r="M705" s="25"/>
      <c r="V705" s="28"/>
      <c r="W705" s="25"/>
    </row>
    <row r="706" spans="1:23" ht="15.75" customHeight="1" x14ac:dyDescent="0.25">
      <c r="A706" s="25"/>
      <c r="C706" s="26"/>
      <c r="D706" s="27"/>
      <c r="G706" s="25"/>
      <c r="J706" s="25"/>
      <c r="K706" s="25"/>
      <c r="L706" s="25"/>
      <c r="M706" s="25"/>
      <c r="V706" s="28"/>
      <c r="W706" s="25"/>
    </row>
    <row r="707" spans="1:23" ht="15.75" customHeight="1" x14ac:dyDescent="0.25">
      <c r="A707" s="25"/>
      <c r="C707" s="26"/>
      <c r="D707" s="27"/>
      <c r="G707" s="25"/>
      <c r="J707" s="25"/>
      <c r="K707" s="25"/>
      <c r="L707" s="25"/>
      <c r="M707" s="25"/>
      <c r="V707" s="28"/>
      <c r="W707" s="25"/>
    </row>
    <row r="708" spans="1:23" ht="15.75" customHeight="1" x14ac:dyDescent="0.25">
      <c r="A708" s="25"/>
      <c r="C708" s="26"/>
      <c r="D708" s="27"/>
      <c r="G708" s="25"/>
      <c r="J708" s="25"/>
      <c r="K708" s="25"/>
      <c r="L708" s="25"/>
      <c r="M708" s="25"/>
      <c r="V708" s="28"/>
      <c r="W708" s="25"/>
    </row>
    <row r="709" spans="1:23" ht="15.75" customHeight="1" x14ac:dyDescent="0.25">
      <c r="A709" s="25"/>
      <c r="C709" s="26"/>
      <c r="D709" s="27"/>
      <c r="G709" s="25"/>
      <c r="J709" s="25"/>
      <c r="K709" s="25"/>
      <c r="L709" s="25"/>
      <c r="M709" s="25"/>
      <c r="V709" s="28"/>
      <c r="W709" s="25"/>
    </row>
    <row r="710" spans="1:23" ht="15.75" customHeight="1" x14ac:dyDescent="0.25">
      <c r="A710" s="25"/>
      <c r="C710" s="26"/>
      <c r="D710" s="27"/>
      <c r="G710" s="25"/>
      <c r="J710" s="25"/>
      <c r="K710" s="25"/>
      <c r="L710" s="25"/>
      <c r="M710" s="25"/>
      <c r="V710" s="28"/>
      <c r="W710" s="25"/>
    </row>
    <row r="711" spans="1:23" ht="15.75" customHeight="1" x14ac:dyDescent="0.25">
      <c r="A711" s="25"/>
      <c r="C711" s="26"/>
      <c r="D711" s="27"/>
      <c r="G711" s="25"/>
      <c r="J711" s="25"/>
      <c r="K711" s="25"/>
      <c r="L711" s="25"/>
      <c r="M711" s="25"/>
      <c r="V711" s="28"/>
      <c r="W711" s="25"/>
    </row>
    <row r="712" spans="1:23" ht="15.75" customHeight="1" x14ac:dyDescent="0.25">
      <c r="A712" s="25"/>
      <c r="C712" s="26"/>
      <c r="D712" s="27"/>
      <c r="G712" s="25"/>
      <c r="J712" s="25"/>
      <c r="K712" s="25"/>
      <c r="L712" s="25"/>
      <c r="M712" s="25"/>
      <c r="V712" s="28"/>
      <c r="W712" s="25"/>
    </row>
    <row r="713" spans="1:23" ht="15.75" customHeight="1" x14ac:dyDescent="0.25">
      <c r="A713" s="25"/>
      <c r="C713" s="26"/>
      <c r="D713" s="27"/>
      <c r="G713" s="25"/>
      <c r="J713" s="25"/>
      <c r="K713" s="25"/>
      <c r="L713" s="25"/>
      <c r="M713" s="25"/>
      <c r="V713" s="28"/>
      <c r="W713" s="25"/>
    </row>
    <row r="714" spans="1:23" ht="15.75" customHeight="1" x14ac:dyDescent="0.25">
      <c r="A714" s="25"/>
      <c r="C714" s="26"/>
      <c r="D714" s="27"/>
      <c r="G714" s="25"/>
      <c r="J714" s="25"/>
      <c r="K714" s="25"/>
      <c r="L714" s="25"/>
      <c r="M714" s="25"/>
      <c r="V714" s="28"/>
      <c r="W714" s="25"/>
    </row>
    <row r="715" spans="1:23" ht="15.75" customHeight="1" x14ac:dyDescent="0.25">
      <c r="A715" s="25"/>
      <c r="C715" s="26"/>
      <c r="D715" s="27"/>
      <c r="G715" s="25"/>
      <c r="J715" s="25"/>
      <c r="K715" s="25"/>
      <c r="L715" s="25"/>
      <c r="M715" s="25"/>
      <c r="V715" s="28"/>
      <c r="W715" s="25"/>
    </row>
    <row r="716" spans="1:23" ht="15.75" customHeight="1" x14ac:dyDescent="0.25">
      <c r="A716" s="25"/>
      <c r="C716" s="26"/>
      <c r="D716" s="27"/>
      <c r="G716" s="25"/>
      <c r="J716" s="25"/>
      <c r="K716" s="25"/>
      <c r="L716" s="25"/>
      <c r="M716" s="25"/>
      <c r="V716" s="28"/>
      <c r="W716" s="25"/>
    </row>
    <row r="717" spans="1:23" ht="15.75" customHeight="1" x14ac:dyDescent="0.25">
      <c r="A717" s="25"/>
      <c r="C717" s="26"/>
      <c r="D717" s="27"/>
      <c r="G717" s="25"/>
      <c r="J717" s="25"/>
      <c r="K717" s="25"/>
      <c r="L717" s="25"/>
      <c r="M717" s="25"/>
      <c r="V717" s="28"/>
      <c r="W717" s="25"/>
    </row>
    <row r="718" spans="1:23" ht="15.75" customHeight="1" x14ac:dyDescent="0.25">
      <c r="A718" s="25"/>
      <c r="C718" s="26"/>
      <c r="D718" s="27"/>
      <c r="G718" s="25"/>
      <c r="J718" s="25"/>
      <c r="K718" s="25"/>
      <c r="L718" s="25"/>
      <c r="M718" s="25"/>
      <c r="V718" s="28"/>
      <c r="W718" s="25"/>
    </row>
    <row r="719" spans="1:23" ht="15.75" customHeight="1" x14ac:dyDescent="0.25">
      <c r="A719" s="25"/>
      <c r="C719" s="26"/>
      <c r="D719" s="27"/>
      <c r="G719" s="25"/>
      <c r="J719" s="25"/>
      <c r="K719" s="25"/>
      <c r="L719" s="25"/>
      <c r="M719" s="25"/>
      <c r="V719" s="28"/>
      <c r="W719" s="25"/>
    </row>
    <row r="720" spans="1:23" ht="15.75" customHeight="1" x14ac:dyDescent="0.25">
      <c r="A720" s="25"/>
      <c r="C720" s="26"/>
      <c r="D720" s="27"/>
      <c r="G720" s="25"/>
      <c r="J720" s="25"/>
      <c r="K720" s="25"/>
      <c r="L720" s="25"/>
      <c r="M720" s="25"/>
      <c r="V720" s="28"/>
      <c r="W720" s="25"/>
    </row>
    <row r="721" spans="1:23" ht="15.75" customHeight="1" x14ac:dyDescent="0.25">
      <c r="A721" s="25"/>
      <c r="C721" s="26"/>
      <c r="D721" s="27"/>
      <c r="G721" s="25"/>
      <c r="J721" s="25"/>
      <c r="K721" s="25"/>
      <c r="L721" s="25"/>
      <c r="M721" s="25"/>
      <c r="V721" s="28"/>
      <c r="W721" s="25"/>
    </row>
    <row r="722" spans="1:23" ht="15.75" customHeight="1" x14ac:dyDescent="0.25">
      <c r="A722" s="25"/>
      <c r="C722" s="26"/>
      <c r="D722" s="27"/>
      <c r="G722" s="25"/>
      <c r="J722" s="25"/>
      <c r="K722" s="25"/>
      <c r="L722" s="25"/>
      <c r="M722" s="25"/>
      <c r="V722" s="28"/>
      <c r="W722" s="25"/>
    </row>
    <row r="723" spans="1:23" ht="15.75" customHeight="1" x14ac:dyDescent="0.25">
      <c r="A723" s="25"/>
      <c r="C723" s="26"/>
      <c r="D723" s="27"/>
      <c r="G723" s="25"/>
      <c r="J723" s="25"/>
      <c r="K723" s="25"/>
      <c r="L723" s="25"/>
      <c r="M723" s="25"/>
      <c r="V723" s="28"/>
      <c r="W723" s="25"/>
    </row>
    <row r="724" spans="1:23" ht="15.75" customHeight="1" x14ac:dyDescent="0.25">
      <c r="A724" s="25"/>
      <c r="C724" s="26"/>
      <c r="D724" s="27"/>
      <c r="G724" s="25"/>
      <c r="J724" s="25"/>
      <c r="K724" s="25"/>
      <c r="L724" s="25"/>
      <c r="M724" s="25"/>
      <c r="V724" s="28"/>
      <c r="W724" s="25"/>
    </row>
    <row r="725" spans="1:23" ht="15.75" customHeight="1" x14ac:dyDescent="0.25">
      <c r="A725" s="25"/>
      <c r="C725" s="26"/>
      <c r="D725" s="27"/>
      <c r="G725" s="25"/>
      <c r="J725" s="25"/>
      <c r="K725" s="25"/>
      <c r="L725" s="25"/>
      <c r="M725" s="25"/>
      <c r="V725" s="28"/>
      <c r="W725" s="25"/>
    </row>
    <row r="726" spans="1:23" ht="15.75" customHeight="1" x14ac:dyDescent="0.25">
      <c r="A726" s="25"/>
      <c r="C726" s="26"/>
      <c r="D726" s="27"/>
      <c r="G726" s="25"/>
      <c r="J726" s="25"/>
      <c r="K726" s="25"/>
      <c r="L726" s="25"/>
      <c r="M726" s="25"/>
      <c r="V726" s="28"/>
      <c r="W726" s="25"/>
    </row>
    <row r="727" spans="1:23" ht="15.75" customHeight="1" x14ac:dyDescent="0.25">
      <c r="A727" s="25"/>
      <c r="C727" s="26"/>
      <c r="D727" s="27"/>
      <c r="G727" s="25"/>
      <c r="J727" s="25"/>
      <c r="K727" s="25"/>
      <c r="L727" s="25"/>
      <c r="M727" s="25"/>
      <c r="V727" s="28"/>
      <c r="W727" s="25"/>
    </row>
    <row r="728" spans="1:23" ht="15.75" customHeight="1" x14ac:dyDescent="0.25">
      <c r="A728" s="25"/>
      <c r="C728" s="26"/>
      <c r="D728" s="27"/>
      <c r="G728" s="25"/>
      <c r="J728" s="25"/>
      <c r="K728" s="25"/>
      <c r="L728" s="25"/>
      <c r="M728" s="25"/>
      <c r="V728" s="28"/>
      <c r="W728" s="25"/>
    </row>
    <row r="729" spans="1:23" ht="15.75" customHeight="1" x14ac:dyDescent="0.25">
      <c r="A729" s="25"/>
      <c r="C729" s="26"/>
      <c r="D729" s="27"/>
      <c r="G729" s="25"/>
      <c r="J729" s="25"/>
      <c r="K729" s="25"/>
      <c r="L729" s="25"/>
      <c r="M729" s="25"/>
      <c r="V729" s="28"/>
      <c r="W729" s="25"/>
    </row>
    <row r="730" spans="1:23" ht="15.75" customHeight="1" x14ac:dyDescent="0.25">
      <c r="A730" s="25"/>
      <c r="C730" s="26"/>
      <c r="D730" s="27"/>
      <c r="G730" s="25"/>
      <c r="J730" s="25"/>
      <c r="K730" s="25"/>
      <c r="L730" s="25"/>
      <c r="M730" s="25"/>
      <c r="V730" s="28"/>
      <c r="W730" s="25"/>
    </row>
    <row r="731" spans="1:23" ht="15.75" customHeight="1" x14ac:dyDescent="0.25">
      <c r="A731" s="25"/>
      <c r="C731" s="26"/>
      <c r="D731" s="27"/>
      <c r="G731" s="25"/>
      <c r="J731" s="25"/>
      <c r="K731" s="25"/>
      <c r="L731" s="25"/>
      <c r="M731" s="25"/>
      <c r="V731" s="28"/>
      <c r="W731" s="25"/>
    </row>
    <row r="732" spans="1:23" ht="15.75" customHeight="1" x14ac:dyDescent="0.25">
      <c r="A732" s="25"/>
      <c r="C732" s="26"/>
      <c r="D732" s="27"/>
      <c r="G732" s="25"/>
      <c r="J732" s="25"/>
      <c r="K732" s="25"/>
      <c r="L732" s="25"/>
      <c r="M732" s="25"/>
      <c r="V732" s="28"/>
      <c r="W732" s="25"/>
    </row>
    <row r="733" spans="1:23" ht="15.75" customHeight="1" x14ac:dyDescent="0.25">
      <c r="A733" s="25"/>
      <c r="C733" s="26"/>
      <c r="D733" s="27"/>
      <c r="G733" s="25"/>
      <c r="J733" s="25"/>
      <c r="K733" s="25"/>
      <c r="L733" s="25"/>
      <c r="M733" s="25"/>
      <c r="V733" s="28"/>
      <c r="W733" s="25"/>
    </row>
    <row r="734" spans="1:23" ht="15.75" customHeight="1" x14ac:dyDescent="0.25">
      <c r="A734" s="25"/>
      <c r="C734" s="26"/>
      <c r="D734" s="27"/>
      <c r="G734" s="25"/>
      <c r="J734" s="25"/>
      <c r="K734" s="25"/>
      <c r="L734" s="25"/>
      <c r="M734" s="25"/>
      <c r="V734" s="28"/>
      <c r="W734" s="25"/>
    </row>
    <row r="735" spans="1:23" ht="15.75" customHeight="1" x14ac:dyDescent="0.25">
      <c r="A735" s="25"/>
      <c r="C735" s="26"/>
      <c r="D735" s="27"/>
      <c r="G735" s="25"/>
      <c r="J735" s="25"/>
      <c r="K735" s="25"/>
      <c r="L735" s="25"/>
      <c r="M735" s="25"/>
      <c r="V735" s="28"/>
      <c r="W735" s="25"/>
    </row>
    <row r="736" spans="1:23" ht="15.75" customHeight="1" x14ac:dyDescent="0.25">
      <c r="A736" s="25"/>
      <c r="C736" s="26"/>
      <c r="D736" s="27"/>
      <c r="G736" s="25"/>
      <c r="J736" s="25"/>
      <c r="K736" s="25"/>
      <c r="L736" s="25"/>
      <c r="M736" s="25"/>
      <c r="V736" s="28"/>
      <c r="W736" s="25"/>
    </row>
    <row r="737" spans="1:23" ht="15.75" customHeight="1" x14ac:dyDescent="0.25">
      <c r="A737" s="25"/>
      <c r="C737" s="26"/>
      <c r="D737" s="27"/>
      <c r="G737" s="25"/>
      <c r="J737" s="25"/>
      <c r="K737" s="25"/>
      <c r="L737" s="25"/>
      <c r="M737" s="25"/>
      <c r="V737" s="28"/>
      <c r="W737" s="25"/>
    </row>
    <row r="738" spans="1:23" ht="15.75" customHeight="1" x14ac:dyDescent="0.25">
      <c r="A738" s="25"/>
      <c r="C738" s="26"/>
      <c r="D738" s="27"/>
      <c r="G738" s="25"/>
      <c r="J738" s="25"/>
      <c r="K738" s="25"/>
      <c r="L738" s="25"/>
      <c r="M738" s="25"/>
      <c r="V738" s="28"/>
      <c r="W738" s="25"/>
    </row>
    <row r="739" spans="1:23" ht="15.75" customHeight="1" x14ac:dyDescent="0.25">
      <c r="A739" s="25"/>
      <c r="C739" s="26"/>
      <c r="D739" s="27"/>
      <c r="G739" s="25"/>
      <c r="J739" s="25"/>
      <c r="K739" s="25"/>
      <c r="L739" s="25"/>
      <c r="M739" s="25"/>
      <c r="V739" s="28"/>
      <c r="W739" s="25"/>
    </row>
    <row r="740" spans="1:23" ht="15.75" customHeight="1" x14ac:dyDescent="0.25">
      <c r="A740" s="25"/>
      <c r="C740" s="26"/>
      <c r="D740" s="27"/>
      <c r="G740" s="25"/>
      <c r="J740" s="25"/>
      <c r="K740" s="25"/>
      <c r="L740" s="25"/>
      <c r="M740" s="25"/>
      <c r="V740" s="28"/>
      <c r="W740" s="25"/>
    </row>
    <row r="741" spans="1:23" ht="15.75" customHeight="1" x14ac:dyDescent="0.25">
      <c r="A741" s="25"/>
      <c r="C741" s="26"/>
      <c r="D741" s="27"/>
      <c r="G741" s="25"/>
      <c r="J741" s="25"/>
      <c r="K741" s="25"/>
      <c r="L741" s="25"/>
      <c r="M741" s="25"/>
      <c r="V741" s="28"/>
      <c r="W741" s="25"/>
    </row>
    <row r="742" spans="1:23" ht="15.75" customHeight="1" x14ac:dyDescent="0.25">
      <c r="A742" s="25"/>
      <c r="C742" s="26"/>
      <c r="D742" s="27"/>
      <c r="G742" s="25"/>
      <c r="J742" s="25"/>
      <c r="K742" s="25"/>
      <c r="L742" s="25"/>
      <c r="M742" s="25"/>
      <c r="V742" s="28"/>
      <c r="W742" s="25"/>
    </row>
    <row r="743" spans="1:23" ht="15.75" customHeight="1" x14ac:dyDescent="0.25">
      <c r="A743" s="25"/>
      <c r="C743" s="26"/>
      <c r="D743" s="27"/>
      <c r="G743" s="25"/>
      <c r="J743" s="25"/>
      <c r="K743" s="25"/>
      <c r="L743" s="25"/>
      <c r="M743" s="25"/>
      <c r="V743" s="28"/>
      <c r="W743" s="25"/>
    </row>
    <row r="744" spans="1:23" ht="15.75" customHeight="1" x14ac:dyDescent="0.25">
      <c r="A744" s="25"/>
      <c r="C744" s="26"/>
      <c r="D744" s="27"/>
      <c r="G744" s="25"/>
      <c r="J744" s="25"/>
      <c r="K744" s="25"/>
      <c r="L744" s="25"/>
      <c r="M744" s="25"/>
      <c r="V744" s="28"/>
      <c r="W744" s="25"/>
    </row>
    <row r="745" spans="1:23" ht="15.75" customHeight="1" x14ac:dyDescent="0.25">
      <c r="A745" s="25"/>
      <c r="C745" s="26"/>
      <c r="D745" s="27"/>
      <c r="G745" s="25"/>
      <c r="J745" s="25"/>
      <c r="K745" s="25"/>
      <c r="L745" s="25"/>
      <c r="M745" s="25"/>
      <c r="V745" s="28"/>
      <c r="W745" s="25"/>
    </row>
    <row r="746" spans="1:23" ht="15.75" customHeight="1" x14ac:dyDescent="0.25">
      <c r="A746" s="25"/>
      <c r="C746" s="26"/>
      <c r="D746" s="27"/>
      <c r="G746" s="25"/>
      <c r="J746" s="25"/>
      <c r="K746" s="25"/>
      <c r="L746" s="25"/>
      <c r="M746" s="25"/>
      <c r="V746" s="28"/>
      <c r="W746" s="25"/>
    </row>
    <row r="747" spans="1:23" ht="15.75" customHeight="1" x14ac:dyDescent="0.25">
      <c r="A747" s="25"/>
      <c r="C747" s="26"/>
      <c r="D747" s="27"/>
      <c r="G747" s="25"/>
      <c r="J747" s="25"/>
      <c r="K747" s="25"/>
      <c r="L747" s="25"/>
      <c r="M747" s="25"/>
      <c r="V747" s="28"/>
      <c r="W747" s="25"/>
    </row>
    <row r="748" spans="1:23" ht="15.75" customHeight="1" x14ac:dyDescent="0.25">
      <c r="A748" s="25"/>
      <c r="C748" s="26"/>
      <c r="D748" s="27"/>
      <c r="G748" s="25"/>
      <c r="J748" s="25"/>
      <c r="K748" s="25"/>
      <c r="L748" s="25"/>
      <c r="M748" s="25"/>
      <c r="V748" s="28"/>
      <c r="W748" s="25"/>
    </row>
    <row r="749" spans="1:23" ht="15.75" customHeight="1" x14ac:dyDescent="0.25">
      <c r="A749" s="25"/>
      <c r="C749" s="26"/>
      <c r="D749" s="27"/>
      <c r="G749" s="25"/>
      <c r="J749" s="25"/>
      <c r="K749" s="25"/>
      <c r="L749" s="25"/>
      <c r="M749" s="25"/>
      <c r="V749" s="28"/>
      <c r="W749" s="25"/>
    </row>
    <row r="750" spans="1:23" ht="15.75" customHeight="1" x14ac:dyDescent="0.25">
      <c r="A750" s="25"/>
      <c r="C750" s="26"/>
      <c r="D750" s="27"/>
      <c r="G750" s="25"/>
      <c r="J750" s="25"/>
      <c r="K750" s="25"/>
      <c r="L750" s="25"/>
      <c r="M750" s="25"/>
      <c r="V750" s="28"/>
      <c r="W750" s="25"/>
    </row>
    <row r="751" spans="1:23" ht="15.75" customHeight="1" x14ac:dyDescent="0.25">
      <c r="A751" s="25"/>
      <c r="C751" s="26"/>
      <c r="D751" s="27"/>
      <c r="G751" s="25"/>
      <c r="J751" s="25"/>
      <c r="K751" s="25"/>
      <c r="L751" s="25"/>
      <c r="M751" s="25"/>
      <c r="V751" s="28"/>
      <c r="W751" s="25"/>
    </row>
    <row r="752" spans="1:23" ht="15.75" customHeight="1" x14ac:dyDescent="0.25">
      <c r="A752" s="25"/>
      <c r="C752" s="26"/>
      <c r="D752" s="27"/>
      <c r="G752" s="25"/>
      <c r="J752" s="25"/>
      <c r="K752" s="25"/>
      <c r="L752" s="25"/>
      <c r="M752" s="25"/>
      <c r="V752" s="28"/>
      <c r="W752" s="25"/>
    </row>
    <row r="753" spans="1:23" ht="15.75" customHeight="1" x14ac:dyDescent="0.25">
      <c r="A753" s="25"/>
      <c r="C753" s="26"/>
      <c r="D753" s="27"/>
      <c r="G753" s="25"/>
      <c r="J753" s="25"/>
      <c r="K753" s="25"/>
      <c r="L753" s="25"/>
      <c r="M753" s="25"/>
      <c r="V753" s="28"/>
      <c r="W753" s="25"/>
    </row>
    <row r="754" spans="1:23" ht="15.75" customHeight="1" x14ac:dyDescent="0.25">
      <c r="A754" s="25"/>
      <c r="C754" s="26"/>
      <c r="D754" s="27"/>
      <c r="G754" s="25"/>
      <c r="J754" s="25"/>
      <c r="K754" s="25"/>
      <c r="L754" s="25"/>
      <c r="M754" s="25"/>
      <c r="V754" s="28"/>
      <c r="W754" s="25"/>
    </row>
    <row r="755" spans="1:23" ht="15.75" customHeight="1" x14ac:dyDescent="0.25">
      <c r="A755" s="25"/>
      <c r="C755" s="26"/>
      <c r="D755" s="27"/>
      <c r="G755" s="25"/>
      <c r="J755" s="25"/>
      <c r="K755" s="25"/>
      <c r="L755" s="25"/>
      <c r="M755" s="25"/>
      <c r="V755" s="28"/>
      <c r="W755" s="25"/>
    </row>
    <row r="756" spans="1:23" ht="15.75" customHeight="1" x14ac:dyDescent="0.25">
      <c r="A756" s="25"/>
      <c r="C756" s="26"/>
      <c r="D756" s="27"/>
      <c r="G756" s="25"/>
      <c r="J756" s="25"/>
      <c r="K756" s="25"/>
      <c r="L756" s="25"/>
      <c r="M756" s="25"/>
      <c r="V756" s="28"/>
      <c r="W756" s="25"/>
    </row>
    <row r="757" spans="1:23" ht="15.75" customHeight="1" x14ac:dyDescent="0.25">
      <c r="A757" s="25"/>
      <c r="C757" s="26"/>
      <c r="D757" s="27"/>
      <c r="G757" s="25"/>
      <c r="J757" s="25"/>
      <c r="K757" s="25"/>
      <c r="L757" s="25"/>
      <c r="M757" s="25"/>
      <c r="V757" s="28"/>
      <c r="W757" s="25"/>
    </row>
    <row r="758" spans="1:23" ht="15.75" customHeight="1" x14ac:dyDescent="0.25">
      <c r="A758" s="25"/>
      <c r="C758" s="26"/>
      <c r="D758" s="27"/>
      <c r="G758" s="25"/>
      <c r="J758" s="25"/>
      <c r="K758" s="25"/>
      <c r="L758" s="25"/>
      <c r="M758" s="25"/>
      <c r="V758" s="28"/>
      <c r="W758" s="25"/>
    </row>
    <row r="759" spans="1:23" ht="15.75" customHeight="1" x14ac:dyDescent="0.25">
      <c r="A759" s="25"/>
      <c r="C759" s="26"/>
      <c r="D759" s="27"/>
      <c r="G759" s="25"/>
      <c r="J759" s="25"/>
      <c r="K759" s="25"/>
      <c r="L759" s="25"/>
      <c r="M759" s="25"/>
      <c r="V759" s="28"/>
      <c r="W759" s="25"/>
    </row>
    <row r="760" spans="1:23" ht="15.75" customHeight="1" x14ac:dyDescent="0.25">
      <c r="A760" s="25"/>
      <c r="C760" s="26"/>
      <c r="D760" s="27"/>
      <c r="G760" s="25"/>
      <c r="J760" s="25"/>
      <c r="K760" s="25"/>
      <c r="L760" s="25"/>
      <c r="M760" s="25"/>
      <c r="V760" s="28"/>
      <c r="W760" s="25"/>
    </row>
    <row r="761" spans="1:23" ht="15.75" customHeight="1" x14ac:dyDescent="0.25">
      <c r="A761" s="25"/>
      <c r="C761" s="26"/>
      <c r="D761" s="27"/>
      <c r="G761" s="25"/>
      <c r="J761" s="25"/>
      <c r="K761" s="25"/>
      <c r="L761" s="25"/>
      <c r="M761" s="25"/>
      <c r="V761" s="28"/>
      <c r="W761" s="25"/>
    </row>
    <row r="762" spans="1:23" ht="15.75" customHeight="1" x14ac:dyDescent="0.25">
      <c r="A762" s="25"/>
      <c r="C762" s="26"/>
      <c r="D762" s="27"/>
      <c r="G762" s="25"/>
      <c r="J762" s="25"/>
      <c r="K762" s="25"/>
      <c r="L762" s="25"/>
      <c r="M762" s="25"/>
      <c r="V762" s="28"/>
      <c r="W762" s="25"/>
    </row>
    <row r="763" spans="1:23" ht="15.75" customHeight="1" x14ac:dyDescent="0.25">
      <c r="A763" s="25"/>
      <c r="C763" s="26"/>
      <c r="D763" s="27"/>
      <c r="G763" s="25"/>
      <c r="J763" s="25"/>
      <c r="K763" s="25"/>
      <c r="L763" s="25"/>
      <c r="M763" s="25"/>
      <c r="V763" s="28"/>
      <c r="W763" s="25"/>
    </row>
    <row r="764" spans="1:23" ht="15.75" customHeight="1" x14ac:dyDescent="0.25">
      <c r="A764" s="25"/>
      <c r="C764" s="26"/>
      <c r="D764" s="27"/>
      <c r="G764" s="25"/>
      <c r="J764" s="25"/>
      <c r="K764" s="25"/>
      <c r="L764" s="25"/>
      <c r="M764" s="25"/>
      <c r="V764" s="28"/>
      <c r="W764" s="25"/>
    </row>
    <row r="765" spans="1:23" ht="15.75" customHeight="1" x14ac:dyDescent="0.25">
      <c r="A765" s="25"/>
      <c r="C765" s="26"/>
      <c r="D765" s="27"/>
      <c r="G765" s="25"/>
      <c r="J765" s="25"/>
      <c r="K765" s="25"/>
      <c r="L765" s="25"/>
      <c r="M765" s="25"/>
      <c r="V765" s="28"/>
      <c r="W765" s="25"/>
    </row>
    <row r="766" spans="1:23" ht="15.75" customHeight="1" x14ac:dyDescent="0.25">
      <c r="A766" s="25"/>
      <c r="C766" s="26"/>
      <c r="D766" s="27"/>
      <c r="G766" s="25"/>
      <c r="J766" s="25"/>
      <c r="K766" s="25"/>
      <c r="L766" s="25"/>
      <c r="M766" s="25"/>
      <c r="V766" s="28"/>
      <c r="W766" s="25"/>
    </row>
    <row r="767" spans="1:23" ht="15.75" customHeight="1" x14ac:dyDescent="0.25">
      <c r="A767" s="25"/>
      <c r="C767" s="26"/>
      <c r="D767" s="27"/>
      <c r="G767" s="25"/>
      <c r="J767" s="25"/>
      <c r="K767" s="25"/>
      <c r="L767" s="25"/>
      <c r="M767" s="25"/>
      <c r="V767" s="28"/>
      <c r="W767" s="25"/>
    </row>
    <row r="768" spans="1:23" ht="15.75" customHeight="1" x14ac:dyDescent="0.25">
      <c r="A768" s="25"/>
      <c r="C768" s="26"/>
      <c r="D768" s="27"/>
      <c r="G768" s="25"/>
      <c r="J768" s="25"/>
      <c r="K768" s="25"/>
      <c r="L768" s="25"/>
      <c r="M768" s="25"/>
      <c r="V768" s="28"/>
      <c r="W768" s="25"/>
    </row>
    <row r="769" spans="1:23" ht="15.75" customHeight="1" x14ac:dyDescent="0.25">
      <c r="A769" s="25"/>
      <c r="C769" s="26"/>
      <c r="D769" s="27"/>
      <c r="G769" s="25"/>
      <c r="J769" s="25"/>
      <c r="K769" s="25"/>
      <c r="L769" s="25"/>
      <c r="M769" s="25"/>
      <c r="V769" s="28"/>
      <c r="W769" s="25"/>
    </row>
    <row r="770" spans="1:23" ht="15.75" customHeight="1" x14ac:dyDescent="0.25">
      <c r="A770" s="25"/>
      <c r="C770" s="26"/>
      <c r="D770" s="27"/>
      <c r="G770" s="25"/>
      <c r="J770" s="25"/>
      <c r="K770" s="25"/>
      <c r="L770" s="25"/>
      <c r="M770" s="25"/>
      <c r="V770" s="28"/>
      <c r="W770" s="25"/>
    </row>
    <row r="771" spans="1:23" ht="15.75" customHeight="1" x14ac:dyDescent="0.25">
      <c r="A771" s="25"/>
      <c r="C771" s="26"/>
      <c r="D771" s="27"/>
      <c r="G771" s="25"/>
      <c r="J771" s="25"/>
      <c r="K771" s="25"/>
      <c r="L771" s="25"/>
      <c r="M771" s="25"/>
      <c r="V771" s="28"/>
      <c r="W771" s="25"/>
    </row>
    <row r="772" spans="1:23" ht="15.75" customHeight="1" x14ac:dyDescent="0.25">
      <c r="A772" s="25"/>
      <c r="C772" s="26"/>
      <c r="D772" s="27"/>
      <c r="G772" s="25"/>
      <c r="J772" s="25"/>
      <c r="K772" s="25"/>
      <c r="L772" s="25"/>
      <c r="M772" s="25"/>
      <c r="V772" s="28"/>
      <c r="W772" s="25"/>
    </row>
    <row r="773" spans="1:23" ht="15.75" customHeight="1" x14ac:dyDescent="0.25">
      <c r="A773" s="25"/>
      <c r="C773" s="26"/>
      <c r="D773" s="27"/>
      <c r="G773" s="25"/>
      <c r="J773" s="25"/>
      <c r="K773" s="25"/>
      <c r="L773" s="25"/>
      <c r="M773" s="25"/>
      <c r="V773" s="28"/>
      <c r="W773" s="25"/>
    </row>
    <row r="774" spans="1:23" ht="15.75" customHeight="1" x14ac:dyDescent="0.25">
      <c r="A774" s="25"/>
      <c r="C774" s="26"/>
      <c r="D774" s="27"/>
      <c r="G774" s="25"/>
      <c r="J774" s="25"/>
      <c r="K774" s="25"/>
      <c r="L774" s="25"/>
      <c r="M774" s="25"/>
      <c r="V774" s="28"/>
      <c r="W774" s="25"/>
    </row>
    <row r="775" spans="1:23" ht="15.75" customHeight="1" x14ac:dyDescent="0.25">
      <c r="A775" s="25"/>
      <c r="C775" s="26"/>
      <c r="D775" s="27"/>
      <c r="G775" s="25"/>
      <c r="J775" s="25"/>
      <c r="K775" s="25"/>
      <c r="L775" s="25"/>
      <c r="M775" s="25"/>
      <c r="V775" s="28"/>
      <c r="W775" s="25"/>
    </row>
    <row r="776" spans="1:23" ht="15.75" customHeight="1" x14ac:dyDescent="0.25">
      <c r="A776" s="25"/>
      <c r="C776" s="26"/>
      <c r="D776" s="27"/>
      <c r="G776" s="25"/>
      <c r="J776" s="25"/>
      <c r="K776" s="25"/>
      <c r="L776" s="25"/>
      <c r="M776" s="25"/>
      <c r="V776" s="28"/>
      <c r="W776" s="25"/>
    </row>
    <row r="777" spans="1:23" ht="15.75" customHeight="1" x14ac:dyDescent="0.25">
      <c r="A777" s="25"/>
      <c r="C777" s="26"/>
      <c r="D777" s="27"/>
      <c r="G777" s="25"/>
      <c r="J777" s="25"/>
      <c r="K777" s="25"/>
      <c r="L777" s="25"/>
      <c r="M777" s="25"/>
      <c r="V777" s="28"/>
      <c r="W777" s="25"/>
    </row>
    <row r="778" spans="1:23" ht="15.75" customHeight="1" x14ac:dyDescent="0.25">
      <c r="A778" s="25"/>
      <c r="C778" s="26"/>
      <c r="D778" s="27"/>
      <c r="G778" s="25"/>
      <c r="J778" s="25"/>
      <c r="K778" s="25"/>
      <c r="L778" s="25"/>
      <c r="M778" s="25"/>
      <c r="V778" s="28"/>
      <c r="W778" s="25"/>
    </row>
    <row r="779" spans="1:23" ht="15.75" customHeight="1" x14ac:dyDescent="0.25">
      <c r="A779" s="25"/>
      <c r="C779" s="26"/>
      <c r="D779" s="27"/>
      <c r="G779" s="25"/>
      <c r="J779" s="25"/>
      <c r="K779" s="25"/>
      <c r="L779" s="25"/>
      <c r="M779" s="25"/>
      <c r="V779" s="28"/>
      <c r="W779" s="25"/>
    </row>
    <row r="780" spans="1:23" ht="15.75" customHeight="1" x14ac:dyDescent="0.25">
      <c r="A780" s="25"/>
      <c r="C780" s="26"/>
      <c r="D780" s="27"/>
      <c r="G780" s="25"/>
      <c r="J780" s="25"/>
      <c r="K780" s="25"/>
      <c r="L780" s="25"/>
      <c r="M780" s="25"/>
      <c r="V780" s="28"/>
      <c r="W780" s="25"/>
    </row>
    <row r="781" spans="1:23" ht="15.75" customHeight="1" x14ac:dyDescent="0.25">
      <c r="A781" s="25"/>
      <c r="C781" s="26"/>
      <c r="D781" s="27"/>
      <c r="G781" s="25"/>
      <c r="J781" s="25"/>
      <c r="K781" s="25"/>
      <c r="L781" s="25"/>
      <c r="M781" s="25"/>
      <c r="V781" s="28"/>
      <c r="W781" s="25"/>
    </row>
    <row r="782" spans="1:23" ht="15.75" customHeight="1" x14ac:dyDescent="0.25">
      <c r="A782" s="25"/>
      <c r="C782" s="26"/>
      <c r="D782" s="27"/>
      <c r="G782" s="25"/>
      <c r="J782" s="25"/>
      <c r="K782" s="25"/>
      <c r="L782" s="25"/>
      <c r="M782" s="25"/>
      <c r="V782" s="28"/>
      <c r="W782" s="25"/>
    </row>
    <row r="783" spans="1:23" ht="15.75" customHeight="1" x14ac:dyDescent="0.25">
      <c r="A783" s="25"/>
      <c r="C783" s="26"/>
      <c r="D783" s="27"/>
      <c r="G783" s="25"/>
      <c r="J783" s="25"/>
      <c r="K783" s="25"/>
      <c r="L783" s="25"/>
      <c r="M783" s="25"/>
      <c r="V783" s="28"/>
      <c r="W783" s="25"/>
    </row>
    <row r="784" spans="1:23" ht="15.75" customHeight="1" x14ac:dyDescent="0.25">
      <c r="A784" s="25"/>
      <c r="C784" s="26"/>
      <c r="D784" s="27"/>
      <c r="G784" s="25"/>
      <c r="J784" s="25"/>
      <c r="K784" s="25"/>
      <c r="L784" s="25"/>
      <c r="M784" s="25"/>
      <c r="V784" s="28"/>
      <c r="W784" s="25"/>
    </row>
    <row r="785" spans="1:23" ht="15.75" customHeight="1" x14ac:dyDescent="0.25">
      <c r="A785" s="25"/>
      <c r="C785" s="26"/>
      <c r="D785" s="27"/>
      <c r="G785" s="25"/>
      <c r="J785" s="25"/>
      <c r="K785" s="25"/>
      <c r="L785" s="25"/>
      <c r="M785" s="25"/>
      <c r="V785" s="28"/>
      <c r="W785" s="25"/>
    </row>
    <row r="786" spans="1:23" ht="15.75" customHeight="1" x14ac:dyDescent="0.25">
      <c r="A786" s="25"/>
      <c r="C786" s="26"/>
      <c r="D786" s="27"/>
      <c r="G786" s="25"/>
      <c r="J786" s="25"/>
      <c r="K786" s="25"/>
      <c r="L786" s="25"/>
      <c r="M786" s="25"/>
      <c r="V786" s="28"/>
      <c r="W786" s="25"/>
    </row>
    <row r="787" spans="1:23" ht="15.75" customHeight="1" x14ac:dyDescent="0.25">
      <c r="A787" s="25"/>
      <c r="C787" s="26"/>
      <c r="D787" s="27"/>
      <c r="G787" s="25"/>
      <c r="J787" s="25"/>
      <c r="K787" s="25"/>
      <c r="L787" s="25"/>
      <c r="M787" s="25"/>
      <c r="V787" s="28"/>
      <c r="W787" s="25"/>
    </row>
    <row r="788" spans="1:23" ht="15.75" customHeight="1" x14ac:dyDescent="0.25">
      <c r="A788" s="25"/>
      <c r="C788" s="26"/>
      <c r="D788" s="27"/>
      <c r="G788" s="25"/>
      <c r="J788" s="25"/>
      <c r="K788" s="25"/>
      <c r="L788" s="25"/>
      <c r="M788" s="25"/>
      <c r="V788" s="28"/>
      <c r="W788" s="25"/>
    </row>
    <row r="789" spans="1:23" ht="15.75" customHeight="1" x14ac:dyDescent="0.25">
      <c r="A789" s="25"/>
      <c r="C789" s="26"/>
      <c r="D789" s="27"/>
      <c r="G789" s="25"/>
      <c r="J789" s="25"/>
      <c r="K789" s="25"/>
      <c r="L789" s="25"/>
      <c r="M789" s="25"/>
      <c r="V789" s="28"/>
      <c r="W789" s="25"/>
    </row>
    <row r="790" spans="1:23" ht="15.75" customHeight="1" x14ac:dyDescent="0.25">
      <c r="A790" s="25"/>
      <c r="C790" s="26"/>
      <c r="D790" s="27"/>
      <c r="G790" s="25"/>
      <c r="J790" s="25"/>
      <c r="K790" s="25"/>
      <c r="L790" s="25"/>
      <c r="M790" s="25"/>
      <c r="V790" s="28"/>
      <c r="W790" s="25"/>
    </row>
    <row r="791" spans="1:23" ht="15.75" customHeight="1" x14ac:dyDescent="0.25">
      <c r="A791" s="25"/>
      <c r="C791" s="26"/>
      <c r="D791" s="27"/>
      <c r="G791" s="25"/>
      <c r="J791" s="25"/>
      <c r="K791" s="25"/>
      <c r="L791" s="25"/>
      <c r="M791" s="25"/>
      <c r="V791" s="28"/>
      <c r="W791" s="25"/>
    </row>
    <row r="792" spans="1:23" ht="15.75" customHeight="1" x14ac:dyDescent="0.25">
      <c r="A792" s="25"/>
      <c r="C792" s="26"/>
      <c r="D792" s="27"/>
      <c r="G792" s="25"/>
      <c r="J792" s="25"/>
      <c r="K792" s="25"/>
      <c r="L792" s="25"/>
      <c r="M792" s="25"/>
      <c r="V792" s="28"/>
      <c r="W792" s="25"/>
    </row>
    <row r="793" spans="1:23" ht="15.75" customHeight="1" x14ac:dyDescent="0.25">
      <c r="A793" s="25"/>
      <c r="C793" s="26"/>
      <c r="D793" s="27"/>
      <c r="G793" s="25"/>
      <c r="J793" s="25"/>
      <c r="K793" s="25"/>
      <c r="L793" s="25"/>
      <c r="M793" s="25"/>
      <c r="V793" s="28"/>
      <c r="W793" s="25"/>
    </row>
    <row r="794" spans="1:23" ht="15.75" customHeight="1" x14ac:dyDescent="0.25">
      <c r="A794" s="25"/>
      <c r="C794" s="26"/>
      <c r="D794" s="27"/>
      <c r="G794" s="25"/>
      <c r="J794" s="25"/>
      <c r="K794" s="25"/>
      <c r="L794" s="25"/>
      <c r="M794" s="25"/>
      <c r="V794" s="28"/>
      <c r="W794" s="25"/>
    </row>
    <row r="795" spans="1:23" ht="15.75" customHeight="1" x14ac:dyDescent="0.25">
      <c r="A795" s="25"/>
      <c r="C795" s="26"/>
      <c r="D795" s="27"/>
      <c r="G795" s="25"/>
      <c r="J795" s="25"/>
      <c r="K795" s="25"/>
      <c r="L795" s="25"/>
      <c r="M795" s="25"/>
      <c r="V795" s="28"/>
      <c r="W795" s="25"/>
    </row>
    <row r="796" spans="1:23" ht="15.75" customHeight="1" x14ac:dyDescent="0.25">
      <c r="A796" s="25"/>
      <c r="C796" s="26"/>
      <c r="D796" s="27"/>
      <c r="G796" s="25"/>
      <c r="J796" s="25"/>
      <c r="K796" s="25"/>
      <c r="L796" s="25"/>
      <c r="M796" s="25"/>
      <c r="V796" s="28"/>
      <c r="W796" s="25"/>
    </row>
    <row r="797" spans="1:23" ht="15.75" customHeight="1" x14ac:dyDescent="0.25">
      <c r="A797" s="25"/>
      <c r="C797" s="26"/>
      <c r="D797" s="27"/>
      <c r="G797" s="25"/>
      <c r="J797" s="25"/>
      <c r="K797" s="25"/>
      <c r="L797" s="25"/>
      <c r="M797" s="25"/>
      <c r="V797" s="28"/>
      <c r="W797" s="25"/>
    </row>
    <row r="798" spans="1:23" ht="15.75" customHeight="1" x14ac:dyDescent="0.25">
      <c r="A798" s="25"/>
      <c r="C798" s="26"/>
      <c r="D798" s="27"/>
      <c r="G798" s="25"/>
      <c r="J798" s="25"/>
      <c r="K798" s="25"/>
      <c r="L798" s="25"/>
      <c r="M798" s="25"/>
      <c r="V798" s="28"/>
      <c r="W798" s="25"/>
    </row>
    <row r="799" spans="1:23" ht="15.75" customHeight="1" x14ac:dyDescent="0.25">
      <c r="A799" s="25"/>
      <c r="C799" s="26"/>
      <c r="D799" s="27"/>
      <c r="G799" s="25"/>
      <c r="J799" s="25"/>
      <c r="K799" s="25"/>
      <c r="L799" s="25"/>
      <c r="M799" s="25"/>
      <c r="V799" s="28"/>
      <c r="W799" s="25"/>
    </row>
    <row r="800" spans="1:23" ht="15.75" customHeight="1" x14ac:dyDescent="0.25">
      <c r="A800" s="25"/>
      <c r="C800" s="26"/>
      <c r="D800" s="27"/>
      <c r="G800" s="25"/>
      <c r="J800" s="25"/>
      <c r="K800" s="25"/>
      <c r="L800" s="25"/>
      <c r="M800" s="25"/>
      <c r="V800" s="28"/>
      <c r="W800" s="25"/>
    </row>
    <row r="801" spans="1:23" ht="15.75" customHeight="1" x14ac:dyDescent="0.25">
      <c r="A801" s="25"/>
      <c r="C801" s="26"/>
      <c r="D801" s="27"/>
      <c r="G801" s="25"/>
      <c r="J801" s="25"/>
      <c r="K801" s="25"/>
      <c r="L801" s="25"/>
      <c r="M801" s="25"/>
      <c r="V801" s="28"/>
      <c r="W801" s="25"/>
    </row>
    <row r="802" spans="1:23" ht="15.75" customHeight="1" x14ac:dyDescent="0.25">
      <c r="A802" s="25"/>
      <c r="C802" s="26"/>
      <c r="D802" s="27"/>
      <c r="G802" s="25"/>
      <c r="J802" s="25"/>
      <c r="K802" s="25"/>
      <c r="L802" s="25"/>
      <c r="M802" s="25"/>
      <c r="V802" s="28"/>
      <c r="W802" s="25"/>
    </row>
    <row r="803" spans="1:23" ht="15.75" customHeight="1" x14ac:dyDescent="0.25">
      <c r="A803" s="25"/>
      <c r="C803" s="26"/>
      <c r="D803" s="27"/>
      <c r="G803" s="25"/>
      <c r="J803" s="25"/>
      <c r="K803" s="25"/>
      <c r="L803" s="25"/>
      <c r="M803" s="25"/>
      <c r="V803" s="28"/>
      <c r="W803" s="25"/>
    </row>
    <row r="804" spans="1:23" ht="15.75" customHeight="1" x14ac:dyDescent="0.25">
      <c r="A804" s="25"/>
      <c r="C804" s="26"/>
      <c r="D804" s="27"/>
      <c r="G804" s="25"/>
      <c r="J804" s="25"/>
      <c r="K804" s="25"/>
      <c r="L804" s="25"/>
      <c r="M804" s="25"/>
      <c r="V804" s="28"/>
      <c r="W804" s="25"/>
    </row>
    <row r="805" spans="1:23" ht="15.75" customHeight="1" x14ac:dyDescent="0.25">
      <c r="A805" s="25"/>
      <c r="C805" s="26"/>
      <c r="D805" s="27"/>
      <c r="G805" s="25"/>
      <c r="J805" s="25"/>
      <c r="K805" s="25"/>
      <c r="L805" s="25"/>
      <c r="M805" s="25"/>
      <c r="V805" s="28"/>
      <c r="W805" s="25"/>
    </row>
    <row r="806" spans="1:23" ht="15.75" customHeight="1" x14ac:dyDescent="0.25">
      <c r="A806" s="25"/>
      <c r="C806" s="26"/>
      <c r="D806" s="27"/>
      <c r="G806" s="25"/>
      <c r="J806" s="25"/>
      <c r="K806" s="25"/>
      <c r="L806" s="25"/>
      <c r="M806" s="25"/>
      <c r="V806" s="28"/>
      <c r="W806" s="25"/>
    </row>
    <row r="807" spans="1:23" ht="15.75" customHeight="1" x14ac:dyDescent="0.25">
      <c r="A807" s="25"/>
      <c r="C807" s="26"/>
      <c r="D807" s="27"/>
      <c r="G807" s="25"/>
      <c r="J807" s="25"/>
      <c r="K807" s="25"/>
      <c r="L807" s="25"/>
      <c r="M807" s="25"/>
      <c r="V807" s="28"/>
      <c r="W807" s="25"/>
    </row>
    <row r="808" spans="1:23" ht="15.75" customHeight="1" x14ac:dyDescent="0.25">
      <c r="A808" s="25"/>
      <c r="C808" s="26"/>
      <c r="D808" s="27"/>
      <c r="G808" s="25"/>
      <c r="J808" s="25"/>
      <c r="K808" s="25"/>
      <c r="L808" s="25"/>
      <c r="M808" s="25"/>
      <c r="V808" s="28"/>
      <c r="W808" s="25"/>
    </row>
    <row r="809" spans="1:23" ht="15.75" customHeight="1" x14ac:dyDescent="0.25">
      <c r="A809" s="25"/>
      <c r="C809" s="26"/>
      <c r="D809" s="27"/>
      <c r="G809" s="25"/>
      <c r="J809" s="25"/>
      <c r="K809" s="25"/>
      <c r="L809" s="25"/>
      <c r="M809" s="25"/>
      <c r="V809" s="28"/>
      <c r="W809" s="25"/>
    </row>
    <row r="810" spans="1:23" ht="15.75" customHeight="1" x14ac:dyDescent="0.25">
      <c r="A810" s="25"/>
      <c r="C810" s="26"/>
      <c r="D810" s="27"/>
      <c r="G810" s="25"/>
      <c r="J810" s="25"/>
      <c r="K810" s="25"/>
      <c r="L810" s="25"/>
      <c r="M810" s="25"/>
      <c r="V810" s="28"/>
      <c r="W810" s="25"/>
    </row>
    <row r="811" spans="1:23" ht="15.75" customHeight="1" x14ac:dyDescent="0.25">
      <c r="A811" s="25"/>
      <c r="C811" s="26"/>
      <c r="D811" s="27"/>
      <c r="G811" s="25"/>
      <c r="J811" s="25"/>
      <c r="K811" s="25"/>
      <c r="L811" s="25"/>
      <c r="M811" s="25"/>
      <c r="V811" s="28"/>
      <c r="W811" s="25"/>
    </row>
    <row r="812" spans="1:23" ht="15.75" customHeight="1" x14ac:dyDescent="0.25">
      <c r="A812" s="25"/>
      <c r="C812" s="26"/>
      <c r="D812" s="27"/>
      <c r="G812" s="25"/>
      <c r="J812" s="25"/>
      <c r="K812" s="25"/>
      <c r="L812" s="25"/>
      <c r="M812" s="25"/>
      <c r="V812" s="28"/>
      <c r="W812" s="25"/>
    </row>
    <row r="813" spans="1:23" ht="15.75" customHeight="1" x14ac:dyDescent="0.25">
      <c r="A813" s="25"/>
      <c r="C813" s="26"/>
      <c r="D813" s="27"/>
      <c r="G813" s="25"/>
      <c r="J813" s="25"/>
      <c r="K813" s="25"/>
      <c r="L813" s="25"/>
      <c r="M813" s="25"/>
      <c r="V813" s="28"/>
      <c r="W813" s="25"/>
    </row>
    <row r="814" spans="1:23" ht="15.75" customHeight="1" x14ac:dyDescent="0.25">
      <c r="A814" s="25"/>
      <c r="C814" s="26"/>
      <c r="D814" s="27"/>
      <c r="G814" s="25"/>
      <c r="J814" s="25"/>
      <c r="K814" s="25"/>
      <c r="L814" s="25"/>
      <c r="M814" s="25"/>
      <c r="V814" s="28"/>
      <c r="W814" s="25"/>
    </row>
    <row r="815" spans="1:23" ht="15.75" customHeight="1" x14ac:dyDescent="0.25">
      <c r="A815" s="25"/>
      <c r="C815" s="26"/>
      <c r="D815" s="27"/>
      <c r="G815" s="25"/>
      <c r="J815" s="25"/>
      <c r="K815" s="25"/>
      <c r="L815" s="25"/>
      <c r="M815" s="25"/>
      <c r="V815" s="28"/>
      <c r="W815" s="25"/>
    </row>
    <row r="816" spans="1:23" ht="15.75" customHeight="1" x14ac:dyDescent="0.25">
      <c r="A816" s="25"/>
      <c r="C816" s="26"/>
      <c r="D816" s="27"/>
      <c r="G816" s="25"/>
      <c r="J816" s="25"/>
      <c r="K816" s="25"/>
      <c r="L816" s="25"/>
      <c r="M816" s="25"/>
      <c r="V816" s="28"/>
      <c r="W816" s="25"/>
    </row>
    <row r="817" spans="1:23" ht="15.75" customHeight="1" x14ac:dyDescent="0.25">
      <c r="A817" s="25"/>
      <c r="C817" s="26"/>
      <c r="D817" s="27"/>
      <c r="G817" s="25"/>
      <c r="J817" s="25"/>
      <c r="K817" s="25"/>
      <c r="L817" s="25"/>
      <c r="M817" s="25"/>
      <c r="V817" s="28"/>
      <c r="W817" s="25"/>
    </row>
    <row r="818" spans="1:23" ht="15.75" customHeight="1" x14ac:dyDescent="0.25">
      <c r="A818" s="25"/>
      <c r="C818" s="26"/>
      <c r="D818" s="27"/>
      <c r="G818" s="25"/>
      <c r="J818" s="25"/>
      <c r="K818" s="25"/>
      <c r="L818" s="25"/>
      <c r="M818" s="25"/>
      <c r="V818" s="28"/>
      <c r="W818" s="25"/>
    </row>
    <row r="819" spans="1:23" ht="15.75" customHeight="1" x14ac:dyDescent="0.25">
      <c r="A819" s="25"/>
      <c r="C819" s="26"/>
      <c r="D819" s="27"/>
      <c r="G819" s="25"/>
      <c r="J819" s="25"/>
      <c r="K819" s="25"/>
      <c r="L819" s="25"/>
      <c r="M819" s="25"/>
      <c r="V819" s="28"/>
      <c r="W819" s="25"/>
    </row>
    <row r="820" spans="1:23" ht="15.75" customHeight="1" x14ac:dyDescent="0.25">
      <c r="A820" s="25"/>
      <c r="C820" s="26"/>
      <c r="D820" s="27"/>
      <c r="G820" s="25"/>
      <c r="J820" s="25"/>
      <c r="K820" s="25"/>
      <c r="L820" s="25"/>
      <c r="M820" s="25"/>
      <c r="V820" s="28"/>
      <c r="W820" s="25"/>
    </row>
    <row r="821" spans="1:23" ht="15.75" customHeight="1" x14ac:dyDescent="0.25">
      <c r="A821" s="25"/>
      <c r="C821" s="26"/>
      <c r="D821" s="27"/>
      <c r="G821" s="25"/>
      <c r="J821" s="25"/>
      <c r="K821" s="25"/>
      <c r="L821" s="25"/>
      <c r="M821" s="25"/>
      <c r="V821" s="28"/>
      <c r="W821" s="25"/>
    </row>
    <row r="822" spans="1:23" ht="15.75" customHeight="1" x14ac:dyDescent="0.25">
      <c r="A822" s="25"/>
      <c r="C822" s="26"/>
      <c r="D822" s="27"/>
      <c r="G822" s="25"/>
      <c r="J822" s="25"/>
      <c r="K822" s="25"/>
      <c r="L822" s="25"/>
      <c r="M822" s="25"/>
      <c r="V822" s="28"/>
      <c r="W822" s="25"/>
    </row>
    <row r="823" spans="1:23" ht="15.75" customHeight="1" x14ac:dyDescent="0.25">
      <c r="A823" s="25"/>
      <c r="C823" s="26"/>
      <c r="D823" s="27"/>
      <c r="G823" s="25"/>
      <c r="J823" s="25"/>
      <c r="K823" s="25"/>
      <c r="L823" s="25"/>
      <c r="M823" s="25"/>
      <c r="V823" s="28"/>
      <c r="W823" s="25"/>
    </row>
    <row r="824" spans="1:23" ht="15.75" customHeight="1" x14ac:dyDescent="0.25">
      <c r="A824" s="25"/>
      <c r="C824" s="26"/>
      <c r="D824" s="27"/>
      <c r="G824" s="25"/>
      <c r="J824" s="25"/>
      <c r="K824" s="25"/>
      <c r="L824" s="25"/>
      <c r="M824" s="25"/>
      <c r="V824" s="28"/>
      <c r="W824" s="25"/>
    </row>
    <row r="825" spans="1:23" ht="15.75" customHeight="1" x14ac:dyDescent="0.25">
      <c r="A825" s="25"/>
      <c r="C825" s="26"/>
      <c r="D825" s="27"/>
      <c r="G825" s="25"/>
      <c r="J825" s="25"/>
      <c r="K825" s="25"/>
      <c r="L825" s="25"/>
      <c r="M825" s="25"/>
      <c r="V825" s="28"/>
      <c r="W825" s="25"/>
    </row>
    <row r="826" spans="1:23" ht="15.75" customHeight="1" x14ac:dyDescent="0.25">
      <c r="A826" s="25"/>
      <c r="C826" s="26"/>
      <c r="D826" s="27"/>
      <c r="G826" s="25"/>
      <c r="J826" s="25"/>
      <c r="K826" s="25"/>
      <c r="L826" s="25"/>
      <c r="M826" s="25"/>
      <c r="V826" s="28"/>
      <c r="W826" s="25"/>
    </row>
    <row r="827" spans="1:23" ht="15.75" customHeight="1" x14ac:dyDescent="0.25">
      <c r="A827" s="25"/>
      <c r="C827" s="26"/>
      <c r="D827" s="27"/>
      <c r="G827" s="25"/>
      <c r="J827" s="25"/>
      <c r="K827" s="25"/>
      <c r="L827" s="25"/>
      <c r="M827" s="25"/>
      <c r="V827" s="28"/>
      <c r="W827" s="25"/>
    </row>
    <row r="828" spans="1:23" ht="15.75" customHeight="1" x14ac:dyDescent="0.25">
      <c r="A828" s="25"/>
      <c r="C828" s="26"/>
      <c r="D828" s="27"/>
      <c r="G828" s="25"/>
      <c r="J828" s="25"/>
      <c r="K828" s="25"/>
      <c r="L828" s="25"/>
      <c r="M828" s="25"/>
      <c r="V828" s="28"/>
      <c r="W828" s="25"/>
    </row>
    <row r="829" spans="1:23" ht="15.75" customHeight="1" x14ac:dyDescent="0.25">
      <c r="A829" s="25"/>
      <c r="C829" s="26"/>
      <c r="D829" s="27"/>
      <c r="G829" s="25"/>
      <c r="J829" s="25"/>
      <c r="K829" s="25"/>
      <c r="L829" s="25"/>
      <c r="M829" s="25"/>
      <c r="V829" s="28"/>
      <c r="W829" s="25"/>
    </row>
    <row r="830" spans="1:23" ht="15.75" customHeight="1" x14ac:dyDescent="0.25">
      <c r="A830" s="25"/>
      <c r="C830" s="26"/>
      <c r="D830" s="27"/>
      <c r="G830" s="25"/>
      <c r="J830" s="25"/>
      <c r="K830" s="25"/>
      <c r="L830" s="25"/>
      <c r="M830" s="25"/>
      <c r="V830" s="28"/>
      <c r="W830" s="25"/>
    </row>
    <row r="831" spans="1:23" ht="15.75" customHeight="1" x14ac:dyDescent="0.25">
      <c r="A831" s="25"/>
      <c r="C831" s="26"/>
      <c r="D831" s="27"/>
      <c r="G831" s="25"/>
      <c r="J831" s="25"/>
      <c r="K831" s="25"/>
      <c r="L831" s="25"/>
      <c r="M831" s="25"/>
      <c r="V831" s="28"/>
      <c r="W831" s="25"/>
    </row>
    <row r="832" spans="1:23" ht="15.75" customHeight="1" x14ac:dyDescent="0.25">
      <c r="A832" s="25"/>
      <c r="C832" s="26"/>
      <c r="D832" s="27"/>
      <c r="G832" s="25"/>
      <c r="J832" s="25"/>
      <c r="K832" s="25"/>
      <c r="L832" s="25"/>
      <c r="M832" s="25"/>
      <c r="V832" s="28"/>
      <c r="W832" s="25"/>
    </row>
    <row r="833" spans="1:23" ht="15.75" customHeight="1" x14ac:dyDescent="0.25">
      <c r="A833" s="25"/>
      <c r="C833" s="26"/>
      <c r="D833" s="27"/>
      <c r="G833" s="25"/>
      <c r="J833" s="25"/>
      <c r="K833" s="25"/>
      <c r="L833" s="25"/>
      <c r="M833" s="25"/>
      <c r="V833" s="28"/>
      <c r="W833" s="25"/>
    </row>
    <row r="834" spans="1:23" ht="15.75" customHeight="1" x14ac:dyDescent="0.25">
      <c r="A834" s="25"/>
      <c r="C834" s="26"/>
      <c r="D834" s="27"/>
      <c r="G834" s="25"/>
      <c r="J834" s="25"/>
      <c r="K834" s="25"/>
      <c r="L834" s="25"/>
      <c r="M834" s="25"/>
      <c r="V834" s="28"/>
      <c r="W834" s="25"/>
    </row>
    <row r="835" spans="1:23" ht="15.75" customHeight="1" x14ac:dyDescent="0.25">
      <c r="A835" s="25"/>
      <c r="C835" s="26"/>
      <c r="D835" s="27"/>
      <c r="G835" s="25"/>
      <c r="J835" s="25"/>
      <c r="K835" s="25"/>
      <c r="L835" s="25"/>
      <c r="M835" s="25"/>
      <c r="V835" s="28"/>
      <c r="W835" s="25"/>
    </row>
    <row r="836" spans="1:23" ht="15.75" customHeight="1" x14ac:dyDescent="0.25">
      <c r="A836" s="25"/>
      <c r="C836" s="26"/>
      <c r="D836" s="27"/>
      <c r="G836" s="25"/>
      <c r="J836" s="25"/>
      <c r="K836" s="25"/>
      <c r="L836" s="25"/>
      <c r="M836" s="25"/>
      <c r="V836" s="28"/>
      <c r="W836" s="25"/>
    </row>
    <row r="837" spans="1:23" ht="15.75" customHeight="1" x14ac:dyDescent="0.25">
      <c r="A837" s="25"/>
      <c r="C837" s="26"/>
      <c r="D837" s="27"/>
      <c r="G837" s="25"/>
      <c r="J837" s="25"/>
      <c r="K837" s="25"/>
      <c r="L837" s="25"/>
      <c r="M837" s="25"/>
      <c r="V837" s="28"/>
      <c r="W837" s="25"/>
    </row>
    <row r="838" spans="1:23" ht="15.75" customHeight="1" x14ac:dyDescent="0.25">
      <c r="A838" s="25"/>
      <c r="C838" s="26"/>
      <c r="D838" s="27"/>
      <c r="G838" s="25"/>
      <c r="J838" s="25"/>
      <c r="K838" s="25"/>
      <c r="L838" s="25"/>
      <c r="M838" s="25"/>
      <c r="V838" s="28"/>
      <c r="W838" s="25"/>
    </row>
    <row r="839" spans="1:23" ht="15.75" customHeight="1" x14ac:dyDescent="0.25">
      <c r="A839" s="25"/>
      <c r="C839" s="26"/>
      <c r="D839" s="27"/>
      <c r="G839" s="25"/>
      <c r="J839" s="25"/>
      <c r="K839" s="25"/>
      <c r="L839" s="25"/>
      <c r="M839" s="25"/>
      <c r="V839" s="28"/>
      <c r="W839" s="25"/>
    </row>
    <row r="840" spans="1:23" ht="15.75" customHeight="1" x14ac:dyDescent="0.25">
      <c r="A840" s="25"/>
      <c r="C840" s="26"/>
      <c r="D840" s="27"/>
      <c r="G840" s="25"/>
      <c r="J840" s="25"/>
      <c r="K840" s="25"/>
      <c r="L840" s="25"/>
      <c r="M840" s="25"/>
      <c r="V840" s="28"/>
      <c r="W840" s="25"/>
    </row>
    <row r="841" spans="1:23" ht="15.75" customHeight="1" x14ac:dyDescent="0.25">
      <c r="A841" s="25"/>
      <c r="C841" s="26"/>
      <c r="D841" s="27"/>
      <c r="G841" s="25"/>
      <c r="J841" s="25"/>
      <c r="K841" s="25"/>
      <c r="L841" s="25"/>
      <c r="M841" s="25"/>
      <c r="V841" s="28"/>
      <c r="W841" s="25"/>
    </row>
    <row r="842" spans="1:23" ht="15.75" customHeight="1" x14ac:dyDescent="0.25">
      <c r="A842" s="25"/>
      <c r="C842" s="26"/>
      <c r="D842" s="27"/>
      <c r="G842" s="25"/>
      <c r="J842" s="25"/>
      <c r="K842" s="25"/>
      <c r="L842" s="25"/>
      <c r="M842" s="25"/>
      <c r="V842" s="28"/>
      <c r="W842" s="25"/>
    </row>
    <row r="843" spans="1:23" ht="15.75" customHeight="1" x14ac:dyDescent="0.25">
      <c r="A843" s="25"/>
      <c r="C843" s="26"/>
      <c r="D843" s="27"/>
      <c r="G843" s="25"/>
      <c r="J843" s="25"/>
      <c r="K843" s="25"/>
      <c r="L843" s="25"/>
      <c r="M843" s="25"/>
      <c r="V843" s="28"/>
      <c r="W843" s="25"/>
    </row>
    <row r="844" spans="1:23" ht="15.75" customHeight="1" x14ac:dyDescent="0.25">
      <c r="A844" s="25"/>
      <c r="C844" s="26"/>
      <c r="D844" s="27"/>
      <c r="G844" s="25"/>
      <c r="J844" s="25"/>
      <c r="K844" s="25"/>
      <c r="L844" s="25"/>
      <c r="M844" s="25"/>
      <c r="V844" s="28"/>
      <c r="W844" s="25"/>
    </row>
    <row r="845" spans="1:23" ht="15.75" customHeight="1" x14ac:dyDescent="0.25">
      <c r="A845" s="25"/>
      <c r="C845" s="26"/>
      <c r="D845" s="27"/>
      <c r="G845" s="25"/>
      <c r="J845" s="25"/>
      <c r="K845" s="25"/>
      <c r="L845" s="25"/>
      <c r="M845" s="25"/>
      <c r="V845" s="28"/>
      <c r="W845" s="25"/>
    </row>
    <row r="846" spans="1:23" ht="15.75" customHeight="1" x14ac:dyDescent="0.25">
      <c r="A846" s="25"/>
      <c r="C846" s="26"/>
      <c r="D846" s="27"/>
      <c r="G846" s="25"/>
      <c r="J846" s="25"/>
      <c r="K846" s="25"/>
      <c r="L846" s="25"/>
      <c r="M846" s="25"/>
      <c r="V846" s="28"/>
      <c r="W846" s="25"/>
    </row>
    <row r="847" spans="1:23" ht="15.75" customHeight="1" x14ac:dyDescent="0.25">
      <c r="A847" s="25"/>
      <c r="C847" s="26"/>
      <c r="D847" s="27"/>
      <c r="G847" s="25"/>
      <c r="J847" s="25"/>
      <c r="K847" s="25"/>
      <c r="L847" s="25"/>
      <c r="M847" s="25"/>
      <c r="V847" s="28"/>
      <c r="W847" s="25"/>
    </row>
    <row r="848" spans="1:23" ht="15.75" customHeight="1" x14ac:dyDescent="0.25">
      <c r="A848" s="25"/>
      <c r="C848" s="26"/>
      <c r="D848" s="27"/>
      <c r="G848" s="25"/>
      <c r="J848" s="25"/>
      <c r="K848" s="25"/>
      <c r="L848" s="25"/>
      <c r="M848" s="25"/>
      <c r="V848" s="28"/>
      <c r="W848" s="25"/>
    </row>
    <row r="849" spans="1:23" ht="15.75" customHeight="1" x14ac:dyDescent="0.25">
      <c r="A849" s="25"/>
      <c r="C849" s="26"/>
      <c r="D849" s="27"/>
      <c r="G849" s="25"/>
      <c r="J849" s="25"/>
      <c r="K849" s="25"/>
      <c r="L849" s="25"/>
      <c r="M849" s="25"/>
      <c r="V849" s="28"/>
      <c r="W849" s="25"/>
    </row>
    <row r="850" spans="1:23" ht="15.75" customHeight="1" x14ac:dyDescent="0.25">
      <c r="A850" s="25"/>
      <c r="C850" s="26"/>
      <c r="D850" s="27"/>
      <c r="G850" s="25"/>
      <c r="J850" s="25"/>
      <c r="K850" s="25"/>
      <c r="L850" s="25"/>
      <c r="M850" s="25"/>
      <c r="V850" s="28"/>
      <c r="W850" s="25"/>
    </row>
    <row r="851" spans="1:23" ht="15.75" customHeight="1" x14ac:dyDescent="0.25">
      <c r="A851" s="25"/>
      <c r="C851" s="26"/>
      <c r="D851" s="27"/>
      <c r="G851" s="25"/>
      <c r="J851" s="25"/>
      <c r="K851" s="25"/>
      <c r="L851" s="25"/>
      <c r="M851" s="25"/>
      <c r="V851" s="28"/>
      <c r="W851" s="25"/>
    </row>
    <row r="852" spans="1:23" ht="15.75" customHeight="1" x14ac:dyDescent="0.25">
      <c r="A852" s="25"/>
      <c r="C852" s="26"/>
      <c r="D852" s="27"/>
      <c r="G852" s="25"/>
      <c r="J852" s="25"/>
      <c r="K852" s="25"/>
      <c r="L852" s="25"/>
      <c r="M852" s="25"/>
      <c r="V852" s="28"/>
      <c r="W852" s="25"/>
    </row>
    <row r="853" spans="1:23" ht="15.75" customHeight="1" x14ac:dyDescent="0.25">
      <c r="A853" s="25"/>
      <c r="C853" s="26"/>
      <c r="D853" s="27"/>
      <c r="G853" s="25"/>
      <c r="J853" s="25"/>
      <c r="K853" s="25"/>
      <c r="L853" s="25"/>
      <c r="M853" s="25"/>
      <c r="V853" s="28"/>
      <c r="W853" s="25"/>
    </row>
    <row r="854" spans="1:23" ht="15.75" customHeight="1" x14ac:dyDescent="0.25">
      <c r="A854" s="25"/>
      <c r="C854" s="26"/>
      <c r="D854" s="27"/>
      <c r="G854" s="25"/>
      <c r="J854" s="25"/>
      <c r="K854" s="25"/>
      <c r="L854" s="25"/>
      <c r="M854" s="25"/>
      <c r="V854" s="28"/>
      <c r="W854" s="25"/>
    </row>
    <row r="855" spans="1:23" ht="15.75" customHeight="1" x14ac:dyDescent="0.25">
      <c r="A855" s="25"/>
      <c r="C855" s="26"/>
      <c r="D855" s="27"/>
      <c r="G855" s="25"/>
      <c r="J855" s="25"/>
      <c r="K855" s="25"/>
      <c r="L855" s="25"/>
      <c r="M855" s="25"/>
      <c r="V855" s="28"/>
      <c r="W855" s="25"/>
    </row>
    <row r="856" spans="1:23" ht="15.75" customHeight="1" x14ac:dyDescent="0.25">
      <c r="A856" s="25"/>
      <c r="C856" s="26"/>
      <c r="D856" s="27"/>
      <c r="G856" s="25"/>
      <c r="J856" s="25"/>
      <c r="K856" s="25"/>
      <c r="L856" s="25"/>
      <c r="M856" s="25"/>
      <c r="V856" s="28"/>
      <c r="W856" s="25"/>
    </row>
    <row r="857" spans="1:23" ht="15.75" customHeight="1" x14ac:dyDescent="0.25">
      <c r="A857" s="25"/>
      <c r="C857" s="26"/>
      <c r="D857" s="27"/>
      <c r="G857" s="25"/>
      <c r="J857" s="25"/>
      <c r="K857" s="25"/>
      <c r="L857" s="25"/>
      <c r="M857" s="25"/>
      <c r="V857" s="28"/>
      <c r="W857" s="25"/>
    </row>
    <row r="858" spans="1:23" ht="15.75" customHeight="1" x14ac:dyDescent="0.25">
      <c r="A858" s="25"/>
      <c r="C858" s="26"/>
      <c r="D858" s="27"/>
      <c r="G858" s="25"/>
      <c r="J858" s="25"/>
      <c r="K858" s="25"/>
      <c r="L858" s="25"/>
      <c r="M858" s="25"/>
      <c r="V858" s="28"/>
      <c r="W858" s="25"/>
    </row>
    <row r="859" spans="1:23" ht="15.75" customHeight="1" x14ac:dyDescent="0.25">
      <c r="A859" s="25"/>
      <c r="C859" s="26"/>
      <c r="D859" s="27"/>
      <c r="G859" s="25"/>
      <c r="J859" s="25"/>
      <c r="K859" s="25"/>
      <c r="L859" s="25"/>
      <c r="M859" s="25"/>
      <c r="V859" s="28"/>
      <c r="W859" s="25"/>
    </row>
    <row r="860" spans="1:23" ht="15.75" customHeight="1" x14ac:dyDescent="0.25">
      <c r="A860" s="25"/>
      <c r="C860" s="26"/>
      <c r="D860" s="27"/>
      <c r="G860" s="25"/>
      <c r="J860" s="25"/>
      <c r="K860" s="25"/>
      <c r="L860" s="25"/>
      <c r="M860" s="25"/>
      <c r="V860" s="28"/>
      <c r="W860" s="25"/>
    </row>
    <row r="861" spans="1:23" ht="15.75" customHeight="1" x14ac:dyDescent="0.25">
      <c r="A861" s="25"/>
      <c r="C861" s="26"/>
      <c r="D861" s="27"/>
      <c r="G861" s="25"/>
      <c r="J861" s="25"/>
      <c r="K861" s="25"/>
      <c r="L861" s="25"/>
      <c r="M861" s="25"/>
      <c r="V861" s="28"/>
      <c r="W861" s="25"/>
    </row>
    <row r="862" spans="1:23" ht="15.75" customHeight="1" x14ac:dyDescent="0.25">
      <c r="A862" s="25"/>
      <c r="C862" s="26"/>
      <c r="D862" s="27"/>
      <c r="G862" s="25"/>
      <c r="J862" s="25"/>
      <c r="K862" s="25"/>
      <c r="L862" s="25"/>
      <c r="M862" s="25"/>
      <c r="V862" s="28"/>
      <c r="W862" s="25"/>
    </row>
    <row r="863" spans="1:23" ht="15.75" customHeight="1" x14ac:dyDescent="0.25">
      <c r="A863" s="25"/>
      <c r="C863" s="26"/>
      <c r="D863" s="27"/>
      <c r="G863" s="25"/>
      <c r="J863" s="25"/>
      <c r="K863" s="25"/>
      <c r="L863" s="25"/>
      <c r="M863" s="25"/>
      <c r="V863" s="28"/>
      <c r="W863" s="25"/>
    </row>
    <row r="864" spans="1:23" ht="15.75" customHeight="1" x14ac:dyDescent="0.25">
      <c r="A864" s="25"/>
      <c r="C864" s="26"/>
      <c r="D864" s="27"/>
      <c r="G864" s="25"/>
      <c r="J864" s="25"/>
      <c r="K864" s="25"/>
      <c r="L864" s="25"/>
      <c r="M864" s="25"/>
      <c r="V864" s="28"/>
      <c r="W864" s="25"/>
    </row>
    <row r="865" spans="1:23" ht="15.75" customHeight="1" x14ac:dyDescent="0.25">
      <c r="A865" s="25"/>
      <c r="C865" s="26"/>
      <c r="D865" s="27"/>
      <c r="G865" s="25"/>
      <c r="J865" s="25"/>
      <c r="K865" s="25"/>
      <c r="L865" s="25"/>
      <c r="M865" s="25"/>
      <c r="V865" s="28"/>
      <c r="W865" s="25"/>
    </row>
    <row r="866" spans="1:23" ht="15.75" customHeight="1" x14ac:dyDescent="0.25">
      <c r="A866" s="25"/>
      <c r="C866" s="26"/>
      <c r="D866" s="27"/>
      <c r="G866" s="25"/>
      <c r="J866" s="25"/>
      <c r="K866" s="25"/>
      <c r="L866" s="25"/>
      <c r="M866" s="25"/>
      <c r="V866" s="28"/>
      <c r="W866" s="25"/>
    </row>
    <row r="867" spans="1:23" ht="15.75" customHeight="1" x14ac:dyDescent="0.25">
      <c r="A867" s="25"/>
      <c r="C867" s="26"/>
      <c r="D867" s="27"/>
      <c r="G867" s="25"/>
      <c r="J867" s="25"/>
      <c r="K867" s="25"/>
      <c r="L867" s="25"/>
      <c r="M867" s="25"/>
      <c r="V867" s="28"/>
      <c r="W867" s="25"/>
    </row>
    <row r="868" spans="1:23" ht="15.75" customHeight="1" x14ac:dyDescent="0.25">
      <c r="A868" s="25"/>
      <c r="C868" s="26"/>
      <c r="D868" s="27"/>
      <c r="G868" s="25"/>
      <c r="J868" s="25"/>
      <c r="K868" s="25"/>
      <c r="L868" s="25"/>
      <c r="M868" s="25"/>
      <c r="V868" s="28"/>
      <c r="W868" s="25"/>
    </row>
    <row r="869" spans="1:23" ht="15.75" customHeight="1" x14ac:dyDescent="0.25">
      <c r="A869" s="25"/>
      <c r="C869" s="26"/>
      <c r="D869" s="27"/>
      <c r="G869" s="25"/>
      <c r="J869" s="25"/>
      <c r="K869" s="25"/>
      <c r="L869" s="25"/>
      <c r="M869" s="25"/>
      <c r="V869" s="28"/>
      <c r="W869" s="25"/>
    </row>
    <row r="870" spans="1:23" ht="15.75" customHeight="1" x14ac:dyDescent="0.25">
      <c r="A870" s="25"/>
      <c r="C870" s="26"/>
      <c r="D870" s="27"/>
      <c r="G870" s="25"/>
      <c r="J870" s="25"/>
      <c r="K870" s="25"/>
      <c r="L870" s="25"/>
      <c r="M870" s="25"/>
      <c r="V870" s="28"/>
      <c r="W870" s="25"/>
    </row>
    <row r="871" spans="1:23" ht="15.75" customHeight="1" x14ac:dyDescent="0.25">
      <c r="A871" s="25"/>
      <c r="C871" s="26"/>
      <c r="D871" s="27"/>
      <c r="G871" s="25"/>
      <c r="J871" s="25"/>
      <c r="K871" s="25"/>
      <c r="L871" s="25"/>
      <c r="M871" s="25"/>
      <c r="V871" s="28"/>
      <c r="W871" s="25"/>
    </row>
    <row r="872" spans="1:23" ht="15.75" customHeight="1" x14ac:dyDescent="0.25">
      <c r="A872" s="25"/>
      <c r="C872" s="26"/>
      <c r="D872" s="27"/>
      <c r="G872" s="25"/>
      <c r="J872" s="25"/>
      <c r="K872" s="25"/>
      <c r="L872" s="25"/>
      <c r="M872" s="25"/>
      <c r="V872" s="28"/>
      <c r="W872" s="25"/>
    </row>
    <row r="873" spans="1:23" ht="15.75" customHeight="1" x14ac:dyDescent="0.25">
      <c r="A873" s="25"/>
      <c r="C873" s="26"/>
      <c r="D873" s="27"/>
      <c r="G873" s="25"/>
      <c r="J873" s="25"/>
      <c r="K873" s="25"/>
      <c r="L873" s="25"/>
      <c r="M873" s="25"/>
      <c r="V873" s="28"/>
      <c r="W873" s="25"/>
    </row>
    <row r="874" spans="1:23" ht="15.75" customHeight="1" x14ac:dyDescent="0.25">
      <c r="A874" s="25"/>
      <c r="C874" s="26"/>
      <c r="D874" s="27"/>
      <c r="G874" s="25"/>
      <c r="J874" s="25"/>
      <c r="K874" s="25"/>
      <c r="L874" s="25"/>
      <c r="M874" s="25"/>
      <c r="V874" s="28"/>
      <c r="W874" s="25"/>
    </row>
    <row r="875" spans="1:23" ht="15.75" customHeight="1" x14ac:dyDescent="0.25">
      <c r="A875" s="25"/>
      <c r="C875" s="26"/>
      <c r="D875" s="27"/>
      <c r="G875" s="25"/>
      <c r="J875" s="25"/>
      <c r="K875" s="25"/>
      <c r="L875" s="25"/>
      <c r="M875" s="25"/>
      <c r="V875" s="28"/>
      <c r="W875" s="25"/>
    </row>
    <row r="876" spans="1:23" ht="15.75" customHeight="1" x14ac:dyDescent="0.25">
      <c r="A876" s="25"/>
      <c r="C876" s="26"/>
      <c r="D876" s="27"/>
      <c r="G876" s="25"/>
      <c r="J876" s="25"/>
      <c r="K876" s="25"/>
      <c r="L876" s="25"/>
      <c r="M876" s="25"/>
      <c r="V876" s="28"/>
      <c r="W876" s="25"/>
    </row>
    <row r="877" spans="1:23" ht="15.75" customHeight="1" x14ac:dyDescent="0.25">
      <c r="A877" s="25"/>
      <c r="C877" s="26"/>
      <c r="D877" s="27"/>
      <c r="G877" s="25"/>
      <c r="J877" s="25"/>
      <c r="K877" s="25"/>
      <c r="L877" s="25"/>
      <c r="M877" s="25"/>
      <c r="V877" s="28"/>
      <c r="W877" s="25"/>
    </row>
    <row r="878" spans="1:23" ht="15.75" customHeight="1" x14ac:dyDescent="0.25">
      <c r="A878" s="25"/>
      <c r="C878" s="26"/>
      <c r="D878" s="27"/>
      <c r="G878" s="25"/>
      <c r="J878" s="25"/>
      <c r="K878" s="25"/>
      <c r="L878" s="25"/>
      <c r="M878" s="25"/>
      <c r="V878" s="28"/>
      <c r="W878" s="25"/>
    </row>
    <row r="879" spans="1:23" ht="15.75" customHeight="1" x14ac:dyDescent="0.25">
      <c r="A879" s="25"/>
      <c r="C879" s="26"/>
      <c r="D879" s="27"/>
      <c r="G879" s="25"/>
      <c r="J879" s="25"/>
      <c r="K879" s="25"/>
      <c r="L879" s="25"/>
      <c r="M879" s="25"/>
      <c r="V879" s="28"/>
      <c r="W879" s="25"/>
    </row>
    <row r="880" spans="1:23" ht="15.75" customHeight="1" x14ac:dyDescent="0.25">
      <c r="A880" s="25"/>
      <c r="C880" s="26"/>
      <c r="D880" s="27"/>
      <c r="G880" s="25"/>
      <c r="J880" s="25"/>
      <c r="K880" s="25"/>
      <c r="L880" s="25"/>
      <c r="M880" s="25"/>
      <c r="V880" s="28"/>
      <c r="W880" s="25"/>
    </row>
    <row r="881" spans="1:23" ht="15.75" customHeight="1" x14ac:dyDescent="0.25">
      <c r="A881" s="25"/>
      <c r="C881" s="26"/>
      <c r="D881" s="27"/>
      <c r="G881" s="25"/>
      <c r="J881" s="25"/>
      <c r="K881" s="25"/>
      <c r="L881" s="25"/>
      <c r="M881" s="25"/>
      <c r="V881" s="28"/>
      <c r="W881" s="25"/>
    </row>
    <row r="882" spans="1:23" ht="15.75" customHeight="1" x14ac:dyDescent="0.25">
      <c r="A882" s="25"/>
      <c r="C882" s="26"/>
      <c r="D882" s="27"/>
      <c r="G882" s="25"/>
      <c r="J882" s="25"/>
      <c r="K882" s="25"/>
      <c r="L882" s="25"/>
      <c r="M882" s="25"/>
      <c r="V882" s="28"/>
      <c r="W882" s="25"/>
    </row>
    <row r="883" spans="1:23" ht="15.75" customHeight="1" x14ac:dyDescent="0.25">
      <c r="A883" s="25"/>
      <c r="C883" s="26"/>
      <c r="D883" s="27"/>
      <c r="G883" s="25"/>
      <c r="J883" s="25"/>
      <c r="K883" s="25"/>
      <c r="L883" s="25"/>
      <c r="M883" s="25"/>
      <c r="V883" s="28"/>
      <c r="W883" s="25"/>
    </row>
    <row r="884" spans="1:23" ht="15.75" customHeight="1" x14ac:dyDescent="0.25">
      <c r="A884" s="25"/>
      <c r="C884" s="26"/>
      <c r="D884" s="27"/>
      <c r="G884" s="25"/>
      <c r="J884" s="25"/>
      <c r="K884" s="25"/>
      <c r="L884" s="25"/>
      <c r="M884" s="25"/>
      <c r="V884" s="28"/>
      <c r="W884" s="25"/>
    </row>
    <row r="885" spans="1:23" ht="15.75" customHeight="1" x14ac:dyDescent="0.25">
      <c r="A885" s="25"/>
      <c r="C885" s="26"/>
      <c r="D885" s="27"/>
      <c r="G885" s="25"/>
      <c r="J885" s="25"/>
      <c r="K885" s="25"/>
      <c r="L885" s="25"/>
      <c r="M885" s="25"/>
      <c r="V885" s="28"/>
      <c r="W885" s="25"/>
    </row>
    <row r="886" spans="1:23" ht="15.75" customHeight="1" x14ac:dyDescent="0.25">
      <c r="A886" s="25"/>
      <c r="C886" s="26"/>
      <c r="D886" s="27"/>
      <c r="G886" s="25"/>
      <c r="J886" s="25"/>
      <c r="K886" s="25"/>
      <c r="L886" s="25"/>
      <c r="M886" s="25"/>
      <c r="V886" s="28"/>
      <c r="W886" s="25"/>
    </row>
    <row r="887" spans="1:23" ht="15.75" customHeight="1" x14ac:dyDescent="0.25">
      <c r="A887" s="25"/>
      <c r="C887" s="26"/>
      <c r="D887" s="27"/>
      <c r="G887" s="25"/>
      <c r="J887" s="25"/>
      <c r="K887" s="25"/>
      <c r="L887" s="25"/>
      <c r="M887" s="25"/>
      <c r="V887" s="28"/>
      <c r="W887" s="25"/>
    </row>
    <row r="888" spans="1:23" ht="15.75" customHeight="1" x14ac:dyDescent="0.25">
      <c r="A888" s="25"/>
      <c r="C888" s="26"/>
      <c r="D888" s="27"/>
      <c r="G888" s="25"/>
      <c r="J888" s="25"/>
      <c r="K888" s="25"/>
      <c r="L888" s="25"/>
      <c r="M888" s="25"/>
      <c r="V888" s="28"/>
      <c r="W888" s="25"/>
    </row>
    <row r="889" spans="1:23" ht="15.75" customHeight="1" x14ac:dyDescent="0.25">
      <c r="A889" s="25"/>
      <c r="C889" s="26"/>
      <c r="D889" s="27"/>
      <c r="G889" s="25"/>
      <c r="J889" s="25"/>
      <c r="K889" s="25"/>
      <c r="L889" s="25"/>
      <c r="M889" s="25"/>
      <c r="V889" s="28"/>
      <c r="W889" s="25"/>
    </row>
    <row r="890" spans="1:23" ht="15.75" customHeight="1" x14ac:dyDescent="0.25">
      <c r="A890" s="25"/>
      <c r="C890" s="26"/>
      <c r="D890" s="27"/>
      <c r="G890" s="25"/>
      <c r="J890" s="25"/>
      <c r="K890" s="25"/>
      <c r="L890" s="25"/>
      <c r="M890" s="25"/>
      <c r="V890" s="28"/>
      <c r="W890" s="25"/>
    </row>
    <row r="891" spans="1:23" ht="15.75" customHeight="1" x14ac:dyDescent="0.25">
      <c r="A891" s="25"/>
      <c r="C891" s="26"/>
      <c r="D891" s="27"/>
      <c r="G891" s="25"/>
      <c r="J891" s="25"/>
      <c r="K891" s="25"/>
      <c r="L891" s="25"/>
      <c r="M891" s="25"/>
      <c r="V891" s="28"/>
      <c r="W891" s="25"/>
    </row>
    <row r="892" spans="1:23" ht="15.75" customHeight="1" x14ac:dyDescent="0.25">
      <c r="A892" s="25"/>
      <c r="C892" s="26"/>
      <c r="D892" s="27"/>
      <c r="G892" s="25"/>
      <c r="J892" s="25"/>
      <c r="K892" s="25"/>
      <c r="L892" s="25"/>
      <c r="M892" s="25"/>
      <c r="V892" s="28"/>
      <c r="W892" s="25"/>
    </row>
    <row r="893" spans="1:23" ht="15.75" customHeight="1" x14ac:dyDescent="0.25">
      <c r="A893" s="25"/>
      <c r="C893" s="26"/>
      <c r="D893" s="27"/>
      <c r="G893" s="25"/>
      <c r="J893" s="25"/>
      <c r="K893" s="25"/>
      <c r="L893" s="25"/>
      <c r="M893" s="25"/>
      <c r="V893" s="28"/>
      <c r="W893" s="25"/>
    </row>
    <row r="894" spans="1:23" ht="15.75" customHeight="1" x14ac:dyDescent="0.25">
      <c r="A894" s="25"/>
      <c r="C894" s="26"/>
      <c r="D894" s="27"/>
      <c r="G894" s="25"/>
      <c r="J894" s="25"/>
      <c r="K894" s="25"/>
      <c r="L894" s="25"/>
      <c r="M894" s="25"/>
      <c r="V894" s="28"/>
      <c r="W894" s="25"/>
    </row>
    <row r="895" spans="1:23" ht="15.75" customHeight="1" x14ac:dyDescent="0.25">
      <c r="A895" s="25"/>
      <c r="C895" s="26"/>
      <c r="D895" s="27"/>
      <c r="G895" s="25"/>
      <c r="J895" s="25"/>
      <c r="K895" s="25"/>
      <c r="L895" s="25"/>
      <c r="M895" s="25"/>
      <c r="V895" s="28"/>
      <c r="W895" s="25"/>
    </row>
    <row r="896" spans="1:23" ht="15.75" customHeight="1" x14ac:dyDescent="0.25">
      <c r="A896" s="25"/>
      <c r="C896" s="26"/>
      <c r="D896" s="27"/>
      <c r="G896" s="25"/>
      <c r="J896" s="25"/>
      <c r="K896" s="25"/>
      <c r="L896" s="25"/>
      <c r="M896" s="25"/>
      <c r="V896" s="28"/>
      <c r="W896" s="25"/>
    </row>
    <row r="897" spans="1:23" ht="15.75" customHeight="1" x14ac:dyDescent="0.25">
      <c r="A897" s="25"/>
      <c r="C897" s="26"/>
      <c r="D897" s="27"/>
      <c r="G897" s="25"/>
      <c r="J897" s="25"/>
      <c r="K897" s="25"/>
      <c r="L897" s="25"/>
      <c r="M897" s="25"/>
      <c r="V897" s="28"/>
      <c r="W897" s="25"/>
    </row>
    <row r="898" spans="1:23" ht="15.75" customHeight="1" x14ac:dyDescent="0.25">
      <c r="A898" s="25"/>
      <c r="C898" s="26"/>
      <c r="D898" s="27"/>
      <c r="G898" s="25"/>
      <c r="J898" s="25"/>
      <c r="K898" s="25"/>
      <c r="L898" s="25"/>
      <c r="M898" s="25"/>
      <c r="V898" s="28"/>
      <c r="W898" s="25"/>
    </row>
    <row r="899" spans="1:23" ht="15.75" customHeight="1" x14ac:dyDescent="0.25">
      <c r="A899" s="25"/>
      <c r="C899" s="26"/>
      <c r="D899" s="27"/>
      <c r="G899" s="25"/>
      <c r="J899" s="25"/>
      <c r="K899" s="25"/>
      <c r="L899" s="25"/>
      <c r="M899" s="25"/>
      <c r="V899" s="28"/>
      <c r="W899" s="25"/>
    </row>
    <row r="900" spans="1:23" ht="15.75" customHeight="1" x14ac:dyDescent="0.25">
      <c r="A900" s="25"/>
      <c r="C900" s="26"/>
      <c r="D900" s="27"/>
      <c r="G900" s="25"/>
      <c r="J900" s="25"/>
      <c r="K900" s="25"/>
      <c r="L900" s="25"/>
      <c r="M900" s="25"/>
      <c r="V900" s="28"/>
      <c r="W900" s="25"/>
    </row>
    <row r="901" spans="1:23" ht="15.75" customHeight="1" x14ac:dyDescent="0.25">
      <c r="A901" s="25"/>
      <c r="C901" s="26"/>
      <c r="D901" s="27"/>
      <c r="G901" s="25"/>
      <c r="J901" s="25"/>
      <c r="K901" s="25"/>
      <c r="L901" s="25"/>
      <c r="M901" s="25"/>
      <c r="V901" s="28"/>
      <c r="W901" s="25"/>
    </row>
    <row r="902" spans="1:23" ht="15.75" customHeight="1" x14ac:dyDescent="0.25">
      <c r="A902" s="25"/>
      <c r="C902" s="26"/>
      <c r="D902" s="27"/>
      <c r="G902" s="25"/>
      <c r="J902" s="25"/>
      <c r="K902" s="25"/>
      <c r="L902" s="25"/>
      <c r="M902" s="25"/>
      <c r="V902" s="28"/>
      <c r="W902" s="25"/>
    </row>
    <row r="903" spans="1:23" ht="15.75" customHeight="1" x14ac:dyDescent="0.25">
      <c r="A903" s="25"/>
      <c r="C903" s="26"/>
      <c r="D903" s="27"/>
      <c r="G903" s="25"/>
      <c r="J903" s="25"/>
      <c r="K903" s="25"/>
      <c r="L903" s="25"/>
      <c r="M903" s="25"/>
      <c r="V903" s="28"/>
      <c r="W903" s="25"/>
    </row>
    <row r="904" spans="1:23" ht="15.75" customHeight="1" x14ac:dyDescent="0.25">
      <c r="A904" s="25"/>
      <c r="C904" s="26"/>
      <c r="D904" s="27"/>
      <c r="G904" s="25"/>
      <c r="J904" s="25"/>
      <c r="K904" s="25"/>
      <c r="L904" s="25"/>
      <c r="M904" s="25"/>
      <c r="V904" s="28"/>
      <c r="W904" s="25"/>
    </row>
    <row r="905" spans="1:23" ht="15.75" customHeight="1" x14ac:dyDescent="0.25">
      <c r="A905" s="25"/>
      <c r="C905" s="26"/>
      <c r="D905" s="27"/>
      <c r="G905" s="25"/>
      <c r="J905" s="25"/>
      <c r="K905" s="25"/>
      <c r="L905" s="25"/>
      <c r="M905" s="25"/>
      <c r="V905" s="28"/>
      <c r="W905" s="25"/>
    </row>
    <row r="906" spans="1:23" ht="15.75" customHeight="1" x14ac:dyDescent="0.25">
      <c r="A906" s="25"/>
      <c r="C906" s="26"/>
      <c r="D906" s="27"/>
      <c r="G906" s="25"/>
      <c r="J906" s="25"/>
      <c r="K906" s="25"/>
      <c r="L906" s="25"/>
      <c r="M906" s="25"/>
      <c r="V906" s="28"/>
      <c r="W906" s="25"/>
    </row>
    <row r="907" spans="1:23" ht="15.75" customHeight="1" x14ac:dyDescent="0.25">
      <c r="A907" s="25"/>
      <c r="C907" s="26"/>
      <c r="D907" s="27"/>
      <c r="G907" s="25"/>
      <c r="J907" s="25"/>
      <c r="K907" s="25"/>
      <c r="L907" s="25"/>
      <c r="M907" s="25"/>
      <c r="V907" s="28"/>
      <c r="W907" s="25"/>
    </row>
    <row r="908" spans="1:23" ht="15.75" customHeight="1" x14ac:dyDescent="0.25">
      <c r="A908" s="25"/>
      <c r="C908" s="26"/>
      <c r="D908" s="27"/>
      <c r="G908" s="25"/>
      <c r="J908" s="25"/>
      <c r="K908" s="25"/>
      <c r="L908" s="25"/>
      <c r="M908" s="25"/>
      <c r="V908" s="28"/>
      <c r="W908" s="25"/>
    </row>
    <row r="909" spans="1:23" ht="15.75" customHeight="1" x14ac:dyDescent="0.25">
      <c r="A909" s="25"/>
      <c r="C909" s="26"/>
      <c r="D909" s="27"/>
      <c r="G909" s="25"/>
      <c r="J909" s="25"/>
      <c r="K909" s="25"/>
      <c r="L909" s="25"/>
      <c r="M909" s="25"/>
      <c r="V909" s="28"/>
      <c r="W909" s="25"/>
    </row>
    <row r="910" spans="1:23" ht="15.75" customHeight="1" x14ac:dyDescent="0.25">
      <c r="A910" s="25"/>
      <c r="C910" s="26"/>
      <c r="D910" s="27"/>
      <c r="G910" s="25"/>
      <c r="J910" s="25"/>
      <c r="K910" s="25"/>
      <c r="L910" s="25"/>
      <c r="M910" s="25"/>
      <c r="V910" s="28"/>
      <c r="W910" s="25"/>
    </row>
    <row r="911" spans="1:23" ht="15.75" customHeight="1" x14ac:dyDescent="0.25">
      <c r="A911" s="25"/>
      <c r="C911" s="26"/>
      <c r="D911" s="27"/>
      <c r="G911" s="25"/>
      <c r="J911" s="25"/>
      <c r="K911" s="25"/>
      <c r="L911" s="25"/>
      <c r="M911" s="25"/>
      <c r="V911" s="28"/>
      <c r="W911" s="25"/>
    </row>
    <row r="912" spans="1:23" ht="15.75" customHeight="1" x14ac:dyDescent="0.25">
      <c r="A912" s="25"/>
      <c r="C912" s="26"/>
      <c r="D912" s="27"/>
      <c r="G912" s="25"/>
      <c r="J912" s="25"/>
      <c r="K912" s="25"/>
      <c r="L912" s="25"/>
      <c r="M912" s="25"/>
      <c r="V912" s="28"/>
      <c r="W912" s="25"/>
    </row>
    <row r="913" spans="1:23" ht="15.75" customHeight="1" x14ac:dyDescent="0.25">
      <c r="A913" s="25"/>
      <c r="C913" s="26"/>
      <c r="D913" s="27"/>
      <c r="G913" s="25"/>
      <c r="J913" s="25"/>
      <c r="K913" s="25"/>
      <c r="L913" s="25"/>
      <c r="M913" s="25"/>
      <c r="V913" s="28"/>
      <c r="W913" s="25"/>
    </row>
    <row r="914" spans="1:23" ht="15.75" customHeight="1" x14ac:dyDescent="0.25">
      <c r="A914" s="25"/>
      <c r="C914" s="26"/>
      <c r="D914" s="27"/>
      <c r="G914" s="25"/>
      <c r="J914" s="25"/>
      <c r="K914" s="25"/>
      <c r="L914" s="25"/>
      <c r="M914" s="25"/>
      <c r="V914" s="28"/>
      <c r="W914" s="25"/>
    </row>
    <row r="915" spans="1:23" ht="15.75" customHeight="1" x14ac:dyDescent="0.25">
      <c r="A915" s="25"/>
      <c r="C915" s="26"/>
      <c r="D915" s="27"/>
      <c r="G915" s="25"/>
      <c r="J915" s="25"/>
      <c r="K915" s="25"/>
      <c r="L915" s="25"/>
      <c r="M915" s="25"/>
      <c r="V915" s="28"/>
      <c r="W915" s="25"/>
    </row>
    <row r="916" spans="1:23" ht="15.75" customHeight="1" x14ac:dyDescent="0.25">
      <c r="A916" s="25"/>
      <c r="C916" s="26"/>
      <c r="D916" s="27"/>
      <c r="G916" s="25"/>
      <c r="J916" s="25"/>
      <c r="K916" s="25"/>
      <c r="L916" s="25"/>
      <c r="M916" s="25"/>
      <c r="V916" s="28"/>
      <c r="W916" s="25"/>
    </row>
    <row r="917" spans="1:23" ht="15.75" customHeight="1" x14ac:dyDescent="0.25">
      <c r="A917" s="25"/>
      <c r="C917" s="26"/>
      <c r="D917" s="27"/>
      <c r="G917" s="25"/>
      <c r="J917" s="25"/>
      <c r="K917" s="25"/>
      <c r="L917" s="25"/>
      <c r="M917" s="25"/>
      <c r="V917" s="28"/>
      <c r="W917" s="25"/>
    </row>
    <row r="918" spans="1:23" ht="15.75" customHeight="1" x14ac:dyDescent="0.25">
      <c r="A918" s="25"/>
      <c r="C918" s="26"/>
      <c r="D918" s="27"/>
      <c r="G918" s="25"/>
      <c r="J918" s="25"/>
      <c r="K918" s="25"/>
      <c r="L918" s="25"/>
      <c r="M918" s="25"/>
      <c r="V918" s="28"/>
      <c r="W918" s="25"/>
    </row>
    <row r="919" spans="1:23" ht="15.75" customHeight="1" x14ac:dyDescent="0.25">
      <c r="A919" s="25"/>
      <c r="C919" s="26"/>
      <c r="D919" s="27"/>
      <c r="G919" s="25"/>
      <c r="J919" s="25"/>
      <c r="K919" s="25"/>
      <c r="L919" s="25"/>
      <c r="M919" s="25"/>
      <c r="V919" s="28"/>
      <c r="W919" s="25"/>
    </row>
    <row r="920" spans="1:23" ht="15.75" customHeight="1" x14ac:dyDescent="0.25">
      <c r="A920" s="25"/>
      <c r="C920" s="26"/>
      <c r="D920" s="27"/>
      <c r="G920" s="25"/>
      <c r="J920" s="25"/>
      <c r="K920" s="25"/>
      <c r="L920" s="25"/>
      <c r="M920" s="25"/>
      <c r="V920" s="28"/>
      <c r="W920" s="25"/>
    </row>
    <row r="921" spans="1:23" ht="15.75" customHeight="1" x14ac:dyDescent="0.25">
      <c r="A921" s="25"/>
      <c r="C921" s="26"/>
      <c r="D921" s="27"/>
      <c r="G921" s="25"/>
      <c r="J921" s="25"/>
      <c r="K921" s="25"/>
      <c r="L921" s="25"/>
      <c r="M921" s="25"/>
      <c r="V921" s="28"/>
      <c r="W921" s="25"/>
    </row>
    <row r="922" spans="1:23" ht="15.75" customHeight="1" x14ac:dyDescent="0.25">
      <c r="A922" s="25"/>
      <c r="C922" s="26"/>
      <c r="D922" s="27"/>
      <c r="G922" s="25"/>
      <c r="J922" s="25"/>
      <c r="K922" s="25"/>
      <c r="L922" s="25"/>
      <c r="M922" s="25"/>
      <c r="V922" s="28"/>
      <c r="W922" s="25"/>
    </row>
    <row r="923" spans="1:23" ht="15.75" customHeight="1" x14ac:dyDescent="0.25">
      <c r="A923" s="25"/>
      <c r="C923" s="26"/>
      <c r="D923" s="27"/>
      <c r="G923" s="25"/>
      <c r="J923" s="25"/>
      <c r="K923" s="25"/>
      <c r="L923" s="25"/>
      <c r="M923" s="25"/>
      <c r="V923" s="28"/>
      <c r="W923" s="25"/>
    </row>
    <row r="924" spans="1:23" ht="15.75" customHeight="1" x14ac:dyDescent="0.25">
      <c r="A924" s="25"/>
      <c r="C924" s="26"/>
      <c r="D924" s="27"/>
      <c r="G924" s="25"/>
      <c r="J924" s="25"/>
      <c r="K924" s="25"/>
      <c r="L924" s="25"/>
      <c r="M924" s="25"/>
      <c r="V924" s="28"/>
      <c r="W924" s="25"/>
    </row>
    <row r="925" spans="1:23" ht="15.75" customHeight="1" x14ac:dyDescent="0.25">
      <c r="A925" s="25"/>
      <c r="C925" s="26"/>
      <c r="D925" s="27"/>
      <c r="G925" s="25"/>
      <c r="J925" s="25"/>
      <c r="K925" s="25"/>
      <c r="L925" s="25"/>
      <c r="M925" s="25"/>
      <c r="V925" s="28"/>
      <c r="W925" s="25"/>
    </row>
    <row r="926" spans="1:23" ht="15.75" customHeight="1" x14ac:dyDescent="0.25">
      <c r="A926" s="25"/>
      <c r="C926" s="26"/>
      <c r="D926" s="27"/>
      <c r="G926" s="25"/>
      <c r="J926" s="25"/>
      <c r="K926" s="25"/>
      <c r="L926" s="25"/>
      <c r="M926" s="25"/>
      <c r="V926" s="28"/>
      <c r="W926" s="25"/>
    </row>
    <row r="927" spans="1:23" ht="15.75" customHeight="1" x14ac:dyDescent="0.25">
      <c r="A927" s="25"/>
      <c r="C927" s="26"/>
      <c r="D927" s="27"/>
      <c r="G927" s="25"/>
      <c r="J927" s="25"/>
      <c r="K927" s="25"/>
      <c r="L927" s="25"/>
      <c r="M927" s="25"/>
      <c r="V927" s="28"/>
      <c r="W927" s="25"/>
    </row>
    <row r="928" spans="1:23" ht="15.75" customHeight="1" x14ac:dyDescent="0.25">
      <c r="A928" s="25"/>
      <c r="C928" s="26"/>
      <c r="D928" s="27"/>
      <c r="G928" s="25"/>
      <c r="J928" s="25"/>
      <c r="K928" s="25"/>
      <c r="L928" s="25"/>
      <c r="M928" s="25"/>
      <c r="V928" s="28"/>
      <c r="W928" s="25"/>
    </row>
    <row r="929" spans="1:23" ht="15.75" customHeight="1" x14ac:dyDescent="0.25">
      <c r="A929" s="25"/>
      <c r="C929" s="26"/>
      <c r="D929" s="27"/>
      <c r="G929" s="25"/>
      <c r="J929" s="25"/>
      <c r="K929" s="25"/>
      <c r="L929" s="25"/>
      <c r="M929" s="25"/>
      <c r="V929" s="28"/>
      <c r="W929" s="25"/>
    </row>
    <row r="930" spans="1:23" ht="15.75" customHeight="1" x14ac:dyDescent="0.25">
      <c r="A930" s="25"/>
      <c r="C930" s="26"/>
      <c r="D930" s="27"/>
      <c r="G930" s="25"/>
      <c r="J930" s="25"/>
      <c r="K930" s="25"/>
      <c r="L930" s="25"/>
      <c r="M930" s="25"/>
      <c r="V930" s="28"/>
      <c r="W930" s="25"/>
    </row>
    <row r="931" spans="1:23" ht="15.75" customHeight="1" x14ac:dyDescent="0.25">
      <c r="A931" s="25"/>
      <c r="C931" s="26"/>
      <c r="D931" s="27"/>
      <c r="G931" s="25"/>
      <c r="J931" s="25"/>
      <c r="K931" s="25"/>
      <c r="L931" s="25"/>
      <c r="M931" s="25"/>
      <c r="V931" s="28"/>
      <c r="W931" s="25"/>
    </row>
    <row r="932" spans="1:23" ht="15.75" customHeight="1" x14ac:dyDescent="0.25">
      <c r="A932" s="25"/>
      <c r="C932" s="26"/>
      <c r="D932" s="27"/>
      <c r="G932" s="25"/>
      <c r="J932" s="25"/>
      <c r="K932" s="25"/>
      <c r="L932" s="25"/>
      <c r="M932" s="25"/>
      <c r="V932" s="28"/>
      <c r="W932" s="25"/>
    </row>
    <row r="933" spans="1:23" ht="15.75" customHeight="1" x14ac:dyDescent="0.25">
      <c r="A933" s="25"/>
      <c r="C933" s="26"/>
      <c r="D933" s="27"/>
      <c r="G933" s="25"/>
      <c r="J933" s="25"/>
      <c r="K933" s="25"/>
      <c r="L933" s="25"/>
      <c r="M933" s="25"/>
      <c r="V933" s="28"/>
      <c r="W933" s="25"/>
    </row>
    <row r="934" spans="1:23" ht="15.75" customHeight="1" x14ac:dyDescent="0.25">
      <c r="A934" s="25"/>
      <c r="C934" s="26"/>
      <c r="D934" s="27"/>
      <c r="G934" s="25"/>
      <c r="J934" s="25"/>
      <c r="K934" s="25"/>
      <c r="L934" s="25"/>
      <c r="M934" s="25"/>
      <c r="V934" s="28"/>
      <c r="W934" s="25"/>
    </row>
    <row r="935" spans="1:23" ht="15.75" customHeight="1" x14ac:dyDescent="0.25">
      <c r="A935" s="25"/>
      <c r="C935" s="26"/>
      <c r="D935" s="27"/>
      <c r="G935" s="25"/>
      <c r="J935" s="25"/>
      <c r="K935" s="25"/>
      <c r="L935" s="25"/>
      <c r="M935" s="25"/>
      <c r="V935" s="28"/>
      <c r="W935" s="25"/>
    </row>
    <row r="936" spans="1:23" ht="15.75" customHeight="1" x14ac:dyDescent="0.25">
      <c r="A936" s="25"/>
      <c r="C936" s="26"/>
      <c r="D936" s="27"/>
      <c r="G936" s="25"/>
      <c r="J936" s="25"/>
      <c r="K936" s="25"/>
      <c r="L936" s="25"/>
      <c r="M936" s="25"/>
      <c r="V936" s="28"/>
      <c r="W936" s="25"/>
    </row>
    <row r="937" spans="1:23" ht="15.75" customHeight="1" x14ac:dyDescent="0.25">
      <c r="A937" s="25"/>
      <c r="C937" s="26"/>
      <c r="D937" s="27"/>
      <c r="G937" s="25"/>
      <c r="J937" s="25"/>
      <c r="K937" s="25"/>
      <c r="L937" s="25"/>
      <c r="M937" s="25"/>
      <c r="V937" s="28"/>
      <c r="W937" s="25"/>
    </row>
    <row r="938" spans="1:23" ht="15.75" customHeight="1" x14ac:dyDescent="0.25">
      <c r="A938" s="25"/>
      <c r="C938" s="26"/>
      <c r="D938" s="27"/>
      <c r="G938" s="25"/>
      <c r="J938" s="25"/>
      <c r="K938" s="25"/>
      <c r="L938" s="25"/>
      <c r="M938" s="25"/>
      <c r="V938" s="28"/>
      <c r="W938" s="25"/>
    </row>
    <row r="939" spans="1:23" ht="15.75" customHeight="1" x14ac:dyDescent="0.25">
      <c r="A939" s="25"/>
      <c r="C939" s="26"/>
      <c r="D939" s="27"/>
      <c r="G939" s="25"/>
      <c r="J939" s="25"/>
      <c r="K939" s="25"/>
      <c r="L939" s="25"/>
      <c r="M939" s="25"/>
      <c r="V939" s="28"/>
      <c r="W939" s="25"/>
    </row>
    <row r="940" spans="1:23" ht="15.75" customHeight="1" x14ac:dyDescent="0.25">
      <c r="A940" s="25"/>
      <c r="C940" s="26"/>
      <c r="D940" s="27"/>
      <c r="G940" s="25"/>
      <c r="J940" s="25"/>
      <c r="K940" s="25"/>
      <c r="L940" s="25"/>
      <c r="M940" s="25"/>
      <c r="V940" s="28"/>
      <c r="W940" s="25"/>
    </row>
    <row r="941" spans="1:23" ht="15.75" customHeight="1" x14ac:dyDescent="0.25">
      <c r="A941" s="25"/>
      <c r="C941" s="26"/>
      <c r="D941" s="27"/>
      <c r="G941" s="25"/>
      <c r="J941" s="25"/>
      <c r="K941" s="25"/>
      <c r="L941" s="25"/>
      <c r="M941" s="25"/>
      <c r="V941" s="28"/>
      <c r="W941" s="25"/>
    </row>
    <row r="942" spans="1:23" ht="15.75" customHeight="1" x14ac:dyDescent="0.25">
      <c r="A942" s="25"/>
      <c r="C942" s="26"/>
      <c r="D942" s="27"/>
      <c r="G942" s="25"/>
      <c r="J942" s="25"/>
      <c r="K942" s="25"/>
      <c r="L942" s="25"/>
      <c r="M942" s="25"/>
      <c r="V942" s="28"/>
      <c r="W942" s="25"/>
    </row>
    <row r="943" spans="1:23" ht="15.75" customHeight="1" x14ac:dyDescent="0.25">
      <c r="A943" s="25"/>
      <c r="C943" s="26"/>
      <c r="D943" s="27"/>
      <c r="G943" s="25"/>
      <c r="J943" s="25"/>
      <c r="K943" s="25"/>
      <c r="L943" s="25"/>
      <c r="M943" s="25"/>
      <c r="V943" s="28"/>
      <c r="W943" s="25"/>
    </row>
    <row r="944" spans="1:23" ht="15.75" customHeight="1" x14ac:dyDescent="0.25">
      <c r="A944" s="25"/>
      <c r="C944" s="26"/>
      <c r="D944" s="27"/>
      <c r="G944" s="25"/>
      <c r="J944" s="25"/>
      <c r="K944" s="25"/>
      <c r="L944" s="25"/>
      <c r="M944" s="25"/>
      <c r="V944" s="28"/>
      <c r="W944" s="25"/>
    </row>
    <row r="945" spans="1:23" ht="15.75" customHeight="1" x14ac:dyDescent="0.25">
      <c r="A945" s="25"/>
      <c r="C945" s="26"/>
      <c r="D945" s="27"/>
      <c r="G945" s="25"/>
      <c r="J945" s="25"/>
      <c r="K945" s="25"/>
      <c r="L945" s="25"/>
      <c r="M945" s="25"/>
      <c r="V945" s="28"/>
      <c r="W945" s="25"/>
    </row>
    <row r="946" spans="1:23" ht="15.75" customHeight="1" x14ac:dyDescent="0.25">
      <c r="A946" s="25"/>
      <c r="C946" s="26"/>
      <c r="D946" s="27"/>
      <c r="G946" s="25"/>
      <c r="J946" s="25"/>
      <c r="K946" s="25"/>
      <c r="L946" s="25"/>
      <c r="M946" s="25"/>
      <c r="V946" s="28"/>
      <c r="W946" s="25"/>
    </row>
    <row r="947" spans="1:23" ht="15.75" customHeight="1" x14ac:dyDescent="0.25">
      <c r="A947" s="25"/>
      <c r="C947" s="26"/>
      <c r="D947" s="27"/>
      <c r="G947" s="25"/>
      <c r="J947" s="25"/>
      <c r="K947" s="25"/>
      <c r="L947" s="25"/>
      <c r="M947" s="25"/>
      <c r="V947" s="28"/>
      <c r="W947" s="25"/>
    </row>
    <row r="948" spans="1:23" ht="15.75" customHeight="1" x14ac:dyDescent="0.25">
      <c r="A948" s="25"/>
      <c r="C948" s="26"/>
      <c r="D948" s="27"/>
      <c r="G948" s="25"/>
      <c r="J948" s="25"/>
      <c r="K948" s="25"/>
      <c r="L948" s="25"/>
      <c r="M948" s="25"/>
      <c r="V948" s="28"/>
      <c r="W948" s="25"/>
    </row>
    <row r="949" spans="1:23" ht="15.75" customHeight="1" x14ac:dyDescent="0.25">
      <c r="A949" s="25"/>
      <c r="C949" s="26"/>
      <c r="D949" s="27"/>
      <c r="G949" s="25"/>
      <c r="J949" s="25"/>
      <c r="K949" s="25"/>
      <c r="L949" s="25"/>
      <c r="M949" s="25"/>
      <c r="V949" s="28"/>
      <c r="W949" s="25"/>
    </row>
    <row r="950" spans="1:23" ht="15.75" customHeight="1" x14ac:dyDescent="0.25">
      <c r="A950" s="25"/>
      <c r="C950" s="26"/>
      <c r="D950" s="27"/>
      <c r="G950" s="25"/>
      <c r="J950" s="25"/>
      <c r="K950" s="25"/>
      <c r="L950" s="25"/>
      <c r="M950" s="25"/>
      <c r="V950" s="28"/>
      <c r="W950" s="25"/>
    </row>
    <row r="951" spans="1:23" ht="15.75" customHeight="1" x14ac:dyDescent="0.25">
      <c r="A951" s="25"/>
      <c r="C951" s="26"/>
      <c r="D951" s="27"/>
      <c r="G951" s="25"/>
      <c r="J951" s="25"/>
      <c r="K951" s="25"/>
      <c r="L951" s="25"/>
      <c r="M951" s="25"/>
      <c r="V951" s="28"/>
      <c r="W951" s="25"/>
    </row>
    <row r="952" spans="1:23" ht="15.75" customHeight="1" x14ac:dyDescent="0.25">
      <c r="A952" s="25"/>
      <c r="C952" s="26"/>
      <c r="D952" s="27"/>
      <c r="G952" s="25"/>
      <c r="J952" s="25"/>
      <c r="K952" s="25"/>
      <c r="L952" s="25"/>
      <c r="M952" s="25"/>
      <c r="V952" s="28"/>
      <c r="W952" s="25"/>
    </row>
    <row r="953" spans="1:23" ht="15.75" customHeight="1" x14ac:dyDescent="0.25">
      <c r="A953" s="25"/>
      <c r="C953" s="26"/>
      <c r="D953" s="27"/>
      <c r="G953" s="25"/>
      <c r="J953" s="25"/>
      <c r="K953" s="25"/>
      <c r="L953" s="25"/>
      <c r="M953" s="25"/>
      <c r="V953" s="28"/>
      <c r="W953" s="25"/>
    </row>
    <row r="954" spans="1:23" ht="15.75" customHeight="1" x14ac:dyDescent="0.25">
      <c r="A954" s="25"/>
      <c r="C954" s="26"/>
      <c r="D954" s="27"/>
      <c r="G954" s="25"/>
      <c r="J954" s="25"/>
      <c r="K954" s="25"/>
      <c r="L954" s="25"/>
      <c r="M954" s="25"/>
      <c r="V954" s="28"/>
      <c r="W954" s="25"/>
    </row>
    <row r="955" spans="1:23" ht="15.75" customHeight="1" x14ac:dyDescent="0.25">
      <c r="A955" s="25"/>
      <c r="C955" s="26"/>
      <c r="D955" s="27"/>
      <c r="G955" s="25"/>
      <c r="J955" s="25"/>
      <c r="K955" s="25"/>
      <c r="L955" s="25"/>
      <c r="M955" s="25"/>
      <c r="V955" s="28"/>
      <c r="W955" s="25"/>
    </row>
    <row r="956" spans="1:23" ht="15.75" customHeight="1" x14ac:dyDescent="0.25">
      <c r="A956" s="25"/>
      <c r="C956" s="26"/>
      <c r="D956" s="27"/>
      <c r="G956" s="25"/>
      <c r="J956" s="25"/>
      <c r="K956" s="25"/>
      <c r="L956" s="25"/>
      <c r="M956" s="25"/>
      <c r="V956" s="28"/>
      <c r="W956" s="25"/>
    </row>
    <row r="957" spans="1:23" ht="15.75" customHeight="1" x14ac:dyDescent="0.25">
      <c r="A957" s="25"/>
      <c r="C957" s="26"/>
      <c r="D957" s="27"/>
      <c r="G957" s="25"/>
      <c r="J957" s="25"/>
      <c r="K957" s="25"/>
      <c r="L957" s="25"/>
      <c r="M957" s="25"/>
      <c r="V957" s="28"/>
      <c r="W957" s="25"/>
    </row>
    <row r="958" spans="1:23" ht="15.75" customHeight="1" x14ac:dyDescent="0.25">
      <c r="A958" s="25"/>
      <c r="C958" s="26"/>
      <c r="D958" s="27"/>
      <c r="G958" s="25"/>
      <c r="J958" s="25"/>
      <c r="K958" s="25"/>
      <c r="L958" s="25"/>
      <c r="M958" s="25"/>
      <c r="V958" s="28"/>
      <c r="W958" s="25"/>
    </row>
    <row r="959" spans="1:23" ht="15.75" customHeight="1" x14ac:dyDescent="0.25">
      <c r="A959" s="25"/>
      <c r="C959" s="26"/>
      <c r="D959" s="27"/>
      <c r="G959" s="25"/>
      <c r="J959" s="25"/>
      <c r="K959" s="25"/>
      <c r="L959" s="25"/>
      <c r="M959" s="25"/>
      <c r="V959" s="28"/>
      <c r="W959" s="25"/>
    </row>
    <row r="960" spans="1:23" ht="15.75" customHeight="1" x14ac:dyDescent="0.25">
      <c r="A960" s="25"/>
      <c r="C960" s="26"/>
      <c r="D960" s="27"/>
      <c r="G960" s="25"/>
      <c r="J960" s="25"/>
      <c r="K960" s="25"/>
      <c r="L960" s="25"/>
      <c r="M960" s="25"/>
      <c r="V960" s="28"/>
      <c r="W960" s="25"/>
    </row>
    <row r="961" spans="1:23" ht="15.75" customHeight="1" x14ac:dyDescent="0.25">
      <c r="A961" s="25"/>
      <c r="C961" s="26"/>
      <c r="D961" s="27"/>
      <c r="G961" s="25"/>
      <c r="J961" s="25"/>
      <c r="K961" s="25"/>
      <c r="L961" s="25"/>
      <c r="M961" s="25"/>
      <c r="V961" s="28"/>
      <c r="W961" s="25"/>
    </row>
    <row r="962" spans="1:23" ht="15.75" customHeight="1" x14ac:dyDescent="0.25">
      <c r="A962" s="25"/>
      <c r="C962" s="26"/>
      <c r="D962" s="27"/>
      <c r="G962" s="25"/>
      <c r="J962" s="25"/>
      <c r="K962" s="25"/>
      <c r="L962" s="25"/>
      <c r="M962" s="25"/>
      <c r="V962" s="28"/>
      <c r="W962" s="25"/>
    </row>
    <row r="963" spans="1:23" ht="15.75" customHeight="1" x14ac:dyDescent="0.25">
      <c r="A963" s="25"/>
      <c r="C963" s="26"/>
      <c r="D963" s="27"/>
      <c r="G963" s="25"/>
      <c r="J963" s="25"/>
      <c r="K963" s="25"/>
      <c r="L963" s="25"/>
      <c r="M963" s="25"/>
      <c r="V963" s="28"/>
      <c r="W963" s="25"/>
    </row>
    <row r="964" spans="1:23" ht="15.75" customHeight="1" x14ac:dyDescent="0.25">
      <c r="A964" s="25"/>
      <c r="C964" s="26"/>
      <c r="D964" s="27"/>
      <c r="G964" s="25"/>
      <c r="J964" s="25"/>
      <c r="K964" s="25"/>
      <c r="L964" s="25"/>
      <c r="M964" s="25"/>
      <c r="V964" s="28"/>
      <c r="W964" s="25"/>
    </row>
    <row r="965" spans="1:23" ht="15.75" customHeight="1" x14ac:dyDescent="0.25">
      <c r="A965" s="25"/>
      <c r="C965" s="26"/>
      <c r="D965" s="27"/>
      <c r="G965" s="25"/>
      <c r="J965" s="25"/>
      <c r="K965" s="25"/>
      <c r="L965" s="25"/>
      <c r="M965" s="25"/>
      <c r="V965" s="28"/>
      <c r="W965" s="25"/>
    </row>
    <row r="966" spans="1:23" ht="15.75" customHeight="1" x14ac:dyDescent="0.25">
      <c r="A966" s="25"/>
      <c r="C966" s="26"/>
      <c r="D966" s="27"/>
      <c r="G966" s="25"/>
      <c r="J966" s="25"/>
      <c r="K966" s="25"/>
      <c r="L966" s="25"/>
      <c r="M966" s="25"/>
      <c r="V966" s="28"/>
      <c r="W966" s="25"/>
    </row>
    <row r="967" spans="1:23" ht="15.75" customHeight="1" x14ac:dyDescent="0.25">
      <c r="A967" s="25"/>
      <c r="C967" s="26"/>
      <c r="D967" s="27"/>
      <c r="G967" s="25"/>
      <c r="J967" s="25"/>
      <c r="K967" s="25"/>
      <c r="L967" s="25"/>
      <c r="M967" s="25"/>
      <c r="V967" s="28"/>
      <c r="W967" s="25"/>
    </row>
    <row r="968" spans="1:23" ht="15.75" customHeight="1" x14ac:dyDescent="0.25">
      <c r="A968" s="25"/>
      <c r="C968" s="26"/>
      <c r="D968" s="27"/>
      <c r="G968" s="25"/>
      <c r="J968" s="25"/>
      <c r="K968" s="25"/>
      <c r="L968" s="25"/>
      <c r="M968" s="25"/>
      <c r="V968" s="28"/>
      <c r="W968" s="25"/>
    </row>
    <row r="969" spans="1:23" ht="15.75" customHeight="1" x14ac:dyDescent="0.25">
      <c r="A969" s="25"/>
      <c r="C969" s="26"/>
      <c r="D969" s="27"/>
      <c r="G969" s="25"/>
      <c r="J969" s="25"/>
      <c r="K969" s="25"/>
      <c r="L969" s="25"/>
      <c r="M969" s="25"/>
      <c r="V969" s="28"/>
      <c r="W969" s="25"/>
    </row>
    <row r="970" spans="1:23" ht="15.75" customHeight="1" x14ac:dyDescent="0.25">
      <c r="A970" s="25"/>
      <c r="C970" s="26"/>
      <c r="D970" s="27"/>
      <c r="G970" s="25"/>
      <c r="J970" s="25"/>
      <c r="K970" s="25"/>
      <c r="L970" s="25"/>
      <c r="M970" s="25"/>
      <c r="V970" s="28"/>
      <c r="W970" s="25"/>
    </row>
    <row r="971" spans="1:23" ht="15.75" customHeight="1" x14ac:dyDescent="0.25">
      <c r="A971" s="25"/>
      <c r="C971" s="26"/>
      <c r="D971" s="27"/>
      <c r="G971" s="25"/>
      <c r="J971" s="25"/>
      <c r="K971" s="25"/>
      <c r="L971" s="25"/>
      <c r="M971" s="25"/>
      <c r="V971" s="28"/>
      <c r="W971" s="25"/>
    </row>
    <row r="972" spans="1:23" ht="15.75" customHeight="1" x14ac:dyDescent="0.25">
      <c r="A972" s="25"/>
      <c r="C972" s="26"/>
      <c r="D972" s="27"/>
      <c r="G972" s="25"/>
      <c r="J972" s="25"/>
      <c r="K972" s="25"/>
      <c r="L972" s="25"/>
      <c r="M972" s="25"/>
      <c r="V972" s="28"/>
      <c r="W972" s="25"/>
    </row>
    <row r="973" spans="1:23" ht="15.75" customHeight="1" x14ac:dyDescent="0.25">
      <c r="A973" s="25"/>
      <c r="C973" s="26"/>
      <c r="D973" s="27"/>
      <c r="G973" s="25"/>
      <c r="J973" s="25"/>
      <c r="K973" s="25"/>
      <c r="L973" s="25"/>
      <c r="M973" s="25"/>
      <c r="V973" s="28"/>
      <c r="W973" s="25"/>
    </row>
    <row r="974" spans="1:23" ht="15.75" customHeight="1" x14ac:dyDescent="0.25">
      <c r="A974" s="25"/>
      <c r="C974" s="26"/>
      <c r="D974" s="27"/>
      <c r="G974" s="25"/>
      <c r="J974" s="25"/>
      <c r="K974" s="25"/>
      <c r="L974" s="25"/>
      <c r="M974" s="25"/>
      <c r="V974" s="28"/>
      <c r="W974" s="25"/>
    </row>
    <row r="975" spans="1:23" ht="15.75" customHeight="1" x14ac:dyDescent="0.25">
      <c r="A975" s="25"/>
      <c r="C975" s="26"/>
      <c r="D975" s="27"/>
      <c r="G975" s="25"/>
      <c r="J975" s="25"/>
      <c r="K975" s="25"/>
      <c r="L975" s="25"/>
      <c r="M975" s="25"/>
      <c r="V975" s="28"/>
      <c r="W975" s="25"/>
    </row>
    <row r="976" spans="1:23" ht="15.75" customHeight="1" x14ac:dyDescent="0.25">
      <c r="A976" s="25"/>
      <c r="C976" s="26"/>
      <c r="D976" s="27"/>
      <c r="G976" s="25"/>
      <c r="J976" s="25"/>
      <c r="K976" s="25"/>
      <c r="L976" s="25"/>
      <c r="M976" s="25"/>
      <c r="V976" s="28"/>
      <c r="W976" s="25"/>
    </row>
    <row r="977" spans="1:23" ht="15.75" customHeight="1" x14ac:dyDescent="0.25">
      <c r="A977" s="25"/>
      <c r="C977" s="26"/>
      <c r="D977" s="27"/>
      <c r="G977" s="25"/>
      <c r="J977" s="25"/>
      <c r="K977" s="25"/>
      <c r="L977" s="25"/>
      <c r="M977" s="25"/>
      <c r="V977" s="28"/>
      <c r="W977" s="25"/>
    </row>
    <row r="978" spans="1:23" ht="15.75" customHeight="1" x14ac:dyDescent="0.25">
      <c r="A978" s="25"/>
      <c r="C978" s="26"/>
      <c r="D978" s="27"/>
      <c r="G978" s="25"/>
      <c r="J978" s="25"/>
      <c r="K978" s="25"/>
      <c r="L978" s="25"/>
      <c r="M978" s="25"/>
      <c r="V978" s="28"/>
      <c r="W978" s="25"/>
    </row>
    <row r="979" spans="1:23" ht="15.75" customHeight="1" x14ac:dyDescent="0.25">
      <c r="A979" s="25"/>
      <c r="C979" s="26"/>
      <c r="D979" s="27"/>
      <c r="G979" s="25"/>
      <c r="J979" s="25"/>
      <c r="K979" s="25"/>
      <c r="L979" s="25"/>
      <c r="M979" s="25"/>
      <c r="V979" s="28"/>
      <c r="W979" s="25"/>
    </row>
    <row r="980" spans="1:23" ht="15.75" customHeight="1" x14ac:dyDescent="0.25">
      <c r="A980" s="25"/>
      <c r="C980" s="26"/>
      <c r="D980" s="27"/>
      <c r="G980" s="25"/>
      <c r="J980" s="25"/>
      <c r="K980" s="25"/>
      <c r="L980" s="25"/>
      <c r="M980" s="25"/>
      <c r="V980" s="28"/>
      <c r="W980" s="25"/>
    </row>
    <row r="981" spans="1:23" ht="15.75" customHeight="1" x14ac:dyDescent="0.25">
      <c r="A981" s="25"/>
      <c r="C981" s="26"/>
      <c r="D981" s="27"/>
      <c r="G981" s="25"/>
      <c r="J981" s="25"/>
      <c r="K981" s="25"/>
      <c r="L981" s="25"/>
      <c r="M981" s="25"/>
      <c r="V981" s="28"/>
      <c r="W981" s="25"/>
    </row>
    <row r="982" spans="1:23" ht="15.75" customHeight="1" x14ac:dyDescent="0.25">
      <c r="A982" s="25"/>
      <c r="C982" s="26"/>
      <c r="D982" s="27"/>
      <c r="G982" s="25"/>
      <c r="J982" s="25"/>
      <c r="K982" s="25"/>
      <c r="L982" s="25"/>
      <c r="M982" s="25"/>
      <c r="V982" s="28"/>
      <c r="W982" s="25"/>
    </row>
    <row r="983" spans="1:23" ht="15.75" customHeight="1" x14ac:dyDescent="0.25">
      <c r="A983" s="25"/>
      <c r="C983" s="26"/>
      <c r="D983" s="27"/>
      <c r="G983" s="25"/>
      <c r="J983" s="25"/>
      <c r="K983" s="25"/>
      <c r="L983" s="25"/>
      <c r="M983" s="25"/>
      <c r="V983" s="28"/>
      <c r="W983" s="25"/>
    </row>
    <row r="984" spans="1:23" ht="15.75" customHeight="1" x14ac:dyDescent="0.25">
      <c r="A984" s="25"/>
      <c r="C984" s="26"/>
      <c r="D984" s="27"/>
      <c r="G984" s="25"/>
      <c r="J984" s="25"/>
      <c r="K984" s="25"/>
      <c r="L984" s="25"/>
      <c r="M984" s="25"/>
      <c r="V984" s="28"/>
      <c r="W984" s="25"/>
    </row>
    <row r="985" spans="1:23" ht="15.75" customHeight="1" x14ac:dyDescent="0.25">
      <c r="A985" s="25"/>
      <c r="C985" s="26"/>
      <c r="D985" s="27"/>
      <c r="G985" s="25"/>
      <c r="J985" s="25"/>
      <c r="K985" s="25"/>
      <c r="L985" s="25"/>
      <c r="M985" s="25"/>
      <c r="V985" s="28"/>
      <c r="W985" s="25"/>
    </row>
    <row r="986" spans="1:23" ht="15.75" customHeight="1" x14ac:dyDescent="0.25">
      <c r="A986" s="25"/>
      <c r="C986" s="26"/>
      <c r="D986" s="27"/>
      <c r="G986" s="25"/>
      <c r="J986" s="25"/>
      <c r="K986" s="25"/>
      <c r="L986" s="25"/>
      <c r="M986" s="25"/>
      <c r="V986" s="28"/>
      <c r="W986" s="25"/>
    </row>
    <row r="987" spans="1:23" ht="15.75" customHeight="1" x14ac:dyDescent="0.25">
      <c r="A987" s="25"/>
      <c r="C987" s="26"/>
      <c r="D987" s="27"/>
      <c r="G987" s="25"/>
      <c r="J987" s="25"/>
      <c r="K987" s="25"/>
      <c r="L987" s="25"/>
      <c r="M987" s="25"/>
      <c r="V987" s="28"/>
      <c r="W987" s="25"/>
    </row>
    <row r="988" spans="1:23" ht="15.75" customHeight="1" x14ac:dyDescent="0.25">
      <c r="A988" s="25"/>
      <c r="C988" s="26"/>
      <c r="D988" s="27"/>
      <c r="G988" s="25"/>
      <c r="J988" s="25"/>
      <c r="K988" s="25"/>
      <c r="L988" s="25"/>
      <c r="M988" s="25"/>
      <c r="V988" s="28"/>
      <c r="W988" s="25"/>
    </row>
    <row r="989" spans="1:23" ht="15.75" customHeight="1" x14ac:dyDescent="0.25">
      <c r="A989" s="25"/>
      <c r="C989" s="26"/>
      <c r="D989" s="27"/>
      <c r="G989" s="25"/>
      <c r="J989" s="25"/>
      <c r="K989" s="25"/>
      <c r="L989" s="25"/>
      <c r="M989" s="25"/>
      <c r="V989" s="28"/>
      <c r="W989" s="25"/>
    </row>
    <row r="990" spans="1:23" ht="15.75" customHeight="1" x14ac:dyDescent="0.25">
      <c r="A990" s="25"/>
      <c r="C990" s="26"/>
      <c r="D990" s="27"/>
      <c r="G990" s="25"/>
      <c r="J990" s="25"/>
      <c r="K990" s="25"/>
      <c r="L990" s="25"/>
      <c r="M990" s="25"/>
      <c r="V990" s="28"/>
      <c r="W990" s="25"/>
    </row>
    <row r="991" spans="1:23" ht="15.75" customHeight="1" x14ac:dyDescent="0.25">
      <c r="A991" s="25"/>
      <c r="C991" s="26"/>
      <c r="D991" s="27"/>
      <c r="G991" s="25"/>
      <c r="J991" s="25"/>
      <c r="K991" s="25"/>
      <c r="L991" s="25"/>
      <c r="M991" s="25"/>
      <c r="V991" s="28"/>
      <c r="W991" s="25"/>
    </row>
    <row r="992" spans="1:23" ht="15.75" customHeight="1" x14ac:dyDescent="0.25">
      <c r="A992" s="25"/>
      <c r="C992" s="26"/>
      <c r="D992" s="27"/>
      <c r="G992" s="25"/>
      <c r="J992" s="25"/>
      <c r="K992" s="25"/>
      <c r="L992" s="25"/>
      <c r="M992" s="25"/>
      <c r="V992" s="28"/>
      <c r="W992" s="25"/>
    </row>
    <row r="993" spans="1:23" ht="15.75" customHeight="1" x14ac:dyDescent="0.25">
      <c r="A993" s="25"/>
      <c r="C993" s="26"/>
      <c r="D993" s="27"/>
      <c r="G993" s="25"/>
      <c r="J993" s="25"/>
      <c r="K993" s="25"/>
      <c r="L993" s="25"/>
      <c r="M993" s="25"/>
      <c r="V993" s="28"/>
      <c r="W993" s="25"/>
    </row>
    <row r="994" spans="1:23" ht="15.75" customHeight="1" x14ac:dyDescent="0.25">
      <c r="A994" s="25"/>
      <c r="C994" s="26"/>
      <c r="D994" s="27"/>
      <c r="G994" s="25"/>
      <c r="J994" s="25"/>
      <c r="K994" s="25"/>
      <c r="L994" s="25"/>
      <c r="M994" s="25"/>
      <c r="V994" s="28"/>
      <c r="W994" s="25"/>
    </row>
    <row r="995" spans="1:23" ht="15.75" customHeight="1" x14ac:dyDescent="0.25">
      <c r="A995" s="25"/>
      <c r="C995" s="26"/>
      <c r="D995" s="27"/>
      <c r="G995" s="25"/>
      <c r="J995" s="25"/>
      <c r="K995" s="25"/>
      <c r="L995" s="25"/>
      <c r="M995" s="25"/>
      <c r="V995" s="28"/>
      <c r="W995" s="25"/>
    </row>
    <row r="996" spans="1:23" ht="15.75" customHeight="1" x14ac:dyDescent="0.25">
      <c r="A996" s="25"/>
      <c r="C996" s="26"/>
      <c r="D996" s="27"/>
      <c r="G996" s="25"/>
      <c r="J996" s="25"/>
      <c r="K996" s="25"/>
      <c r="L996" s="25"/>
      <c r="M996" s="25"/>
      <c r="V996" s="28"/>
      <c r="W996" s="25"/>
    </row>
    <row r="997" spans="1:23" ht="15.75" customHeight="1" x14ac:dyDescent="0.25">
      <c r="A997" s="25"/>
      <c r="C997" s="26"/>
      <c r="D997" s="27"/>
      <c r="G997" s="25"/>
      <c r="J997" s="25"/>
      <c r="K997" s="25"/>
      <c r="L997" s="25"/>
      <c r="M997" s="25"/>
      <c r="V997" s="28"/>
      <c r="W997" s="25"/>
    </row>
    <row r="998" spans="1:23" ht="15.75" customHeight="1" x14ac:dyDescent="0.25">
      <c r="A998" s="25"/>
      <c r="C998" s="26"/>
      <c r="D998" s="27"/>
      <c r="G998" s="25"/>
      <c r="J998" s="25"/>
      <c r="K998" s="25"/>
      <c r="L998" s="25"/>
      <c r="M998" s="25"/>
      <c r="V998" s="28"/>
      <c r="W998" s="25"/>
    </row>
    <row r="999" spans="1:23" ht="15.75" customHeight="1" x14ac:dyDescent="0.25">
      <c r="A999" s="25"/>
      <c r="C999" s="26"/>
      <c r="D999" s="27"/>
      <c r="G999" s="25"/>
      <c r="J999" s="25"/>
      <c r="K999" s="25"/>
      <c r="L999" s="25"/>
      <c r="M999" s="25"/>
      <c r="V999" s="28"/>
      <c r="W999" s="25"/>
    </row>
    <row r="1000" spans="1:23" ht="15.75" customHeight="1" x14ac:dyDescent="0.25">
      <c r="A1000" s="25"/>
      <c r="C1000" s="26"/>
      <c r="D1000" s="27"/>
      <c r="G1000" s="25"/>
      <c r="J1000" s="25"/>
      <c r="K1000" s="25"/>
      <c r="L1000" s="25"/>
      <c r="M1000" s="25"/>
      <c r="V1000" s="28"/>
      <c r="W1000" s="25"/>
    </row>
  </sheetData>
  <conditionalFormatting sqref="B2:B67">
    <cfRule type="expression" dxfId="25" priority="1">
      <formula>"$U2=""YES"""</formula>
    </cfRule>
  </conditionalFormatting>
  <conditionalFormatting sqref="B2:B76">
    <cfRule type="expression" dxfId="24" priority="2">
      <formula>U2="YES"</formula>
    </cfRule>
  </conditionalFormatting>
  <conditionalFormatting sqref="C3">
    <cfRule type="expression" dxfId="23" priority="3">
      <formula>V3="YES"</formula>
    </cfRule>
    <cfRule type="expression" dxfId="22" priority="4">
      <formula>"$U2=""YES"""</formula>
    </cfRule>
  </conditionalFormatting>
  <conditionalFormatting sqref="N1:N1000">
    <cfRule type="cellIs" dxfId="21" priority="5" operator="equal">
      <formula>"Completed"</formula>
    </cfRule>
  </conditionalFormatting>
  <conditionalFormatting sqref="N2:N77">
    <cfRule type="expression" dxfId="20" priority="6">
      <formula>"N2=""Completed"""</formula>
    </cfRule>
  </conditionalFormatting>
  <conditionalFormatting sqref="S2">
    <cfRule type="expression" dxfId="19" priority="7">
      <formula>"$T2=""YES"""</formula>
    </cfRule>
  </conditionalFormatting>
  <conditionalFormatting sqref="S2:S67 S68:T77">
    <cfRule type="expression" dxfId="18" priority="8">
      <formula>$U2="YES"</formula>
    </cfRule>
  </conditionalFormatting>
  <conditionalFormatting sqref="U2:U77">
    <cfRule type="cellIs" dxfId="17" priority="9" operator="equal">
      <formula>"YES"</formula>
    </cfRule>
    <cfRule type="containsText" dxfId="16" priority="10" operator="containsText" text="NO">
      <formula>NOT(ISERROR(SEARCH(("NO"),(U2))))</formula>
    </cfRule>
  </conditionalFormatting>
  <dataValidations count="2">
    <dataValidation type="list" allowBlank="1" showErrorMessage="1" sqref="U2:U67 W2:W67" xr:uid="{00000000-0002-0000-0000-000000000000}">
      <formula1>"YES,NO"</formula1>
    </dataValidation>
    <dataValidation type="list" allowBlank="1" showErrorMessage="1" sqref="D2:D30 D32:D41" xr:uid="{00000000-0002-0000-0000-000001000000}">
      <formula1>"Powerhouse,Substation"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11.7109375" customWidth="1"/>
    <col min="2" max="2" width="24.7109375" customWidth="1"/>
    <col min="3" max="3" width="40.85546875" customWidth="1"/>
    <col min="4" max="4" width="12.140625" customWidth="1"/>
    <col min="5" max="6" width="22.85546875" customWidth="1"/>
    <col min="7" max="7" width="4.140625" hidden="1" customWidth="1"/>
    <col min="8" max="9" width="10.42578125" hidden="1" customWidth="1"/>
    <col min="10" max="10" width="5.5703125" customWidth="1"/>
    <col min="11" max="12" width="8.7109375" customWidth="1"/>
    <col min="13" max="13" width="5.5703125" customWidth="1"/>
    <col min="14" max="14" width="10.85546875" customWidth="1"/>
    <col min="15" max="16" width="13.28515625" customWidth="1"/>
    <col min="17" max="17" width="11.140625" customWidth="1"/>
    <col min="18" max="18" width="12.140625" customWidth="1"/>
    <col min="19" max="19" width="13.28515625" customWidth="1"/>
    <col min="20" max="20" width="10.42578125" customWidth="1"/>
    <col min="21" max="21" width="9" customWidth="1"/>
    <col min="22" max="22" width="10.42578125" customWidth="1"/>
    <col min="23" max="23" width="9" customWidth="1"/>
    <col min="24" max="26" width="8.7109375" customWidth="1"/>
  </cols>
  <sheetData>
    <row r="1" spans="1:23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1" t="s">
        <v>21</v>
      </c>
      <c r="W1" s="30" t="s">
        <v>22</v>
      </c>
    </row>
    <row r="2" spans="1:23" x14ac:dyDescent="0.25">
      <c r="A2" s="7">
        <f t="shared" ref="A2:A29" ca="1" si="0">IF(B2&lt;&gt;"",0+COUNTA($B$2:B2),"")</f>
        <v>1</v>
      </c>
      <c r="B2" s="8" t="str">
        <f ca="1">IFERROR(__xludf.DUMMYFUNCTION("FILTER(SCADATable!B2:W77,(SCADATable!E2:E77=""Er. Sumit Sah"")+(SCADATable!F2:F77=""Er. Sumit Sah""))"),"Middle Modi(18MW)")</f>
        <v>Middle Modi(18MW)</v>
      </c>
      <c r="C2" s="9" t="str">
        <f ca="1">IFERROR(__xludf.DUMMYFUNCTION("""COMPUTED_VALUE"""),"Middle Modi Hydropower Limited")</f>
        <v>Middle Modi Hydropower Limited</v>
      </c>
      <c r="D2" s="10" t="str">
        <f ca="1">IFERROR(__xludf.DUMMYFUNCTION("""COMPUTED_VALUE"""),"Powerhouse")</f>
        <v>Powerhouse</v>
      </c>
      <c r="E2" s="8" t="str">
        <f ca="1">IFERROR(__xludf.DUMMYFUNCTION("""COMPUTED_VALUE"""),"Er. Ram Sharan Timilsina")</f>
        <v>Er. Ram Sharan Timilsina</v>
      </c>
      <c r="F2" s="8" t="str">
        <f ca="1">IFERROR(__xludf.DUMMYFUNCTION("""COMPUTED_VALUE"""),"Er. Sumit Sah")</f>
        <v>Er. Sumit Sah</v>
      </c>
      <c r="G2" s="7">
        <f ca="1">IFERROR(__xludf.DUMMYFUNCTION("""COMPUTED_VALUE"""),0)</f>
        <v>0</v>
      </c>
      <c r="H2" s="11"/>
      <c r="I2" s="11">
        <f ca="1">IFERROR(__xludf.DUMMYFUNCTION("""COMPUTED_VALUE"""),45407)</f>
        <v>45407</v>
      </c>
      <c r="J2" s="7" t="b">
        <f ca="1">IFERROR(__xludf.DUMMYFUNCTION("""COMPUTED_VALUE"""),TRUE)</f>
        <v>1</v>
      </c>
      <c r="K2" s="7" t="b">
        <f ca="1">IFERROR(__xludf.DUMMYFUNCTION("""COMPUTED_VALUE"""),TRUE)</f>
        <v>1</v>
      </c>
      <c r="L2" s="7" t="b">
        <f ca="1">IFERROR(__xludf.DUMMYFUNCTION("""COMPUTED_VALUE"""),TRUE)</f>
        <v>1</v>
      </c>
      <c r="M2" s="7" t="b">
        <f ca="1">IFERROR(__xludf.DUMMYFUNCTION("""COMPUTED_VALUE"""),TRUE)</f>
        <v>1</v>
      </c>
      <c r="N2" s="8" t="str">
        <f ca="1">IFERROR(__xludf.DUMMYFUNCTION("""COMPUTED_VALUE"""),"Completed")</f>
        <v>Completed</v>
      </c>
      <c r="O2" s="12">
        <f ca="1">IFERROR(__xludf.DUMMYFUNCTION("""COMPUTED_VALUE"""),2602000)</f>
        <v>2602000</v>
      </c>
      <c r="P2" s="12">
        <f ca="1">IFERROR(__xludf.DUMMYFUNCTION("""COMPUTED_VALUE"""),2641624.36548223)</f>
        <v>2641624.3654822302</v>
      </c>
      <c r="Q2" s="12">
        <f ca="1">IFERROR(__xludf.DUMMYFUNCTION("""COMPUTED_VALUE"""),39624.3654822335)</f>
        <v>39624.365482233501</v>
      </c>
      <c r="R2" s="12">
        <f ca="1">IFERROR(__xludf.DUMMYFUNCTION("""COMPUTED_VALUE"""),343411.16751269)</f>
        <v>343411.16751269001</v>
      </c>
      <c r="S2" s="13">
        <f ca="1">IFERROR(__xludf.DUMMYFUNCTION("""COMPUTED_VALUE"""),2985035.53299492)</f>
        <v>2985035.5329949199</v>
      </c>
      <c r="T2" s="11">
        <f ca="1">IFERROR(__xludf.DUMMYFUNCTION("""COMPUTED_VALUE"""),45659)</f>
        <v>45659</v>
      </c>
      <c r="U2" s="14" t="str">
        <f ca="1">IFERROR(__xludf.DUMMYFUNCTION("""COMPUTED_VALUE""")," NO ")</f>
        <v xml:space="preserve"> NO </v>
      </c>
      <c r="V2" s="11"/>
      <c r="W2" s="14" t="str">
        <f ca="1">IFERROR(__xludf.DUMMYFUNCTION("""COMPUTED_VALUE""")," NO ")</f>
        <v xml:space="preserve"> NO </v>
      </c>
    </row>
    <row r="3" spans="1:23" x14ac:dyDescent="0.25">
      <c r="A3" s="7">
        <f t="shared" ca="1" si="0"/>
        <v>2</v>
      </c>
      <c r="B3" s="8" t="str">
        <f ca="1">IFERROR(__xludf.DUMMYFUNCTION("""COMPUTED_VALUE"""),"Upper Chameliya (40MW)")</f>
        <v>Upper Chameliya (40MW)</v>
      </c>
      <c r="C3" s="9" t="str">
        <f ca="1">IFERROR(__xludf.DUMMYFUNCTION("""COMPUTED_VALUE"""),"Api Chameliya Power Limited")</f>
        <v>Api Chameliya Power Limited</v>
      </c>
      <c r="D3" s="10" t="str">
        <f ca="1">IFERROR(__xludf.DUMMYFUNCTION("""COMPUTED_VALUE"""),"Powerhouse")</f>
        <v>Powerhouse</v>
      </c>
      <c r="E3" s="8" t="str">
        <f ca="1">IFERROR(__xludf.DUMMYFUNCTION("""COMPUTED_VALUE"""),"Er. Ram Sharan Timilsina")</f>
        <v>Er. Ram Sharan Timilsina</v>
      </c>
      <c r="F3" s="8" t="str">
        <f ca="1">IFERROR(__xludf.DUMMYFUNCTION("""COMPUTED_VALUE"""),"Er. Sumit Sah")</f>
        <v>Er. Sumit Sah</v>
      </c>
      <c r="G3" s="7">
        <f ca="1">IFERROR(__xludf.DUMMYFUNCTION("""COMPUTED_VALUE"""),0)</f>
        <v>0</v>
      </c>
      <c r="H3" s="11"/>
      <c r="I3" s="11"/>
      <c r="J3" s="7" t="b">
        <f ca="1">IFERROR(__xludf.DUMMYFUNCTION("""COMPUTED_VALUE"""),TRUE)</f>
        <v>1</v>
      </c>
      <c r="K3" s="7" t="b">
        <f ca="1">IFERROR(__xludf.DUMMYFUNCTION("""COMPUTED_VALUE"""),TRUE)</f>
        <v>1</v>
      </c>
      <c r="L3" s="7" t="b">
        <f ca="1">IFERROR(__xludf.DUMMYFUNCTION("""COMPUTED_VALUE"""),TRUE)</f>
        <v>1</v>
      </c>
      <c r="M3" s="7" t="b">
        <f ca="1">IFERROR(__xludf.DUMMYFUNCTION("""COMPUTED_VALUE"""),TRUE)</f>
        <v>1</v>
      </c>
      <c r="N3" s="8" t="str">
        <f ca="1">IFERROR(__xludf.DUMMYFUNCTION("""COMPUTED_VALUE"""),"Completed")</f>
        <v>Completed</v>
      </c>
      <c r="O3" s="12">
        <f ca="1">IFERROR(__xludf.DUMMYFUNCTION("""COMPUTED_VALUE"""),2602000)</f>
        <v>2602000</v>
      </c>
      <c r="P3" s="12">
        <f ca="1">IFERROR(__xludf.DUMMYFUNCTION("""COMPUTED_VALUE"""),2641624.36548223)</f>
        <v>2641624.3654822302</v>
      </c>
      <c r="Q3" s="12">
        <f ca="1">IFERROR(__xludf.DUMMYFUNCTION("""COMPUTED_VALUE"""),39624.3654822335)</f>
        <v>39624.365482233501</v>
      </c>
      <c r="R3" s="12">
        <f ca="1">IFERROR(__xludf.DUMMYFUNCTION("""COMPUTED_VALUE"""),343411.16751269)</f>
        <v>343411.16751269001</v>
      </c>
      <c r="S3" s="13">
        <f ca="1">IFERROR(__xludf.DUMMYFUNCTION("""COMPUTED_VALUE"""),2985035.53299492)</f>
        <v>2985035.5329949199</v>
      </c>
      <c r="T3" s="11">
        <f ca="1">IFERROR(__xludf.DUMMYFUNCTION("""COMPUTED_VALUE"""),45650)</f>
        <v>45650</v>
      </c>
      <c r="U3" s="14" t="str">
        <f ca="1">IFERROR(__xludf.DUMMYFUNCTION("""COMPUTED_VALUE""")," YES ")</f>
        <v xml:space="preserve"> YES </v>
      </c>
      <c r="V3" s="11">
        <f ca="1">IFERROR(__xludf.DUMMYFUNCTION("""COMPUTED_VALUE"""),45691)</f>
        <v>45691</v>
      </c>
      <c r="W3" s="14" t="str">
        <f ca="1">IFERROR(__xludf.DUMMYFUNCTION("""COMPUTED_VALUE""")," NO ")</f>
        <v xml:space="preserve"> NO </v>
      </c>
    </row>
    <row r="4" spans="1:23" x14ac:dyDescent="0.25">
      <c r="A4" s="7">
        <f t="shared" ca="1" si="0"/>
        <v>3</v>
      </c>
      <c r="B4" s="8" t="str">
        <f ca="1">IFERROR(__xludf.DUMMYFUNCTION("""COMPUTED_VALUE"""),"Upper Tamakoshi(456MW)")</f>
        <v>Upper Tamakoshi(456MW)</v>
      </c>
      <c r="C4" s="9" t="str">
        <f ca="1">IFERROR(__xludf.DUMMYFUNCTION("""COMPUTED_VALUE"""),"Upper Tamakoshi Hydropower Limited")</f>
        <v>Upper Tamakoshi Hydropower Limited</v>
      </c>
      <c r="D4" s="10" t="str">
        <f ca="1">IFERROR(__xludf.DUMMYFUNCTION("""COMPUTED_VALUE"""),"Powerhouse")</f>
        <v>Powerhouse</v>
      </c>
      <c r="E4" s="8" t="str">
        <f ca="1">IFERROR(__xludf.DUMMYFUNCTION("""COMPUTED_VALUE"""),"Er. Ram Sharan Timilsina")</f>
        <v>Er. Ram Sharan Timilsina</v>
      </c>
      <c r="F4" s="8" t="str">
        <f ca="1">IFERROR(__xludf.DUMMYFUNCTION("""COMPUTED_VALUE"""),"Er. Sumit Sah")</f>
        <v>Er. Sumit Sah</v>
      </c>
      <c r="G4" s="7">
        <f ca="1">IFERROR(__xludf.DUMMYFUNCTION("""COMPUTED_VALUE"""),0)</f>
        <v>0</v>
      </c>
      <c r="H4" s="11"/>
      <c r="I4" s="11"/>
      <c r="J4" s="7" t="b">
        <f ca="1">IFERROR(__xludf.DUMMYFUNCTION("""COMPUTED_VALUE"""),TRUE)</f>
        <v>1</v>
      </c>
      <c r="K4" s="7" t="b">
        <f ca="1">IFERROR(__xludf.DUMMYFUNCTION("""COMPUTED_VALUE"""),TRUE)</f>
        <v>1</v>
      </c>
      <c r="L4" s="7" t="b">
        <f ca="1">IFERROR(__xludf.DUMMYFUNCTION("""COMPUTED_VALUE"""),TRUE)</f>
        <v>1</v>
      </c>
      <c r="M4" s="7" t="b">
        <f ca="1">IFERROR(__xludf.DUMMYFUNCTION("""COMPUTED_VALUE"""),TRUE)</f>
        <v>1</v>
      </c>
      <c r="N4" s="8" t="str">
        <f ca="1">IFERROR(__xludf.DUMMYFUNCTION("""COMPUTED_VALUE"""),"Completed")</f>
        <v>Completed</v>
      </c>
      <c r="O4" s="12">
        <f ca="1">IFERROR(__xludf.DUMMYFUNCTION("""COMPUTED_VALUE"""),5352000)</f>
        <v>5352000</v>
      </c>
      <c r="P4" s="12">
        <f ca="1">IFERROR(__xludf.DUMMYFUNCTION("""COMPUTED_VALUE"""),5433502.53807106)</f>
        <v>5433502.5380710596</v>
      </c>
      <c r="Q4" s="12">
        <f ca="1">IFERROR(__xludf.DUMMYFUNCTION("""COMPUTED_VALUE"""),81502.538071066)</f>
        <v>81502.538071065996</v>
      </c>
      <c r="R4" s="12">
        <f ca="1">IFERROR(__xludf.DUMMYFUNCTION("""COMPUTED_VALUE"""),706355.329949238)</f>
        <v>706355.32994923799</v>
      </c>
      <c r="S4" s="13">
        <f ca="1">IFERROR(__xludf.DUMMYFUNCTION("""COMPUTED_VALUE"""),6139857.8680203)</f>
        <v>6139857.8680202998</v>
      </c>
      <c r="T4" s="11">
        <f ca="1">IFERROR(__xludf.DUMMYFUNCTION("""COMPUTED_VALUE"""),45659)</f>
        <v>45659</v>
      </c>
      <c r="U4" s="14" t="str">
        <f ca="1">IFERROR(__xludf.DUMMYFUNCTION("""COMPUTED_VALUE""")," NO ")</f>
        <v xml:space="preserve"> NO </v>
      </c>
      <c r="V4" s="11"/>
      <c r="W4" s="14" t="str">
        <f ca="1">IFERROR(__xludf.DUMMYFUNCTION("""COMPUTED_VALUE""")," NO ")</f>
        <v xml:space="preserve"> NO </v>
      </c>
    </row>
    <row r="5" spans="1:23" x14ac:dyDescent="0.25">
      <c r="A5" s="7">
        <f t="shared" ca="1" si="0"/>
        <v>4</v>
      </c>
      <c r="B5" s="8" t="str">
        <f ca="1">IFERROR(__xludf.DUMMYFUNCTION("""COMPUTED_VALUE"""),"Lower Modi (20MW)")</f>
        <v>Lower Modi (20MW)</v>
      </c>
      <c r="C5" s="9" t="str">
        <f ca="1">IFERROR(__xludf.DUMMYFUNCTION("""COMPUTED_VALUE"""),"Modi Energy Limited")</f>
        <v>Modi Energy Limited</v>
      </c>
      <c r="D5" s="10" t="str">
        <f ca="1">IFERROR(__xludf.DUMMYFUNCTION("""COMPUTED_VALUE"""),"Powerhouse")</f>
        <v>Powerhouse</v>
      </c>
      <c r="E5" s="8" t="str">
        <f ca="1">IFERROR(__xludf.DUMMYFUNCTION("""COMPUTED_VALUE"""),"Er. Ram Sharan Timilsina")</f>
        <v>Er. Ram Sharan Timilsina</v>
      </c>
      <c r="F5" s="8" t="str">
        <f ca="1">IFERROR(__xludf.DUMMYFUNCTION("""COMPUTED_VALUE"""),"Er. Sumit Sah")</f>
        <v>Er. Sumit Sah</v>
      </c>
      <c r="G5" s="7">
        <f ca="1">IFERROR(__xludf.DUMMYFUNCTION("""COMPUTED_VALUE"""),0)</f>
        <v>0</v>
      </c>
      <c r="H5" s="11"/>
      <c r="I5" s="11">
        <f ca="1">IFERROR(__xludf.DUMMYFUNCTION("""COMPUTED_VALUE"""),45421)</f>
        <v>45421</v>
      </c>
      <c r="J5" s="7" t="b">
        <f ca="1">IFERROR(__xludf.DUMMYFUNCTION("""COMPUTED_VALUE"""),TRUE)</f>
        <v>1</v>
      </c>
      <c r="K5" s="7" t="b">
        <f ca="1">IFERROR(__xludf.DUMMYFUNCTION("""COMPUTED_VALUE"""),TRUE)</f>
        <v>1</v>
      </c>
      <c r="L5" s="7" t="b">
        <f ca="1">IFERROR(__xludf.DUMMYFUNCTION("""COMPUTED_VALUE"""),TRUE)</f>
        <v>1</v>
      </c>
      <c r="M5" s="7" t="b">
        <f ca="1">IFERROR(__xludf.DUMMYFUNCTION("""COMPUTED_VALUE"""),TRUE)</f>
        <v>1</v>
      </c>
      <c r="N5" s="8" t="str">
        <f ca="1">IFERROR(__xludf.DUMMYFUNCTION("""COMPUTED_VALUE"""),"Completed")</f>
        <v>Completed</v>
      </c>
      <c r="O5" s="12">
        <f ca="1">IFERROR(__xludf.DUMMYFUNCTION("""COMPUTED_VALUE"""),2352000)</f>
        <v>2352000</v>
      </c>
      <c r="P5" s="12">
        <f ca="1">IFERROR(__xludf.DUMMYFUNCTION("""COMPUTED_VALUE"""),2387817.25888324)</f>
        <v>2387817.2588832402</v>
      </c>
      <c r="Q5" s="12">
        <f ca="1">IFERROR(__xludf.DUMMYFUNCTION("""COMPUTED_VALUE"""),35817.2588832487)</f>
        <v>35817.258883248702</v>
      </c>
      <c r="R5" s="12">
        <f ca="1">IFERROR(__xludf.DUMMYFUNCTION("""COMPUTED_VALUE"""),310416.243654822)</f>
        <v>310416.243654822</v>
      </c>
      <c r="S5" s="13">
        <f ca="1">IFERROR(__xludf.DUMMYFUNCTION("""COMPUTED_VALUE"""),2698233.50253807)</f>
        <v>2698233.5025380701</v>
      </c>
      <c r="T5" s="11">
        <f ca="1">IFERROR(__xludf.DUMMYFUNCTION("""COMPUTED_VALUE"""),45652)</f>
        <v>45652</v>
      </c>
      <c r="U5" s="14" t="str">
        <f ca="1">IFERROR(__xludf.DUMMYFUNCTION("""COMPUTED_VALUE""")," NO ")</f>
        <v xml:space="preserve"> NO </v>
      </c>
      <c r="V5" s="11"/>
      <c r="W5" s="14" t="str">
        <f ca="1">IFERROR(__xludf.DUMMYFUNCTION("""COMPUTED_VALUE""")," NO ")</f>
        <v xml:space="preserve"> NO </v>
      </c>
    </row>
    <row r="6" spans="1:23" x14ac:dyDescent="0.25">
      <c r="A6" s="7">
        <f t="shared" ca="1" si="0"/>
        <v>5</v>
      </c>
      <c r="B6" s="8" t="str">
        <f ca="1">IFERROR(__xludf.DUMMYFUNCTION("""COMPUTED_VALUE"""),"Upper Balefi(36MW)")</f>
        <v>Upper Balefi(36MW)</v>
      </c>
      <c r="C6" s="9" t="str">
        <f ca="1">IFERROR(__xludf.DUMMYFUNCTION("""COMPUTED_VALUE"""),"Balefi Hydropower Limited")</f>
        <v>Balefi Hydropower Limited</v>
      </c>
      <c r="D6" s="10" t="str">
        <f ca="1">IFERROR(__xludf.DUMMYFUNCTION("""COMPUTED_VALUE"""),"Powerhouse")</f>
        <v>Powerhouse</v>
      </c>
      <c r="E6" s="8" t="str">
        <f ca="1">IFERROR(__xludf.DUMMYFUNCTION("""COMPUTED_VALUE"""),"Er. Sumit Sah")</f>
        <v>Er. Sumit Sah</v>
      </c>
      <c r="F6" s="8"/>
      <c r="G6" s="7">
        <f ca="1">IFERROR(__xludf.DUMMYFUNCTION("""COMPUTED_VALUE"""),0)</f>
        <v>0</v>
      </c>
      <c r="H6" s="11"/>
      <c r="I6" s="11">
        <f ca="1">IFERROR(__xludf.DUMMYFUNCTION("""COMPUTED_VALUE"""),45467)</f>
        <v>45467</v>
      </c>
      <c r="J6" s="7" t="b">
        <f ca="1">IFERROR(__xludf.DUMMYFUNCTION("""COMPUTED_VALUE"""),TRUE)</f>
        <v>1</v>
      </c>
      <c r="K6" s="7" t="b">
        <f ca="1">IFERROR(__xludf.DUMMYFUNCTION("""COMPUTED_VALUE"""),TRUE)</f>
        <v>1</v>
      </c>
      <c r="L6" s="7" t="b">
        <f ca="1">IFERROR(__xludf.DUMMYFUNCTION("""COMPUTED_VALUE"""),TRUE)</f>
        <v>1</v>
      </c>
      <c r="M6" s="7" t="b">
        <f ca="1">IFERROR(__xludf.DUMMYFUNCTION("""COMPUTED_VALUE"""),TRUE)</f>
        <v>1</v>
      </c>
      <c r="N6" s="8" t="str">
        <f ca="1">IFERROR(__xludf.DUMMYFUNCTION("""COMPUTED_VALUE"""),"Completed")</f>
        <v>Completed</v>
      </c>
      <c r="O6" s="12">
        <f ca="1">IFERROR(__xludf.DUMMYFUNCTION("""COMPUTED_VALUE"""),3102000)</f>
        <v>3102000</v>
      </c>
      <c r="P6" s="12">
        <f ca="1">IFERROR(__xludf.DUMMYFUNCTION("""COMPUTED_VALUE"""),3149238.5786802)</f>
        <v>3149238.5786802</v>
      </c>
      <c r="Q6" s="12">
        <f ca="1">IFERROR(__xludf.DUMMYFUNCTION("""COMPUTED_VALUE"""),47238.578680203)</f>
        <v>47238.578680202998</v>
      </c>
      <c r="R6" s="12">
        <f ca="1">IFERROR(__xludf.DUMMYFUNCTION("""COMPUTED_VALUE"""),409401.015228426)</f>
        <v>409401.01522842603</v>
      </c>
      <c r="S6" s="13">
        <f ca="1">IFERROR(__xludf.DUMMYFUNCTION("""COMPUTED_VALUE"""),3558639.59390863)</f>
        <v>3558639.5939086298</v>
      </c>
      <c r="T6" s="11">
        <f ca="1">IFERROR(__xludf.DUMMYFUNCTION("""COMPUTED_VALUE"""),45659)</f>
        <v>45659</v>
      </c>
      <c r="U6" s="14" t="str">
        <f ca="1">IFERROR(__xludf.DUMMYFUNCTION("""COMPUTED_VALUE""")," YES ")</f>
        <v xml:space="preserve"> YES </v>
      </c>
      <c r="V6" s="11">
        <f ca="1">IFERROR(__xludf.DUMMYFUNCTION("""COMPUTED_VALUE"""),45682)</f>
        <v>45682</v>
      </c>
      <c r="W6" s="14" t="str">
        <f ca="1">IFERROR(__xludf.DUMMYFUNCTION("""COMPUTED_VALUE""")," NO ")</f>
        <v xml:space="preserve"> NO </v>
      </c>
    </row>
    <row r="7" spans="1:23" x14ac:dyDescent="0.25">
      <c r="A7" s="7">
        <f t="shared" ca="1" si="0"/>
        <v>6</v>
      </c>
      <c r="B7" s="8" t="str">
        <f ca="1">IFERROR(__xludf.DUMMYFUNCTION("""COMPUTED_VALUE"""),"Upallo Khimti (12MW)")</f>
        <v>Upallo Khimti (12MW)</v>
      </c>
      <c r="C7" s="9" t="str">
        <f ca="1">IFERROR(__xludf.DUMMYFUNCTION("""COMPUTED_VALUE"""),"Himalay Urja Bikas Company Limited")</f>
        <v>Himalay Urja Bikas Company Limited</v>
      </c>
      <c r="D7" s="10" t="str">
        <f ca="1">IFERROR(__xludf.DUMMYFUNCTION("""COMPUTED_VALUE"""),"Powerhouse")</f>
        <v>Powerhouse</v>
      </c>
      <c r="E7" s="8" t="str">
        <f ca="1">IFERROR(__xludf.DUMMYFUNCTION("""COMPUTED_VALUE"""),"Er. Sumit Sah")</f>
        <v>Er. Sumit Sah</v>
      </c>
      <c r="F7" s="8"/>
      <c r="G7" s="7">
        <f ca="1">IFERROR(__xludf.DUMMYFUNCTION("""COMPUTED_VALUE"""),0)</f>
        <v>0</v>
      </c>
      <c r="H7" s="11"/>
      <c r="I7" s="11"/>
      <c r="J7" s="7" t="b">
        <f ca="1">IFERROR(__xludf.DUMMYFUNCTION("""COMPUTED_VALUE"""),TRUE)</f>
        <v>1</v>
      </c>
      <c r="K7" s="7" t="b">
        <f ca="1">IFERROR(__xludf.DUMMYFUNCTION("""COMPUTED_VALUE"""),TRUE)</f>
        <v>1</v>
      </c>
      <c r="L7" s="7" t="b">
        <f ca="1">IFERROR(__xludf.DUMMYFUNCTION("""COMPUTED_VALUE"""),TRUE)</f>
        <v>1</v>
      </c>
      <c r="M7" s="7" t="b">
        <f ca="1">IFERROR(__xludf.DUMMYFUNCTION("""COMPUTED_VALUE"""),TRUE)</f>
        <v>1</v>
      </c>
      <c r="N7" s="8" t="str">
        <f ca="1">IFERROR(__xludf.DUMMYFUNCTION("""COMPUTED_VALUE"""),"Completed")</f>
        <v>Completed</v>
      </c>
      <c r="O7" s="12">
        <f ca="1">IFERROR(__xludf.DUMMYFUNCTION("""COMPUTED_VALUE"""),2602000)</f>
        <v>2602000</v>
      </c>
      <c r="P7" s="12">
        <f ca="1">IFERROR(__xludf.DUMMYFUNCTION("""COMPUTED_VALUE"""),2641624.36548223)</f>
        <v>2641624.3654822302</v>
      </c>
      <c r="Q7" s="12">
        <f ca="1">IFERROR(__xludf.DUMMYFUNCTION("""COMPUTED_VALUE"""),39624.3654822335)</f>
        <v>39624.365482233501</v>
      </c>
      <c r="R7" s="12">
        <f ca="1">IFERROR(__xludf.DUMMYFUNCTION("""COMPUTED_VALUE"""),343411.16751269)</f>
        <v>343411.16751269001</v>
      </c>
      <c r="S7" s="13">
        <f ca="1">IFERROR(__xludf.DUMMYFUNCTION("""COMPUTED_VALUE"""),2985035.53299492)</f>
        <v>2985035.5329949199</v>
      </c>
      <c r="T7" s="11">
        <f ca="1">IFERROR(__xludf.DUMMYFUNCTION("""COMPUTED_VALUE"""),45652)</f>
        <v>45652</v>
      </c>
      <c r="U7" s="14" t="str">
        <f ca="1">IFERROR(__xludf.DUMMYFUNCTION("""COMPUTED_VALUE""")," YES ")</f>
        <v xml:space="preserve"> YES </v>
      </c>
      <c r="V7" s="11">
        <f ca="1">IFERROR(__xludf.DUMMYFUNCTION("""COMPUTED_VALUE"""),45691)</f>
        <v>45691</v>
      </c>
      <c r="W7" s="14" t="str">
        <f ca="1">IFERROR(__xludf.DUMMYFUNCTION("""COMPUTED_VALUE""")," NO ")</f>
        <v xml:space="preserve"> NO </v>
      </c>
    </row>
    <row r="8" spans="1:23" x14ac:dyDescent="0.25">
      <c r="A8" s="7">
        <f t="shared" ca="1" si="0"/>
        <v>7</v>
      </c>
      <c r="B8" s="8" t="str">
        <f ca="1">IFERROR(__xludf.DUMMYFUNCTION("""COMPUTED_VALUE"""),"New Khimti 220kV")</f>
        <v>New Khimti 220kV</v>
      </c>
      <c r="C8" s="9"/>
      <c r="D8" s="10" t="str">
        <f ca="1">IFERROR(__xludf.DUMMYFUNCTION("""COMPUTED_VALUE"""),"Substation")</f>
        <v>Substation</v>
      </c>
      <c r="E8" s="8" t="str">
        <f ca="1">IFERROR(__xludf.DUMMYFUNCTION("""COMPUTED_VALUE"""),"Er. Sumit Sah")</f>
        <v>Er. Sumit Sah</v>
      </c>
      <c r="F8" s="8" t="str">
        <f ca="1">IFERROR(__xludf.DUMMYFUNCTION("""COMPUTED_VALUE"""),"Er. Ram Sharan Timilsina")</f>
        <v>Er. Ram Sharan Timilsina</v>
      </c>
      <c r="G8" s="7">
        <f ca="1">IFERROR(__xludf.DUMMYFUNCTION("""COMPUTED_VALUE"""),0)</f>
        <v>0</v>
      </c>
      <c r="H8" s="11"/>
      <c r="I8" s="11"/>
      <c r="J8" s="7" t="b">
        <f ca="1">IFERROR(__xludf.DUMMYFUNCTION("""COMPUTED_VALUE"""),TRUE)</f>
        <v>1</v>
      </c>
      <c r="K8" s="7" t="b">
        <f ca="1">IFERROR(__xludf.DUMMYFUNCTION("""COMPUTED_VALUE"""),TRUE)</f>
        <v>1</v>
      </c>
      <c r="L8" s="7" t="b">
        <f ca="1">IFERROR(__xludf.DUMMYFUNCTION("""COMPUTED_VALUE"""),TRUE)</f>
        <v>1</v>
      </c>
      <c r="M8" s="7" t="b">
        <f ca="1">IFERROR(__xludf.DUMMYFUNCTION("""COMPUTED_VALUE"""),TRUE)</f>
        <v>1</v>
      </c>
      <c r="N8" s="8" t="str">
        <f ca="1">IFERROR(__xludf.DUMMYFUNCTION("""COMPUTED_VALUE"""),"Completed")</f>
        <v>Completed</v>
      </c>
      <c r="O8" s="12"/>
      <c r="P8" s="12">
        <f ca="1">IFERROR(__xludf.DUMMYFUNCTION("""COMPUTED_VALUE"""),0)</f>
        <v>0</v>
      </c>
      <c r="Q8" s="12">
        <f ca="1">IFERROR(__xludf.DUMMYFUNCTION("""COMPUTED_VALUE"""),0)</f>
        <v>0</v>
      </c>
      <c r="R8" s="12">
        <f ca="1">IFERROR(__xludf.DUMMYFUNCTION("""COMPUTED_VALUE"""),0)</f>
        <v>0</v>
      </c>
      <c r="S8" s="13">
        <f ca="1">IFERROR(__xludf.DUMMYFUNCTION("""COMPUTED_VALUE"""),0)</f>
        <v>0</v>
      </c>
      <c r="T8" s="11"/>
      <c r="U8" s="14" t="str">
        <f ca="1">IFERROR(__xludf.DUMMYFUNCTION("""COMPUTED_VALUE""")," NO ")</f>
        <v xml:space="preserve"> NO </v>
      </c>
      <c r="V8" s="11"/>
      <c r="W8" s="14" t="str">
        <f ca="1">IFERROR(__xludf.DUMMYFUNCTION("""COMPUTED_VALUE""")," NO ")</f>
        <v xml:space="preserve"> NO </v>
      </c>
    </row>
    <row r="9" spans="1:23" ht="30" x14ac:dyDescent="0.25">
      <c r="A9" s="7">
        <f t="shared" ca="1" si="0"/>
        <v>8</v>
      </c>
      <c r="B9" s="8" t="str">
        <f ca="1">IFERROR(__xludf.DUMMYFUNCTION("""COMPUTED_VALUE"""),"New Hetauda 220kV")</f>
        <v>New Hetauda 220kV</v>
      </c>
      <c r="C9" s="9" t="str">
        <f ca="1">IFERROR(__xludf.DUMMYFUNCTION("""COMPUTED_VALUE"""),"Nepal India Power Transmisson and Trade Project")</f>
        <v>Nepal India Power Transmisson and Trade Project</v>
      </c>
      <c r="D9" s="10" t="str">
        <f ca="1">IFERROR(__xludf.DUMMYFUNCTION("""COMPUTED_VALUE"""),"Substation")</f>
        <v>Substation</v>
      </c>
      <c r="E9" s="8" t="str">
        <f ca="1">IFERROR(__xludf.DUMMYFUNCTION("""COMPUTED_VALUE"""),"Er. Ram Sharan Timilsina")</f>
        <v>Er. Ram Sharan Timilsina</v>
      </c>
      <c r="F9" s="8" t="str">
        <f ca="1">IFERROR(__xludf.DUMMYFUNCTION("""COMPUTED_VALUE"""),"Er. Sumit Sah")</f>
        <v>Er. Sumit Sah</v>
      </c>
      <c r="G9" s="7">
        <f ca="1">IFERROR(__xludf.DUMMYFUNCTION("""COMPUTED_VALUE"""),0)</f>
        <v>0</v>
      </c>
      <c r="H9" s="11"/>
      <c r="I9" s="11"/>
      <c r="J9" s="7" t="b">
        <f ca="1">IFERROR(__xludf.DUMMYFUNCTION("""COMPUTED_VALUE"""),TRUE)</f>
        <v>1</v>
      </c>
      <c r="K9" s="7" t="b">
        <f ca="1">IFERROR(__xludf.DUMMYFUNCTION("""COMPUTED_VALUE"""),TRUE)</f>
        <v>1</v>
      </c>
      <c r="L9" s="7" t="b">
        <f ca="1">IFERROR(__xludf.DUMMYFUNCTION("""COMPUTED_VALUE"""),TRUE)</f>
        <v>1</v>
      </c>
      <c r="M9" s="7" t="b">
        <f ca="1">IFERROR(__xludf.DUMMYFUNCTION("""COMPUTED_VALUE"""),TRUE)</f>
        <v>1</v>
      </c>
      <c r="N9" s="8" t="str">
        <f ca="1">IFERROR(__xludf.DUMMYFUNCTION("""COMPUTED_VALUE"""),"Completed")</f>
        <v>Completed</v>
      </c>
      <c r="O9" s="12">
        <f ca="1">IFERROR(__xludf.DUMMYFUNCTION("""COMPUTED_VALUE"""),4602000)</f>
        <v>4602000</v>
      </c>
      <c r="P9" s="12">
        <f ca="1">IFERROR(__xludf.DUMMYFUNCTION("""COMPUTED_VALUE"""),4672081.21827411)</f>
        <v>4672081.21827411</v>
      </c>
      <c r="Q9" s="12">
        <f ca="1">IFERROR(__xludf.DUMMYFUNCTION("""COMPUTED_VALUE"""),70081.2182741116)</f>
        <v>70081.218274111598</v>
      </c>
      <c r="R9" s="12">
        <f ca="1">IFERROR(__xludf.DUMMYFUNCTION("""COMPUTED_VALUE"""),607370.558375634)</f>
        <v>607370.55837563402</v>
      </c>
      <c r="S9" s="13">
        <f ca="1">IFERROR(__xludf.DUMMYFUNCTION("""COMPUTED_VALUE"""),5279451.77664974)</f>
        <v>5279451.7766497396</v>
      </c>
      <c r="T9" s="11">
        <f ca="1">IFERROR(__xludf.DUMMYFUNCTION("""COMPUTED_VALUE"""),45667)</f>
        <v>45667</v>
      </c>
      <c r="U9" s="14" t="str">
        <f ca="1">IFERROR(__xludf.DUMMYFUNCTION("""COMPUTED_VALUE""")," NO ")</f>
        <v xml:space="preserve"> NO </v>
      </c>
      <c r="V9" s="11"/>
      <c r="W9" s="14" t="str">
        <f ca="1">IFERROR(__xludf.DUMMYFUNCTION("""COMPUTED_VALUE""")," NO ")</f>
        <v xml:space="preserve"> NO </v>
      </c>
    </row>
    <row r="10" spans="1:23" ht="30" x14ac:dyDescent="0.25">
      <c r="A10" s="7">
        <f t="shared" ca="1" si="0"/>
        <v>9</v>
      </c>
      <c r="B10" s="8" t="str">
        <f ca="1">IFERROR(__xludf.DUMMYFUNCTION("""COMPUTED_VALUE"""),"Loharpatti")</f>
        <v>Loharpatti</v>
      </c>
      <c r="C10" s="9" t="str">
        <f ca="1">IFERROR(__xludf.DUMMYFUNCTION("""COMPUTED_VALUE"""),"Dhalkebar Loharpatti 132kV Transmission line Project")</f>
        <v>Dhalkebar Loharpatti 132kV Transmission line Project</v>
      </c>
      <c r="D10" s="10" t="str">
        <f ca="1">IFERROR(__xludf.DUMMYFUNCTION("""COMPUTED_VALUE"""),"Substation")</f>
        <v>Substation</v>
      </c>
      <c r="E10" s="8" t="str">
        <f ca="1">IFERROR(__xludf.DUMMYFUNCTION("""COMPUTED_VALUE"""),"Er. Sumit Sah")</f>
        <v>Er. Sumit Sah</v>
      </c>
      <c r="F10" s="8" t="str">
        <f ca="1">IFERROR(__xludf.DUMMYFUNCTION("""COMPUTED_VALUE"""),"Er. Ram Sharan Timilsina")</f>
        <v>Er. Ram Sharan Timilsina</v>
      </c>
      <c r="G10" s="7">
        <f ca="1">IFERROR(__xludf.DUMMYFUNCTION("""COMPUTED_VALUE"""),0)</f>
        <v>0</v>
      </c>
      <c r="H10" s="11"/>
      <c r="I10" s="11">
        <f ca="1">IFERROR(__xludf.DUMMYFUNCTION("""COMPUTED_VALUE"""),45684)</f>
        <v>45684</v>
      </c>
      <c r="J10" s="7" t="b">
        <f ca="1">IFERROR(__xludf.DUMMYFUNCTION("""COMPUTED_VALUE"""),TRUE)</f>
        <v>1</v>
      </c>
      <c r="K10" s="7" t="b">
        <f ca="1">IFERROR(__xludf.DUMMYFUNCTION("""COMPUTED_VALUE"""),TRUE)</f>
        <v>1</v>
      </c>
      <c r="L10" s="7" t="b">
        <f ca="1">IFERROR(__xludf.DUMMYFUNCTION("""COMPUTED_VALUE"""),TRUE)</f>
        <v>1</v>
      </c>
      <c r="M10" s="7" t="b">
        <f ca="1">IFERROR(__xludf.DUMMYFUNCTION("""COMPUTED_VALUE"""),TRUE)</f>
        <v>1</v>
      </c>
      <c r="N10" s="8" t="str">
        <f ca="1">IFERROR(__xludf.DUMMYFUNCTION("""COMPUTED_VALUE"""),"Completed")</f>
        <v>Completed</v>
      </c>
      <c r="O10" s="12">
        <f ca="1">IFERROR(__xludf.DUMMYFUNCTION("""COMPUTED_VALUE"""),3852000)</f>
        <v>3852000</v>
      </c>
      <c r="P10" s="12">
        <f ca="1">IFERROR(__xludf.DUMMYFUNCTION("""COMPUTED_VALUE"""),3910659.89847715)</f>
        <v>3910659.8984771501</v>
      </c>
      <c r="Q10" s="12">
        <f ca="1">IFERROR(__xludf.DUMMYFUNCTION("""COMPUTED_VALUE"""),58659.8984771573)</f>
        <v>58659.898477157301</v>
      </c>
      <c r="R10" s="12">
        <f ca="1">IFERROR(__xludf.DUMMYFUNCTION("""COMPUTED_VALUE"""),508385.78680203)</f>
        <v>508385.78680202999</v>
      </c>
      <c r="S10" s="12">
        <f ca="1">IFERROR(__xludf.DUMMYFUNCTION("""COMPUTED_VALUE"""),4419045.68527918)</f>
        <v>4419045.6852791803</v>
      </c>
      <c r="T10" s="11">
        <f ca="1">IFERROR(__xludf.DUMMYFUNCTION("""COMPUTED_VALUE"""),45667)</f>
        <v>45667</v>
      </c>
      <c r="U10" s="14" t="str">
        <f ca="1">IFERROR(__xludf.DUMMYFUNCTION("""COMPUTED_VALUE""")," NO ")</f>
        <v xml:space="preserve"> NO </v>
      </c>
      <c r="V10" s="11"/>
      <c r="W10" s="14" t="str">
        <f ca="1">IFERROR(__xludf.DUMMYFUNCTION("""COMPUTED_VALUE""")," NO ")</f>
        <v xml:space="preserve"> NO </v>
      </c>
    </row>
    <row r="11" spans="1:23" ht="30" x14ac:dyDescent="0.25">
      <c r="A11" s="7">
        <f t="shared" ca="1" si="0"/>
        <v>10</v>
      </c>
      <c r="B11" s="8" t="str">
        <f ca="1">IFERROR(__xludf.DUMMYFUNCTION("""COMPUTED_VALUE"""),"Inaruwa 220kV")</f>
        <v>Inaruwa 220kV</v>
      </c>
      <c r="C11" s="9" t="str">
        <f ca="1">IFERROR(__xludf.DUMMYFUNCTION("""COMPUTED_VALUE"""),"Nepal India Power Transmisson and Trade Project")</f>
        <v>Nepal India Power Transmisson and Trade Project</v>
      </c>
      <c r="D11" s="10" t="str">
        <f ca="1">IFERROR(__xludf.DUMMYFUNCTION("""COMPUTED_VALUE"""),"Substation")</f>
        <v>Substation</v>
      </c>
      <c r="E11" s="8" t="str">
        <f ca="1">IFERROR(__xludf.DUMMYFUNCTION("""COMPUTED_VALUE"""),"Er. Sumit Sah")</f>
        <v>Er. Sumit Sah</v>
      </c>
      <c r="F11" s="8"/>
      <c r="G11" s="7">
        <f ca="1">IFERROR(__xludf.DUMMYFUNCTION("""COMPUTED_VALUE"""),0)</f>
        <v>0</v>
      </c>
      <c r="H11" s="11"/>
      <c r="I11" s="11"/>
      <c r="J11" s="7" t="b">
        <f ca="1">IFERROR(__xludf.DUMMYFUNCTION("""COMPUTED_VALUE"""),TRUE)</f>
        <v>1</v>
      </c>
      <c r="K11" s="7" t="b">
        <f ca="1">IFERROR(__xludf.DUMMYFUNCTION("""COMPUTED_VALUE"""),TRUE)</f>
        <v>1</v>
      </c>
      <c r="L11" s="7" t="b">
        <f ca="1">IFERROR(__xludf.DUMMYFUNCTION("""COMPUTED_VALUE"""),TRUE)</f>
        <v>1</v>
      </c>
      <c r="M11" s="7" t="b">
        <f ca="1">IFERROR(__xludf.DUMMYFUNCTION("""COMPUTED_VALUE"""),FALSE)</f>
        <v>0</v>
      </c>
      <c r="N11" s="8" t="str">
        <f ca="1">IFERROR(__xludf.DUMMYFUNCTION("""COMPUTED_VALUE"""),"In Progress")</f>
        <v>In Progress</v>
      </c>
      <c r="O11" s="12">
        <f ca="1">IFERROR(__xludf.DUMMYFUNCTION("""COMPUTED_VALUE"""),6352000)</f>
        <v>6352000</v>
      </c>
      <c r="P11" s="12">
        <f ca="1">IFERROR(__xludf.DUMMYFUNCTION("""COMPUTED_VALUE"""),6448730.964467)</f>
        <v>6448730.9644670002</v>
      </c>
      <c r="Q11" s="12">
        <f ca="1">IFERROR(__xludf.DUMMYFUNCTION("""COMPUTED_VALUE"""),96730.964467005)</f>
        <v>96730.964467005004</v>
      </c>
      <c r="R11" s="12">
        <f ca="1">IFERROR(__xludf.DUMMYFUNCTION("""COMPUTED_VALUE"""),838335.02538071)</f>
        <v>838335.02538071002</v>
      </c>
      <c r="S11" s="13">
        <f ca="1">IFERROR(__xludf.DUMMYFUNCTION("""COMPUTED_VALUE"""),7287065.98984771)</f>
        <v>7287065.9898477104</v>
      </c>
      <c r="T11" s="11">
        <f ca="1">IFERROR(__xludf.DUMMYFUNCTION("""COMPUTED_VALUE"""),45667)</f>
        <v>45667</v>
      </c>
      <c r="U11" s="14" t="str">
        <f ca="1">IFERROR(__xludf.DUMMYFUNCTION("""COMPUTED_VALUE""")," NO ")</f>
        <v xml:space="preserve"> NO </v>
      </c>
      <c r="V11" s="11"/>
      <c r="W11" s="14" t="str">
        <f ca="1">IFERROR(__xludf.DUMMYFUNCTION("""COMPUTED_VALUE""")," NO ")</f>
        <v xml:space="preserve"> NO </v>
      </c>
    </row>
    <row r="12" spans="1:23" x14ac:dyDescent="0.25">
      <c r="A12" s="7">
        <f t="shared" ca="1" si="0"/>
        <v>11</v>
      </c>
      <c r="B12" s="8" t="str">
        <f ca="1">IFERROR(__xludf.DUMMYFUNCTION("""COMPUTED_VALUE"""),"New Bharatpur 220kV")</f>
        <v>New Bharatpur 220kV</v>
      </c>
      <c r="C12" s="9" t="str">
        <f ca="1">IFERROR(__xludf.DUMMYFUNCTION("""COMPUTED_VALUE"""),"Marshyangdi Corridor 220kV TL Project")</f>
        <v>Marshyangdi Corridor 220kV TL Project</v>
      </c>
      <c r="D12" s="10" t="str">
        <f ca="1">IFERROR(__xludf.DUMMYFUNCTION("""COMPUTED_VALUE"""),"Substation")</f>
        <v>Substation</v>
      </c>
      <c r="E12" s="8" t="str">
        <f ca="1">IFERROR(__xludf.DUMMYFUNCTION("""COMPUTED_VALUE"""),"Er. Sumit Sah")</f>
        <v>Er. Sumit Sah</v>
      </c>
      <c r="F12" s="8"/>
      <c r="G12" s="7">
        <f ca="1">IFERROR(__xludf.DUMMYFUNCTION("""COMPUTED_VALUE"""),0)</f>
        <v>0</v>
      </c>
      <c r="H12" s="11">
        <f ca="1">IFERROR(__xludf.DUMMYFUNCTION("""COMPUTED_VALUE"""),45643)</f>
        <v>45643</v>
      </c>
      <c r="I12" s="11"/>
      <c r="J12" s="7" t="b">
        <f ca="1">IFERROR(__xludf.DUMMYFUNCTION("""COMPUTED_VALUE"""),TRUE)</f>
        <v>1</v>
      </c>
      <c r="K12" s="7" t="b">
        <f ca="1">IFERROR(__xludf.DUMMYFUNCTION("""COMPUTED_VALUE"""),TRUE)</f>
        <v>1</v>
      </c>
      <c r="L12" s="7" t="b">
        <f ca="1">IFERROR(__xludf.DUMMYFUNCTION("""COMPUTED_VALUE"""),TRUE)</f>
        <v>1</v>
      </c>
      <c r="M12" s="7" t="b">
        <f ca="1">IFERROR(__xludf.DUMMYFUNCTION("""COMPUTED_VALUE"""),FALSE)</f>
        <v>0</v>
      </c>
      <c r="N12" s="8" t="str">
        <f ca="1">IFERROR(__xludf.DUMMYFUNCTION("""COMPUTED_VALUE"""),"In Progress")</f>
        <v>In Progress</v>
      </c>
      <c r="O12" s="12">
        <f ca="1">IFERROR(__xludf.DUMMYFUNCTION("""COMPUTED_VALUE"""),6352000)</f>
        <v>6352000</v>
      </c>
      <c r="P12" s="12">
        <f ca="1">IFERROR(__xludf.DUMMYFUNCTION("""COMPUTED_VALUE"""),6448730.964467)</f>
        <v>6448730.9644670002</v>
      </c>
      <c r="Q12" s="12">
        <f ca="1">IFERROR(__xludf.DUMMYFUNCTION("""COMPUTED_VALUE"""),96730.964467005)</f>
        <v>96730.964467005004</v>
      </c>
      <c r="R12" s="12">
        <f ca="1">IFERROR(__xludf.DUMMYFUNCTION("""COMPUTED_VALUE"""),838335.02538071)</f>
        <v>838335.02538071002</v>
      </c>
      <c r="S12" s="13">
        <f ca="1">IFERROR(__xludf.DUMMYFUNCTION("""COMPUTED_VALUE"""),7287065.98984771)</f>
        <v>7287065.9898477104</v>
      </c>
      <c r="T12" s="11">
        <f ca="1">IFERROR(__xludf.DUMMYFUNCTION("""COMPUTED_VALUE"""),45666)</f>
        <v>45666</v>
      </c>
      <c r="U12" s="14" t="str">
        <f ca="1">IFERROR(__xludf.DUMMYFUNCTION("""COMPUTED_VALUE""")," NO ")</f>
        <v xml:space="preserve"> NO </v>
      </c>
      <c r="V12" s="11"/>
      <c r="W12" s="14" t="str">
        <f ca="1">IFERROR(__xludf.DUMMYFUNCTION("""COMPUTED_VALUE""")," NO ")</f>
        <v xml:space="preserve"> NO </v>
      </c>
    </row>
    <row r="13" spans="1:23" x14ac:dyDescent="0.25">
      <c r="A13" s="7">
        <f t="shared" ca="1" si="0"/>
        <v>12</v>
      </c>
      <c r="B13" s="8" t="str">
        <f ca="1">IFERROR(__xludf.DUMMYFUNCTION("""COMPUTED_VALUE"""),"Rasugadhi(111MW)")</f>
        <v>Rasugadhi(111MW)</v>
      </c>
      <c r="C13" s="9" t="str">
        <f ca="1">IFERROR(__xludf.DUMMYFUNCTION("""COMPUTED_VALUE"""),"Rasuwagadhi Hydropower Company Limited")</f>
        <v>Rasuwagadhi Hydropower Company Limited</v>
      </c>
      <c r="D13" s="10" t="str">
        <f ca="1">IFERROR(__xludf.DUMMYFUNCTION("""COMPUTED_VALUE"""),"Powerhouse")</f>
        <v>Powerhouse</v>
      </c>
      <c r="E13" s="8" t="str">
        <f ca="1">IFERROR(__xludf.DUMMYFUNCTION("""COMPUTED_VALUE"""),"Er. Sumit Sah")</f>
        <v>Er. Sumit Sah</v>
      </c>
      <c r="F13" s="8"/>
      <c r="G13" s="7">
        <f ca="1">IFERROR(__xludf.DUMMYFUNCTION("""COMPUTED_VALUE"""),0)</f>
        <v>0</v>
      </c>
      <c r="H13" s="11">
        <f ca="1">IFERROR(__xludf.DUMMYFUNCTION("""COMPUTED_VALUE"""),45657)</f>
        <v>45657</v>
      </c>
      <c r="I13" s="11">
        <f ca="1">IFERROR(__xludf.DUMMYFUNCTION("""COMPUTED_VALUE"""),45664)</f>
        <v>45664</v>
      </c>
      <c r="J13" s="7" t="b">
        <f ca="1">IFERROR(__xludf.DUMMYFUNCTION("""COMPUTED_VALUE"""),TRUE)</f>
        <v>1</v>
      </c>
      <c r="K13" s="7" t="b">
        <f ca="1">IFERROR(__xludf.DUMMYFUNCTION("""COMPUTED_VALUE"""),TRUE)</f>
        <v>1</v>
      </c>
      <c r="L13" s="7" t="b">
        <f ca="1">IFERROR(__xludf.DUMMYFUNCTION("""COMPUTED_VALUE"""),TRUE)</f>
        <v>1</v>
      </c>
      <c r="M13" s="7" t="b">
        <f ca="1">IFERROR(__xludf.DUMMYFUNCTION("""COMPUTED_VALUE"""),TRUE)</f>
        <v>1</v>
      </c>
      <c r="N13" s="8" t="str">
        <f ca="1">IFERROR(__xludf.DUMMYFUNCTION("""COMPUTED_VALUE"""),"Completed")</f>
        <v>Completed</v>
      </c>
      <c r="O13" s="12">
        <f ca="1">IFERROR(__xludf.DUMMYFUNCTION("""COMPUTED_VALUE"""),3102000)</f>
        <v>3102000</v>
      </c>
      <c r="P13" s="12">
        <f ca="1">IFERROR(__xludf.DUMMYFUNCTION("""COMPUTED_VALUE"""),3149238.5786802)</f>
        <v>3149238.5786802</v>
      </c>
      <c r="Q13" s="12">
        <f ca="1">IFERROR(__xludf.DUMMYFUNCTION("""COMPUTED_VALUE"""),47238.578680203)</f>
        <v>47238.578680202998</v>
      </c>
      <c r="R13" s="12">
        <f ca="1">IFERROR(__xludf.DUMMYFUNCTION("""COMPUTED_VALUE"""),409401.015228426)</f>
        <v>409401.01522842603</v>
      </c>
      <c r="S13" s="12">
        <f ca="1">IFERROR(__xludf.DUMMYFUNCTION("""COMPUTED_VALUE"""),3558639.59390863)</f>
        <v>3558639.5939086298</v>
      </c>
      <c r="T13" s="11">
        <f ca="1">IFERROR(__xludf.DUMMYFUNCTION("""COMPUTED_VALUE"""),45652)</f>
        <v>45652</v>
      </c>
      <c r="U13" s="14" t="str">
        <f ca="1">IFERROR(__xludf.DUMMYFUNCTION("""COMPUTED_VALUE""")," YES ")</f>
        <v xml:space="preserve"> YES </v>
      </c>
      <c r="V13" s="11">
        <f ca="1">IFERROR(__xludf.DUMMYFUNCTION("""COMPUTED_VALUE"""),45657)</f>
        <v>45657</v>
      </c>
      <c r="W13" s="14" t="str">
        <f ca="1">IFERROR(__xludf.DUMMYFUNCTION("""COMPUTED_VALUE""")," NO ")</f>
        <v xml:space="preserve"> NO </v>
      </c>
    </row>
    <row r="14" spans="1:23" x14ac:dyDescent="0.25">
      <c r="A14" s="7">
        <f t="shared" ca="1" si="0"/>
        <v>13</v>
      </c>
      <c r="B14" s="8" t="str">
        <f ca="1">IFERROR(__xludf.DUMMYFUNCTION("""COMPUTED_VALUE"""),"DownPiluwa (10.3MW)")</f>
        <v>DownPiluwa (10.3MW)</v>
      </c>
      <c r="C14" s="9" t="str">
        <f ca="1">IFERROR(__xludf.DUMMYFUNCTION("""COMPUTED_VALUE"""),"River Falls Power Limited")</f>
        <v>River Falls Power Limited</v>
      </c>
      <c r="D14" s="10" t="str">
        <f ca="1">IFERROR(__xludf.DUMMYFUNCTION("""COMPUTED_VALUE"""),"Powerhouse")</f>
        <v>Powerhouse</v>
      </c>
      <c r="E14" s="8" t="str">
        <f ca="1">IFERROR(__xludf.DUMMYFUNCTION("""COMPUTED_VALUE"""),"Er. Sumit Sah")</f>
        <v>Er. Sumit Sah</v>
      </c>
      <c r="F14" s="8"/>
      <c r="G14" s="7"/>
      <c r="H14" s="11">
        <f ca="1">IFERROR(__xludf.DUMMYFUNCTION("""COMPUTED_VALUE"""),45664)</f>
        <v>45664</v>
      </c>
      <c r="I14" s="11"/>
      <c r="J14" s="7" t="b">
        <f ca="1">IFERROR(__xludf.DUMMYFUNCTION("""COMPUTED_VALUE"""),TRUE)</f>
        <v>1</v>
      </c>
      <c r="K14" s="7" t="b">
        <f ca="1">IFERROR(__xludf.DUMMYFUNCTION("""COMPUTED_VALUE"""),TRUE)</f>
        <v>1</v>
      </c>
      <c r="L14" s="7" t="b">
        <f ca="1">IFERROR(__xludf.DUMMYFUNCTION("""COMPUTED_VALUE"""),TRUE)</f>
        <v>1</v>
      </c>
      <c r="M14" s="7" t="b">
        <f ca="1">IFERROR(__xludf.DUMMYFUNCTION("""COMPUTED_VALUE"""),FALSE)</f>
        <v>0</v>
      </c>
      <c r="N14" s="8" t="str">
        <f ca="1">IFERROR(__xludf.DUMMYFUNCTION("""COMPUTED_VALUE"""),"In Progress")</f>
        <v>In Progress</v>
      </c>
      <c r="O14" s="12">
        <f ca="1">IFERROR(__xludf.DUMMYFUNCTION("""COMPUTED_VALUE"""),2602000)</f>
        <v>2602000</v>
      </c>
      <c r="P14" s="12">
        <f ca="1">IFERROR(__xludf.DUMMYFUNCTION("""COMPUTED_VALUE"""),2641624.36548223)</f>
        <v>2641624.3654822302</v>
      </c>
      <c r="Q14" s="12">
        <f ca="1">IFERROR(__xludf.DUMMYFUNCTION("""COMPUTED_VALUE"""),39624.3654822335)</f>
        <v>39624.365482233501</v>
      </c>
      <c r="R14" s="12">
        <f ca="1">IFERROR(__xludf.DUMMYFUNCTION("""COMPUTED_VALUE"""),343411.16751269)</f>
        <v>343411.16751269001</v>
      </c>
      <c r="S14" s="12">
        <f ca="1">IFERROR(__xludf.DUMMYFUNCTION("""COMPUTED_VALUE"""),2985035.53299492)</f>
        <v>2985035.5329949199</v>
      </c>
      <c r="T14" s="11">
        <f ca="1">IFERROR(__xludf.DUMMYFUNCTION("""COMPUTED_VALUE"""),45636)</f>
        <v>45636</v>
      </c>
      <c r="U14" s="14" t="str">
        <f ca="1">IFERROR(__xludf.DUMMYFUNCTION("""COMPUTED_VALUE""")," YES ")</f>
        <v xml:space="preserve"> YES </v>
      </c>
      <c r="V14" s="11"/>
      <c r="W14" s="14" t="str">
        <f ca="1">IFERROR(__xludf.DUMMYFUNCTION("""COMPUTED_VALUE""")," NO ")</f>
        <v xml:space="preserve"> NO </v>
      </c>
    </row>
    <row r="15" spans="1:23" x14ac:dyDescent="0.25">
      <c r="A15" s="7">
        <f t="shared" ca="1" si="0"/>
        <v>14</v>
      </c>
      <c r="B15" s="8" t="str">
        <f ca="1">IFERROR(__xludf.DUMMYFUNCTION("""COMPUTED_VALUE"""),"Langtang(20MW)")</f>
        <v>Langtang(20MW)</v>
      </c>
      <c r="C15" s="9" t="str">
        <f ca="1">IFERROR(__xludf.DUMMYFUNCTION("""COMPUTED_VALUE"""),"Multi Energy Development P. Limited")</f>
        <v>Multi Energy Development P. Limited</v>
      </c>
      <c r="D15" s="10" t="str">
        <f ca="1">IFERROR(__xludf.DUMMYFUNCTION("""COMPUTED_VALUE"""),"Powerhouse")</f>
        <v>Powerhouse</v>
      </c>
      <c r="E15" s="8" t="str">
        <f ca="1">IFERROR(__xludf.DUMMYFUNCTION("""COMPUTED_VALUE"""),"Er. Sumit Sah")</f>
        <v>Er. Sumit Sah</v>
      </c>
      <c r="F15" s="8"/>
      <c r="G15" s="7"/>
      <c r="H15" s="11">
        <f ca="1">IFERROR(__xludf.DUMMYFUNCTION("""COMPUTED_VALUE"""),45699)</f>
        <v>45699</v>
      </c>
      <c r="I15" s="11"/>
      <c r="J15" s="7" t="b">
        <f ca="1">IFERROR(__xludf.DUMMYFUNCTION("""COMPUTED_VALUE"""),TRUE)</f>
        <v>1</v>
      </c>
      <c r="K15" s="7" t="b">
        <f ca="1">IFERROR(__xludf.DUMMYFUNCTION("""COMPUTED_VALUE"""),TRUE)</f>
        <v>1</v>
      </c>
      <c r="L15" s="7" t="b">
        <f ca="1">IFERROR(__xludf.DUMMYFUNCTION("""COMPUTED_VALUE"""),TRUE)</f>
        <v>1</v>
      </c>
      <c r="M15" s="7" t="b">
        <f ca="1">IFERROR(__xludf.DUMMYFUNCTION("""COMPUTED_VALUE"""),FALSE)</f>
        <v>0</v>
      </c>
      <c r="N15" s="8" t="str">
        <f ca="1">IFERROR(__xludf.DUMMYFUNCTION("""COMPUTED_VALUE"""),"In Progress")</f>
        <v>In Progress</v>
      </c>
      <c r="O15" s="12">
        <f ca="1">IFERROR(__xludf.DUMMYFUNCTION("""COMPUTED_VALUE"""),2602002)</f>
        <v>2602002</v>
      </c>
      <c r="P15" s="12">
        <f ca="1">IFERROR(__xludf.DUMMYFUNCTION("""COMPUTED_VALUE"""),2641626.39593908)</f>
        <v>2641626.39593908</v>
      </c>
      <c r="Q15" s="12">
        <f ca="1">IFERROR(__xludf.DUMMYFUNCTION("""COMPUTED_VALUE"""),39624.3959390862)</f>
        <v>39624.3959390862</v>
      </c>
      <c r="R15" s="12">
        <f ca="1">IFERROR(__xludf.DUMMYFUNCTION("""COMPUTED_VALUE"""),343411.431472081)</f>
        <v>343411.43147208099</v>
      </c>
      <c r="S15" s="13">
        <f ca="1">IFERROR(__xludf.DUMMYFUNCTION("""COMPUTED_VALUE"""),2985037.82741116)</f>
        <v>2985037.8274111599</v>
      </c>
      <c r="T15" s="11">
        <f ca="1">IFERROR(__xludf.DUMMYFUNCTION("""COMPUTED_VALUE"""),45636)</f>
        <v>45636</v>
      </c>
      <c r="U15" s="14" t="str">
        <f ca="1">IFERROR(__xludf.DUMMYFUNCTION("""COMPUTED_VALUE""")," NO ")</f>
        <v xml:space="preserve"> NO </v>
      </c>
      <c r="V15" s="11"/>
      <c r="W15" s="14" t="str">
        <f ca="1">IFERROR(__xludf.DUMMYFUNCTION("""COMPUTED_VALUE""")," NO ")</f>
        <v xml:space="preserve"> NO </v>
      </c>
    </row>
    <row r="16" spans="1:23" x14ac:dyDescent="0.25">
      <c r="A16" s="7">
        <f t="shared" ca="1" si="0"/>
        <v>15</v>
      </c>
      <c r="B16" s="8" t="str">
        <f ca="1">IFERROR(__xludf.DUMMYFUNCTION("""COMPUTED_VALUE"""),"Sanjen(78MW)")</f>
        <v>Sanjen(78MW)</v>
      </c>
      <c r="C16" s="9" t="str">
        <f ca="1">IFERROR(__xludf.DUMMYFUNCTION("""COMPUTED_VALUE"""),"Salasungi Power Pvt Ltd")</f>
        <v>Salasungi Power Pvt Ltd</v>
      </c>
      <c r="D16" s="10" t="str">
        <f ca="1">IFERROR(__xludf.DUMMYFUNCTION("""COMPUTED_VALUE"""),"Powerhouse")</f>
        <v>Powerhouse</v>
      </c>
      <c r="E16" s="8" t="str">
        <f ca="1">IFERROR(__xludf.DUMMYFUNCTION("""COMPUTED_VALUE"""),"Er. Sumit Sah")</f>
        <v>Er. Sumit Sah</v>
      </c>
      <c r="F16" s="8"/>
      <c r="G16" s="7"/>
      <c r="H16" s="11">
        <f ca="1">IFERROR(__xludf.DUMMYFUNCTION("""COMPUTED_VALUE"""),45664)</f>
        <v>45664</v>
      </c>
      <c r="I16" s="11"/>
      <c r="J16" s="7" t="b">
        <f ca="1">IFERROR(__xludf.DUMMYFUNCTION("""COMPUTED_VALUE"""),TRUE)</f>
        <v>1</v>
      </c>
      <c r="K16" s="7" t="b">
        <f ca="1">IFERROR(__xludf.DUMMYFUNCTION("""COMPUTED_VALUE"""),TRUE)</f>
        <v>1</v>
      </c>
      <c r="L16" s="7" t="b">
        <f ca="1">IFERROR(__xludf.DUMMYFUNCTION("""COMPUTED_VALUE"""),TRUE)</f>
        <v>1</v>
      </c>
      <c r="M16" s="7" t="b">
        <f ca="1">IFERROR(__xludf.DUMMYFUNCTION("""COMPUTED_VALUE"""),FALSE)</f>
        <v>0</v>
      </c>
      <c r="N16" s="8" t="str">
        <f ca="1">IFERROR(__xludf.DUMMYFUNCTION("""COMPUTED_VALUE"""),"In Progress")</f>
        <v>In Progress</v>
      </c>
      <c r="O16" s="12">
        <f ca="1">IFERROR(__xludf.DUMMYFUNCTION("""COMPUTED_VALUE"""),3352000)</f>
        <v>3352000</v>
      </c>
      <c r="P16" s="12">
        <f ca="1">IFERROR(__xludf.DUMMYFUNCTION("""COMPUTED_VALUE"""),3403045.68527918)</f>
        <v>3403045.6852791798</v>
      </c>
      <c r="Q16" s="12">
        <f ca="1">IFERROR(__xludf.DUMMYFUNCTION("""COMPUTED_VALUE"""),51045.6852791878)</f>
        <v>51045.685279187797</v>
      </c>
      <c r="R16" s="12">
        <f ca="1">IFERROR(__xludf.DUMMYFUNCTION("""COMPUTED_VALUE"""),442395.939086294)</f>
        <v>442395.93908629398</v>
      </c>
      <c r="S16" s="13">
        <f ca="1">IFERROR(__xludf.DUMMYFUNCTION("""COMPUTED_VALUE"""),3845441.62436548)</f>
        <v>3845441.6243654802</v>
      </c>
      <c r="T16" s="11">
        <f ca="1">IFERROR(__xludf.DUMMYFUNCTION("""COMPUTED_VALUE"""),45644)</f>
        <v>45644</v>
      </c>
      <c r="U16" s="14" t="str">
        <f ca="1">IFERROR(__xludf.DUMMYFUNCTION("""COMPUTED_VALUE""")," YES ")</f>
        <v xml:space="preserve"> YES </v>
      </c>
      <c r="V16" s="11">
        <f ca="1">IFERROR(__xludf.DUMMYFUNCTION("""COMPUTED_VALUE"""),45650)</f>
        <v>45650</v>
      </c>
      <c r="W16" s="14" t="str">
        <f ca="1">IFERROR(__xludf.DUMMYFUNCTION("""COMPUTED_VALUE""")," NO ")</f>
        <v xml:space="preserve"> NO </v>
      </c>
    </row>
    <row r="17" spans="1:23" x14ac:dyDescent="0.25">
      <c r="A17" s="7">
        <f t="shared" ca="1" si="0"/>
        <v>16</v>
      </c>
      <c r="B17" s="8" t="str">
        <f ca="1">IFERROR(__xludf.DUMMYFUNCTION("""COMPUTED_VALUE"""),"Upper Bhotekoshi (45MW)")</f>
        <v>Upper Bhotekoshi (45MW)</v>
      </c>
      <c r="C17" s="9" t="str">
        <f ca="1">IFERROR(__xludf.DUMMYFUNCTION("""COMPUTED_VALUE"""),"Bhotekoshi Power Company Pvt.Limited")</f>
        <v>Bhotekoshi Power Company Pvt.Limited</v>
      </c>
      <c r="D17" s="10" t="str">
        <f ca="1">IFERROR(__xludf.DUMMYFUNCTION("""COMPUTED_VALUE"""),"Powerhouse")</f>
        <v>Powerhouse</v>
      </c>
      <c r="E17" s="8" t="str">
        <f ca="1">IFERROR(__xludf.DUMMYFUNCTION("""COMPUTED_VALUE"""),"Er. Sumit Sah")</f>
        <v>Er. Sumit Sah</v>
      </c>
      <c r="F17" s="8"/>
      <c r="G17" s="7"/>
      <c r="H17" s="11">
        <f ca="1">IFERROR(__xludf.DUMMYFUNCTION("""COMPUTED_VALUE"""),45685)</f>
        <v>45685</v>
      </c>
      <c r="I17" s="11"/>
      <c r="J17" s="7" t="b">
        <f ca="1">IFERROR(__xludf.DUMMYFUNCTION("""COMPUTED_VALUE"""),TRUE)</f>
        <v>1</v>
      </c>
      <c r="K17" s="7" t="b">
        <f ca="1">IFERROR(__xludf.DUMMYFUNCTION("""COMPUTED_VALUE"""),TRUE)</f>
        <v>1</v>
      </c>
      <c r="L17" s="7" t="b">
        <f ca="1">IFERROR(__xludf.DUMMYFUNCTION("""COMPUTED_VALUE"""),TRUE)</f>
        <v>1</v>
      </c>
      <c r="M17" s="7" t="b">
        <f ca="1">IFERROR(__xludf.DUMMYFUNCTION("""COMPUTED_VALUE"""),FALSE)</f>
        <v>0</v>
      </c>
      <c r="N17" s="8" t="str">
        <f ca="1">IFERROR(__xludf.DUMMYFUNCTION("""COMPUTED_VALUE"""),"In Progress")</f>
        <v>In Progress</v>
      </c>
      <c r="O17" s="12">
        <f ca="1">IFERROR(__xludf.DUMMYFUNCTION("""COMPUTED_VALUE"""),2352000)</f>
        <v>2352000</v>
      </c>
      <c r="P17" s="12">
        <f ca="1">IFERROR(__xludf.DUMMYFUNCTION("""COMPUTED_VALUE"""),2387817.25888324)</f>
        <v>2387817.2588832402</v>
      </c>
      <c r="Q17" s="12">
        <f ca="1">IFERROR(__xludf.DUMMYFUNCTION("""COMPUTED_VALUE"""),35817.2588832487)</f>
        <v>35817.258883248702</v>
      </c>
      <c r="R17" s="12">
        <f ca="1">IFERROR(__xludf.DUMMYFUNCTION("""COMPUTED_VALUE"""),310416.243654822)</f>
        <v>310416.243654822</v>
      </c>
      <c r="S17" s="13">
        <f ca="1">IFERROR(__xludf.DUMMYFUNCTION("""COMPUTED_VALUE"""),2698233.50253807)</f>
        <v>2698233.5025380701</v>
      </c>
      <c r="T17" s="11"/>
      <c r="U17" s="14" t="str">
        <f ca="1">IFERROR(__xludf.DUMMYFUNCTION("""COMPUTED_VALUE""")," NO ")</f>
        <v xml:space="preserve"> NO </v>
      </c>
      <c r="V17" s="11"/>
      <c r="W17" s="14" t="str">
        <f ca="1">IFERROR(__xludf.DUMMYFUNCTION("""COMPUTED_VALUE""")," NO ")</f>
        <v xml:space="preserve"> NO </v>
      </c>
    </row>
    <row r="18" spans="1:23" ht="30" x14ac:dyDescent="0.25">
      <c r="A18" s="7">
        <f t="shared" ca="1" si="0"/>
        <v>17</v>
      </c>
      <c r="B18" s="8" t="str">
        <f ca="1">IFERROR(__xludf.DUMMYFUNCTION("""COMPUTED_VALUE"""),"Karuwa Seti(32MW)")</f>
        <v>Karuwa Seti(32MW)</v>
      </c>
      <c r="C18" s="9" t="str">
        <f ca="1">IFERROR(__xludf.DUMMYFUNCTION("""COMPUTED_VALUE"""),"Jhyamolongma Hydropower Development Company Limited")</f>
        <v>Jhyamolongma Hydropower Development Company Limited</v>
      </c>
      <c r="D18" s="10" t="str">
        <f ca="1">IFERROR(__xludf.DUMMYFUNCTION("""COMPUTED_VALUE"""),"Powerhouse")</f>
        <v>Powerhouse</v>
      </c>
      <c r="E18" s="8" t="str">
        <f ca="1">IFERROR(__xludf.DUMMYFUNCTION("""COMPUTED_VALUE"""),"Er. Sumit Sah")</f>
        <v>Er. Sumit Sah</v>
      </c>
      <c r="F18" s="8"/>
      <c r="G18" s="7"/>
      <c r="H18" s="11">
        <f ca="1">IFERROR(__xludf.DUMMYFUNCTION("""COMPUTED_VALUE"""),45704)</f>
        <v>45704</v>
      </c>
      <c r="I18" s="11"/>
      <c r="J18" s="7" t="b">
        <f ca="1">IFERROR(__xludf.DUMMYFUNCTION("""COMPUTED_VALUE"""),FALSE)</f>
        <v>0</v>
      </c>
      <c r="K18" s="7" t="b">
        <f ca="1">IFERROR(__xludf.DUMMYFUNCTION("""COMPUTED_VALUE"""),FALSE)</f>
        <v>0</v>
      </c>
      <c r="L18" s="7" t="b">
        <f ca="1">IFERROR(__xludf.DUMMYFUNCTION("""COMPUTED_VALUE"""),FALSE)</f>
        <v>0</v>
      </c>
      <c r="M18" s="7" t="b">
        <f ca="1">IFERROR(__xludf.DUMMYFUNCTION("""COMPUTED_VALUE"""),FALSE)</f>
        <v>0</v>
      </c>
      <c r="N18" s="8" t="str">
        <f ca="1">IFERROR(__xludf.DUMMYFUNCTION("""COMPUTED_VALUE"""),"In Progress")</f>
        <v>In Progress</v>
      </c>
      <c r="O18" s="12">
        <f ca="1">IFERROR(__xludf.DUMMYFUNCTION("""COMPUTED_VALUE"""),2852000)</f>
        <v>2852000</v>
      </c>
      <c r="P18" s="12">
        <f ca="1">IFERROR(__xludf.DUMMYFUNCTION("""COMPUTED_VALUE"""),2895431.47208121)</f>
        <v>2895431.47208121</v>
      </c>
      <c r="Q18" s="12">
        <f ca="1">IFERROR(__xludf.DUMMYFUNCTION("""COMPUTED_VALUE"""),43431.4720812182)</f>
        <v>43431.472081218199</v>
      </c>
      <c r="R18" s="12">
        <f ca="1">IFERROR(__xludf.DUMMYFUNCTION("""COMPUTED_VALUE"""),376406.091370558)</f>
        <v>376406.09137055802</v>
      </c>
      <c r="S18" s="12">
        <f ca="1">IFERROR(__xludf.DUMMYFUNCTION("""COMPUTED_VALUE"""),3271837.56345177)</f>
        <v>3271837.5634517702</v>
      </c>
      <c r="T18" s="11">
        <f ca="1">IFERROR(__xludf.DUMMYFUNCTION("""COMPUTED_VALUE"""),45685)</f>
        <v>45685</v>
      </c>
      <c r="U18" s="14" t="str">
        <f ca="1">IFERROR(__xludf.DUMMYFUNCTION("""COMPUTED_VALUE""")," NO ")</f>
        <v xml:space="preserve"> NO </v>
      </c>
      <c r="V18" s="11"/>
      <c r="W18" s="14" t="str">
        <f ca="1">IFERROR(__xludf.DUMMYFUNCTION("""COMPUTED_VALUE""")," NO ")</f>
        <v xml:space="preserve"> NO </v>
      </c>
    </row>
    <row r="19" spans="1:23" x14ac:dyDescent="0.25">
      <c r="A19" s="7" t="str">
        <f t="shared" si="0"/>
        <v/>
      </c>
      <c r="B19" s="8"/>
      <c r="C19" s="9"/>
      <c r="D19" s="8"/>
      <c r="E19" s="8"/>
      <c r="F19" s="8"/>
      <c r="G19" s="7"/>
      <c r="H19" s="11"/>
      <c r="I19" s="11"/>
      <c r="J19" s="7" t="b">
        <v>0</v>
      </c>
      <c r="K19" s="7" t="b">
        <v>0</v>
      </c>
      <c r="L19" s="7" t="b">
        <v>0</v>
      </c>
      <c r="M19" s="7" t="b">
        <v>0</v>
      </c>
      <c r="N19" s="8"/>
      <c r="O19" s="12"/>
      <c r="P19" s="12"/>
      <c r="Q19" s="12"/>
      <c r="R19" s="12"/>
      <c r="S19" s="12"/>
      <c r="T19" s="11"/>
      <c r="U19" s="14"/>
      <c r="V19" s="11"/>
      <c r="W19" s="14"/>
    </row>
    <row r="20" spans="1:23" x14ac:dyDescent="0.25">
      <c r="A20" s="7" t="str">
        <f t="shared" si="0"/>
        <v/>
      </c>
      <c r="B20" s="8"/>
      <c r="C20" s="9"/>
      <c r="D20" s="8"/>
      <c r="E20" s="8"/>
      <c r="F20" s="8"/>
      <c r="G20" s="7"/>
      <c r="H20" s="11"/>
      <c r="I20" s="11"/>
      <c r="J20" s="7" t="b">
        <v>0</v>
      </c>
      <c r="K20" s="7" t="b">
        <v>0</v>
      </c>
      <c r="L20" s="7" t="b">
        <v>0</v>
      </c>
      <c r="M20" s="7" t="b">
        <v>0</v>
      </c>
      <c r="N20" s="8"/>
      <c r="O20" s="12"/>
      <c r="P20" s="12"/>
      <c r="Q20" s="12"/>
      <c r="R20" s="12"/>
      <c r="S20" s="12"/>
      <c r="T20" s="11"/>
      <c r="U20" s="14"/>
      <c r="V20" s="11"/>
      <c r="W20" s="14"/>
    </row>
    <row r="21" spans="1:23" ht="15.75" customHeight="1" x14ac:dyDescent="0.25">
      <c r="A21" s="7" t="str">
        <f t="shared" si="0"/>
        <v/>
      </c>
      <c r="B21" s="8"/>
      <c r="C21" s="9"/>
      <c r="D21" s="8"/>
      <c r="E21" s="8"/>
      <c r="F21" s="8"/>
      <c r="G21" s="7"/>
      <c r="H21" s="11"/>
      <c r="I21" s="11"/>
      <c r="J21" s="7" t="b">
        <v>0</v>
      </c>
      <c r="K21" s="7" t="b">
        <v>0</v>
      </c>
      <c r="L21" s="7" t="b">
        <v>0</v>
      </c>
      <c r="M21" s="7" t="b">
        <v>0</v>
      </c>
      <c r="N21" s="8"/>
      <c r="O21" s="12"/>
      <c r="P21" s="12"/>
      <c r="Q21" s="12"/>
      <c r="R21" s="12"/>
      <c r="S21" s="13"/>
      <c r="T21" s="11"/>
      <c r="U21" s="14"/>
      <c r="V21" s="11"/>
      <c r="W21" s="14"/>
    </row>
    <row r="22" spans="1:23" ht="15.75" customHeight="1" x14ac:dyDescent="0.25">
      <c r="A22" s="7" t="str">
        <f t="shared" si="0"/>
        <v/>
      </c>
      <c r="B22" s="8"/>
      <c r="C22" s="9"/>
      <c r="D22" s="8"/>
      <c r="E22" s="8"/>
      <c r="F22" s="8"/>
      <c r="G22" s="7"/>
      <c r="H22" s="11"/>
      <c r="I22" s="11"/>
      <c r="J22" s="7" t="b">
        <v>0</v>
      </c>
      <c r="K22" s="7" t="b">
        <v>0</v>
      </c>
      <c r="L22" s="7" t="b">
        <v>0</v>
      </c>
      <c r="M22" s="7" t="b">
        <v>0</v>
      </c>
      <c r="N22" s="8"/>
      <c r="O22" s="12"/>
      <c r="P22" s="12"/>
      <c r="Q22" s="12"/>
      <c r="R22" s="12"/>
      <c r="S22" s="12"/>
      <c r="T22" s="11"/>
      <c r="U22" s="14"/>
      <c r="V22" s="11"/>
      <c r="W22" s="14"/>
    </row>
    <row r="23" spans="1:23" ht="15.75" customHeight="1" x14ac:dyDescent="0.25">
      <c r="A23" s="7" t="str">
        <f t="shared" si="0"/>
        <v/>
      </c>
      <c r="B23" s="8"/>
      <c r="C23" s="9"/>
      <c r="D23" s="8"/>
      <c r="E23" s="8"/>
      <c r="F23" s="8"/>
      <c r="G23" s="7"/>
      <c r="H23" s="11"/>
      <c r="I23" s="11"/>
      <c r="J23" s="7" t="b">
        <v>0</v>
      </c>
      <c r="K23" s="7" t="b">
        <v>0</v>
      </c>
      <c r="L23" s="7" t="b">
        <v>0</v>
      </c>
      <c r="M23" s="7" t="b">
        <v>0</v>
      </c>
      <c r="N23" s="8"/>
      <c r="O23" s="12"/>
      <c r="P23" s="12"/>
      <c r="Q23" s="12"/>
      <c r="R23" s="12"/>
      <c r="S23" s="13"/>
      <c r="T23" s="11"/>
      <c r="U23" s="14"/>
      <c r="V23" s="11"/>
      <c r="W23" s="14"/>
    </row>
    <row r="24" spans="1:23" ht="15.75" customHeight="1" x14ac:dyDescent="0.25">
      <c r="A24" s="7" t="str">
        <f t="shared" si="0"/>
        <v/>
      </c>
      <c r="B24" s="8"/>
      <c r="C24" s="9"/>
      <c r="D24" s="8"/>
      <c r="E24" s="8"/>
      <c r="F24" s="8"/>
      <c r="G24" s="7"/>
      <c r="H24" s="11"/>
      <c r="I24" s="11"/>
      <c r="J24" s="7" t="b">
        <v>0</v>
      </c>
      <c r="K24" s="7" t="b">
        <v>0</v>
      </c>
      <c r="L24" s="7" t="b">
        <v>0</v>
      </c>
      <c r="M24" s="7" t="b">
        <v>0</v>
      </c>
      <c r="N24" s="8"/>
      <c r="O24" s="12"/>
      <c r="P24" s="12"/>
      <c r="Q24" s="12"/>
      <c r="R24" s="12"/>
      <c r="S24" s="13"/>
      <c r="T24" s="11"/>
      <c r="U24" s="14"/>
      <c r="V24" s="11"/>
      <c r="W24" s="14"/>
    </row>
    <row r="25" spans="1:23" ht="15.75" customHeight="1" x14ac:dyDescent="0.25">
      <c r="A25" s="7" t="str">
        <f t="shared" si="0"/>
        <v/>
      </c>
      <c r="B25" s="8"/>
      <c r="C25" s="9"/>
      <c r="D25" s="8"/>
      <c r="E25" s="8"/>
      <c r="F25" s="8"/>
      <c r="G25" s="7"/>
      <c r="H25" s="11"/>
      <c r="I25" s="11"/>
      <c r="J25" s="7" t="b">
        <v>0</v>
      </c>
      <c r="K25" s="7" t="b">
        <v>0</v>
      </c>
      <c r="L25" s="7" t="b">
        <v>0</v>
      </c>
      <c r="M25" s="7" t="b">
        <v>0</v>
      </c>
      <c r="N25" s="8"/>
      <c r="O25" s="12"/>
      <c r="P25" s="12"/>
      <c r="Q25" s="12"/>
      <c r="R25" s="12"/>
      <c r="S25" s="12"/>
      <c r="T25" s="11"/>
      <c r="U25" s="14"/>
      <c r="V25" s="11"/>
      <c r="W25" s="14"/>
    </row>
    <row r="26" spans="1:23" ht="15.75" customHeight="1" x14ac:dyDescent="0.25">
      <c r="A26" s="7" t="str">
        <f t="shared" si="0"/>
        <v/>
      </c>
      <c r="B26" s="8"/>
      <c r="C26" s="9"/>
      <c r="D26" s="8"/>
      <c r="E26" s="8"/>
      <c r="F26" s="8"/>
      <c r="G26" s="7"/>
      <c r="H26" s="11"/>
      <c r="I26" s="11"/>
      <c r="J26" s="7" t="b">
        <v>0</v>
      </c>
      <c r="K26" s="7" t="b">
        <v>0</v>
      </c>
      <c r="L26" s="7" t="b">
        <v>0</v>
      </c>
      <c r="M26" s="7" t="b">
        <v>0</v>
      </c>
      <c r="N26" s="8"/>
      <c r="O26" s="12"/>
      <c r="P26" s="12"/>
      <c r="Q26" s="12"/>
      <c r="R26" s="12"/>
      <c r="S26" s="12"/>
      <c r="T26" s="11"/>
      <c r="U26" s="14"/>
      <c r="V26" s="11"/>
      <c r="W26" s="14"/>
    </row>
    <row r="27" spans="1:23" ht="15.75" customHeight="1" x14ac:dyDescent="0.25">
      <c r="A27" s="7" t="str">
        <f t="shared" si="0"/>
        <v/>
      </c>
      <c r="B27" s="8"/>
      <c r="C27" s="9"/>
      <c r="D27" s="8"/>
      <c r="E27" s="8"/>
      <c r="F27" s="8"/>
      <c r="G27" s="7"/>
      <c r="H27" s="11"/>
      <c r="I27" s="11"/>
      <c r="J27" s="7" t="b">
        <v>0</v>
      </c>
      <c r="K27" s="7" t="b">
        <v>0</v>
      </c>
      <c r="L27" s="7" t="b">
        <v>0</v>
      </c>
      <c r="M27" s="7" t="b">
        <v>0</v>
      </c>
      <c r="N27" s="8"/>
      <c r="O27" s="12"/>
      <c r="P27" s="12"/>
      <c r="Q27" s="12"/>
      <c r="R27" s="12"/>
      <c r="S27" s="12"/>
      <c r="T27" s="11"/>
      <c r="U27" s="14"/>
      <c r="V27" s="11"/>
      <c r="W27" s="14"/>
    </row>
    <row r="28" spans="1:23" ht="15.75" customHeight="1" x14ac:dyDescent="0.25">
      <c r="A28" s="7" t="str">
        <f t="shared" si="0"/>
        <v/>
      </c>
      <c r="B28" s="8"/>
      <c r="C28" s="9"/>
      <c r="D28" s="8"/>
      <c r="E28" s="8"/>
      <c r="F28" s="8"/>
      <c r="G28" s="7"/>
      <c r="H28" s="11"/>
      <c r="I28" s="11"/>
      <c r="J28" s="7" t="b">
        <v>0</v>
      </c>
      <c r="K28" s="7" t="b">
        <v>0</v>
      </c>
      <c r="L28" s="7" t="b">
        <v>0</v>
      </c>
      <c r="M28" s="7" t="b">
        <v>0</v>
      </c>
      <c r="N28" s="8"/>
      <c r="O28" s="12"/>
      <c r="P28" s="12"/>
      <c r="Q28" s="12"/>
      <c r="R28" s="12"/>
      <c r="S28" s="13"/>
      <c r="T28" s="11"/>
      <c r="U28" s="14"/>
      <c r="V28" s="11"/>
      <c r="W28" s="14"/>
    </row>
    <row r="29" spans="1:23" ht="15.75" customHeight="1" x14ac:dyDescent="0.25">
      <c r="A29" s="7" t="str">
        <f t="shared" si="0"/>
        <v/>
      </c>
      <c r="B29" s="8"/>
      <c r="C29" s="9"/>
      <c r="D29" s="8"/>
      <c r="E29" s="8"/>
      <c r="F29" s="8"/>
      <c r="G29" s="7"/>
      <c r="H29" s="11"/>
      <c r="I29" s="11"/>
      <c r="J29" s="7" t="b">
        <v>0</v>
      </c>
      <c r="K29" s="7" t="b">
        <v>0</v>
      </c>
      <c r="L29" s="7" t="b">
        <v>0</v>
      </c>
      <c r="M29" s="7" t="b">
        <v>0</v>
      </c>
      <c r="N29" s="8"/>
      <c r="O29" s="12"/>
      <c r="P29" s="12"/>
      <c r="Q29" s="12"/>
      <c r="R29" s="12"/>
      <c r="S29" s="13"/>
      <c r="T29" s="11"/>
      <c r="U29" s="14"/>
      <c r="V29" s="11"/>
      <c r="W29" s="14"/>
    </row>
    <row r="30" spans="1:23" ht="15.75" customHeight="1" x14ac:dyDescent="0.25"/>
    <row r="31" spans="1:23" ht="15.75" customHeight="1" x14ac:dyDescent="0.25"/>
    <row r="32" spans="1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N1:N29">
    <cfRule type="cellIs" dxfId="15" priority="1" operator="equal">
      <formula>"Completed"</formula>
    </cfRule>
  </conditionalFormatting>
  <conditionalFormatting sqref="N2:N29">
    <cfRule type="expression" dxfId="14" priority="2">
      <formula>"N2=""Completed"""</formula>
    </cfRule>
  </conditionalFormatting>
  <conditionalFormatting sqref="S2">
    <cfRule type="expression" dxfId="13" priority="3">
      <formula>"$T2=""YES"""</formula>
    </cfRule>
  </conditionalFormatting>
  <conditionalFormatting sqref="S2:S29">
    <cfRule type="expression" dxfId="12" priority="4">
      <formula>$U2="YES"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11.7109375" customWidth="1"/>
    <col min="2" max="2" width="24.7109375" customWidth="1"/>
    <col min="3" max="3" width="40.85546875" customWidth="1"/>
    <col min="4" max="4" width="12.140625" customWidth="1"/>
    <col min="5" max="6" width="22.85546875" customWidth="1"/>
    <col min="7" max="7" width="4.140625" hidden="1" customWidth="1"/>
    <col min="8" max="9" width="10.42578125" hidden="1" customWidth="1"/>
    <col min="10" max="10" width="5.5703125" customWidth="1"/>
    <col min="11" max="12" width="8.7109375" customWidth="1"/>
    <col min="13" max="13" width="5.5703125" customWidth="1"/>
    <col min="14" max="14" width="10.85546875" customWidth="1"/>
    <col min="15" max="16" width="13.28515625" customWidth="1"/>
    <col min="17" max="17" width="11.140625" customWidth="1"/>
    <col min="18" max="18" width="12.140625" customWidth="1"/>
    <col min="19" max="19" width="13.28515625" customWidth="1"/>
    <col min="20" max="20" width="10.42578125" customWidth="1"/>
    <col min="21" max="21" width="9" customWidth="1"/>
    <col min="22" max="22" width="10.42578125" customWidth="1"/>
    <col min="23" max="23" width="9" customWidth="1"/>
    <col min="24" max="26" width="8.7109375" customWidth="1"/>
  </cols>
  <sheetData>
    <row r="1" spans="1:23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1" t="s">
        <v>21</v>
      </c>
      <c r="W1" s="30" t="s">
        <v>22</v>
      </c>
    </row>
    <row r="2" spans="1:23" x14ac:dyDescent="0.25">
      <c r="A2" s="7">
        <f t="shared" ref="A2:A29" ca="1" si="0">IF(B2&lt;&gt;"",0+COUNTA($B$2:B2),"")</f>
        <v>1</v>
      </c>
      <c r="B2" s="8" t="str">
        <f ca="1">IFERROR(__xludf.DUMMYFUNCTION("FILTER(SCADATable!B2:W77,(SCADATable!E2:E77=""Er. Janardan Rimal""))"),"Nilgiri 2 (71MW)")</f>
        <v>Nilgiri 2 (71MW)</v>
      </c>
      <c r="C2" s="9" t="str">
        <f ca="1">IFERROR(__xludf.DUMMYFUNCTION("""COMPUTED_VALUE"""),"Nilgiri Khola Hydropower Company Limited")</f>
        <v>Nilgiri Khola Hydropower Company Limited</v>
      </c>
      <c r="D2" s="10" t="str">
        <f ca="1">IFERROR(__xludf.DUMMYFUNCTION("""COMPUTED_VALUE"""),"Powerhouse")</f>
        <v>Powerhouse</v>
      </c>
      <c r="E2" s="8" t="str">
        <f ca="1">IFERROR(__xludf.DUMMYFUNCTION("""COMPUTED_VALUE"""),"Er. Janardan Rimal")</f>
        <v>Er. Janardan Rimal</v>
      </c>
      <c r="F2" s="8"/>
      <c r="G2" s="7">
        <f ca="1">IFERROR(__xludf.DUMMYFUNCTION("""COMPUTED_VALUE"""),0)</f>
        <v>0</v>
      </c>
      <c r="H2" s="11"/>
      <c r="I2" s="11">
        <f ca="1">IFERROR(__xludf.DUMMYFUNCTION("""COMPUTED_VALUE"""),45385)</f>
        <v>45385</v>
      </c>
      <c r="J2" s="7" t="b">
        <f ca="1">IFERROR(__xludf.DUMMYFUNCTION("""COMPUTED_VALUE"""),TRUE)</f>
        <v>1</v>
      </c>
      <c r="K2" s="7" t="b">
        <f ca="1">IFERROR(__xludf.DUMMYFUNCTION("""COMPUTED_VALUE"""),TRUE)</f>
        <v>1</v>
      </c>
      <c r="L2" s="7" t="b">
        <f ca="1">IFERROR(__xludf.DUMMYFUNCTION("""COMPUTED_VALUE"""),TRUE)</f>
        <v>1</v>
      </c>
      <c r="M2" s="7" t="b">
        <f ca="1">IFERROR(__xludf.DUMMYFUNCTION("""COMPUTED_VALUE"""),TRUE)</f>
        <v>1</v>
      </c>
      <c r="N2" s="8" t="str">
        <f ca="1">IFERROR(__xludf.DUMMYFUNCTION("""COMPUTED_VALUE"""),"Completed")</f>
        <v>Completed</v>
      </c>
      <c r="O2" s="12">
        <f ca="1">IFERROR(__xludf.DUMMYFUNCTION("""COMPUTED_VALUE"""),2852000)</f>
        <v>2852000</v>
      </c>
      <c r="P2" s="12">
        <f ca="1">IFERROR(__xludf.DUMMYFUNCTION("""COMPUTED_VALUE"""),2895431.47208121)</f>
        <v>2895431.47208121</v>
      </c>
      <c r="Q2" s="12">
        <f ca="1">IFERROR(__xludf.DUMMYFUNCTION("""COMPUTED_VALUE"""),43431.4720812182)</f>
        <v>43431.472081218199</v>
      </c>
      <c r="R2" s="12">
        <f ca="1">IFERROR(__xludf.DUMMYFUNCTION("""COMPUTED_VALUE"""),376406.091370558)</f>
        <v>376406.09137055802</v>
      </c>
      <c r="S2" s="13">
        <f ca="1">IFERROR(__xludf.DUMMYFUNCTION("""COMPUTED_VALUE"""),3271837.56345177)</f>
        <v>3271837.5634517702</v>
      </c>
      <c r="T2" s="11">
        <f ca="1">IFERROR(__xludf.DUMMYFUNCTION("""COMPUTED_VALUE"""),45652)</f>
        <v>45652</v>
      </c>
      <c r="U2" s="14" t="str">
        <f ca="1">IFERROR(__xludf.DUMMYFUNCTION("""COMPUTED_VALUE""")," YES ")</f>
        <v xml:space="preserve"> YES </v>
      </c>
      <c r="V2" s="11">
        <f ca="1">IFERROR(__xludf.DUMMYFUNCTION("""COMPUTED_VALUE"""),45691)</f>
        <v>45691</v>
      </c>
      <c r="W2" s="14" t="str">
        <f ca="1">IFERROR(__xludf.DUMMYFUNCTION("""COMPUTED_VALUE""")," NO ")</f>
        <v xml:space="preserve"> NO </v>
      </c>
    </row>
    <row r="3" spans="1:23" x14ac:dyDescent="0.25">
      <c r="A3" s="7">
        <f t="shared" ca="1" si="0"/>
        <v>2</v>
      </c>
      <c r="B3" s="8" t="str">
        <f ca="1">IFERROR(__xludf.DUMMYFUNCTION("""COMPUTED_VALUE"""),"Likhu 1")</f>
        <v>Likhu 1</v>
      </c>
      <c r="C3" s="9" t="str">
        <f ca="1">IFERROR(__xludf.DUMMYFUNCTION("""COMPUTED_VALUE"""),"Pan Himalaya Energy Limited")</f>
        <v>Pan Himalaya Energy Limited</v>
      </c>
      <c r="D3" s="10" t="str">
        <f ca="1">IFERROR(__xludf.DUMMYFUNCTION("""COMPUTED_VALUE"""),"Powerhouse")</f>
        <v>Powerhouse</v>
      </c>
      <c r="E3" s="8" t="str">
        <f ca="1">IFERROR(__xludf.DUMMYFUNCTION("""COMPUTED_VALUE"""),"Er. Janardan Rimal")</f>
        <v>Er. Janardan Rimal</v>
      </c>
      <c r="F3" s="8"/>
      <c r="G3" s="7">
        <f ca="1">IFERROR(__xludf.DUMMYFUNCTION("""COMPUTED_VALUE"""),0)</f>
        <v>0</v>
      </c>
      <c r="H3" s="11"/>
      <c r="I3" s="11"/>
      <c r="J3" s="7" t="b">
        <f ca="1">IFERROR(__xludf.DUMMYFUNCTION("""COMPUTED_VALUE"""),TRUE)</f>
        <v>1</v>
      </c>
      <c r="K3" s="7" t="b">
        <f ca="1">IFERROR(__xludf.DUMMYFUNCTION("""COMPUTED_VALUE"""),TRUE)</f>
        <v>1</v>
      </c>
      <c r="L3" s="7" t="b">
        <f ca="1">IFERROR(__xludf.DUMMYFUNCTION("""COMPUTED_VALUE"""),TRUE)</f>
        <v>1</v>
      </c>
      <c r="M3" s="7" t="b">
        <f ca="1">IFERROR(__xludf.DUMMYFUNCTION("""COMPUTED_VALUE"""),TRUE)</f>
        <v>1</v>
      </c>
      <c r="N3" s="8" t="str">
        <f ca="1">IFERROR(__xludf.DUMMYFUNCTION("""COMPUTED_VALUE"""),"Completed")</f>
        <v>Completed</v>
      </c>
      <c r="O3" s="12">
        <f ca="1">IFERROR(__xludf.DUMMYFUNCTION("""COMPUTED_VALUE"""),3602000)</f>
        <v>3602000</v>
      </c>
      <c r="P3" s="12">
        <f ca="1">IFERROR(__xludf.DUMMYFUNCTION("""COMPUTED_VALUE"""),3656852.79187817)</f>
        <v>3656852.7918781699</v>
      </c>
      <c r="Q3" s="12">
        <f ca="1">IFERROR(__xludf.DUMMYFUNCTION("""COMPUTED_VALUE"""),54852.7918781725)</f>
        <v>54852.791878172502</v>
      </c>
      <c r="R3" s="12">
        <f ca="1">IFERROR(__xludf.DUMMYFUNCTION("""COMPUTED_VALUE"""),475390.862944162)</f>
        <v>475390.86294416199</v>
      </c>
      <c r="S3" s="13">
        <f ca="1">IFERROR(__xludf.DUMMYFUNCTION("""COMPUTED_VALUE"""),4132243.65482233)</f>
        <v>4132243.65482233</v>
      </c>
      <c r="T3" s="11">
        <f ca="1">IFERROR(__xludf.DUMMYFUNCTION("""COMPUTED_VALUE"""),45657)</f>
        <v>45657</v>
      </c>
      <c r="U3" s="14" t="str">
        <f ca="1">IFERROR(__xludf.DUMMYFUNCTION("""COMPUTED_VALUE""")," YES ")</f>
        <v xml:space="preserve"> YES </v>
      </c>
      <c r="V3" s="11">
        <f ca="1">IFERROR(__xludf.DUMMYFUNCTION("""COMPUTED_VALUE"""),45699)</f>
        <v>45699</v>
      </c>
      <c r="W3" s="14" t="str">
        <f ca="1">IFERROR(__xludf.DUMMYFUNCTION("""COMPUTED_VALUE""")," NO ")</f>
        <v xml:space="preserve"> NO </v>
      </c>
    </row>
    <row r="4" spans="1:23" x14ac:dyDescent="0.25">
      <c r="A4" s="7">
        <f t="shared" ca="1" si="0"/>
        <v>3</v>
      </c>
      <c r="B4" s="8" t="str">
        <f ca="1">IFERROR(__xludf.DUMMYFUNCTION("""COMPUTED_VALUE"""),"Upper Kalangagad (38MW)")</f>
        <v>Upper Kalangagad (38MW)</v>
      </c>
      <c r="C4" s="9" t="str">
        <f ca="1">IFERROR(__xludf.DUMMYFUNCTION("""COMPUTED_VALUE"""),"Sanigad Hydro Pvt. Limited")</f>
        <v>Sanigad Hydro Pvt. Limited</v>
      </c>
      <c r="D4" s="10" t="str">
        <f ca="1">IFERROR(__xludf.DUMMYFUNCTION("""COMPUTED_VALUE"""),"Powerhouse")</f>
        <v>Powerhouse</v>
      </c>
      <c r="E4" s="8" t="str">
        <f ca="1">IFERROR(__xludf.DUMMYFUNCTION("""COMPUTED_VALUE"""),"Er. Janardan Rimal")</f>
        <v>Er. Janardan Rimal</v>
      </c>
      <c r="F4" s="8"/>
      <c r="G4" s="7">
        <f ca="1">IFERROR(__xludf.DUMMYFUNCTION("""COMPUTED_VALUE"""),0)</f>
        <v>0</v>
      </c>
      <c r="H4" s="11"/>
      <c r="I4" s="11"/>
      <c r="J4" s="7" t="b">
        <f ca="1">IFERROR(__xludf.DUMMYFUNCTION("""COMPUTED_VALUE"""),TRUE)</f>
        <v>1</v>
      </c>
      <c r="K4" s="7" t="b">
        <f ca="1">IFERROR(__xludf.DUMMYFUNCTION("""COMPUTED_VALUE"""),TRUE)</f>
        <v>1</v>
      </c>
      <c r="L4" s="7" t="b">
        <f ca="1">IFERROR(__xludf.DUMMYFUNCTION("""COMPUTED_VALUE"""),TRUE)</f>
        <v>1</v>
      </c>
      <c r="M4" s="7" t="b">
        <f ca="1">IFERROR(__xludf.DUMMYFUNCTION("""COMPUTED_VALUE"""),TRUE)</f>
        <v>1</v>
      </c>
      <c r="N4" s="8" t="str">
        <f ca="1">IFERROR(__xludf.DUMMYFUNCTION("""COMPUTED_VALUE"""),"Completed")</f>
        <v>Completed</v>
      </c>
      <c r="O4" s="12">
        <f ca="1">IFERROR(__xludf.DUMMYFUNCTION("""COMPUTED_VALUE"""),2852000)</f>
        <v>2852000</v>
      </c>
      <c r="P4" s="12">
        <f ca="1">IFERROR(__xludf.DUMMYFUNCTION("""COMPUTED_VALUE"""),2895431.47208121)</f>
        <v>2895431.47208121</v>
      </c>
      <c r="Q4" s="12">
        <f ca="1">IFERROR(__xludf.DUMMYFUNCTION("""COMPUTED_VALUE"""),43431.4720812182)</f>
        <v>43431.472081218199</v>
      </c>
      <c r="R4" s="12">
        <f ca="1">IFERROR(__xludf.DUMMYFUNCTION("""COMPUTED_VALUE"""),376406.091370558)</f>
        <v>376406.09137055802</v>
      </c>
      <c r="S4" s="13">
        <f ca="1">IFERROR(__xludf.DUMMYFUNCTION("""COMPUTED_VALUE"""),3271837.56345177)</f>
        <v>3271837.5634517702</v>
      </c>
      <c r="T4" s="11">
        <f ca="1">IFERROR(__xludf.DUMMYFUNCTION("""COMPUTED_VALUE"""),45657)</f>
        <v>45657</v>
      </c>
      <c r="U4" s="14" t="str">
        <f ca="1">IFERROR(__xludf.DUMMYFUNCTION("""COMPUTED_VALUE""")," NO ")</f>
        <v xml:space="preserve"> NO </v>
      </c>
      <c r="V4" s="11"/>
      <c r="W4" s="14" t="str">
        <f ca="1">IFERROR(__xludf.DUMMYFUNCTION("""COMPUTED_VALUE""")," NO ")</f>
        <v xml:space="preserve"> NO </v>
      </c>
    </row>
    <row r="5" spans="1:23" x14ac:dyDescent="0.25">
      <c r="A5" s="7">
        <f t="shared" ca="1" si="0"/>
        <v>4</v>
      </c>
      <c r="B5" s="8" t="str">
        <f ca="1">IFERROR(__xludf.DUMMYFUNCTION("""COMPUTED_VALUE"""),"Upper Sanigad(10.7MW)")</f>
        <v>Upper Sanigad(10.7MW)</v>
      </c>
      <c r="C5" s="9" t="str">
        <f ca="1">IFERROR(__xludf.DUMMYFUNCTION("""COMPUTED_VALUE"""),"Bungal Hydro Pvt. Limited")</f>
        <v>Bungal Hydro Pvt. Limited</v>
      </c>
      <c r="D5" s="10" t="str">
        <f ca="1">IFERROR(__xludf.DUMMYFUNCTION("""COMPUTED_VALUE"""),"Powerhouse")</f>
        <v>Powerhouse</v>
      </c>
      <c r="E5" s="8" t="str">
        <f ca="1">IFERROR(__xludf.DUMMYFUNCTION("""COMPUTED_VALUE"""),"Er. Janardan Rimal")</f>
        <v>Er. Janardan Rimal</v>
      </c>
      <c r="F5" s="8"/>
      <c r="G5" s="7">
        <f ca="1">IFERROR(__xludf.DUMMYFUNCTION("""COMPUTED_VALUE"""),0)</f>
        <v>0</v>
      </c>
      <c r="H5" s="11"/>
      <c r="I5" s="11"/>
      <c r="J5" s="7" t="b">
        <f ca="1">IFERROR(__xludf.DUMMYFUNCTION("""COMPUTED_VALUE"""),TRUE)</f>
        <v>1</v>
      </c>
      <c r="K5" s="7" t="b">
        <f ca="1">IFERROR(__xludf.DUMMYFUNCTION("""COMPUTED_VALUE"""),TRUE)</f>
        <v>1</v>
      </c>
      <c r="L5" s="7" t="b">
        <f ca="1">IFERROR(__xludf.DUMMYFUNCTION("""COMPUTED_VALUE"""),TRUE)</f>
        <v>1</v>
      </c>
      <c r="M5" s="7" t="b">
        <f ca="1">IFERROR(__xludf.DUMMYFUNCTION("""COMPUTED_VALUE"""),TRUE)</f>
        <v>1</v>
      </c>
      <c r="N5" s="8" t="str">
        <f ca="1">IFERROR(__xludf.DUMMYFUNCTION("""COMPUTED_VALUE"""),"Completed")</f>
        <v>Completed</v>
      </c>
      <c r="O5" s="12">
        <f ca="1">IFERROR(__xludf.DUMMYFUNCTION("""COMPUTED_VALUE"""),2852000)</f>
        <v>2852000</v>
      </c>
      <c r="P5" s="12">
        <f ca="1">IFERROR(__xludf.DUMMYFUNCTION("""COMPUTED_VALUE"""),2895431.47208121)</f>
        <v>2895431.47208121</v>
      </c>
      <c r="Q5" s="12">
        <f ca="1">IFERROR(__xludf.DUMMYFUNCTION("""COMPUTED_VALUE"""),43431.4720812182)</f>
        <v>43431.472081218199</v>
      </c>
      <c r="R5" s="12">
        <f ca="1">IFERROR(__xludf.DUMMYFUNCTION("""COMPUTED_VALUE"""),376406.091370558)</f>
        <v>376406.09137055802</v>
      </c>
      <c r="S5" s="13">
        <f ca="1">IFERROR(__xludf.DUMMYFUNCTION("""COMPUTED_VALUE"""),3271837.56345177)</f>
        <v>3271837.5634517702</v>
      </c>
      <c r="T5" s="11">
        <f ca="1">IFERROR(__xludf.DUMMYFUNCTION("""COMPUTED_VALUE"""),45657)</f>
        <v>45657</v>
      </c>
      <c r="U5" s="14" t="str">
        <f ca="1">IFERROR(__xludf.DUMMYFUNCTION("""COMPUTED_VALUE""")," NO ")</f>
        <v xml:space="preserve"> NO </v>
      </c>
      <c r="V5" s="11"/>
      <c r="W5" s="14" t="str">
        <f ca="1">IFERROR(__xludf.DUMMYFUNCTION("""COMPUTED_VALUE""")," NO ")</f>
        <v xml:space="preserve"> NO </v>
      </c>
    </row>
    <row r="6" spans="1:23" x14ac:dyDescent="0.25">
      <c r="A6" s="7">
        <f t="shared" ca="1" si="0"/>
        <v>5</v>
      </c>
      <c r="B6" s="8" t="str">
        <f ca="1">IFERROR(__xludf.DUMMYFUNCTION("""COMPUTED_VALUE"""),"Kalanga(15MW)")</f>
        <v>Kalanga(15MW)</v>
      </c>
      <c r="C6" s="9" t="str">
        <f ca="1">IFERROR(__xludf.DUMMYFUNCTION("""COMPUTED_VALUE"""),"Kalanga Hydro Pvt. Limited")</f>
        <v>Kalanga Hydro Pvt. Limited</v>
      </c>
      <c r="D6" s="10" t="str">
        <f ca="1">IFERROR(__xludf.DUMMYFUNCTION("""COMPUTED_VALUE"""),"Powerhouse")</f>
        <v>Powerhouse</v>
      </c>
      <c r="E6" s="8" t="str">
        <f ca="1">IFERROR(__xludf.DUMMYFUNCTION("""COMPUTED_VALUE"""),"Er. Janardan Rimal")</f>
        <v>Er. Janardan Rimal</v>
      </c>
      <c r="F6" s="8"/>
      <c r="G6" s="7">
        <f ca="1">IFERROR(__xludf.DUMMYFUNCTION("""COMPUTED_VALUE"""),0)</f>
        <v>0</v>
      </c>
      <c r="H6" s="11"/>
      <c r="I6" s="11"/>
      <c r="J6" s="7" t="b">
        <f ca="1">IFERROR(__xludf.DUMMYFUNCTION("""COMPUTED_VALUE"""),TRUE)</f>
        <v>1</v>
      </c>
      <c r="K6" s="7" t="b">
        <f ca="1">IFERROR(__xludf.DUMMYFUNCTION("""COMPUTED_VALUE"""),TRUE)</f>
        <v>1</v>
      </c>
      <c r="L6" s="7" t="b">
        <f ca="1">IFERROR(__xludf.DUMMYFUNCTION("""COMPUTED_VALUE"""),TRUE)</f>
        <v>1</v>
      </c>
      <c r="M6" s="7" t="b">
        <f ca="1">IFERROR(__xludf.DUMMYFUNCTION("""COMPUTED_VALUE"""),TRUE)</f>
        <v>1</v>
      </c>
      <c r="N6" s="8" t="str">
        <f ca="1">IFERROR(__xludf.DUMMYFUNCTION("""COMPUTED_VALUE"""),"Completed")</f>
        <v>Completed</v>
      </c>
      <c r="O6" s="12">
        <f ca="1">IFERROR(__xludf.DUMMYFUNCTION("""COMPUTED_VALUE"""),2602000)</f>
        <v>2602000</v>
      </c>
      <c r="P6" s="12">
        <f ca="1">IFERROR(__xludf.DUMMYFUNCTION("""COMPUTED_VALUE"""),2641624.36548223)</f>
        <v>2641624.3654822302</v>
      </c>
      <c r="Q6" s="12">
        <f ca="1">IFERROR(__xludf.DUMMYFUNCTION("""COMPUTED_VALUE"""),39624.3654822335)</f>
        <v>39624.365482233501</v>
      </c>
      <c r="R6" s="12">
        <f ca="1">IFERROR(__xludf.DUMMYFUNCTION("""COMPUTED_VALUE"""),343411.16751269)</f>
        <v>343411.16751269001</v>
      </c>
      <c r="S6" s="13">
        <f ca="1">IFERROR(__xludf.DUMMYFUNCTION("""COMPUTED_VALUE"""),2985035.53299492)</f>
        <v>2985035.5329949199</v>
      </c>
      <c r="T6" s="11">
        <f ca="1">IFERROR(__xludf.DUMMYFUNCTION("""COMPUTED_VALUE"""),45657)</f>
        <v>45657</v>
      </c>
      <c r="U6" s="14" t="str">
        <f ca="1">IFERROR(__xludf.DUMMYFUNCTION("""COMPUTED_VALUE""")," NO ")</f>
        <v xml:space="preserve"> NO </v>
      </c>
      <c r="V6" s="11"/>
      <c r="W6" s="14" t="str">
        <f ca="1">IFERROR(__xludf.DUMMYFUNCTION("""COMPUTED_VALUE""")," NO ")</f>
        <v xml:space="preserve"> NO </v>
      </c>
    </row>
    <row r="7" spans="1:23" x14ac:dyDescent="0.25">
      <c r="A7" s="7">
        <f t="shared" ca="1" si="0"/>
        <v>6</v>
      </c>
      <c r="B7" s="8" t="str">
        <f ca="1">IFERROR(__xludf.DUMMYFUNCTION("""COMPUTED_VALUE"""),"Super Madi(44MW)")</f>
        <v>Super Madi(44MW)</v>
      </c>
      <c r="C7" s="9" t="str">
        <f ca="1">IFERROR(__xludf.DUMMYFUNCTION("""COMPUTED_VALUE"""),"Super Madi Hydropower Limited")</f>
        <v>Super Madi Hydropower Limited</v>
      </c>
      <c r="D7" s="10" t="str">
        <f ca="1">IFERROR(__xludf.DUMMYFUNCTION("""COMPUTED_VALUE"""),"Powerhouse")</f>
        <v>Powerhouse</v>
      </c>
      <c r="E7" s="8" t="str">
        <f ca="1">IFERROR(__xludf.DUMMYFUNCTION("""COMPUTED_VALUE"""),"Er. Janardan Rimal")</f>
        <v>Er. Janardan Rimal</v>
      </c>
      <c r="F7" s="8"/>
      <c r="G7" s="7"/>
      <c r="H7" s="11"/>
      <c r="I7" s="11"/>
      <c r="J7" s="7" t="b">
        <f ca="1">IFERROR(__xludf.DUMMYFUNCTION("""COMPUTED_VALUE"""),TRUE)</f>
        <v>1</v>
      </c>
      <c r="K7" s="7" t="b">
        <f ca="1">IFERROR(__xludf.DUMMYFUNCTION("""COMPUTED_VALUE"""),TRUE)</f>
        <v>1</v>
      </c>
      <c r="L7" s="7" t="b">
        <f ca="1">IFERROR(__xludf.DUMMYFUNCTION("""COMPUTED_VALUE"""),TRUE)</f>
        <v>1</v>
      </c>
      <c r="M7" s="7" t="b">
        <f ca="1">IFERROR(__xludf.DUMMYFUNCTION("""COMPUTED_VALUE"""),TRUE)</f>
        <v>1</v>
      </c>
      <c r="N7" s="8" t="str">
        <f ca="1">IFERROR(__xludf.DUMMYFUNCTION("""COMPUTED_VALUE"""),"Completed")</f>
        <v>Completed</v>
      </c>
      <c r="O7" s="12">
        <f ca="1">IFERROR(__xludf.DUMMYFUNCTION("""COMPUTED_VALUE"""),3102000)</f>
        <v>3102000</v>
      </c>
      <c r="P7" s="12">
        <f ca="1">IFERROR(__xludf.DUMMYFUNCTION("""COMPUTED_VALUE"""),3149238.5786802)</f>
        <v>3149238.5786802</v>
      </c>
      <c r="Q7" s="12">
        <f ca="1">IFERROR(__xludf.DUMMYFUNCTION("""COMPUTED_VALUE"""),47238.578680203)</f>
        <v>47238.578680202998</v>
      </c>
      <c r="R7" s="12">
        <f ca="1">IFERROR(__xludf.DUMMYFUNCTION("""COMPUTED_VALUE"""),409401.015228426)</f>
        <v>409401.01522842603</v>
      </c>
      <c r="S7" s="13">
        <f ca="1">IFERROR(__xludf.DUMMYFUNCTION("""COMPUTED_VALUE"""),3558639.59390863)</f>
        <v>3558639.5939086298</v>
      </c>
      <c r="T7" s="11">
        <f ca="1">IFERROR(__xludf.DUMMYFUNCTION("""COMPUTED_VALUE"""),45660)</f>
        <v>45660</v>
      </c>
      <c r="U7" s="14" t="str">
        <f ca="1">IFERROR(__xludf.DUMMYFUNCTION("""COMPUTED_VALUE""")," NO ")</f>
        <v xml:space="preserve"> NO </v>
      </c>
      <c r="V7" s="11"/>
      <c r="W7" s="14" t="str">
        <f ca="1">IFERROR(__xludf.DUMMYFUNCTION("""COMPUTED_VALUE""")," NO ")</f>
        <v xml:space="preserve"> NO </v>
      </c>
    </row>
    <row r="8" spans="1:23" x14ac:dyDescent="0.25">
      <c r="A8" s="7" t="str">
        <f t="shared" si="0"/>
        <v/>
      </c>
      <c r="B8" s="8"/>
      <c r="C8" s="9"/>
      <c r="D8" s="8"/>
      <c r="E8" s="8"/>
      <c r="F8" s="8"/>
      <c r="G8" s="7"/>
      <c r="H8" s="11"/>
      <c r="I8" s="11"/>
      <c r="J8" s="7"/>
      <c r="K8" s="7"/>
      <c r="L8" s="7"/>
      <c r="M8" s="7"/>
      <c r="N8" s="8"/>
      <c r="O8" s="12"/>
      <c r="P8" s="12"/>
      <c r="Q8" s="12"/>
      <c r="R8" s="12"/>
      <c r="S8" s="13"/>
      <c r="T8" s="11"/>
      <c r="U8" s="14"/>
      <c r="V8" s="11"/>
      <c r="W8" s="14"/>
    </row>
    <row r="9" spans="1:23" x14ac:dyDescent="0.25">
      <c r="A9" s="7" t="str">
        <f t="shared" si="0"/>
        <v/>
      </c>
      <c r="B9" s="8"/>
      <c r="C9" s="9"/>
      <c r="D9" s="8"/>
      <c r="E9" s="8"/>
      <c r="F9" s="8"/>
      <c r="G9" s="7"/>
      <c r="H9" s="11"/>
      <c r="I9" s="11"/>
      <c r="J9" s="7"/>
      <c r="K9" s="7"/>
      <c r="L9" s="7"/>
      <c r="M9" s="7"/>
      <c r="N9" s="8"/>
      <c r="O9" s="12"/>
      <c r="P9" s="12"/>
      <c r="Q9" s="12"/>
      <c r="R9" s="12"/>
      <c r="S9" s="13"/>
      <c r="T9" s="11"/>
      <c r="U9" s="14"/>
      <c r="V9" s="11"/>
      <c r="W9" s="14"/>
    </row>
    <row r="10" spans="1:23" x14ac:dyDescent="0.25">
      <c r="A10" s="7" t="str">
        <f t="shared" si="0"/>
        <v/>
      </c>
      <c r="B10" s="8"/>
      <c r="C10" s="9"/>
      <c r="D10" s="8"/>
      <c r="E10" s="8"/>
      <c r="F10" s="8"/>
      <c r="G10" s="7"/>
      <c r="H10" s="11"/>
      <c r="I10" s="11"/>
      <c r="J10" s="7"/>
      <c r="K10" s="7"/>
      <c r="L10" s="7"/>
      <c r="M10" s="7"/>
      <c r="N10" s="8"/>
      <c r="O10" s="12"/>
      <c r="P10" s="12"/>
      <c r="Q10" s="12"/>
      <c r="R10" s="12"/>
      <c r="S10" s="12"/>
      <c r="T10" s="11"/>
      <c r="U10" s="14"/>
      <c r="V10" s="11"/>
      <c r="W10" s="14"/>
    </row>
    <row r="11" spans="1:23" x14ac:dyDescent="0.25">
      <c r="A11" s="7" t="str">
        <f t="shared" si="0"/>
        <v/>
      </c>
      <c r="B11" s="8"/>
      <c r="C11" s="9"/>
      <c r="D11" s="8"/>
      <c r="E11" s="8"/>
      <c r="F11" s="8"/>
      <c r="G11" s="7"/>
      <c r="H11" s="11"/>
      <c r="I11" s="11"/>
      <c r="J11" s="7"/>
      <c r="K11" s="7"/>
      <c r="L11" s="7"/>
      <c r="M11" s="7"/>
      <c r="N11" s="8"/>
      <c r="O11" s="12"/>
      <c r="P11" s="12"/>
      <c r="Q11" s="12"/>
      <c r="R11" s="12"/>
      <c r="S11" s="13"/>
      <c r="T11" s="11"/>
      <c r="U11" s="14"/>
      <c r="V11" s="11"/>
      <c r="W11" s="14"/>
    </row>
    <row r="12" spans="1:23" x14ac:dyDescent="0.25">
      <c r="A12" s="7" t="str">
        <f t="shared" si="0"/>
        <v/>
      </c>
      <c r="B12" s="8"/>
      <c r="C12" s="9"/>
      <c r="D12" s="8"/>
      <c r="E12" s="8"/>
      <c r="F12" s="8"/>
      <c r="G12" s="7"/>
      <c r="H12" s="11"/>
      <c r="I12" s="11"/>
      <c r="J12" s="7"/>
      <c r="K12" s="7"/>
      <c r="L12" s="7"/>
      <c r="M12" s="7"/>
      <c r="N12" s="8"/>
      <c r="O12" s="12"/>
      <c r="P12" s="12"/>
      <c r="Q12" s="12"/>
      <c r="R12" s="12"/>
      <c r="S12" s="13"/>
      <c r="T12" s="11"/>
      <c r="U12" s="14"/>
      <c r="V12" s="11"/>
      <c r="W12" s="14"/>
    </row>
    <row r="13" spans="1:23" x14ac:dyDescent="0.25">
      <c r="A13" s="7" t="str">
        <f t="shared" si="0"/>
        <v/>
      </c>
      <c r="B13" s="8"/>
      <c r="C13" s="9"/>
      <c r="D13" s="8"/>
      <c r="E13" s="8"/>
      <c r="F13" s="8"/>
      <c r="G13" s="7"/>
      <c r="H13" s="11"/>
      <c r="I13" s="11"/>
      <c r="J13" s="7"/>
      <c r="K13" s="7"/>
      <c r="L13" s="7"/>
      <c r="M13" s="7"/>
      <c r="N13" s="8"/>
      <c r="O13" s="12"/>
      <c r="P13" s="12"/>
      <c r="Q13" s="12"/>
      <c r="R13" s="12"/>
      <c r="S13" s="12"/>
      <c r="T13" s="11"/>
      <c r="U13" s="14"/>
      <c r="V13" s="11"/>
      <c r="W13" s="14"/>
    </row>
    <row r="14" spans="1:23" x14ac:dyDescent="0.25">
      <c r="A14" s="7" t="str">
        <f t="shared" si="0"/>
        <v/>
      </c>
      <c r="B14" s="8"/>
      <c r="C14" s="9"/>
      <c r="D14" s="8"/>
      <c r="E14" s="8"/>
      <c r="F14" s="8"/>
      <c r="G14" s="7"/>
      <c r="H14" s="11"/>
      <c r="I14" s="11"/>
      <c r="J14" s="7"/>
      <c r="K14" s="7"/>
      <c r="L14" s="7"/>
      <c r="M14" s="7"/>
      <c r="N14" s="8"/>
      <c r="O14" s="12"/>
      <c r="P14" s="12"/>
      <c r="Q14" s="12"/>
      <c r="R14" s="12"/>
      <c r="S14" s="12"/>
      <c r="T14" s="11"/>
      <c r="U14" s="14"/>
      <c r="V14" s="11"/>
      <c r="W14" s="14"/>
    </row>
    <row r="15" spans="1:23" x14ac:dyDescent="0.25">
      <c r="A15" s="7" t="str">
        <f t="shared" si="0"/>
        <v/>
      </c>
      <c r="B15" s="8"/>
      <c r="C15" s="9"/>
      <c r="D15" s="8"/>
      <c r="E15" s="8"/>
      <c r="F15" s="8"/>
      <c r="G15" s="7"/>
      <c r="H15" s="11"/>
      <c r="I15" s="11"/>
      <c r="J15" s="7"/>
      <c r="K15" s="7"/>
      <c r="L15" s="7"/>
      <c r="M15" s="7"/>
      <c r="N15" s="8"/>
      <c r="O15" s="12"/>
      <c r="P15" s="12"/>
      <c r="Q15" s="12"/>
      <c r="R15" s="12"/>
      <c r="S15" s="13"/>
      <c r="T15" s="11"/>
      <c r="U15" s="14"/>
      <c r="V15" s="11"/>
      <c r="W15" s="14"/>
    </row>
    <row r="16" spans="1:23" x14ac:dyDescent="0.25">
      <c r="A16" s="7" t="str">
        <f t="shared" si="0"/>
        <v/>
      </c>
      <c r="B16" s="8"/>
      <c r="C16" s="9"/>
      <c r="D16" s="8"/>
      <c r="E16" s="8"/>
      <c r="F16" s="8"/>
      <c r="G16" s="7"/>
      <c r="H16" s="11"/>
      <c r="I16" s="11"/>
      <c r="J16" s="7"/>
      <c r="K16" s="7"/>
      <c r="L16" s="7"/>
      <c r="M16" s="7"/>
      <c r="N16" s="8"/>
      <c r="O16" s="12"/>
      <c r="P16" s="12"/>
      <c r="Q16" s="12"/>
      <c r="R16" s="12"/>
      <c r="S16" s="13"/>
      <c r="T16" s="11"/>
      <c r="U16" s="14"/>
      <c r="V16" s="11"/>
      <c r="W16" s="14"/>
    </row>
    <row r="17" spans="1:23" x14ac:dyDescent="0.25">
      <c r="A17" s="7" t="str">
        <f t="shared" si="0"/>
        <v/>
      </c>
      <c r="B17" s="8"/>
      <c r="C17" s="9"/>
      <c r="D17" s="8"/>
      <c r="E17" s="8"/>
      <c r="F17" s="8"/>
      <c r="G17" s="7"/>
      <c r="H17" s="11"/>
      <c r="I17" s="11"/>
      <c r="J17" s="7"/>
      <c r="K17" s="7"/>
      <c r="L17" s="7"/>
      <c r="M17" s="7"/>
      <c r="N17" s="8"/>
      <c r="O17" s="12"/>
      <c r="P17" s="12"/>
      <c r="Q17" s="12"/>
      <c r="R17" s="12"/>
      <c r="S17" s="13"/>
      <c r="T17" s="11"/>
      <c r="U17" s="14"/>
      <c r="V17" s="11"/>
      <c r="W17" s="14"/>
    </row>
    <row r="18" spans="1:23" x14ac:dyDescent="0.25">
      <c r="A18" s="7" t="str">
        <f t="shared" si="0"/>
        <v/>
      </c>
      <c r="B18" s="8"/>
      <c r="C18" s="9"/>
      <c r="D18" s="8"/>
      <c r="E18" s="8"/>
      <c r="F18" s="8"/>
      <c r="G18" s="7"/>
      <c r="H18" s="11"/>
      <c r="I18" s="11"/>
      <c r="J18" s="7"/>
      <c r="K18" s="7"/>
      <c r="L18" s="7"/>
      <c r="M18" s="7"/>
      <c r="N18" s="8"/>
      <c r="O18" s="12"/>
      <c r="P18" s="12"/>
      <c r="Q18" s="12"/>
      <c r="R18" s="12"/>
      <c r="S18" s="12"/>
      <c r="T18" s="11"/>
      <c r="U18" s="14"/>
      <c r="V18" s="11"/>
      <c r="W18" s="14"/>
    </row>
    <row r="19" spans="1:23" x14ac:dyDescent="0.25">
      <c r="A19" s="7" t="str">
        <f t="shared" si="0"/>
        <v/>
      </c>
      <c r="B19" s="8"/>
      <c r="C19" s="9"/>
      <c r="D19" s="8"/>
      <c r="E19" s="8"/>
      <c r="F19" s="8"/>
      <c r="G19" s="7"/>
      <c r="H19" s="11"/>
      <c r="I19" s="11"/>
      <c r="J19" s="7" t="b">
        <v>0</v>
      </c>
      <c r="K19" s="7" t="b">
        <v>0</v>
      </c>
      <c r="L19" s="7" t="b">
        <v>0</v>
      </c>
      <c r="M19" s="7" t="b">
        <v>0</v>
      </c>
      <c r="N19" s="8"/>
      <c r="O19" s="12"/>
      <c r="P19" s="12"/>
      <c r="Q19" s="12"/>
      <c r="R19" s="12"/>
      <c r="S19" s="12"/>
      <c r="T19" s="11"/>
      <c r="U19" s="14"/>
      <c r="V19" s="11"/>
      <c r="W19" s="14"/>
    </row>
    <row r="20" spans="1:23" x14ac:dyDescent="0.25">
      <c r="A20" s="7" t="str">
        <f t="shared" si="0"/>
        <v/>
      </c>
      <c r="B20" s="8"/>
      <c r="C20" s="9"/>
      <c r="D20" s="8"/>
      <c r="E20" s="8"/>
      <c r="F20" s="8"/>
      <c r="G20" s="7"/>
      <c r="H20" s="11"/>
      <c r="I20" s="11"/>
      <c r="J20" s="7" t="b">
        <v>0</v>
      </c>
      <c r="K20" s="7" t="b">
        <v>0</v>
      </c>
      <c r="L20" s="7" t="b">
        <v>0</v>
      </c>
      <c r="M20" s="7" t="b">
        <v>0</v>
      </c>
      <c r="N20" s="8"/>
      <c r="O20" s="12"/>
      <c r="P20" s="12"/>
      <c r="Q20" s="12"/>
      <c r="R20" s="12"/>
      <c r="S20" s="12"/>
      <c r="T20" s="11"/>
      <c r="U20" s="14"/>
      <c r="V20" s="11"/>
      <c r="W20" s="14"/>
    </row>
    <row r="21" spans="1:23" ht="15.75" customHeight="1" x14ac:dyDescent="0.25">
      <c r="A21" s="7" t="str">
        <f t="shared" si="0"/>
        <v/>
      </c>
      <c r="B21" s="8"/>
      <c r="C21" s="9"/>
      <c r="D21" s="8"/>
      <c r="E21" s="8"/>
      <c r="F21" s="8"/>
      <c r="G21" s="7"/>
      <c r="H21" s="11"/>
      <c r="I21" s="11"/>
      <c r="J21" s="7" t="b">
        <v>0</v>
      </c>
      <c r="K21" s="7" t="b">
        <v>0</v>
      </c>
      <c r="L21" s="7" t="b">
        <v>0</v>
      </c>
      <c r="M21" s="7" t="b">
        <v>0</v>
      </c>
      <c r="N21" s="8"/>
      <c r="O21" s="12"/>
      <c r="P21" s="12"/>
      <c r="Q21" s="12"/>
      <c r="R21" s="12"/>
      <c r="S21" s="13"/>
      <c r="T21" s="11"/>
      <c r="U21" s="14"/>
      <c r="V21" s="11"/>
      <c r="W21" s="14"/>
    </row>
    <row r="22" spans="1:23" ht="15.75" customHeight="1" x14ac:dyDescent="0.25">
      <c r="A22" s="7" t="str">
        <f t="shared" si="0"/>
        <v/>
      </c>
      <c r="B22" s="8"/>
      <c r="C22" s="9"/>
      <c r="D22" s="8"/>
      <c r="E22" s="8"/>
      <c r="F22" s="8"/>
      <c r="G22" s="7"/>
      <c r="H22" s="11"/>
      <c r="I22" s="11"/>
      <c r="J22" s="7" t="b">
        <v>0</v>
      </c>
      <c r="K22" s="7" t="b">
        <v>0</v>
      </c>
      <c r="L22" s="7" t="b">
        <v>0</v>
      </c>
      <c r="M22" s="7" t="b">
        <v>0</v>
      </c>
      <c r="N22" s="8"/>
      <c r="O22" s="12"/>
      <c r="P22" s="12"/>
      <c r="Q22" s="12"/>
      <c r="R22" s="12"/>
      <c r="S22" s="12"/>
      <c r="T22" s="11"/>
      <c r="U22" s="14"/>
      <c r="V22" s="11"/>
      <c r="W22" s="14"/>
    </row>
    <row r="23" spans="1:23" ht="15.75" customHeight="1" x14ac:dyDescent="0.25">
      <c r="A23" s="7" t="str">
        <f t="shared" si="0"/>
        <v/>
      </c>
      <c r="B23" s="8"/>
      <c r="C23" s="9"/>
      <c r="D23" s="8"/>
      <c r="E23" s="8"/>
      <c r="F23" s="8"/>
      <c r="G23" s="7"/>
      <c r="H23" s="11"/>
      <c r="I23" s="11"/>
      <c r="J23" s="7" t="b">
        <v>0</v>
      </c>
      <c r="K23" s="7" t="b">
        <v>0</v>
      </c>
      <c r="L23" s="7" t="b">
        <v>0</v>
      </c>
      <c r="M23" s="7" t="b">
        <v>0</v>
      </c>
      <c r="N23" s="8"/>
      <c r="O23" s="12"/>
      <c r="P23" s="12"/>
      <c r="Q23" s="12"/>
      <c r="R23" s="12"/>
      <c r="S23" s="13"/>
      <c r="T23" s="11"/>
      <c r="U23" s="14"/>
      <c r="V23" s="11"/>
      <c r="W23" s="14"/>
    </row>
    <row r="24" spans="1:23" ht="15.75" customHeight="1" x14ac:dyDescent="0.25">
      <c r="A24" s="7" t="str">
        <f t="shared" si="0"/>
        <v/>
      </c>
      <c r="B24" s="8"/>
      <c r="C24" s="9"/>
      <c r="D24" s="8"/>
      <c r="E24" s="8"/>
      <c r="F24" s="8"/>
      <c r="G24" s="7"/>
      <c r="H24" s="11"/>
      <c r="I24" s="11"/>
      <c r="J24" s="7" t="b">
        <v>0</v>
      </c>
      <c r="K24" s="7" t="b">
        <v>0</v>
      </c>
      <c r="L24" s="7" t="b">
        <v>0</v>
      </c>
      <c r="M24" s="7" t="b">
        <v>0</v>
      </c>
      <c r="N24" s="8"/>
      <c r="O24" s="12"/>
      <c r="P24" s="12"/>
      <c r="Q24" s="12"/>
      <c r="R24" s="12"/>
      <c r="S24" s="13"/>
      <c r="T24" s="11"/>
      <c r="U24" s="14"/>
      <c r="V24" s="11"/>
      <c r="W24" s="14"/>
    </row>
    <row r="25" spans="1:23" ht="15.75" customHeight="1" x14ac:dyDescent="0.25">
      <c r="A25" s="7" t="str">
        <f t="shared" si="0"/>
        <v/>
      </c>
      <c r="B25" s="8"/>
      <c r="C25" s="9"/>
      <c r="D25" s="8"/>
      <c r="E25" s="8"/>
      <c r="F25" s="8"/>
      <c r="G25" s="7"/>
      <c r="H25" s="11"/>
      <c r="I25" s="11"/>
      <c r="J25" s="7" t="b">
        <v>0</v>
      </c>
      <c r="K25" s="7" t="b">
        <v>0</v>
      </c>
      <c r="L25" s="7" t="b">
        <v>0</v>
      </c>
      <c r="M25" s="7" t="b">
        <v>0</v>
      </c>
      <c r="N25" s="8"/>
      <c r="O25" s="12"/>
      <c r="P25" s="12"/>
      <c r="Q25" s="12"/>
      <c r="R25" s="12"/>
      <c r="S25" s="12"/>
      <c r="T25" s="11"/>
      <c r="U25" s="14"/>
      <c r="V25" s="11"/>
      <c r="W25" s="14"/>
    </row>
    <row r="26" spans="1:23" ht="15.75" customHeight="1" x14ac:dyDescent="0.25">
      <c r="A26" s="7" t="str">
        <f t="shared" si="0"/>
        <v/>
      </c>
      <c r="B26" s="8"/>
      <c r="C26" s="9"/>
      <c r="D26" s="8"/>
      <c r="E26" s="8"/>
      <c r="F26" s="8"/>
      <c r="G26" s="7"/>
      <c r="H26" s="11"/>
      <c r="I26" s="11"/>
      <c r="J26" s="7" t="b">
        <v>0</v>
      </c>
      <c r="K26" s="7" t="b">
        <v>0</v>
      </c>
      <c r="L26" s="7" t="b">
        <v>0</v>
      </c>
      <c r="M26" s="7" t="b">
        <v>0</v>
      </c>
      <c r="N26" s="8"/>
      <c r="O26" s="12"/>
      <c r="P26" s="12"/>
      <c r="Q26" s="12"/>
      <c r="R26" s="12"/>
      <c r="S26" s="12"/>
      <c r="T26" s="11"/>
      <c r="U26" s="14"/>
      <c r="V26" s="11"/>
      <c r="W26" s="14"/>
    </row>
    <row r="27" spans="1:23" ht="15.75" customHeight="1" x14ac:dyDescent="0.25">
      <c r="A27" s="7" t="str">
        <f t="shared" si="0"/>
        <v/>
      </c>
      <c r="B27" s="8"/>
      <c r="C27" s="9"/>
      <c r="D27" s="8"/>
      <c r="E27" s="8"/>
      <c r="F27" s="8"/>
      <c r="G27" s="7"/>
      <c r="H27" s="11"/>
      <c r="I27" s="11"/>
      <c r="J27" s="7" t="b">
        <v>0</v>
      </c>
      <c r="K27" s="7" t="b">
        <v>0</v>
      </c>
      <c r="L27" s="7" t="b">
        <v>0</v>
      </c>
      <c r="M27" s="7" t="b">
        <v>0</v>
      </c>
      <c r="N27" s="8"/>
      <c r="O27" s="12"/>
      <c r="P27" s="12"/>
      <c r="Q27" s="12"/>
      <c r="R27" s="12"/>
      <c r="S27" s="12"/>
      <c r="T27" s="11"/>
      <c r="U27" s="14"/>
      <c r="V27" s="11"/>
      <c r="W27" s="14"/>
    </row>
    <row r="28" spans="1:23" ht="15.75" customHeight="1" x14ac:dyDescent="0.25">
      <c r="A28" s="7" t="str">
        <f t="shared" si="0"/>
        <v/>
      </c>
      <c r="B28" s="8"/>
      <c r="C28" s="9"/>
      <c r="D28" s="8"/>
      <c r="E28" s="8"/>
      <c r="F28" s="8"/>
      <c r="G28" s="7"/>
      <c r="H28" s="11"/>
      <c r="I28" s="11"/>
      <c r="J28" s="7" t="b">
        <v>0</v>
      </c>
      <c r="K28" s="7" t="b">
        <v>0</v>
      </c>
      <c r="L28" s="7" t="b">
        <v>0</v>
      </c>
      <c r="M28" s="7" t="b">
        <v>0</v>
      </c>
      <c r="N28" s="8"/>
      <c r="O28" s="12"/>
      <c r="P28" s="12"/>
      <c r="Q28" s="12"/>
      <c r="R28" s="12"/>
      <c r="S28" s="13"/>
      <c r="T28" s="11"/>
      <c r="U28" s="14"/>
      <c r="V28" s="11"/>
      <c r="W28" s="14"/>
    </row>
    <row r="29" spans="1:23" ht="15.75" customHeight="1" x14ac:dyDescent="0.25">
      <c r="A29" s="7" t="str">
        <f t="shared" si="0"/>
        <v/>
      </c>
      <c r="B29" s="8"/>
      <c r="C29" s="9"/>
      <c r="D29" s="8"/>
      <c r="E29" s="8"/>
      <c r="F29" s="8"/>
      <c r="G29" s="7"/>
      <c r="H29" s="11"/>
      <c r="I29" s="11"/>
      <c r="J29" s="7" t="b">
        <v>0</v>
      </c>
      <c r="K29" s="7" t="b">
        <v>0</v>
      </c>
      <c r="L29" s="7" t="b">
        <v>0</v>
      </c>
      <c r="M29" s="7" t="b">
        <v>0</v>
      </c>
      <c r="N29" s="8"/>
      <c r="O29" s="12"/>
      <c r="P29" s="12"/>
      <c r="Q29" s="12"/>
      <c r="R29" s="12"/>
      <c r="S29" s="13"/>
      <c r="T29" s="11"/>
      <c r="U29" s="14"/>
      <c r="V29" s="11"/>
      <c r="W29" s="14"/>
    </row>
    <row r="30" spans="1:23" ht="15.75" customHeight="1" x14ac:dyDescent="0.25"/>
    <row r="31" spans="1:23" ht="15.75" customHeight="1" x14ac:dyDescent="0.25"/>
    <row r="32" spans="1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N1:N29">
    <cfRule type="cellIs" dxfId="11" priority="1" operator="equal">
      <formula>"Completed"</formula>
    </cfRule>
  </conditionalFormatting>
  <conditionalFormatting sqref="N2:N29">
    <cfRule type="expression" dxfId="10" priority="2">
      <formula>"N2=""Completed"""</formula>
    </cfRule>
  </conditionalFormatting>
  <conditionalFormatting sqref="S2">
    <cfRule type="expression" dxfId="9" priority="3">
      <formula>"$T2=""YES"""</formula>
    </cfRule>
  </conditionalFormatting>
  <conditionalFormatting sqref="S2:S29">
    <cfRule type="expression" dxfId="8" priority="4">
      <formula>$U2="YES"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2.85546875" customWidth="1"/>
    <col min="2" max="2" width="19.5703125" customWidth="1"/>
    <col min="3" max="3" width="40.7109375" customWidth="1"/>
    <col min="4" max="4" width="12.140625" customWidth="1"/>
    <col min="5" max="5" width="12.85546875" customWidth="1"/>
    <col min="6" max="6" width="22.85546875" customWidth="1"/>
    <col min="7" max="7" width="4.140625" hidden="1" customWidth="1"/>
    <col min="8" max="9" width="10.42578125" hidden="1" customWidth="1"/>
    <col min="10" max="10" width="5.5703125" customWidth="1"/>
    <col min="11" max="12" width="8.7109375" customWidth="1"/>
    <col min="13" max="13" width="5.5703125" customWidth="1"/>
    <col min="14" max="14" width="10.85546875" customWidth="1"/>
    <col min="15" max="16" width="13.28515625" customWidth="1"/>
    <col min="17" max="17" width="11.140625" customWidth="1"/>
    <col min="18" max="18" width="12.140625" customWidth="1"/>
    <col min="19" max="19" width="13.28515625" customWidth="1"/>
    <col min="20" max="20" width="10.42578125" customWidth="1"/>
    <col min="21" max="21" width="9" customWidth="1"/>
    <col min="22" max="22" width="10.42578125" customWidth="1"/>
    <col min="23" max="23" width="9" customWidth="1"/>
    <col min="24" max="26" width="8.7109375" customWidth="1"/>
  </cols>
  <sheetData>
    <row r="1" spans="1:23" ht="45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1" t="s">
        <v>21</v>
      </c>
      <c r="W1" s="30" t="s">
        <v>22</v>
      </c>
    </row>
    <row r="2" spans="1:23" x14ac:dyDescent="0.25">
      <c r="A2" s="7">
        <f t="shared" ref="A2:A29" ca="1" si="0">IF(B2&lt;&gt;"",0+COUNTA($B$2:B2),"")</f>
        <v>1</v>
      </c>
      <c r="B2" s="8" t="str">
        <f ca="1">IFERROR(__xludf.DUMMYFUNCTION("FILTER(SCADATable!B2:W77,(SCADATable!E2:E77=""Er. Neha Karn"")+(SCADATable!F2:F77=""Er. Er. Neha Karn""))"),"Dudhkunda(12MW)")</f>
        <v>Dudhkunda(12MW)</v>
      </c>
      <c r="C2" s="9" t="str">
        <f ca="1">IFERROR(__xludf.DUMMYFUNCTION("""COMPUTED_VALUE"""),"Mount Everest Power Development Limited")</f>
        <v>Mount Everest Power Development Limited</v>
      </c>
      <c r="D2" s="10" t="str">
        <f ca="1">IFERROR(__xludf.DUMMYFUNCTION("""COMPUTED_VALUE"""),"Powerhouse")</f>
        <v>Powerhouse</v>
      </c>
      <c r="E2" s="8" t="str">
        <f ca="1">IFERROR(__xludf.DUMMYFUNCTION("""COMPUTED_VALUE"""),"Er. Neha Karn")</f>
        <v>Er. Neha Karn</v>
      </c>
      <c r="F2" s="8"/>
      <c r="G2" s="7">
        <f ca="1">IFERROR(__xludf.DUMMYFUNCTION("""COMPUTED_VALUE"""),0)</f>
        <v>0</v>
      </c>
      <c r="H2" s="11"/>
      <c r="I2" s="11"/>
      <c r="J2" s="7" t="b">
        <f ca="1">IFERROR(__xludf.DUMMYFUNCTION("""COMPUTED_VALUE"""),TRUE)</f>
        <v>1</v>
      </c>
      <c r="K2" s="7" t="b">
        <f ca="1">IFERROR(__xludf.DUMMYFUNCTION("""COMPUTED_VALUE"""),TRUE)</f>
        <v>1</v>
      </c>
      <c r="L2" s="7" t="b">
        <f ca="1">IFERROR(__xludf.DUMMYFUNCTION("""COMPUTED_VALUE"""),TRUE)</f>
        <v>1</v>
      </c>
      <c r="M2" s="7" t="b">
        <f ca="1">IFERROR(__xludf.DUMMYFUNCTION("""COMPUTED_VALUE"""),TRUE)</f>
        <v>1</v>
      </c>
      <c r="N2" s="8" t="str">
        <f ca="1">IFERROR(__xludf.DUMMYFUNCTION("""COMPUTED_VALUE"""),"Completed")</f>
        <v>Completed</v>
      </c>
      <c r="O2" s="12">
        <f ca="1">IFERROR(__xludf.DUMMYFUNCTION("""COMPUTED_VALUE"""),2602000)</f>
        <v>2602000</v>
      </c>
      <c r="P2" s="12">
        <f ca="1">IFERROR(__xludf.DUMMYFUNCTION("""COMPUTED_VALUE"""),2641624.36548223)</f>
        <v>2641624.3654822302</v>
      </c>
      <c r="Q2" s="12">
        <f ca="1">IFERROR(__xludf.DUMMYFUNCTION("""COMPUTED_VALUE"""),39624.3654822335)</f>
        <v>39624.365482233501</v>
      </c>
      <c r="R2" s="12">
        <f ca="1">IFERROR(__xludf.DUMMYFUNCTION("""COMPUTED_VALUE"""),343411.16751269)</f>
        <v>343411.16751269001</v>
      </c>
      <c r="S2" s="13">
        <f ca="1">IFERROR(__xludf.DUMMYFUNCTION("""COMPUTED_VALUE"""),2985035.53299492)</f>
        <v>2985035.5329949199</v>
      </c>
      <c r="T2" s="11">
        <f ca="1">IFERROR(__xludf.DUMMYFUNCTION("""COMPUTED_VALUE"""),45652)</f>
        <v>45652</v>
      </c>
      <c r="U2" s="14" t="str">
        <f ca="1">IFERROR(__xludf.DUMMYFUNCTION("""COMPUTED_VALUE""")," NO ")</f>
        <v xml:space="preserve"> NO </v>
      </c>
      <c r="V2" s="11"/>
      <c r="W2" s="14" t="str">
        <f ca="1">IFERROR(__xludf.DUMMYFUNCTION("""COMPUTED_VALUE""")," NO ")</f>
        <v xml:space="preserve"> NO </v>
      </c>
    </row>
    <row r="3" spans="1:23" x14ac:dyDescent="0.25">
      <c r="A3" s="7">
        <f t="shared" ca="1" si="0"/>
        <v>2</v>
      </c>
      <c r="B3" s="8" t="str">
        <f ca="1">IFERROR(__xludf.DUMMYFUNCTION("""COMPUTED_VALUE"""),"Dordi 1(12MW)")</f>
        <v>Dordi 1(12MW)</v>
      </c>
      <c r="C3" s="9" t="str">
        <f ca="1">IFERROR(__xludf.DUMMYFUNCTION("""COMPUTED_VALUE"""),"Dordi Khola Jalavidhyut Compani Limited")</f>
        <v>Dordi Khola Jalavidhyut Compani Limited</v>
      </c>
      <c r="D3" s="10" t="str">
        <f ca="1">IFERROR(__xludf.DUMMYFUNCTION("""COMPUTED_VALUE"""),"Powerhouse")</f>
        <v>Powerhouse</v>
      </c>
      <c r="E3" s="8" t="str">
        <f ca="1">IFERROR(__xludf.DUMMYFUNCTION("""COMPUTED_VALUE"""),"Er. Neha Karn")</f>
        <v>Er. Neha Karn</v>
      </c>
      <c r="F3" s="8"/>
      <c r="G3" s="7">
        <f ca="1">IFERROR(__xludf.DUMMYFUNCTION("""COMPUTED_VALUE"""),0)</f>
        <v>0</v>
      </c>
      <c r="H3" s="11"/>
      <c r="I3" s="11"/>
      <c r="J3" s="7" t="b">
        <f ca="1">IFERROR(__xludf.DUMMYFUNCTION("""COMPUTED_VALUE"""),TRUE)</f>
        <v>1</v>
      </c>
      <c r="K3" s="7" t="b">
        <f ca="1">IFERROR(__xludf.DUMMYFUNCTION("""COMPUTED_VALUE"""),TRUE)</f>
        <v>1</v>
      </c>
      <c r="L3" s="7" t="b">
        <f ca="1">IFERROR(__xludf.DUMMYFUNCTION("""COMPUTED_VALUE"""),TRUE)</f>
        <v>1</v>
      </c>
      <c r="M3" s="7" t="b">
        <f ca="1">IFERROR(__xludf.DUMMYFUNCTION("""COMPUTED_VALUE"""),TRUE)</f>
        <v>1</v>
      </c>
      <c r="N3" s="8" t="str">
        <f ca="1">IFERROR(__xludf.DUMMYFUNCTION("""COMPUTED_VALUE"""),"Completed")</f>
        <v>Completed</v>
      </c>
      <c r="O3" s="12">
        <f ca="1">IFERROR(__xludf.DUMMYFUNCTION("""COMPUTED_VALUE"""),2602000)</f>
        <v>2602000</v>
      </c>
      <c r="P3" s="12">
        <f ca="1">IFERROR(__xludf.DUMMYFUNCTION("""COMPUTED_VALUE"""),2641624.36548223)</f>
        <v>2641624.3654822302</v>
      </c>
      <c r="Q3" s="12">
        <f ca="1">IFERROR(__xludf.DUMMYFUNCTION("""COMPUTED_VALUE"""),39624.3654822335)</f>
        <v>39624.365482233501</v>
      </c>
      <c r="R3" s="12">
        <f ca="1">IFERROR(__xludf.DUMMYFUNCTION("""COMPUTED_VALUE"""),343411.16751269)</f>
        <v>343411.16751269001</v>
      </c>
      <c r="S3" s="13">
        <f ca="1">IFERROR(__xludf.DUMMYFUNCTION("""COMPUTED_VALUE"""),2985035.53299492)</f>
        <v>2985035.5329949199</v>
      </c>
      <c r="T3" s="11">
        <f ca="1">IFERROR(__xludf.DUMMYFUNCTION("""COMPUTED_VALUE"""),45657)</f>
        <v>45657</v>
      </c>
      <c r="U3" s="14" t="str">
        <f ca="1">IFERROR(__xludf.DUMMYFUNCTION("""COMPUTED_VALUE""")," NO ")</f>
        <v xml:space="preserve"> NO </v>
      </c>
      <c r="V3" s="11"/>
      <c r="W3" s="14" t="str">
        <f ca="1">IFERROR(__xludf.DUMMYFUNCTION("""COMPUTED_VALUE""")," NO ")</f>
        <v xml:space="preserve"> NO </v>
      </c>
    </row>
    <row r="4" spans="1:23" x14ac:dyDescent="0.25">
      <c r="A4" s="7">
        <f t="shared" ca="1" si="0"/>
        <v>3</v>
      </c>
      <c r="B4" s="8" t="str">
        <f ca="1">IFERROR(__xludf.DUMMYFUNCTION("""COMPUTED_VALUE"""),"Upper Solu(19.8MW)")</f>
        <v>Upper Solu(19.8MW)</v>
      </c>
      <c r="C4" s="9" t="str">
        <f ca="1">IFERROR(__xludf.DUMMYFUNCTION("""COMPUTED_VALUE"""),"Beni Hydropower Project Limited")</f>
        <v>Beni Hydropower Project Limited</v>
      </c>
      <c r="D4" s="10" t="str">
        <f ca="1">IFERROR(__xludf.DUMMYFUNCTION("""COMPUTED_VALUE"""),"Powerhouse")</f>
        <v>Powerhouse</v>
      </c>
      <c r="E4" s="8" t="str">
        <f ca="1">IFERROR(__xludf.DUMMYFUNCTION("""COMPUTED_VALUE"""),"Er. Neha Karn")</f>
        <v>Er. Neha Karn</v>
      </c>
      <c r="F4" s="8"/>
      <c r="G4" s="7">
        <f ca="1">IFERROR(__xludf.DUMMYFUNCTION("""COMPUTED_VALUE"""),0)</f>
        <v>0</v>
      </c>
      <c r="H4" s="11"/>
      <c r="I4" s="11"/>
      <c r="J4" s="7" t="b">
        <f ca="1">IFERROR(__xludf.DUMMYFUNCTION("""COMPUTED_VALUE"""),TRUE)</f>
        <v>1</v>
      </c>
      <c r="K4" s="7" t="b">
        <f ca="1">IFERROR(__xludf.DUMMYFUNCTION("""COMPUTED_VALUE"""),TRUE)</f>
        <v>1</v>
      </c>
      <c r="L4" s="7" t="b">
        <f ca="1">IFERROR(__xludf.DUMMYFUNCTION("""COMPUTED_VALUE"""),TRUE)</f>
        <v>1</v>
      </c>
      <c r="M4" s="7" t="b">
        <f ca="1">IFERROR(__xludf.DUMMYFUNCTION("""COMPUTED_VALUE"""),TRUE)</f>
        <v>1</v>
      </c>
      <c r="N4" s="8" t="str">
        <f ca="1">IFERROR(__xludf.DUMMYFUNCTION("""COMPUTED_VALUE"""),"Completed")</f>
        <v>Completed</v>
      </c>
      <c r="O4" s="12">
        <f ca="1">IFERROR(__xludf.DUMMYFUNCTION("""COMPUTED_VALUE"""),3102000)</f>
        <v>3102000</v>
      </c>
      <c r="P4" s="12">
        <f ca="1">IFERROR(__xludf.DUMMYFUNCTION("""COMPUTED_VALUE"""),3149238.5786802)</f>
        <v>3149238.5786802</v>
      </c>
      <c r="Q4" s="12">
        <f ca="1">IFERROR(__xludf.DUMMYFUNCTION("""COMPUTED_VALUE"""),47238.578680203)</f>
        <v>47238.578680202998</v>
      </c>
      <c r="R4" s="12">
        <f ca="1">IFERROR(__xludf.DUMMYFUNCTION("""COMPUTED_VALUE"""),409401.015228426)</f>
        <v>409401.01522842603</v>
      </c>
      <c r="S4" s="13">
        <f ca="1">IFERROR(__xludf.DUMMYFUNCTION("""COMPUTED_VALUE"""),3558639.59390863)</f>
        <v>3558639.5939086298</v>
      </c>
      <c r="T4" s="11">
        <f ca="1">IFERROR(__xludf.DUMMYFUNCTION("""COMPUTED_VALUE"""),45652)</f>
        <v>45652</v>
      </c>
      <c r="U4" s="14" t="str">
        <f ca="1">IFERROR(__xludf.DUMMYFUNCTION("""COMPUTED_VALUE""")," YES ")</f>
        <v xml:space="preserve"> YES </v>
      </c>
      <c r="V4" s="11"/>
      <c r="W4" s="14" t="str">
        <f ca="1">IFERROR(__xludf.DUMMYFUNCTION("""COMPUTED_VALUE""")," NO ")</f>
        <v xml:space="preserve"> NO </v>
      </c>
    </row>
    <row r="5" spans="1:23" ht="30" x14ac:dyDescent="0.25">
      <c r="A5" s="7">
        <f t="shared" ca="1" si="0"/>
        <v>4</v>
      </c>
      <c r="B5" s="8" t="str">
        <f ca="1">IFERROR(__xludf.DUMMYFUNCTION("""COMPUTED_VALUE"""),"Tamghas 132kV")</f>
        <v>Tamghas 132kV</v>
      </c>
      <c r="C5" s="9" t="str">
        <f ca="1">IFERROR(__xludf.DUMMYFUNCTION("""COMPUTED_VALUE"""),"Burtibang Paudi Amarai Tamghas 132kV TL Project")</f>
        <v>Burtibang Paudi Amarai Tamghas 132kV TL Project</v>
      </c>
      <c r="D5" s="10" t="str">
        <f ca="1">IFERROR(__xludf.DUMMYFUNCTION("""COMPUTED_VALUE"""),"Substation")</f>
        <v>Substation</v>
      </c>
      <c r="E5" s="8" t="str">
        <f ca="1">IFERROR(__xludf.DUMMYFUNCTION("""COMPUTED_VALUE"""),"Er. Neha Karn")</f>
        <v>Er. Neha Karn</v>
      </c>
      <c r="F5" s="8" t="str">
        <f ca="1">IFERROR(__xludf.DUMMYFUNCTION("""COMPUTED_VALUE"""),"Er. Ram Sharan Timilsina")</f>
        <v>Er. Ram Sharan Timilsina</v>
      </c>
      <c r="G5" s="7">
        <f ca="1">IFERROR(__xludf.DUMMYFUNCTION("""COMPUTED_VALUE"""),0)</f>
        <v>0</v>
      </c>
      <c r="H5" s="11"/>
      <c r="I5" s="11"/>
      <c r="J5" s="7" t="b">
        <f ca="1">IFERROR(__xludf.DUMMYFUNCTION("""COMPUTED_VALUE"""),TRUE)</f>
        <v>1</v>
      </c>
      <c r="K5" s="7" t="b">
        <f ca="1">IFERROR(__xludf.DUMMYFUNCTION("""COMPUTED_VALUE"""),TRUE)</f>
        <v>1</v>
      </c>
      <c r="L5" s="7" t="b">
        <f ca="1">IFERROR(__xludf.DUMMYFUNCTION("""COMPUTED_VALUE"""),TRUE)</f>
        <v>1</v>
      </c>
      <c r="M5" s="7" t="b">
        <f ca="1">IFERROR(__xludf.DUMMYFUNCTION("""COMPUTED_VALUE"""),TRUE)</f>
        <v>1</v>
      </c>
      <c r="N5" s="8" t="str">
        <f ca="1">IFERROR(__xludf.DUMMYFUNCTION("""COMPUTED_VALUE"""),"Completed")</f>
        <v>Completed</v>
      </c>
      <c r="O5" s="12">
        <f ca="1">IFERROR(__xludf.DUMMYFUNCTION("""COMPUTED_VALUE"""),3102000)</f>
        <v>3102000</v>
      </c>
      <c r="P5" s="12">
        <f ca="1">IFERROR(__xludf.DUMMYFUNCTION("""COMPUTED_VALUE"""),3149238.5786802)</f>
        <v>3149238.5786802</v>
      </c>
      <c r="Q5" s="12">
        <f ca="1">IFERROR(__xludf.DUMMYFUNCTION("""COMPUTED_VALUE"""),47238.578680203)</f>
        <v>47238.578680202998</v>
      </c>
      <c r="R5" s="12">
        <f ca="1">IFERROR(__xludf.DUMMYFUNCTION("""COMPUTED_VALUE"""),409401.015228426)</f>
        <v>409401.01522842603</v>
      </c>
      <c r="S5" s="13">
        <f ca="1">IFERROR(__xludf.DUMMYFUNCTION("""COMPUTED_VALUE"""),3558639.59390863)</f>
        <v>3558639.5939086298</v>
      </c>
      <c r="T5" s="11">
        <f ca="1">IFERROR(__xludf.DUMMYFUNCTION("""COMPUTED_VALUE"""),45666)</f>
        <v>45666</v>
      </c>
      <c r="U5" s="14" t="str">
        <f ca="1">IFERROR(__xludf.DUMMYFUNCTION("""COMPUTED_VALUE""")," NO ")</f>
        <v xml:space="preserve"> NO </v>
      </c>
      <c r="V5" s="11"/>
      <c r="W5" s="14" t="str">
        <f ca="1">IFERROR(__xludf.DUMMYFUNCTION("""COMPUTED_VALUE""")," NO ")</f>
        <v xml:space="preserve"> NO </v>
      </c>
    </row>
    <row r="6" spans="1:23" x14ac:dyDescent="0.25">
      <c r="A6" s="7">
        <f t="shared" ca="1" si="0"/>
        <v>5</v>
      </c>
      <c r="B6" s="8" t="str">
        <f ca="1">IFERROR(__xludf.DUMMYFUNCTION("""COMPUTED_VALUE"""),"Trishuli 3B 220kV")</f>
        <v>Trishuli 3B 220kV</v>
      </c>
      <c r="C6" s="9"/>
      <c r="D6" s="10" t="str">
        <f ca="1">IFERROR(__xludf.DUMMYFUNCTION("""COMPUTED_VALUE"""),"Substation")</f>
        <v>Substation</v>
      </c>
      <c r="E6" s="8" t="str">
        <f ca="1">IFERROR(__xludf.DUMMYFUNCTION("""COMPUTED_VALUE"""),"Er. Neha Karn")</f>
        <v>Er. Neha Karn</v>
      </c>
      <c r="F6" s="8"/>
      <c r="G6" s="7">
        <f ca="1">IFERROR(__xludf.DUMMYFUNCTION("""COMPUTED_VALUE"""),0)</f>
        <v>0</v>
      </c>
      <c r="H6" s="11"/>
      <c r="I6" s="11"/>
      <c r="J6" s="7" t="b">
        <f ca="1">IFERROR(__xludf.DUMMYFUNCTION("""COMPUTED_VALUE"""),TRUE)</f>
        <v>1</v>
      </c>
      <c r="K6" s="7" t="b">
        <f ca="1">IFERROR(__xludf.DUMMYFUNCTION("""COMPUTED_VALUE"""),TRUE)</f>
        <v>1</v>
      </c>
      <c r="L6" s="7" t="b">
        <f ca="1">IFERROR(__xludf.DUMMYFUNCTION("""COMPUTED_VALUE"""),TRUE)</f>
        <v>1</v>
      </c>
      <c r="M6" s="7" t="b">
        <f ca="1">IFERROR(__xludf.DUMMYFUNCTION("""COMPUTED_VALUE"""),FALSE)</f>
        <v>0</v>
      </c>
      <c r="N6" s="8" t="str">
        <f ca="1">IFERROR(__xludf.DUMMYFUNCTION("""COMPUTED_VALUE"""),"In Progress")</f>
        <v>In Progress</v>
      </c>
      <c r="O6" s="12">
        <f ca="1">IFERROR(__xludf.DUMMYFUNCTION("""COMPUTED_VALUE"""),6352000)</f>
        <v>6352000</v>
      </c>
      <c r="P6" s="12">
        <f ca="1">IFERROR(__xludf.DUMMYFUNCTION("""COMPUTED_VALUE"""),6448730.964467)</f>
        <v>6448730.9644670002</v>
      </c>
      <c r="Q6" s="12">
        <f ca="1">IFERROR(__xludf.DUMMYFUNCTION("""COMPUTED_VALUE"""),96730.964467005)</f>
        <v>96730.964467005004</v>
      </c>
      <c r="R6" s="12">
        <f ca="1">IFERROR(__xludf.DUMMYFUNCTION("""COMPUTED_VALUE"""),838335.02538071)</f>
        <v>838335.02538071002</v>
      </c>
      <c r="S6" s="13">
        <f ca="1">IFERROR(__xludf.DUMMYFUNCTION("""COMPUTED_VALUE"""),7287065.98984771)</f>
        <v>7287065.9898477104</v>
      </c>
      <c r="T6" s="11">
        <f ca="1">IFERROR(__xludf.DUMMYFUNCTION("""COMPUTED_VALUE"""),45666)</f>
        <v>45666</v>
      </c>
      <c r="U6" s="14" t="str">
        <f ca="1">IFERROR(__xludf.DUMMYFUNCTION("""COMPUTED_VALUE""")," NO ")</f>
        <v xml:space="preserve"> NO </v>
      </c>
      <c r="V6" s="11"/>
      <c r="W6" s="14" t="str">
        <f ca="1">IFERROR(__xludf.DUMMYFUNCTION("""COMPUTED_VALUE""")," NO ")</f>
        <v xml:space="preserve"> NO </v>
      </c>
    </row>
    <row r="7" spans="1:23" x14ac:dyDescent="0.25">
      <c r="A7" s="7" t="str">
        <f t="shared" si="0"/>
        <v/>
      </c>
      <c r="B7" s="8"/>
      <c r="C7" s="9"/>
      <c r="D7" s="8"/>
      <c r="E7" s="8"/>
      <c r="F7" s="8"/>
      <c r="G7" s="7"/>
      <c r="H7" s="11"/>
      <c r="I7" s="11"/>
      <c r="J7" s="7" t="b">
        <v>0</v>
      </c>
      <c r="K7" s="7" t="b">
        <v>0</v>
      </c>
      <c r="L7" s="7" t="b">
        <v>0</v>
      </c>
      <c r="M7" s="7" t="b">
        <v>0</v>
      </c>
      <c r="N7" s="8"/>
      <c r="O7" s="12"/>
      <c r="P7" s="12"/>
      <c r="Q7" s="12"/>
      <c r="R7" s="12"/>
      <c r="S7" s="13"/>
      <c r="T7" s="11"/>
      <c r="U7" s="14"/>
      <c r="V7" s="11"/>
      <c r="W7" s="14"/>
    </row>
    <row r="8" spans="1:23" x14ac:dyDescent="0.25">
      <c r="A8" s="7" t="str">
        <f t="shared" si="0"/>
        <v/>
      </c>
      <c r="B8" s="8"/>
      <c r="C8" s="9"/>
      <c r="D8" s="8"/>
      <c r="E8" s="8"/>
      <c r="F8" s="8"/>
      <c r="G8" s="7"/>
      <c r="H8" s="11"/>
      <c r="I8" s="11"/>
      <c r="J8" s="7" t="b">
        <v>0</v>
      </c>
      <c r="K8" s="7" t="b">
        <v>0</v>
      </c>
      <c r="L8" s="7" t="b">
        <v>0</v>
      </c>
      <c r="M8" s="7" t="b">
        <v>0</v>
      </c>
      <c r="N8" s="8"/>
      <c r="O8" s="12"/>
      <c r="P8" s="12"/>
      <c r="Q8" s="12"/>
      <c r="R8" s="12"/>
      <c r="S8" s="13"/>
      <c r="T8" s="11"/>
      <c r="U8" s="14"/>
      <c r="V8" s="11"/>
      <c r="W8" s="14"/>
    </row>
    <row r="9" spans="1:23" x14ac:dyDescent="0.25">
      <c r="A9" s="7" t="str">
        <f t="shared" si="0"/>
        <v/>
      </c>
      <c r="B9" s="8"/>
      <c r="C9" s="9"/>
      <c r="D9" s="8"/>
      <c r="E9" s="8"/>
      <c r="F9" s="8"/>
      <c r="G9" s="7"/>
      <c r="H9" s="11"/>
      <c r="I9" s="11"/>
      <c r="J9" s="7" t="b">
        <v>0</v>
      </c>
      <c r="K9" s="7" t="b">
        <v>0</v>
      </c>
      <c r="L9" s="7" t="b">
        <v>0</v>
      </c>
      <c r="M9" s="7" t="b">
        <v>0</v>
      </c>
      <c r="N9" s="8"/>
      <c r="O9" s="12"/>
      <c r="P9" s="12"/>
      <c r="Q9" s="12"/>
      <c r="R9" s="12"/>
      <c r="S9" s="13"/>
      <c r="T9" s="11"/>
      <c r="U9" s="14"/>
      <c r="V9" s="11"/>
      <c r="W9" s="14"/>
    </row>
    <row r="10" spans="1:23" x14ac:dyDescent="0.25">
      <c r="A10" s="7" t="str">
        <f t="shared" si="0"/>
        <v/>
      </c>
      <c r="B10" s="8"/>
      <c r="C10" s="9"/>
      <c r="D10" s="8"/>
      <c r="E10" s="8"/>
      <c r="F10" s="8"/>
      <c r="G10" s="7"/>
      <c r="H10" s="11"/>
      <c r="I10" s="11"/>
      <c r="J10" s="7" t="b">
        <v>0</v>
      </c>
      <c r="K10" s="7" t="b">
        <v>0</v>
      </c>
      <c r="L10" s="7" t="b">
        <v>0</v>
      </c>
      <c r="M10" s="7" t="b">
        <v>0</v>
      </c>
      <c r="N10" s="8"/>
      <c r="O10" s="12"/>
      <c r="P10" s="12"/>
      <c r="Q10" s="12"/>
      <c r="R10" s="12"/>
      <c r="S10" s="12"/>
      <c r="T10" s="11"/>
      <c r="U10" s="14"/>
      <c r="V10" s="11"/>
      <c r="W10" s="14"/>
    </row>
    <row r="11" spans="1:23" x14ac:dyDescent="0.25">
      <c r="A11" s="7" t="str">
        <f t="shared" si="0"/>
        <v/>
      </c>
      <c r="B11" s="8"/>
      <c r="C11" s="9"/>
      <c r="D11" s="8"/>
      <c r="E11" s="8"/>
      <c r="F11" s="8"/>
      <c r="G11" s="7"/>
      <c r="H11" s="11"/>
      <c r="I11" s="11"/>
      <c r="J11" s="7" t="b">
        <v>0</v>
      </c>
      <c r="K11" s="7" t="b">
        <v>0</v>
      </c>
      <c r="L11" s="7" t="b">
        <v>0</v>
      </c>
      <c r="M11" s="7" t="b">
        <v>0</v>
      </c>
      <c r="N11" s="8"/>
      <c r="O11" s="12"/>
      <c r="P11" s="12"/>
      <c r="Q11" s="12"/>
      <c r="R11" s="12"/>
      <c r="S11" s="13"/>
      <c r="T11" s="11"/>
      <c r="U11" s="14"/>
      <c r="V11" s="11"/>
      <c r="W11" s="14"/>
    </row>
    <row r="12" spans="1:23" x14ac:dyDescent="0.25">
      <c r="A12" s="7" t="str">
        <f t="shared" si="0"/>
        <v/>
      </c>
      <c r="B12" s="8"/>
      <c r="C12" s="9"/>
      <c r="D12" s="8"/>
      <c r="E12" s="8"/>
      <c r="F12" s="8"/>
      <c r="G12" s="7"/>
      <c r="H12" s="11"/>
      <c r="I12" s="11"/>
      <c r="J12" s="7" t="b">
        <v>0</v>
      </c>
      <c r="K12" s="7" t="b">
        <v>0</v>
      </c>
      <c r="L12" s="7" t="b">
        <v>0</v>
      </c>
      <c r="M12" s="7" t="b">
        <v>0</v>
      </c>
      <c r="N12" s="8"/>
      <c r="O12" s="12"/>
      <c r="P12" s="12"/>
      <c r="Q12" s="12"/>
      <c r="R12" s="12"/>
      <c r="S12" s="13"/>
      <c r="T12" s="11"/>
      <c r="U12" s="14"/>
      <c r="V12" s="11"/>
      <c r="W12" s="14"/>
    </row>
    <row r="13" spans="1:23" x14ac:dyDescent="0.25">
      <c r="A13" s="7" t="str">
        <f t="shared" si="0"/>
        <v/>
      </c>
      <c r="B13" s="8"/>
      <c r="C13" s="9"/>
      <c r="D13" s="8"/>
      <c r="E13" s="8"/>
      <c r="F13" s="8"/>
      <c r="G13" s="7"/>
      <c r="H13" s="11"/>
      <c r="I13" s="11"/>
      <c r="J13" s="7" t="b">
        <v>0</v>
      </c>
      <c r="K13" s="7" t="b">
        <v>0</v>
      </c>
      <c r="L13" s="7" t="b">
        <v>0</v>
      </c>
      <c r="M13" s="7" t="b">
        <v>0</v>
      </c>
      <c r="N13" s="8"/>
      <c r="O13" s="12"/>
      <c r="P13" s="12"/>
      <c r="Q13" s="12"/>
      <c r="R13" s="12"/>
      <c r="S13" s="12"/>
      <c r="T13" s="11"/>
      <c r="U13" s="14"/>
      <c r="V13" s="11"/>
      <c r="W13" s="14"/>
    </row>
    <row r="14" spans="1:23" x14ac:dyDescent="0.25">
      <c r="A14" s="7" t="str">
        <f t="shared" si="0"/>
        <v/>
      </c>
      <c r="B14" s="8"/>
      <c r="C14" s="9"/>
      <c r="D14" s="8"/>
      <c r="E14" s="8"/>
      <c r="F14" s="8"/>
      <c r="G14" s="7"/>
      <c r="H14" s="11"/>
      <c r="I14" s="11"/>
      <c r="J14" s="7" t="b">
        <v>0</v>
      </c>
      <c r="K14" s="7" t="b">
        <v>0</v>
      </c>
      <c r="L14" s="7" t="b">
        <v>0</v>
      </c>
      <c r="M14" s="7" t="b">
        <v>0</v>
      </c>
      <c r="N14" s="8"/>
      <c r="O14" s="12"/>
      <c r="P14" s="12"/>
      <c r="Q14" s="12"/>
      <c r="R14" s="12"/>
      <c r="S14" s="12"/>
      <c r="T14" s="11"/>
      <c r="U14" s="14"/>
      <c r="V14" s="11"/>
      <c r="W14" s="14"/>
    </row>
    <row r="15" spans="1:23" x14ac:dyDescent="0.25">
      <c r="A15" s="7" t="str">
        <f t="shared" si="0"/>
        <v/>
      </c>
      <c r="B15" s="8"/>
      <c r="C15" s="9"/>
      <c r="D15" s="8"/>
      <c r="E15" s="8"/>
      <c r="F15" s="8"/>
      <c r="G15" s="7"/>
      <c r="H15" s="11"/>
      <c r="I15" s="11"/>
      <c r="J15" s="7" t="b">
        <v>0</v>
      </c>
      <c r="K15" s="7" t="b">
        <v>0</v>
      </c>
      <c r="L15" s="7" t="b">
        <v>0</v>
      </c>
      <c r="M15" s="7" t="b">
        <v>0</v>
      </c>
      <c r="N15" s="8"/>
      <c r="O15" s="12"/>
      <c r="P15" s="12"/>
      <c r="Q15" s="12"/>
      <c r="R15" s="12"/>
      <c r="S15" s="13"/>
      <c r="T15" s="11"/>
      <c r="U15" s="14"/>
      <c r="V15" s="11"/>
      <c r="W15" s="14"/>
    </row>
    <row r="16" spans="1:23" x14ac:dyDescent="0.25">
      <c r="A16" s="7" t="str">
        <f t="shared" si="0"/>
        <v/>
      </c>
      <c r="B16" s="8"/>
      <c r="C16" s="9"/>
      <c r="D16" s="8"/>
      <c r="E16" s="8"/>
      <c r="F16" s="8"/>
      <c r="G16" s="7"/>
      <c r="H16" s="11"/>
      <c r="I16" s="11"/>
      <c r="J16" s="7" t="b">
        <v>0</v>
      </c>
      <c r="K16" s="7" t="b">
        <v>0</v>
      </c>
      <c r="L16" s="7" t="b">
        <v>0</v>
      </c>
      <c r="M16" s="7" t="b">
        <v>0</v>
      </c>
      <c r="N16" s="8"/>
      <c r="O16" s="12"/>
      <c r="P16" s="12"/>
      <c r="Q16" s="12"/>
      <c r="R16" s="12"/>
      <c r="S16" s="13"/>
      <c r="T16" s="11"/>
      <c r="U16" s="14"/>
      <c r="V16" s="11"/>
      <c r="W16" s="14"/>
    </row>
    <row r="17" spans="1:23" x14ac:dyDescent="0.25">
      <c r="A17" s="7" t="str">
        <f t="shared" si="0"/>
        <v/>
      </c>
      <c r="B17" s="8"/>
      <c r="C17" s="9"/>
      <c r="D17" s="8"/>
      <c r="E17" s="8"/>
      <c r="F17" s="8"/>
      <c r="G17" s="7"/>
      <c r="H17" s="11"/>
      <c r="I17" s="11"/>
      <c r="J17" s="7" t="b">
        <v>0</v>
      </c>
      <c r="K17" s="7" t="b">
        <v>0</v>
      </c>
      <c r="L17" s="7" t="b">
        <v>0</v>
      </c>
      <c r="M17" s="7" t="b">
        <v>0</v>
      </c>
      <c r="N17" s="8"/>
      <c r="O17" s="12"/>
      <c r="P17" s="12"/>
      <c r="Q17" s="12"/>
      <c r="R17" s="12"/>
      <c r="S17" s="13"/>
      <c r="T17" s="11"/>
      <c r="U17" s="14"/>
      <c r="V17" s="11"/>
      <c r="W17" s="14"/>
    </row>
    <row r="18" spans="1:23" x14ac:dyDescent="0.25">
      <c r="A18" s="7" t="str">
        <f t="shared" si="0"/>
        <v/>
      </c>
      <c r="B18" s="8"/>
      <c r="C18" s="9"/>
      <c r="D18" s="8"/>
      <c r="E18" s="8"/>
      <c r="F18" s="8"/>
      <c r="G18" s="7"/>
      <c r="H18" s="11"/>
      <c r="I18" s="11"/>
      <c r="J18" s="7" t="b">
        <v>0</v>
      </c>
      <c r="K18" s="7" t="b">
        <v>0</v>
      </c>
      <c r="L18" s="7" t="b">
        <v>0</v>
      </c>
      <c r="M18" s="7" t="b">
        <v>0</v>
      </c>
      <c r="N18" s="8"/>
      <c r="O18" s="12"/>
      <c r="P18" s="12"/>
      <c r="Q18" s="12"/>
      <c r="R18" s="12"/>
      <c r="S18" s="12"/>
      <c r="T18" s="11"/>
      <c r="U18" s="14"/>
      <c r="V18" s="11"/>
      <c r="W18" s="14"/>
    </row>
    <row r="19" spans="1:23" x14ac:dyDescent="0.25">
      <c r="A19" s="7" t="str">
        <f t="shared" si="0"/>
        <v/>
      </c>
      <c r="B19" s="8"/>
      <c r="C19" s="9"/>
      <c r="D19" s="8"/>
      <c r="E19" s="8"/>
      <c r="F19" s="8"/>
      <c r="G19" s="7"/>
      <c r="H19" s="11"/>
      <c r="I19" s="11"/>
      <c r="J19" s="7" t="b">
        <v>0</v>
      </c>
      <c r="K19" s="7" t="b">
        <v>0</v>
      </c>
      <c r="L19" s="7" t="b">
        <v>0</v>
      </c>
      <c r="M19" s="7" t="b">
        <v>0</v>
      </c>
      <c r="N19" s="8"/>
      <c r="O19" s="12"/>
      <c r="P19" s="12"/>
      <c r="Q19" s="12"/>
      <c r="R19" s="12"/>
      <c r="S19" s="12"/>
      <c r="T19" s="11"/>
      <c r="U19" s="14"/>
      <c r="V19" s="11"/>
      <c r="W19" s="14"/>
    </row>
    <row r="20" spans="1:23" x14ac:dyDescent="0.25">
      <c r="A20" s="7" t="str">
        <f t="shared" si="0"/>
        <v/>
      </c>
      <c r="B20" s="8"/>
      <c r="C20" s="9"/>
      <c r="D20" s="8"/>
      <c r="E20" s="8"/>
      <c r="F20" s="8"/>
      <c r="G20" s="7"/>
      <c r="H20" s="11"/>
      <c r="I20" s="11"/>
      <c r="J20" s="7" t="b">
        <v>0</v>
      </c>
      <c r="K20" s="7" t="b">
        <v>0</v>
      </c>
      <c r="L20" s="7" t="b">
        <v>0</v>
      </c>
      <c r="M20" s="7" t="b">
        <v>0</v>
      </c>
      <c r="N20" s="8"/>
      <c r="O20" s="12"/>
      <c r="P20" s="12"/>
      <c r="Q20" s="12"/>
      <c r="R20" s="12"/>
      <c r="S20" s="12"/>
      <c r="T20" s="11"/>
      <c r="U20" s="14"/>
      <c r="V20" s="11"/>
      <c r="W20" s="14"/>
    </row>
    <row r="21" spans="1:23" ht="15.75" customHeight="1" x14ac:dyDescent="0.25">
      <c r="A21" s="7" t="str">
        <f t="shared" si="0"/>
        <v/>
      </c>
      <c r="B21" s="8"/>
      <c r="C21" s="9"/>
      <c r="D21" s="8"/>
      <c r="E21" s="8"/>
      <c r="F21" s="8"/>
      <c r="G21" s="7"/>
      <c r="H21" s="11"/>
      <c r="I21" s="11"/>
      <c r="J21" s="7" t="b">
        <v>0</v>
      </c>
      <c r="K21" s="7" t="b">
        <v>0</v>
      </c>
      <c r="L21" s="7" t="b">
        <v>0</v>
      </c>
      <c r="M21" s="7" t="b">
        <v>0</v>
      </c>
      <c r="N21" s="8"/>
      <c r="O21" s="12"/>
      <c r="P21" s="12"/>
      <c r="Q21" s="12"/>
      <c r="R21" s="12"/>
      <c r="S21" s="13"/>
      <c r="T21" s="11"/>
      <c r="U21" s="14"/>
      <c r="V21" s="11"/>
      <c r="W21" s="14"/>
    </row>
    <row r="22" spans="1:23" ht="15.75" customHeight="1" x14ac:dyDescent="0.25">
      <c r="A22" s="7" t="str">
        <f t="shared" si="0"/>
        <v/>
      </c>
      <c r="B22" s="8"/>
      <c r="C22" s="9"/>
      <c r="D22" s="8"/>
      <c r="E22" s="8"/>
      <c r="F22" s="8"/>
      <c r="G22" s="7"/>
      <c r="H22" s="11"/>
      <c r="I22" s="11"/>
      <c r="J22" s="7" t="b">
        <v>0</v>
      </c>
      <c r="K22" s="7" t="b">
        <v>0</v>
      </c>
      <c r="L22" s="7" t="b">
        <v>0</v>
      </c>
      <c r="M22" s="7" t="b">
        <v>0</v>
      </c>
      <c r="N22" s="8"/>
      <c r="O22" s="12"/>
      <c r="P22" s="12"/>
      <c r="Q22" s="12"/>
      <c r="R22" s="12"/>
      <c r="S22" s="12"/>
      <c r="T22" s="11"/>
      <c r="U22" s="14"/>
      <c r="V22" s="11"/>
      <c r="W22" s="14"/>
    </row>
    <row r="23" spans="1:23" ht="15.75" customHeight="1" x14ac:dyDescent="0.25">
      <c r="A23" s="7" t="str">
        <f t="shared" si="0"/>
        <v/>
      </c>
      <c r="B23" s="8"/>
      <c r="C23" s="9"/>
      <c r="D23" s="8"/>
      <c r="E23" s="8"/>
      <c r="F23" s="8"/>
      <c r="G23" s="7"/>
      <c r="H23" s="11"/>
      <c r="I23" s="11"/>
      <c r="J23" s="7" t="b">
        <v>0</v>
      </c>
      <c r="K23" s="7" t="b">
        <v>0</v>
      </c>
      <c r="L23" s="7" t="b">
        <v>0</v>
      </c>
      <c r="M23" s="7" t="b">
        <v>0</v>
      </c>
      <c r="N23" s="8"/>
      <c r="O23" s="12"/>
      <c r="P23" s="12"/>
      <c r="Q23" s="12"/>
      <c r="R23" s="12"/>
      <c r="S23" s="13"/>
      <c r="T23" s="11"/>
      <c r="U23" s="14"/>
      <c r="V23" s="11"/>
      <c r="W23" s="14"/>
    </row>
    <row r="24" spans="1:23" ht="15.75" customHeight="1" x14ac:dyDescent="0.25">
      <c r="A24" s="7" t="str">
        <f t="shared" si="0"/>
        <v/>
      </c>
      <c r="B24" s="8"/>
      <c r="C24" s="9"/>
      <c r="D24" s="8"/>
      <c r="E24" s="8"/>
      <c r="F24" s="8"/>
      <c r="G24" s="7"/>
      <c r="H24" s="11"/>
      <c r="I24" s="11"/>
      <c r="J24" s="7" t="b">
        <v>0</v>
      </c>
      <c r="K24" s="7" t="b">
        <v>0</v>
      </c>
      <c r="L24" s="7" t="b">
        <v>0</v>
      </c>
      <c r="M24" s="7" t="b">
        <v>0</v>
      </c>
      <c r="N24" s="8"/>
      <c r="O24" s="12"/>
      <c r="P24" s="12"/>
      <c r="Q24" s="12"/>
      <c r="R24" s="12"/>
      <c r="S24" s="13"/>
      <c r="T24" s="11"/>
      <c r="U24" s="14"/>
      <c r="V24" s="11"/>
      <c r="W24" s="14"/>
    </row>
    <row r="25" spans="1:23" ht="15.75" customHeight="1" x14ac:dyDescent="0.25">
      <c r="A25" s="7" t="str">
        <f t="shared" si="0"/>
        <v/>
      </c>
      <c r="B25" s="8"/>
      <c r="C25" s="9"/>
      <c r="D25" s="8"/>
      <c r="E25" s="8"/>
      <c r="F25" s="8"/>
      <c r="G25" s="7"/>
      <c r="H25" s="11"/>
      <c r="I25" s="11"/>
      <c r="J25" s="7" t="b">
        <v>0</v>
      </c>
      <c r="K25" s="7" t="b">
        <v>0</v>
      </c>
      <c r="L25" s="7" t="b">
        <v>0</v>
      </c>
      <c r="M25" s="7" t="b">
        <v>0</v>
      </c>
      <c r="N25" s="8"/>
      <c r="O25" s="12"/>
      <c r="P25" s="12"/>
      <c r="Q25" s="12"/>
      <c r="R25" s="12"/>
      <c r="S25" s="12"/>
      <c r="T25" s="11"/>
      <c r="U25" s="14"/>
      <c r="V25" s="11"/>
      <c r="W25" s="14"/>
    </row>
    <row r="26" spans="1:23" ht="15.75" customHeight="1" x14ac:dyDescent="0.25">
      <c r="A26" s="7" t="str">
        <f t="shared" si="0"/>
        <v/>
      </c>
      <c r="B26" s="8"/>
      <c r="C26" s="9"/>
      <c r="D26" s="8"/>
      <c r="E26" s="8"/>
      <c r="F26" s="8"/>
      <c r="G26" s="7"/>
      <c r="H26" s="11"/>
      <c r="I26" s="11"/>
      <c r="J26" s="7" t="b">
        <v>0</v>
      </c>
      <c r="K26" s="7" t="b">
        <v>0</v>
      </c>
      <c r="L26" s="7" t="b">
        <v>0</v>
      </c>
      <c r="M26" s="7" t="b">
        <v>0</v>
      </c>
      <c r="N26" s="8"/>
      <c r="O26" s="12"/>
      <c r="P26" s="12"/>
      <c r="Q26" s="12"/>
      <c r="R26" s="12"/>
      <c r="S26" s="12"/>
      <c r="T26" s="11"/>
      <c r="U26" s="14"/>
      <c r="V26" s="11"/>
      <c r="W26" s="14"/>
    </row>
    <row r="27" spans="1:23" ht="15.75" customHeight="1" x14ac:dyDescent="0.25">
      <c r="A27" s="7" t="str">
        <f t="shared" si="0"/>
        <v/>
      </c>
      <c r="B27" s="8"/>
      <c r="C27" s="9"/>
      <c r="D27" s="8"/>
      <c r="E27" s="8"/>
      <c r="F27" s="8"/>
      <c r="G27" s="7"/>
      <c r="H27" s="11"/>
      <c r="I27" s="11"/>
      <c r="J27" s="7" t="b">
        <v>0</v>
      </c>
      <c r="K27" s="7" t="b">
        <v>0</v>
      </c>
      <c r="L27" s="7" t="b">
        <v>0</v>
      </c>
      <c r="M27" s="7" t="b">
        <v>0</v>
      </c>
      <c r="N27" s="8"/>
      <c r="O27" s="12"/>
      <c r="P27" s="12"/>
      <c r="Q27" s="12"/>
      <c r="R27" s="12"/>
      <c r="S27" s="12"/>
      <c r="T27" s="11"/>
      <c r="U27" s="14"/>
      <c r="V27" s="11"/>
      <c r="W27" s="14"/>
    </row>
    <row r="28" spans="1:23" ht="15.75" customHeight="1" x14ac:dyDescent="0.25">
      <c r="A28" s="7" t="str">
        <f t="shared" si="0"/>
        <v/>
      </c>
      <c r="B28" s="8"/>
      <c r="C28" s="9"/>
      <c r="D28" s="8"/>
      <c r="E28" s="8"/>
      <c r="F28" s="8"/>
      <c r="G28" s="7"/>
      <c r="H28" s="11"/>
      <c r="I28" s="11"/>
      <c r="J28" s="7" t="b">
        <v>0</v>
      </c>
      <c r="K28" s="7" t="b">
        <v>0</v>
      </c>
      <c r="L28" s="7" t="b">
        <v>0</v>
      </c>
      <c r="M28" s="7" t="b">
        <v>0</v>
      </c>
      <c r="N28" s="8"/>
      <c r="O28" s="12"/>
      <c r="P28" s="12"/>
      <c r="Q28" s="12"/>
      <c r="R28" s="12"/>
      <c r="S28" s="13"/>
      <c r="T28" s="11"/>
      <c r="U28" s="14"/>
      <c r="V28" s="11"/>
      <c r="W28" s="14"/>
    </row>
    <row r="29" spans="1:23" ht="15.75" customHeight="1" x14ac:dyDescent="0.25">
      <c r="A29" s="7" t="str">
        <f t="shared" si="0"/>
        <v/>
      </c>
      <c r="B29" s="8"/>
      <c r="C29" s="9"/>
      <c r="D29" s="8"/>
      <c r="E29" s="8"/>
      <c r="F29" s="8"/>
      <c r="G29" s="7"/>
      <c r="H29" s="11"/>
      <c r="I29" s="11"/>
      <c r="J29" s="7" t="b">
        <v>0</v>
      </c>
      <c r="K29" s="7" t="b">
        <v>0</v>
      </c>
      <c r="L29" s="7" t="b">
        <v>0</v>
      </c>
      <c r="M29" s="7" t="b">
        <v>0</v>
      </c>
      <c r="N29" s="8"/>
      <c r="O29" s="12"/>
      <c r="P29" s="12"/>
      <c r="Q29" s="12"/>
      <c r="R29" s="12"/>
      <c r="S29" s="13"/>
      <c r="T29" s="11"/>
      <c r="U29" s="14"/>
      <c r="V29" s="11"/>
      <c r="W29" s="14"/>
    </row>
    <row r="30" spans="1:23" ht="15.75" customHeight="1" x14ac:dyDescent="0.25"/>
    <row r="31" spans="1:23" ht="15.75" customHeight="1" x14ac:dyDescent="0.25"/>
    <row r="32" spans="1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N1:N29">
    <cfRule type="cellIs" dxfId="7" priority="1" operator="equal">
      <formula>"Completed"</formula>
    </cfRule>
  </conditionalFormatting>
  <conditionalFormatting sqref="N2:N29">
    <cfRule type="expression" dxfId="6" priority="2">
      <formula>"N2=""Completed"""</formula>
    </cfRule>
  </conditionalFormatting>
  <conditionalFormatting sqref="S2">
    <cfRule type="expression" dxfId="5" priority="3">
      <formula>"$T2=""YES"""</formula>
    </cfRule>
  </conditionalFormatting>
  <conditionalFormatting sqref="S2:S29">
    <cfRule type="expression" dxfId="4" priority="4">
      <formula>$U2="YES"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3" customWidth="1"/>
    <col min="2" max="2" width="31.28515625" customWidth="1"/>
    <col min="3" max="3" width="35.7109375" customWidth="1"/>
    <col min="4" max="4" width="12.140625" customWidth="1"/>
    <col min="5" max="6" width="22.85546875" customWidth="1"/>
    <col min="7" max="7" width="4.140625" hidden="1" customWidth="1"/>
    <col min="8" max="9" width="10.42578125" hidden="1" customWidth="1"/>
    <col min="10" max="10" width="5.5703125" customWidth="1"/>
    <col min="11" max="11" width="5.85546875" customWidth="1"/>
    <col min="12" max="13" width="5.5703125" customWidth="1"/>
    <col min="14" max="14" width="10.85546875" customWidth="1"/>
    <col min="15" max="16" width="13.28515625" customWidth="1"/>
    <col min="17" max="17" width="11.140625" customWidth="1"/>
    <col min="18" max="18" width="12.140625" customWidth="1"/>
    <col min="19" max="19" width="14.85546875" customWidth="1"/>
    <col min="20" max="20" width="10.42578125" customWidth="1"/>
    <col min="21" max="21" width="8.5703125" customWidth="1"/>
    <col min="22" max="22" width="10.42578125" customWidth="1"/>
    <col min="23" max="23" width="7.7109375" customWidth="1"/>
    <col min="24" max="26" width="8.7109375" customWidth="1"/>
  </cols>
  <sheetData>
    <row r="1" spans="1:23" ht="60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1" t="s">
        <v>21</v>
      </c>
      <c r="W1" s="30" t="s">
        <v>22</v>
      </c>
    </row>
    <row r="2" spans="1:23" x14ac:dyDescent="0.25">
      <c r="A2" s="7">
        <f t="shared" ref="A2:A50" ca="1" si="0">IF(B2&lt;&gt;"",0+COUNTA($B$2:B2),"")</f>
        <v>1</v>
      </c>
      <c r="B2" s="8" t="str">
        <f ca="1">IFERROR(__xludf.DUMMYFUNCTION("FILTER(SCADATable!B2:W77,(SCADATable!E2:E77=""Er. Ram Sharan Timilsina"")+(SCADATable!F2:F77=""Er. Ram Sharan Timilsina""))"),"Middle Modi(18MW)")</f>
        <v>Middle Modi(18MW)</v>
      </c>
      <c r="C2" s="9" t="str">
        <f ca="1">IFERROR(__xludf.DUMMYFUNCTION("""COMPUTED_VALUE"""),"Middle Modi Hydropower Limited")</f>
        <v>Middle Modi Hydropower Limited</v>
      </c>
      <c r="D2" s="10" t="str">
        <f ca="1">IFERROR(__xludf.DUMMYFUNCTION("""COMPUTED_VALUE"""),"Powerhouse")</f>
        <v>Powerhouse</v>
      </c>
      <c r="E2" s="8" t="str">
        <f ca="1">IFERROR(__xludf.DUMMYFUNCTION("""COMPUTED_VALUE"""),"Er. Ram Sharan Timilsina")</f>
        <v>Er. Ram Sharan Timilsina</v>
      </c>
      <c r="F2" s="8" t="str">
        <f ca="1">IFERROR(__xludf.DUMMYFUNCTION("""COMPUTED_VALUE"""),"Er. Sumit Sah")</f>
        <v>Er. Sumit Sah</v>
      </c>
      <c r="G2" s="7">
        <f ca="1">IFERROR(__xludf.DUMMYFUNCTION("""COMPUTED_VALUE"""),0)</f>
        <v>0</v>
      </c>
      <c r="H2" s="11"/>
      <c r="I2" s="11">
        <f ca="1">IFERROR(__xludf.DUMMYFUNCTION("""COMPUTED_VALUE"""),45407)</f>
        <v>45407</v>
      </c>
      <c r="J2" s="7" t="b">
        <f ca="1">IFERROR(__xludf.DUMMYFUNCTION("""COMPUTED_VALUE"""),TRUE)</f>
        <v>1</v>
      </c>
      <c r="K2" s="7" t="b">
        <f ca="1">IFERROR(__xludf.DUMMYFUNCTION("""COMPUTED_VALUE"""),TRUE)</f>
        <v>1</v>
      </c>
      <c r="L2" s="7" t="b">
        <f ca="1">IFERROR(__xludf.DUMMYFUNCTION("""COMPUTED_VALUE"""),TRUE)</f>
        <v>1</v>
      </c>
      <c r="M2" s="7" t="b">
        <f ca="1">IFERROR(__xludf.DUMMYFUNCTION("""COMPUTED_VALUE"""),TRUE)</f>
        <v>1</v>
      </c>
      <c r="N2" s="8" t="str">
        <f ca="1">IFERROR(__xludf.DUMMYFUNCTION("""COMPUTED_VALUE"""),"Completed")</f>
        <v>Completed</v>
      </c>
      <c r="O2" s="12">
        <f ca="1">IFERROR(__xludf.DUMMYFUNCTION("""COMPUTED_VALUE"""),2602000)</f>
        <v>2602000</v>
      </c>
      <c r="P2" s="12">
        <f ca="1">IFERROR(__xludf.DUMMYFUNCTION("""COMPUTED_VALUE"""),2641624.36548223)</f>
        <v>2641624.3654822302</v>
      </c>
      <c r="Q2" s="12">
        <f ca="1">IFERROR(__xludf.DUMMYFUNCTION("""COMPUTED_VALUE"""),39624.3654822335)</f>
        <v>39624.365482233501</v>
      </c>
      <c r="R2" s="12">
        <f ca="1">IFERROR(__xludf.DUMMYFUNCTION("""COMPUTED_VALUE"""),343411.16751269)</f>
        <v>343411.16751269001</v>
      </c>
      <c r="S2" s="13">
        <f ca="1">IFERROR(__xludf.DUMMYFUNCTION("""COMPUTED_VALUE"""),2985035.53299492)</f>
        <v>2985035.5329949199</v>
      </c>
      <c r="T2" s="11">
        <f ca="1">IFERROR(__xludf.DUMMYFUNCTION("""COMPUTED_VALUE"""),45659)</f>
        <v>45659</v>
      </c>
      <c r="U2" s="14" t="str">
        <f ca="1">IFERROR(__xludf.DUMMYFUNCTION("""COMPUTED_VALUE""")," NO ")</f>
        <v xml:space="preserve"> NO </v>
      </c>
      <c r="V2" s="11"/>
      <c r="W2" s="14" t="str">
        <f ca="1">IFERROR(__xludf.DUMMYFUNCTION("""COMPUTED_VALUE""")," NO ")</f>
        <v xml:space="preserve"> NO </v>
      </c>
    </row>
    <row r="3" spans="1:23" x14ac:dyDescent="0.25">
      <c r="A3" s="7">
        <f t="shared" ca="1" si="0"/>
        <v>2</v>
      </c>
      <c r="B3" s="8" t="str">
        <f ca="1">IFERROR(__xludf.DUMMYFUNCTION("""COMPUTED_VALUE"""),"Ghar Khola (14 MW)")</f>
        <v>Ghar Khola (14 MW)</v>
      </c>
      <c r="C3" s="9" t="str">
        <f ca="1">IFERROR(__xludf.DUMMYFUNCTION("""COMPUTED_VALUE"""),"Myagdi Hydropower Limited")</f>
        <v>Myagdi Hydropower Limited</v>
      </c>
      <c r="D3" s="10" t="str">
        <f ca="1">IFERROR(__xludf.DUMMYFUNCTION("""COMPUTED_VALUE"""),"Powerhouse")</f>
        <v>Powerhouse</v>
      </c>
      <c r="E3" s="8" t="str">
        <f ca="1">IFERROR(__xludf.DUMMYFUNCTION("""COMPUTED_VALUE"""),"Er. Ram Sharan Timilsina")</f>
        <v>Er. Ram Sharan Timilsina</v>
      </c>
      <c r="F3" s="8"/>
      <c r="G3" s="7">
        <f ca="1">IFERROR(__xludf.DUMMYFUNCTION("""COMPUTED_VALUE"""),0)</f>
        <v>0</v>
      </c>
      <c r="H3" s="11"/>
      <c r="I3" s="11">
        <f ca="1">IFERROR(__xludf.DUMMYFUNCTION("""COMPUTED_VALUE"""),45446)</f>
        <v>45446</v>
      </c>
      <c r="J3" s="7" t="b">
        <f ca="1">IFERROR(__xludf.DUMMYFUNCTION("""COMPUTED_VALUE"""),TRUE)</f>
        <v>1</v>
      </c>
      <c r="K3" s="7" t="b">
        <f ca="1">IFERROR(__xludf.DUMMYFUNCTION("""COMPUTED_VALUE"""),TRUE)</f>
        <v>1</v>
      </c>
      <c r="L3" s="7" t="b">
        <f ca="1">IFERROR(__xludf.DUMMYFUNCTION("""COMPUTED_VALUE"""),TRUE)</f>
        <v>1</v>
      </c>
      <c r="M3" s="7" t="b">
        <f ca="1">IFERROR(__xludf.DUMMYFUNCTION("""COMPUTED_VALUE"""),TRUE)</f>
        <v>1</v>
      </c>
      <c r="N3" s="8" t="str">
        <f ca="1">IFERROR(__xludf.DUMMYFUNCTION("""COMPUTED_VALUE"""),"Completed")</f>
        <v>Completed</v>
      </c>
      <c r="O3" s="12">
        <f ca="1">IFERROR(__xludf.DUMMYFUNCTION("""COMPUTED_VALUE"""),2852000)</f>
        <v>2852000</v>
      </c>
      <c r="P3" s="12">
        <f ca="1">IFERROR(__xludf.DUMMYFUNCTION("""COMPUTED_VALUE"""),2895431.47208121)</f>
        <v>2895431.47208121</v>
      </c>
      <c r="Q3" s="12">
        <f ca="1">IFERROR(__xludf.DUMMYFUNCTION("""COMPUTED_VALUE"""),43431.4720812182)</f>
        <v>43431.472081218199</v>
      </c>
      <c r="R3" s="12">
        <f ca="1">IFERROR(__xludf.DUMMYFUNCTION("""COMPUTED_VALUE"""),376406.091370558)</f>
        <v>376406.09137055802</v>
      </c>
      <c r="S3" s="13">
        <f ca="1">IFERROR(__xludf.DUMMYFUNCTION("""COMPUTED_VALUE"""),3271837.56345177)</f>
        <v>3271837.5634517702</v>
      </c>
      <c r="T3" s="11">
        <f ca="1">IFERROR(__xludf.DUMMYFUNCTION("""COMPUTED_VALUE"""),45652)</f>
        <v>45652</v>
      </c>
      <c r="U3" s="14" t="str">
        <f ca="1">IFERROR(__xludf.DUMMYFUNCTION("""COMPUTED_VALUE""")," YES ")</f>
        <v xml:space="preserve"> YES </v>
      </c>
      <c r="V3" s="11">
        <f ca="1">IFERROR(__xludf.DUMMYFUNCTION("""COMPUTED_VALUE"""),45695)</f>
        <v>45695</v>
      </c>
      <c r="W3" s="14" t="str">
        <f ca="1">IFERROR(__xludf.DUMMYFUNCTION("""COMPUTED_VALUE""")," NO ")</f>
        <v xml:space="preserve"> NO </v>
      </c>
    </row>
    <row r="4" spans="1:23" x14ac:dyDescent="0.25">
      <c r="A4" s="7">
        <f t="shared" ca="1" si="0"/>
        <v>3</v>
      </c>
      <c r="B4" s="8" t="str">
        <f ca="1">IFERROR(__xludf.DUMMYFUNCTION("""COMPUTED_VALUE"""),"Upper Chameliya (40MW)")</f>
        <v>Upper Chameliya (40MW)</v>
      </c>
      <c r="C4" s="9" t="str">
        <f ca="1">IFERROR(__xludf.DUMMYFUNCTION("""COMPUTED_VALUE"""),"Api Chameliya Power Limited")</f>
        <v>Api Chameliya Power Limited</v>
      </c>
      <c r="D4" s="10" t="str">
        <f ca="1">IFERROR(__xludf.DUMMYFUNCTION("""COMPUTED_VALUE"""),"Powerhouse")</f>
        <v>Powerhouse</v>
      </c>
      <c r="E4" s="8" t="str">
        <f ca="1">IFERROR(__xludf.DUMMYFUNCTION("""COMPUTED_VALUE"""),"Er. Ram Sharan Timilsina")</f>
        <v>Er. Ram Sharan Timilsina</v>
      </c>
      <c r="F4" s="8" t="str">
        <f ca="1">IFERROR(__xludf.DUMMYFUNCTION("""COMPUTED_VALUE"""),"Er. Sumit Sah")</f>
        <v>Er. Sumit Sah</v>
      </c>
      <c r="G4" s="7">
        <f ca="1">IFERROR(__xludf.DUMMYFUNCTION("""COMPUTED_VALUE"""),0)</f>
        <v>0</v>
      </c>
      <c r="H4" s="11"/>
      <c r="I4" s="11"/>
      <c r="J4" s="7" t="b">
        <f ca="1">IFERROR(__xludf.DUMMYFUNCTION("""COMPUTED_VALUE"""),TRUE)</f>
        <v>1</v>
      </c>
      <c r="K4" s="7" t="b">
        <f ca="1">IFERROR(__xludf.DUMMYFUNCTION("""COMPUTED_VALUE"""),TRUE)</f>
        <v>1</v>
      </c>
      <c r="L4" s="7" t="b">
        <f ca="1">IFERROR(__xludf.DUMMYFUNCTION("""COMPUTED_VALUE"""),TRUE)</f>
        <v>1</v>
      </c>
      <c r="M4" s="7" t="b">
        <f ca="1">IFERROR(__xludf.DUMMYFUNCTION("""COMPUTED_VALUE"""),TRUE)</f>
        <v>1</v>
      </c>
      <c r="N4" s="8" t="str">
        <f ca="1">IFERROR(__xludf.DUMMYFUNCTION("""COMPUTED_VALUE"""),"Completed")</f>
        <v>Completed</v>
      </c>
      <c r="O4" s="12">
        <f ca="1">IFERROR(__xludf.DUMMYFUNCTION("""COMPUTED_VALUE"""),2602000)</f>
        <v>2602000</v>
      </c>
      <c r="P4" s="12">
        <f ca="1">IFERROR(__xludf.DUMMYFUNCTION("""COMPUTED_VALUE"""),2641624.36548223)</f>
        <v>2641624.3654822302</v>
      </c>
      <c r="Q4" s="12">
        <f ca="1">IFERROR(__xludf.DUMMYFUNCTION("""COMPUTED_VALUE"""),39624.3654822335)</f>
        <v>39624.365482233501</v>
      </c>
      <c r="R4" s="12">
        <f ca="1">IFERROR(__xludf.DUMMYFUNCTION("""COMPUTED_VALUE"""),343411.16751269)</f>
        <v>343411.16751269001</v>
      </c>
      <c r="S4" s="13">
        <f ca="1">IFERROR(__xludf.DUMMYFUNCTION("""COMPUTED_VALUE"""),2985035.53299492)</f>
        <v>2985035.5329949199</v>
      </c>
      <c r="T4" s="11">
        <f ca="1">IFERROR(__xludf.DUMMYFUNCTION("""COMPUTED_VALUE"""),45650)</f>
        <v>45650</v>
      </c>
      <c r="U4" s="14" t="str">
        <f ca="1">IFERROR(__xludf.DUMMYFUNCTION("""COMPUTED_VALUE""")," YES ")</f>
        <v xml:space="preserve"> YES </v>
      </c>
      <c r="V4" s="11">
        <f ca="1">IFERROR(__xludf.DUMMYFUNCTION("""COMPUTED_VALUE"""),45691)</f>
        <v>45691</v>
      </c>
      <c r="W4" s="14" t="str">
        <f ca="1">IFERROR(__xludf.DUMMYFUNCTION("""COMPUTED_VALUE""")," NO ")</f>
        <v xml:space="preserve"> NO </v>
      </c>
    </row>
    <row r="5" spans="1:23" x14ac:dyDescent="0.25">
      <c r="A5" s="7">
        <f t="shared" ca="1" si="0"/>
        <v>4</v>
      </c>
      <c r="B5" s="8" t="str">
        <f ca="1">IFERROR(__xludf.DUMMYFUNCTION("""COMPUTED_VALUE"""),"Upper Tamakoshi(456MW)")</f>
        <v>Upper Tamakoshi(456MW)</v>
      </c>
      <c r="C5" s="9" t="str">
        <f ca="1">IFERROR(__xludf.DUMMYFUNCTION("""COMPUTED_VALUE"""),"Upper Tamakoshi Hydropower Limited")</f>
        <v>Upper Tamakoshi Hydropower Limited</v>
      </c>
      <c r="D5" s="10" t="str">
        <f ca="1">IFERROR(__xludf.DUMMYFUNCTION("""COMPUTED_VALUE"""),"Powerhouse")</f>
        <v>Powerhouse</v>
      </c>
      <c r="E5" s="8" t="str">
        <f ca="1">IFERROR(__xludf.DUMMYFUNCTION("""COMPUTED_VALUE"""),"Er. Ram Sharan Timilsina")</f>
        <v>Er. Ram Sharan Timilsina</v>
      </c>
      <c r="F5" s="8" t="str">
        <f ca="1">IFERROR(__xludf.DUMMYFUNCTION("""COMPUTED_VALUE"""),"Er. Sumit Sah")</f>
        <v>Er. Sumit Sah</v>
      </c>
      <c r="G5" s="7">
        <f ca="1">IFERROR(__xludf.DUMMYFUNCTION("""COMPUTED_VALUE"""),0)</f>
        <v>0</v>
      </c>
      <c r="H5" s="11"/>
      <c r="I5" s="11"/>
      <c r="J5" s="7" t="b">
        <f ca="1">IFERROR(__xludf.DUMMYFUNCTION("""COMPUTED_VALUE"""),TRUE)</f>
        <v>1</v>
      </c>
      <c r="K5" s="7" t="b">
        <f ca="1">IFERROR(__xludf.DUMMYFUNCTION("""COMPUTED_VALUE"""),TRUE)</f>
        <v>1</v>
      </c>
      <c r="L5" s="7" t="b">
        <f ca="1">IFERROR(__xludf.DUMMYFUNCTION("""COMPUTED_VALUE"""),TRUE)</f>
        <v>1</v>
      </c>
      <c r="M5" s="7" t="b">
        <f ca="1">IFERROR(__xludf.DUMMYFUNCTION("""COMPUTED_VALUE"""),TRUE)</f>
        <v>1</v>
      </c>
      <c r="N5" s="8" t="str">
        <f ca="1">IFERROR(__xludf.DUMMYFUNCTION("""COMPUTED_VALUE"""),"Completed")</f>
        <v>Completed</v>
      </c>
      <c r="O5" s="12">
        <f ca="1">IFERROR(__xludf.DUMMYFUNCTION("""COMPUTED_VALUE"""),5352000)</f>
        <v>5352000</v>
      </c>
      <c r="P5" s="12">
        <f ca="1">IFERROR(__xludf.DUMMYFUNCTION("""COMPUTED_VALUE"""),5433502.53807106)</f>
        <v>5433502.5380710596</v>
      </c>
      <c r="Q5" s="12">
        <f ca="1">IFERROR(__xludf.DUMMYFUNCTION("""COMPUTED_VALUE"""),81502.538071066)</f>
        <v>81502.538071065996</v>
      </c>
      <c r="R5" s="12">
        <f ca="1">IFERROR(__xludf.DUMMYFUNCTION("""COMPUTED_VALUE"""),706355.329949238)</f>
        <v>706355.32994923799</v>
      </c>
      <c r="S5" s="13">
        <f ca="1">IFERROR(__xludf.DUMMYFUNCTION("""COMPUTED_VALUE"""),6139857.8680203)</f>
        <v>6139857.8680202998</v>
      </c>
      <c r="T5" s="11">
        <f ca="1">IFERROR(__xludf.DUMMYFUNCTION("""COMPUTED_VALUE"""),45659)</f>
        <v>45659</v>
      </c>
      <c r="U5" s="14" t="str">
        <f ca="1">IFERROR(__xludf.DUMMYFUNCTION("""COMPUTED_VALUE""")," NO ")</f>
        <v xml:space="preserve"> NO </v>
      </c>
      <c r="V5" s="11"/>
      <c r="W5" s="14" t="str">
        <f ca="1">IFERROR(__xludf.DUMMYFUNCTION("""COMPUTED_VALUE""")," NO ")</f>
        <v xml:space="preserve"> NO </v>
      </c>
    </row>
    <row r="6" spans="1:23" x14ac:dyDescent="0.25">
      <c r="A6" s="7">
        <f t="shared" ca="1" si="0"/>
        <v>5</v>
      </c>
      <c r="B6" s="8" t="str">
        <f ca="1">IFERROR(__xludf.DUMMYFUNCTION("""COMPUTED_VALUE"""),"Lower Modi (20MW)")</f>
        <v>Lower Modi (20MW)</v>
      </c>
      <c r="C6" s="9" t="str">
        <f ca="1">IFERROR(__xludf.DUMMYFUNCTION("""COMPUTED_VALUE"""),"Modi Energy Limited")</f>
        <v>Modi Energy Limited</v>
      </c>
      <c r="D6" s="10" t="str">
        <f ca="1">IFERROR(__xludf.DUMMYFUNCTION("""COMPUTED_VALUE"""),"Powerhouse")</f>
        <v>Powerhouse</v>
      </c>
      <c r="E6" s="8" t="str">
        <f ca="1">IFERROR(__xludf.DUMMYFUNCTION("""COMPUTED_VALUE"""),"Er. Ram Sharan Timilsina")</f>
        <v>Er. Ram Sharan Timilsina</v>
      </c>
      <c r="F6" s="8" t="str">
        <f ca="1">IFERROR(__xludf.DUMMYFUNCTION("""COMPUTED_VALUE"""),"Er. Sumit Sah")</f>
        <v>Er. Sumit Sah</v>
      </c>
      <c r="G6" s="7">
        <f ca="1">IFERROR(__xludf.DUMMYFUNCTION("""COMPUTED_VALUE"""),0)</f>
        <v>0</v>
      </c>
      <c r="H6" s="11"/>
      <c r="I6" s="11">
        <f ca="1">IFERROR(__xludf.DUMMYFUNCTION("""COMPUTED_VALUE"""),45421)</f>
        <v>45421</v>
      </c>
      <c r="J6" s="7" t="b">
        <f ca="1">IFERROR(__xludf.DUMMYFUNCTION("""COMPUTED_VALUE"""),TRUE)</f>
        <v>1</v>
      </c>
      <c r="K6" s="7" t="b">
        <f ca="1">IFERROR(__xludf.DUMMYFUNCTION("""COMPUTED_VALUE"""),TRUE)</f>
        <v>1</v>
      </c>
      <c r="L6" s="7" t="b">
        <f ca="1">IFERROR(__xludf.DUMMYFUNCTION("""COMPUTED_VALUE"""),TRUE)</f>
        <v>1</v>
      </c>
      <c r="M6" s="7" t="b">
        <f ca="1">IFERROR(__xludf.DUMMYFUNCTION("""COMPUTED_VALUE"""),TRUE)</f>
        <v>1</v>
      </c>
      <c r="N6" s="8" t="str">
        <f ca="1">IFERROR(__xludf.DUMMYFUNCTION("""COMPUTED_VALUE"""),"Completed")</f>
        <v>Completed</v>
      </c>
      <c r="O6" s="12">
        <f ca="1">IFERROR(__xludf.DUMMYFUNCTION("""COMPUTED_VALUE"""),2352000)</f>
        <v>2352000</v>
      </c>
      <c r="P6" s="12">
        <f ca="1">IFERROR(__xludf.DUMMYFUNCTION("""COMPUTED_VALUE"""),2387817.25888324)</f>
        <v>2387817.2588832402</v>
      </c>
      <c r="Q6" s="12">
        <f ca="1">IFERROR(__xludf.DUMMYFUNCTION("""COMPUTED_VALUE"""),35817.2588832487)</f>
        <v>35817.258883248702</v>
      </c>
      <c r="R6" s="12">
        <f ca="1">IFERROR(__xludf.DUMMYFUNCTION("""COMPUTED_VALUE"""),310416.243654822)</f>
        <v>310416.243654822</v>
      </c>
      <c r="S6" s="13">
        <f ca="1">IFERROR(__xludf.DUMMYFUNCTION("""COMPUTED_VALUE"""),2698233.50253807)</f>
        <v>2698233.5025380701</v>
      </c>
      <c r="T6" s="11">
        <f ca="1">IFERROR(__xludf.DUMMYFUNCTION("""COMPUTED_VALUE"""),45652)</f>
        <v>45652</v>
      </c>
      <c r="U6" s="14" t="str">
        <f ca="1">IFERROR(__xludf.DUMMYFUNCTION("""COMPUTED_VALUE""")," NO ")</f>
        <v xml:space="preserve"> NO </v>
      </c>
      <c r="V6" s="11"/>
      <c r="W6" s="14" t="str">
        <f ca="1">IFERROR(__xludf.DUMMYFUNCTION("""COMPUTED_VALUE""")," NO ")</f>
        <v xml:space="preserve"> NO </v>
      </c>
    </row>
    <row r="7" spans="1:23" ht="30" x14ac:dyDescent="0.25">
      <c r="A7" s="7">
        <f t="shared" ca="1" si="0"/>
        <v>6</v>
      </c>
      <c r="B7" s="8" t="str">
        <f ca="1">IFERROR(__xludf.DUMMYFUNCTION("""COMPUTED_VALUE"""),"Maya Khola (14MW)")</f>
        <v>Maya Khola (14MW)</v>
      </c>
      <c r="C7" s="9" t="str">
        <f ca="1">IFERROR(__xludf.DUMMYFUNCTION("""COMPUTED_VALUE"""),"Maya Khola Hydropower Company Limited")</f>
        <v>Maya Khola Hydropower Company Limited</v>
      </c>
      <c r="D7" s="10" t="str">
        <f ca="1">IFERROR(__xludf.DUMMYFUNCTION("""COMPUTED_VALUE"""),"Powerhouse")</f>
        <v>Powerhouse</v>
      </c>
      <c r="E7" s="8" t="str">
        <f ca="1">IFERROR(__xludf.DUMMYFUNCTION("""COMPUTED_VALUE"""),"Er. Ram Sharan Timilsina")</f>
        <v>Er. Ram Sharan Timilsina</v>
      </c>
      <c r="F7" s="8"/>
      <c r="G7" s="7">
        <f ca="1">IFERROR(__xludf.DUMMYFUNCTION("""COMPUTED_VALUE"""),0)</f>
        <v>0</v>
      </c>
      <c r="H7" s="11"/>
      <c r="I7" s="11"/>
      <c r="J7" s="7" t="b">
        <f ca="1">IFERROR(__xludf.DUMMYFUNCTION("""COMPUTED_VALUE"""),TRUE)</f>
        <v>1</v>
      </c>
      <c r="K7" s="7" t="b">
        <f ca="1">IFERROR(__xludf.DUMMYFUNCTION("""COMPUTED_VALUE"""),TRUE)</f>
        <v>1</v>
      </c>
      <c r="L7" s="7" t="b">
        <f ca="1">IFERROR(__xludf.DUMMYFUNCTION("""COMPUTED_VALUE"""),TRUE)</f>
        <v>1</v>
      </c>
      <c r="M7" s="7" t="b">
        <f ca="1">IFERROR(__xludf.DUMMYFUNCTION("""COMPUTED_VALUE"""),TRUE)</f>
        <v>1</v>
      </c>
      <c r="N7" s="8" t="str">
        <f ca="1">IFERROR(__xludf.DUMMYFUNCTION("""COMPUTED_VALUE"""),"Completed")</f>
        <v>Completed</v>
      </c>
      <c r="O7" s="12">
        <f ca="1">IFERROR(__xludf.DUMMYFUNCTION("""COMPUTED_VALUE"""),2602000)</f>
        <v>2602000</v>
      </c>
      <c r="P7" s="12">
        <f ca="1">IFERROR(__xludf.DUMMYFUNCTION("""COMPUTED_VALUE"""),2641624.36548223)</f>
        <v>2641624.3654822302</v>
      </c>
      <c r="Q7" s="12">
        <f ca="1">IFERROR(__xludf.DUMMYFUNCTION("""COMPUTED_VALUE"""),39624.3654822335)</f>
        <v>39624.365482233501</v>
      </c>
      <c r="R7" s="12">
        <f ca="1">IFERROR(__xludf.DUMMYFUNCTION("""COMPUTED_VALUE"""),343411.16751269)</f>
        <v>343411.16751269001</v>
      </c>
      <c r="S7" s="13">
        <f ca="1">IFERROR(__xludf.DUMMYFUNCTION("""COMPUTED_VALUE"""),2985035.53299492)</f>
        <v>2985035.5329949199</v>
      </c>
      <c r="T7" s="11">
        <f ca="1">IFERROR(__xludf.DUMMYFUNCTION("""COMPUTED_VALUE"""),45664)</f>
        <v>45664</v>
      </c>
      <c r="U7" s="14" t="str">
        <f ca="1">IFERROR(__xludf.DUMMYFUNCTION("""COMPUTED_VALUE""")," NO ")</f>
        <v xml:space="preserve"> NO </v>
      </c>
      <c r="V7" s="11"/>
      <c r="W7" s="14" t="str">
        <f ca="1">IFERROR(__xludf.DUMMYFUNCTION("""COMPUTED_VALUE""")," NO ")</f>
        <v xml:space="preserve"> NO </v>
      </c>
    </row>
    <row r="8" spans="1:23" ht="30" x14ac:dyDescent="0.25">
      <c r="A8" s="7">
        <f t="shared" ca="1" si="0"/>
        <v>7</v>
      </c>
      <c r="B8" s="8" t="str">
        <f ca="1">IFERROR(__xludf.DUMMYFUNCTION("""COMPUTED_VALUE"""),"Nilgiri 1")</f>
        <v>Nilgiri 1</v>
      </c>
      <c r="C8" s="9" t="str">
        <f ca="1">IFERROR(__xludf.DUMMYFUNCTION("""COMPUTED_VALUE"""),"Nilgiri Khola Hydropower Company Limited")</f>
        <v>Nilgiri Khola Hydropower Company Limited</v>
      </c>
      <c r="D8" s="10" t="str">
        <f ca="1">IFERROR(__xludf.DUMMYFUNCTION("""COMPUTED_VALUE"""),"Powerhouse")</f>
        <v>Powerhouse</v>
      </c>
      <c r="E8" s="8" t="str">
        <f ca="1">IFERROR(__xludf.DUMMYFUNCTION("""COMPUTED_VALUE"""),"Er. Ram Sharan Timilsina")</f>
        <v>Er. Ram Sharan Timilsina</v>
      </c>
      <c r="F8" s="8"/>
      <c r="G8" s="7">
        <f ca="1">IFERROR(__xludf.DUMMYFUNCTION("""COMPUTED_VALUE"""),0)</f>
        <v>0</v>
      </c>
      <c r="H8" s="11"/>
      <c r="I8" s="11"/>
      <c r="J8" s="7" t="b">
        <f ca="1">IFERROR(__xludf.DUMMYFUNCTION("""COMPUTED_VALUE"""),TRUE)</f>
        <v>1</v>
      </c>
      <c r="K8" s="7" t="b">
        <f ca="1">IFERROR(__xludf.DUMMYFUNCTION("""COMPUTED_VALUE"""),TRUE)</f>
        <v>1</v>
      </c>
      <c r="L8" s="7" t="b">
        <f ca="1">IFERROR(__xludf.DUMMYFUNCTION("""COMPUTED_VALUE"""),TRUE)</f>
        <v>1</v>
      </c>
      <c r="M8" s="7" t="b">
        <f ca="1">IFERROR(__xludf.DUMMYFUNCTION("""COMPUTED_VALUE"""),TRUE)</f>
        <v>1</v>
      </c>
      <c r="N8" s="8" t="str">
        <f ca="1">IFERROR(__xludf.DUMMYFUNCTION("""COMPUTED_VALUE"""),"Completed")</f>
        <v>Completed</v>
      </c>
      <c r="O8" s="12">
        <f ca="1">IFERROR(__xludf.DUMMYFUNCTION("""COMPUTED_VALUE"""),2352000)</f>
        <v>2352000</v>
      </c>
      <c r="P8" s="12">
        <f ca="1">IFERROR(__xludf.DUMMYFUNCTION("""COMPUTED_VALUE"""),2387817.25888324)</f>
        <v>2387817.2588832402</v>
      </c>
      <c r="Q8" s="12">
        <f ca="1">IFERROR(__xludf.DUMMYFUNCTION("""COMPUTED_VALUE"""),35817.2588832487)</f>
        <v>35817.258883248702</v>
      </c>
      <c r="R8" s="12">
        <f ca="1">IFERROR(__xludf.DUMMYFUNCTION("""COMPUTED_VALUE"""),310416.243654822)</f>
        <v>310416.243654822</v>
      </c>
      <c r="S8" s="13">
        <f ca="1">IFERROR(__xludf.DUMMYFUNCTION("""COMPUTED_VALUE"""),2698233.50253807)</f>
        <v>2698233.5025380701</v>
      </c>
      <c r="T8" s="11">
        <f ca="1">IFERROR(__xludf.DUMMYFUNCTION("""COMPUTED_VALUE"""),45657)</f>
        <v>45657</v>
      </c>
      <c r="U8" s="14" t="str">
        <f ca="1">IFERROR(__xludf.DUMMYFUNCTION("""COMPUTED_VALUE""")," YES ")</f>
        <v xml:space="preserve"> YES </v>
      </c>
      <c r="V8" s="11">
        <f ca="1">IFERROR(__xludf.DUMMYFUNCTION("""COMPUTED_VALUE"""),45691)</f>
        <v>45691</v>
      </c>
      <c r="W8" s="14" t="str">
        <f ca="1">IFERROR(__xludf.DUMMYFUNCTION("""COMPUTED_VALUE""")," NO ")</f>
        <v xml:space="preserve"> NO </v>
      </c>
    </row>
    <row r="9" spans="1:23" ht="30" x14ac:dyDescent="0.25">
      <c r="A9" s="7">
        <f t="shared" ca="1" si="0"/>
        <v>8</v>
      </c>
      <c r="B9" s="8" t="str">
        <f ca="1">IFERROR(__xludf.DUMMYFUNCTION("""COMPUTED_VALUE"""),"Middle Tamor(73MW)")</f>
        <v>Middle Tamor(73MW)</v>
      </c>
      <c r="C9" s="9" t="str">
        <f ca="1">IFERROR(__xludf.DUMMYFUNCTION("""COMPUTED_VALUE"""),"Sanima Middle Tamor Hydropower Limited")</f>
        <v>Sanima Middle Tamor Hydropower Limited</v>
      </c>
      <c r="D9" s="10" t="str">
        <f ca="1">IFERROR(__xludf.DUMMYFUNCTION("""COMPUTED_VALUE"""),"Powerhouse")</f>
        <v>Powerhouse</v>
      </c>
      <c r="E9" s="8" t="str">
        <f ca="1">IFERROR(__xludf.DUMMYFUNCTION("""COMPUTED_VALUE"""),"Er. Ram Sharan Timilsina")</f>
        <v>Er. Ram Sharan Timilsina</v>
      </c>
      <c r="F9" s="8"/>
      <c r="G9" s="7">
        <f ca="1">IFERROR(__xludf.DUMMYFUNCTION("""COMPUTED_VALUE"""),0)</f>
        <v>0</v>
      </c>
      <c r="H9" s="11"/>
      <c r="I9" s="11">
        <f ca="1">IFERROR(__xludf.DUMMYFUNCTION("""COMPUTED_VALUE"""),45533)</f>
        <v>45533</v>
      </c>
      <c r="J9" s="7" t="b">
        <f ca="1">IFERROR(__xludf.DUMMYFUNCTION("""COMPUTED_VALUE"""),TRUE)</f>
        <v>1</v>
      </c>
      <c r="K9" s="7" t="b">
        <f ca="1">IFERROR(__xludf.DUMMYFUNCTION("""COMPUTED_VALUE"""),TRUE)</f>
        <v>1</v>
      </c>
      <c r="L9" s="7" t="b">
        <f ca="1">IFERROR(__xludf.DUMMYFUNCTION("""COMPUTED_VALUE"""),TRUE)</f>
        <v>1</v>
      </c>
      <c r="M9" s="7" t="b">
        <f ca="1">IFERROR(__xludf.DUMMYFUNCTION("""COMPUTED_VALUE"""),TRUE)</f>
        <v>1</v>
      </c>
      <c r="N9" s="8" t="str">
        <f ca="1">IFERROR(__xludf.DUMMYFUNCTION("""COMPUTED_VALUE"""),"Completed")</f>
        <v>Completed</v>
      </c>
      <c r="O9" s="12">
        <f ca="1">IFERROR(__xludf.DUMMYFUNCTION("""COMPUTED_VALUE"""),3602000)</f>
        <v>3602000</v>
      </c>
      <c r="P9" s="12">
        <f ca="1">IFERROR(__xludf.DUMMYFUNCTION("""COMPUTED_VALUE"""),3656852.79187817)</f>
        <v>3656852.7918781699</v>
      </c>
      <c r="Q9" s="12">
        <f ca="1">IFERROR(__xludf.DUMMYFUNCTION("""COMPUTED_VALUE"""),54852.7918781725)</f>
        <v>54852.791878172502</v>
      </c>
      <c r="R9" s="12">
        <f ca="1">IFERROR(__xludf.DUMMYFUNCTION("""COMPUTED_VALUE"""),475390.862944162)</f>
        <v>475390.86294416199</v>
      </c>
      <c r="S9" s="13">
        <f ca="1">IFERROR(__xludf.DUMMYFUNCTION("""COMPUTED_VALUE"""),4132243.65482233)</f>
        <v>4132243.65482233</v>
      </c>
      <c r="T9" s="11">
        <f ca="1">IFERROR(__xludf.DUMMYFUNCTION("""COMPUTED_VALUE"""),45652)</f>
        <v>45652</v>
      </c>
      <c r="U9" s="14" t="str">
        <f ca="1">IFERROR(__xludf.DUMMYFUNCTION("""COMPUTED_VALUE""")," NO ")</f>
        <v xml:space="preserve"> NO </v>
      </c>
      <c r="V9" s="11"/>
      <c r="W9" s="14" t="str">
        <f ca="1">IFERROR(__xludf.DUMMYFUNCTION("""COMPUTED_VALUE""")," NO ")</f>
        <v xml:space="preserve"> NO </v>
      </c>
    </row>
    <row r="10" spans="1:23" x14ac:dyDescent="0.25">
      <c r="A10" s="7">
        <f t="shared" ca="1" si="0"/>
        <v>9</v>
      </c>
      <c r="B10" s="8" t="str">
        <f ca="1">IFERROR(__xludf.DUMMYFUNCTION("""COMPUTED_VALUE"""),"Matatirtha 220kV")</f>
        <v>Matatirtha 220kV</v>
      </c>
      <c r="C10" s="9"/>
      <c r="D10" s="10" t="str">
        <f ca="1">IFERROR(__xludf.DUMMYFUNCTION("""COMPUTED_VALUE"""),"Substation")</f>
        <v>Substation</v>
      </c>
      <c r="E10" s="8" t="str">
        <f ca="1">IFERROR(__xludf.DUMMYFUNCTION("""COMPUTED_VALUE"""),"Er. Ram Sharan Timilsina")</f>
        <v>Er. Ram Sharan Timilsina</v>
      </c>
      <c r="F10" s="8"/>
      <c r="G10" s="7">
        <f ca="1">IFERROR(__xludf.DUMMYFUNCTION("""COMPUTED_VALUE"""),0)</f>
        <v>0</v>
      </c>
      <c r="H10" s="11"/>
      <c r="I10" s="11"/>
      <c r="J10" s="7" t="b">
        <f ca="1">IFERROR(__xludf.DUMMYFUNCTION("""COMPUTED_VALUE"""),TRUE)</f>
        <v>1</v>
      </c>
      <c r="K10" s="7" t="b">
        <f ca="1">IFERROR(__xludf.DUMMYFUNCTION("""COMPUTED_VALUE"""),TRUE)</f>
        <v>1</v>
      </c>
      <c r="L10" s="7" t="b">
        <f ca="1">IFERROR(__xludf.DUMMYFUNCTION("""COMPUTED_VALUE"""),TRUE)</f>
        <v>1</v>
      </c>
      <c r="M10" s="7" t="b">
        <f ca="1">IFERROR(__xludf.DUMMYFUNCTION("""COMPUTED_VALUE"""),TRUE)</f>
        <v>1</v>
      </c>
      <c r="N10" s="8" t="str">
        <f ca="1">IFERROR(__xludf.DUMMYFUNCTION("""COMPUTED_VALUE"""),"Completed")</f>
        <v>Completed</v>
      </c>
      <c r="O10" s="12">
        <f ca="1">IFERROR(__xludf.DUMMYFUNCTION("""COMPUTED_VALUE"""),7102000)</f>
        <v>7102000</v>
      </c>
      <c r="P10" s="12">
        <f ca="1">IFERROR(__xludf.DUMMYFUNCTION("""COMPUTED_VALUE"""),7210152.28426395)</f>
        <v>7210152.2842639498</v>
      </c>
      <c r="Q10" s="12">
        <f ca="1">IFERROR(__xludf.DUMMYFUNCTION("""COMPUTED_VALUE"""),108152.284263959)</f>
        <v>108152.28426395899</v>
      </c>
      <c r="R10" s="12">
        <f ca="1">IFERROR(__xludf.DUMMYFUNCTION("""COMPUTED_VALUE"""),937319.796954314)</f>
        <v>937319.79695431399</v>
      </c>
      <c r="S10" s="12">
        <f ca="1">IFERROR(__xludf.DUMMYFUNCTION("""COMPUTED_VALUE"""),8147472.08121827)</f>
        <v>8147472.0812182697</v>
      </c>
      <c r="T10" s="11">
        <f ca="1">IFERROR(__xludf.DUMMYFUNCTION("""COMPUTED_VALUE"""),45666)</f>
        <v>45666</v>
      </c>
      <c r="U10" s="14" t="str">
        <f ca="1">IFERROR(__xludf.DUMMYFUNCTION("""COMPUTED_VALUE""")," NO ")</f>
        <v xml:space="preserve"> NO </v>
      </c>
      <c r="V10" s="11"/>
      <c r="W10" s="14" t="str">
        <f ca="1">IFERROR(__xludf.DUMMYFUNCTION("""COMPUTED_VALUE""")," NO ")</f>
        <v xml:space="preserve"> NO </v>
      </c>
    </row>
    <row r="11" spans="1:23" x14ac:dyDescent="0.25">
      <c r="A11" s="7">
        <f t="shared" ca="1" si="0"/>
        <v>10</v>
      </c>
      <c r="B11" s="8" t="str">
        <f ca="1">IFERROR(__xludf.DUMMYFUNCTION("""COMPUTED_VALUE"""),"New Khimti 220kV")</f>
        <v>New Khimti 220kV</v>
      </c>
      <c r="C11" s="9"/>
      <c r="D11" s="10" t="str">
        <f ca="1">IFERROR(__xludf.DUMMYFUNCTION("""COMPUTED_VALUE"""),"Substation")</f>
        <v>Substation</v>
      </c>
      <c r="E11" s="8" t="str">
        <f ca="1">IFERROR(__xludf.DUMMYFUNCTION("""COMPUTED_VALUE"""),"Er. Sumit Sah")</f>
        <v>Er. Sumit Sah</v>
      </c>
      <c r="F11" s="8" t="str">
        <f ca="1">IFERROR(__xludf.DUMMYFUNCTION("""COMPUTED_VALUE"""),"Er. Ram Sharan Timilsina")</f>
        <v>Er. Ram Sharan Timilsina</v>
      </c>
      <c r="G11" s="7">
        <f ca="1">IFERROR(__xludf.DUMMYFUNCTION("""COMPUTED_VALUE"""),0)</f>
        <v>0</v>
      </c>
      <c r="H11" s="11"/>
      <c r="I11" s="11"/>
      <c r="J11" s="7" t="b">
        <f ca="1">IFERROR(__xludf.DUMMYFUNCTION("""COMPUTED_VALUE"""),TRUE)</f>
        <v>1</v>
      </c>
      <c r="K11" s="7" t="b">
        <f ca="1">IFERROR(__xludf.DUMMYFUNCTION("""COMPUTED_VALUE"""),TRUE)</f>
        <v>1</v>
      </c>
      <c r="L11" s="7" t="b">
        <f ca="1">IFERROR(__xludf.DUMMYFUNCTION("""COMPUTED_VALUE"""),TRUE)</f>
        <v>1</v>
      </c>
      <c r="M11" s="7" t="b">
        <f ca="1">IFERROR(__xludf.DUMMYFUNCTION("""COMPUTED_VALUE"""),TRUE)</f>
        <v>1</v>
      </c>
      <c r="N11" s="8" t="str">
        <f ca="1">IFERROR(__xludf.DUMMYFUNCTION("""COMPUTED_VALUE"""),"Completed")</f>
        <v>Completed</v>
      </c>
      <c r="O11" s="12"/>
      <c r="P11" s="12">
        <f ca="1">IFERROR(__xludf.DUMMYFUNCTION("""COMPUTED_VALUE"""),0)</f>
        <v>0</v>
      </c>
      <c r="Q11" s="12">
        <f ca="1">IFERROR(__xludf.DUMMYFUNCTION("""COMPUTED_VALUE"""),0)</f>
        <v>0</v>
      </c>
      <c r="R11" s="12">
        <f ca="1">IFERROR(__xludf.DUMMYFUNCTION("""COMPUTED_VALUE"""),0)</f>
        <v>0</v>
      </c>
      <c r="S11" s="13">
        <f ca="1">IFERROR(__xludf.DUMMYFUNCTION("""COMPUTED_VALUE"""),0)</f>
        <v>0</v>
      </c>
      <c r="T11" s="11"/>
      <c r="U11" s="14" t="str">
        <f ca="1">IFERROR(__xludf.DUMMYFUNCTION("""COMPUTED_VALUE""")," NO ")</f>
        <v xml:space="preserve"> NO </v>
      </c>
      <c r="V11" s="11"/>
      <c r="W11" s="14" t="str">
        <f ca="1">IFERROR(__xludf.DUMMYFUNCTION("""COMPUTED_VALUE""")," NO ")</f>
        <v xml:space="preserve"> NO </v>
      </c>
    </row>
    <row r="12" spans="1:23" ht="30" x14ac:dyDescent="0.25">
      <c r="A12" s="7">
        <f t="shared" ca="1" si="0"/>
        <v>11</v>
      </c>
      <c r="B12" s="8" t="str">
        <f ca="1">IFERROR(__xludf.DUMMYFUNCTION("""COMPUTED_VALUE"""),"New Hetauda 220kV")</f>
        <v>New Hetauda 220kV</v>
      </c>
      <c r="C12" s="9" t="str">
        <f ca="1">IFERROR(__xludf.DUMMYFUNCTION("""COMPUTED_VALUE"""),"Nepal India Power Transmisson and Trade Project")</f>
        <v>Nepal India Power Transmisson and Trade Project</v>
      </c>
      <c r="D12" s="10" t="str">
        <f ca="1">IFERROR(__xludf.DUMMYFUNCTION("""COMPUTED_VALUE"""),"Substation")</f>
        <v>Substation</v>
      </c>
      <c r="E12" s="8" t="str">
        <f ca="1">IFERROR(__xludf.DUMMYFUNCTION("""COMPUTED_VALUE"""),"Er. Ram Sharan Timilsina")</f>
        <v>Er. Ram Sharan Timilsina</v>
      </c>
      <c r="F12" s="8" t="str">
        <f ca="1">IFERROR(__xludf.DUMMYFUNCTION("""COMPUTED_VALUE"""),"Er. Sumit Sah")</f>
        <v>Er. Sumit Sah</v>
      </c>
      <c r="G12" s="7">
        <f ca="1">IFERROR(__xludf.DUMMYFUNCTION("""COMPUTED_VALUE"""),0)</f>
        <v>0</v>
      </c>
      <c r="H12" s="11"/>
      <c r="I12" s="11"/>
      <c r="J12" s="7" t="b">
        <f ca="1">IFERROR(__xludf.DUMMYFUNCTION("""COMPUTED_VALUE"""),TRUE)</f>
        <v>1</v>
      </c>
      <c r="K12" s="7" t="b">
        <f ca="1">IFERROR(__xludf.DUMMYFUNCTION("""COMPUTED_VALUE"""),TRUE)</f>
        <v>1</v>
      </c>
      <c r="L12" s="7" t="b">
        <f ca="1">IFERROR(__xludf.DUMMYFUNCTION("""COMPUTED_VALUE"""),TRUE)</f>
        <v>1</v>
      </c>
      <c r="M12" s="7" t="b">
        <f ca="1">IFERROR(__xludf.DUMMYFUNCTION("""COMPUTED_VALUE"""),TRUE)</f>
        <v>1</v>
      </c>
      <c r="N12" s="8" t="str">
        <f ca="1">IFERROR(__xludf.DUMMYFUNCTION("""COMPUTED_VALUE"""),"Completed")</f>
        <v>Completed</v>
      </c>
      <c r="O12" s="12">
        <f ca="1">IFERROR(__xludf.DUMMYFUNCTION("""COMPUTED_VALUE"""),4602000)</f>
        <v>4602000</v>
      </c>
      <c r="P12" s="12">
        <f ca="1">IFERROR(__xludf.DUMMYFUNCTION("""COMPUTED_VALUE"""),4672081.21827411)</f>
        <v>4672081.21827411</v>
      </c>
      <c r="Q12" s="12">
        <f ca="1">IFERROR(__xludf.DUMMYFUNCTION("""COMPUTED_VALUE"""),70081.2182741116)</f>
        <v>70081.218274111598</v>
      </c>
      <c r="R12" s="12">
        <f ca="1">IFERROR(__xludf.DUMMYFUNCTION("""COMPUTED_VALUE"""),607370.558375634)</f>
        <v>607370.55837563402</v>
      </c>
      <c r="S12" s="13">
        <f ca="1">IFERROR(__xludf.DUMMYFUNCTION("""COMPUTED_VALUE"""),5279451.77664974)</f>
        <v>5279451.7766497396</v>
      </c>
      <c r="T12" s="11">
        <f ca="1">IFERROR(__xludf.DUMMYFUNCTION("""COMPUTED_VALUE"""),45667)</f>
        <v>45667</v>
      </c>
      <c r="U12" s="14" t="str">
        <f ca="1">IFERROR(__xludf.DUMMYFUNCTION("""COMPUTED_VALUE""")," NO ")</f>
        <v xml:space="preserve"> NO </v>
      </c>
      <c r="V12" s="11"/>
      <c r="W12" s="14" t="str">
        <f ca="1">IFERROR(__xludf.DUMMYFUNCTION("""COMPUTED_VALUE""")," NO ")</f>
        <v xml:space="preserve"> NO </v>
      </c>
    </row>
    <row r="13" spans="1:23" x14ac:dyDescent="0.25">
      <c r="A13" s="7">
        <f t="shared" ca="1" si="0"/>
        <v>12</v>
      </c>
      <c r="B13" s="8" t="str">
        <f ca="1">IFERROR(__xludf.DUMMYFUNCTION("""COMPUTED_VALUE"""),"Tallo Khare(11MW)")</f>
        <v>Tallo Khare(11MW)</v>
      </c>
      <c r="C13" s="9" t="str">
        <f ca="1">IFERROR(__xludf.DUMMYFUNCTION("""COMPUTED_VALUE"""),"Universal Power Company Limited")</f>
        <v>Universal Power Company Limited</v>
      </c>
      <c r="D13" s="10" t="str">
        <f ca="1">IFERROR(__xludf.DUMMYFUNCTION("""COMPUTED_VALUE"""),"Powerhouse")</f>
        <v>Powerhouse</v>
      </c>
      <c r="E13" s="8" t="str">
        <f ca="1">IFERROR(__xludf.DUMMYFUNCTION("""COMPUTED_VALUE"""),"Er. Ram Sharan Timilsina")</f>
        <v>Er. Ram Sharan Timilsina</v>
      </c>
      <c r="F13" s="8"/>
      <c r="G13" s="7">
        <f ca="1">IFERROR(__xludf.DUMMYFUNCTION("""COMPUTED_VALUE"""),0)</f>
        <v>0</v>
      </c>
      <c r="H13" s="11"/>
      <c r="I13" s="11"/>
      <c r="J13" s="7" t="b">
        <f ca="1">IFERROR(__xludf.DUMMYFUNCTION("""COMPUTED_VALUE"""),TRUE)</f>
        <v>1</v>
      </c>
      <c r="K13" s="7" t="b">
        <f ca="1">IFERROR(__xludf.DUMMYFUNCTION("""COMPUTED_VALUE"""),TRUE)</f>
        <v>1</v>
      </c>
      <c r="L13" s="7" t="b">
        <f ca="1">IFERROR(__xludf.DUMMYFUNCTION("""COMPUTED_VALUE"""),TRUE)</f>
        <v>1</v>
      </c>
      <c r="M13" s="7" t="b">
        <f ca="1">IFERROR(__xludf.DUMMYFUNCTION("""COMPUTED_VALUE"""),FALSE)</f>
        <v>0</v>
      </c>
      <c r="N13" s="8" t="str">
        <f ca="1">IFERROR(__xludf.DUMMYFUNCTION("""COMPUTED_VALUE"""),"In Progress")</f>
        <v>In Progress</v>
      </c>
      <c r="O13" s="12">
        <f ca="1">IFERROR(__xludf.DUMMYFUNCTION("""COMPUTED_VALUE"""),2602000)</f>
        <v>2602000</v>
      </c>
      <c r="P13" s="12">
        <f ca="1">IFERROR(__xludf.DUMMYFUNCTION("""COMPUTED_VALUE"""),2641624.36548223)</f>
        <v>2641624.3654822302</v>
      </c>
      <c r="Q13" s="12">
        <f ca="1">IFERROR(__xludf.DUMMYFUNCTION("""COMPUTED_VALUE"""),39624.3654822335)</f>
        <v>39624.365482233501</v>
      </c>
      <c r="R13" s="12">
        <f ca="1">IFERROR(__xludf.DUMMYFUNCTION("""COMPUTED_VALUE"""),343411.16751269)</f>
        <v>343411.16751269001</v>
      </c>
      <c r="S13" s="12">
        <f ca="1">IFERROR(__xludf.DUMMYFUNCTION("""COMPUTED_VALUE"""),2985035.53299492)</f>
        <v>2985035.5329949199</v>
      </c>
      <c r="T13" s="11">
        <f ca="1">IFERROR(__xludf.DUMMYFUNCTION("""COMPUTED_VALUE"""),45652)</f>
        <v>45652</v>
      </c>
      <c r="U13" s="14" t="str">
        <f ca="1">IFERROR(__xludf.DUMMYFUNCTION("""COMPUTED_VALUE""")," NO ")</f>
        <v xml:space="preserve"> NO </v>
      </c>
      <c r="V13" s="11"/>
      <c r="W13" s="14" t="str">
        <f ca="1">IFERROR(__xludf.DUMMYFUNCTION("""COMPUTED_VALUE""")," NO ")</f>
        <v xml:space="preserve"> NO </v>
      </c>
    </row>
    <row r="14" spans="1:23" ht="30" x14ac:dyDescent="0.25">
      <c r="A14" s="7">
        <f t="shared" ca="1" si="0"/>
        <v>13</v>
      </c>
      <c r="B14" s="8" t="str">
        <f ca="1">IFERROR(__xludf.DUMMYFUNCTION("""COMPUTED_VALUE"""),"Arun 3 ,Dhalke 400kV Extension")</f>
        <v>Arun 3 ,Dhalke 400kV Extension</v>
      </c>
      <c r="C14" s="9" t="str">
        <f ca="1">IFERROR(__xludf.DUMMYFUNCTION("""COMPUTED_VALUE"""),"SJVN Arun-3 Power Development Company Pvt Ltd")</f>
        <v>SJVN Arun-3 Power Development Company Pvt Ltd</v>
      </c>
      <c r="D14" s="10" t="str">
        <f ca="1">IFERROR(__xludf.DUMMYFUNCTION("""COMPUTED_VALUE"""),"Powerhouse")</f>
        <v>Powerhouse</v>
      </c>
      <c r="E14" s="8" t="str">
        <f ca="1">IFERROR(__xludf.DUMMYFUNCTION("""COMPUTED_VALUE"""),"Er. Ram Sharan Timilsina")</f>
        <v>Er. Ram Sharan Timilsina</v>
      </c>
      <c r="F14" s="8"/>
      <c r="G14" s="7">
        <f ca="1">IFERROR(__xludf.DUMMYFUNCTION("""COMPUTED_VALUE"""),0)</f>
        <v>0</v>
      </c>
      <c r="H14" s="11"/>
      <c r="I14" s="11">
        <f ca="1">IFERROR(__xludf.DUMMYFUNCTION("""COMPUTED_VALUE"""),45560)</f>
        <v>45560</v>
      </c>
      <c r="J14" s="7" t="b">
        <f ca="1">IFERROR(__xludf.DUMMYFUNCTION("""COMPUTED_VALUE"""),TRUE)</f>
        <v>1</v>
      </c>
      <c r="K14" s="7" t="b">
        <f ca="1">IFERROR(__xludf.DUMMYFUNCTION("""COMPUTED_VALUE"""),TRUE)</f>
        <v>1</v>
      </c>
      <c r="L14" s="7" t="b">
        <f ca="1">IFERROR(__xludf.DUMMYFUNCTION("""COMPUTED_VALUE"""),TRUE)</f>
        <v>1</v>
      </c>
      <c r="M14" s="7" t="b">
        <f ca="1">IFERROR(__xludf.DUMMYFUNCTION("""COMPUTED_VALUE"""),TRUE)</f>
        <v>1</v>
      </c>
      <c r="N14" s="8" t="str">
        <f ca="1">IFERROR(__xludf.DUMMYFUNCTION("""COMPUTED_VALUE"""),"Completed")</f>
        <v>Completed</v>
      </c>
      <c r="O14" s="12">
        <f ca="1">IFERROR(__xludf.DUMMYFUNCTION("""COMPUTED_VALUE"""),3250000)</f>
        <v>3250000</v>
      </c>
      <c r="P14" s="12">
        <f ca="1">IFERROR(__xludf.DUMMYFUNCTION("""COMPUTED_VALUE"""),3299492.3857868)</f>
        <v>3299492.3857868002</v>
      </c>
      <c r="Q14" s="12">
        <f ca="1">IFERROR(__xludf.DUMMYFUNCTION("""COMPUTED_VALUE"""),49492.385786802)</f>
        <v>49492.385786801999</v>
      </c>
      <c r="R14" s="12">
        <f ca="1">IFERROR(__xludf.DUMMYFUNCTION("""COMPUTED_VALUE"""),428934.010152284)</f>
        <v>428934.010152284</v>
      </c>
      <c r="S14" s="12">
        <f ca="1">IFERROR(__xludf.DUMMYFUNCTION("""COMPUTED_VALUE"""),3728426.39593908)</f>
        <v>3728426.39593908</v>
      </c>
      <c r="T14" s="11">
        <f ca="1">IFERROR(__xludf.DUMMYFUNCTION("""COMPUTED_VALUE"""),45668)</f>
        <v>45668</v>
      </c>
      <c r="U14" s="14" t="str">
        <f ca="1">IFERROR(__xludf.DUMMYFUNCTION("""COMPUTED_VALUE""")," NO ")</f>
        <v xml:space="preserve"> NO </v>
      </c>
      <c r="V14" s="11"/>
      <c r="W14" s="14" t="str">
        <f ca="1">IFERROR(__xludf.DUMMYFUNCTION("""COMPUTED_VALUE""")," NO ")</f>
        <v xml:space="preserve"> NO </v>
      </c>
    </row>
    <row r="15" spans="1:23" ht="30" x14ac:dyDescent="0.25">
      <c r="A15" s="7">
        <f t="shared" ca="1" si="0"/>
        <v>14</v>
      </c>
      <c r="B15" s="8" t="str">
        <f ca="1">IFERROR(__xludf.DUMMYFUNCTION("""COMPUTED_VALUE"""),"Mathillo Mailung(14.3MW)")</f>
        <v>Mathillo Mailung(14.3MW)</v>
      </c>
      <c r="C15" s="9" t="str">
        <f ca="1">IFERROR(__xludf.DUMMYFUNCTION("""COMPUTED_VALUE"""),"Mathillo Mailun Khola Jalvidhyut Limited")</f>
        <v>Mathillo Mailun Khola Jalvidhyut Limited</v>
      </c>
      <c r="D15" s="10" t="str">
        <f ca="1">IFERROR(__xludf.DUMMYFUNCTION("""COMPUTED_VALUE"""),"Powerhouse")</f>
        <v>Powerhouse</v>
      </c>
      <c r="E15" s="8" t="str">
        <f ca="1">IFERROR(__xludf.DUMMYFUNCTION("""COMPUTED_VALUE"""),"Er. Ram Sharan Timilsina")</f>
        <v>Er. Ram Sharan Timilsina</v>
      </c>
      <c r="F15" s="8"/>
      <c r="G15" s="7">
        <f ca="1">IFERROR(__xludf.DUMMYFUNCTION("""COMPUTED_VALUE"""),0)</f>
        <v>0</v>
      </c>
      <c r="H15" s="11"/>
      <c r="I15" s="11"/>
      <c r="J15" s="7" t="b">
        <f ca="1">IFERROR(__xludf.DUMMYFUNCTION("""COMPUTED_VALUE"""),TRUE)</f>
        <v>1</v>
      </c>
      <c r="K15" s="7" t="b">
        <f ca="1">IFERROR(__xludf.DUMMYFUNCTION("""COMPUTED_VALUE"""),TRUE)</f>
        <v>1</v>
      </c>
      <c r="L15" s="7" t="b">
        <f ca="1">IFERROR(__xludf.DUMMYFUNCTION("""COMPUTED_VALUE"""),TRUE)</f>
        <v>1</v>
      </c>
      <c r="M15" s="7" t="b">
        <f ca="1">IFERROR(__xludf.DUMMYFUNCTION("""COMPUTED_VALUE"""),TRUE)</f>
        <v>1</v>
      </c>
      <c r="N15" s="8" t="str">
        <f ca="1">IFERROR(__xludf.DUMMYFUNCTION("""COMPUTED_VALUE"""),"Completed")</f>
        <v>Completed</v>
      </c>
      <c r="O15" s="12">
        <f ca="1">IFERROR(__xludf.DUMMYFUNCTION("""COMPUTED_VALUE"""),2602000)</f>
        <v>2602000</v>
      </c>
      <c r="P15" s="12">
        <f ca="1">IFERROR(__xludf.DUMMYFUNCTION("""COMPUTED_VALUE"""),2641624.36548223)</f>
        <v>2641624.3654822302</v>
      </c>
      <c r="Q15" s="12">
        <f ca="1">IFERROR(__xludf.DUMMYFUNCTION("""COMPUTED_VALUE"""),39624.3654822335)</f>
        <v>39624.365482233501</v>
      </c>
      <c r="R15" s="12">
        <f ca="1">IFERROR(__xludf.DUMMYFUNCTION("""COMPUTED_VALUE"""),343411.16751269)</f>
        <v>343411.16751269001</v>
      </c>
      <c r="S15" s="13">
        <f ca="1">IFERROR(__xludf.DUMMYFUNCTION("""COMPUTED_VALUE"""),2985035.53299492)</f>
        <v>2985035.5329949199</v>
      </c>
      <c r="T15" s="11">
        <f ca="1">IFERROR(__xludf.DUMMYFUNCTION("""COMPUTED_VALUE"""),45657)</f>
        <v>45657</v>
      </c>
      <c r="U15" s="14" t="str">
        <f ca="1">IFERROR(__xludf.DUMMYFUNCTION("""COMPUTED_VALUE""")," NO ")</f>
        <v xml:space="preserve"> NO </v>
      </c>
      <c r="V15" s="11"/>
      <c r="W15" s="14" t="str">
        <f ca="1">IFERROR(__xludf.DUMMYFUNCTION("""COMPUTED_VALUE""")," NO ")</f>
        <v xml:space="preserve"> NO </v>
      </c>
    </row>
    <row r="16" spans="1:23" x14ac:dyDescent="0.25">
      <c r="A16" s="7">
        <f t="shared" ca="1" si="0"/>
        <v>15</v>
      </c>
      <c r="B16" s="8" t="str">
        <f ca="1">IFERROR(__xludf.DUMMYFUNCTION("""COMPUTED_VALUE"""),"Seti Nadi (25MW)")</f>
        <v>Seti Nadi (25MW)</v>
      </c>
      <c r="C16" s="9" t="str">
        <f ca="1">IFERROR(__xludf.DUMMYFUNCTION("""COMPUTED_VALUE"""),"Vision Lumbini Urja Company Limited")</f>
        <v>Vision Lumbini Urja Company Limited</v>
      </c>
      <c r="D16" s="10" t="str">
        <f ca="1">IFERROR(__xludf.DUMMYFUNCTION("""COMPUTED_VALUE"""),"Powerhouse")</f>
        <v>Powerhouse</v>
      </c>
      <c r="E16" s="8" t="str">
        <f ca="1">IFERROR(__xludf.DUMMYFUNCTION("""COMPUTED_VALUE"""),"Er. Ram Sharan Timilsina")</f>
        <v>Er. Ram Sharan Timilsina</v>
      </c>
      <c r="F16" s="8"/>
      <c r="G16" s="7">
        <f ca="1">IFERROR(__xludf.DUMMYFUNCTION("""COMPUTED_VALUE"""),0)</f>
        <v>0</v>
      </c>
      <c r="H16" s="11"/>
      <c r="I16" s="11">
        <f ca="1">IFERROR(__xludf.DUMMYFUNCTION("""COMPUTED_VALUE"""),45620)</f>
        <v>45620</v>
      </c>
      <c r="J16" s="7" t="b">
        <f ca="1">IFERROR(__xludf.DUMMYFUNCTION("""COMPUTED_VALUE"""),TRUE)</f>
        <v>1</v>
      </c>
      <c r="K16" s="7" t="b">
        <f ca="1">IFERROR(__xludf.DUMMYFUNCTION("""COMPUTED_VALUE"""),TRUE)</f>
        <v>1</v>
      </c>
      <c r="L16" s="7" t="b">
        <f ca="1">IFERROR(__xludf.DUMMYFUNCTION("""COMPUTED_VALUE"""),TRUE)</f>
        <v>1</v>
      </c>
      <c r="M16" s="7" t="b">
        <f ca="1">IFERROR(__xludf.DUMMYFUNCTION("""COMPUTED_VALUE"""),TRUE)</f>
        <v>1</v>
      </c>
      <c r="N16" s="8" t="str">
        <f ca="1">IFERROR(__xludf.DUMMYFUNCTION("""COMPUTED_VALUE"""),"Completed")</f>
        <v>Completed</v>
      </c>
      <c r="O16" s="12">
        <f ca="1">IFERROR(__xludf.DUMMYFUNCTION("""COMPUTED_VALUE"""),2602000)</f>
        <v>2602000</v>
      </c>
      <c r="P16" s="12">
        <f ca="1">IFERROR(__xludf.DUMMYFUNCTION("""COMPUTED_VALUE"""),2641624.36548223)</f>
        <v>2641624.3654822302</v>
      </c>
      <c r="Q16" s="12">
        <f ca="1">IFERROR(__xludf.DUMMYFUNCTION("""COMPUTED_VALUE"""),39624.3654822335)</f>
        <v>39624.365482233501</v>
      </c>
      <c r="R16" s="12">
        <f ca="1">IFERROR(__xludf.DUMMYFUNCTION("""COMPUTED_VALUE"""),343411.16751269)</f>
        <v>343411.16751269001</v>
      </c>
      <c r="S16" s="13">
        <f ca="1">IFERROR(__xludf.DUMMYFUNCTION("""COMPUTED_VALUE"""),2985035.53299492)</f>
        <v>2985035.5329949199</v>
      </c>
      <c r="T16" s="11">
        <f ca="1">IFERROR(__xludf.DUMMYFUNCTION("""COMPUTED_VALUE"""),45652)</f>
        <v>45652</v>
      </c>
      <c r="U16" s="14" t="str">
        <f ca="1">IFERROR(__xludf.DUMMYFUNCTION("""COMPUTED_VALUE""")," NO ")</f>
        <v xml:space="preserve"> NO </v>
      </c>
      <c r="V16" s="11"/>
      <c r="W16" s="14" t="str">
        <f ca="1">IFERROR(__xludf.DUMMYFUNCTION("""COMPUTED_VALUE""")," NO ")</f>
        <v xml:space="preserve"> NO </v>
      </c>
    </row>
    <row r="17" spans="1:23" ht="30" x14ac:dyDescent="0.25">
      <c r="A17" s="7">
        <f t="shared" ca="1" si="0"/>
        <v>16</v>
      </c>
      <c r="B17" s="8" t="str">
        <f ca="1">IFERROR(__xludf.DUMMYFUNCTION("""COMPUTED_VALUE"""),"Loharpatti")</f>
        <v>Loharpatti</v>
      </c>
      <c r="C17" s="9" t="str">
        <f ca="1">IFERROR(__xludf.DUMMYFUNCTION("""COMPUTED_VALUE"""),"Dhalkebar Loharpatti 132kV Transmission line Project")</f>
        <v>Dhalkebar Loharpatti 132kV Transmission line Project</v>
      </c>
      <c r="D17" s="10" t="str">
        <f ca="1">IFERROR(__xludf.DUMMYFUNCTION("""COMPUTED_VALUE"""),"Substation")</f>
        <v>Substation</v>
      </c>
      <c r="E17" s="8" t="str">
        <f ca="1">IFERROR(__xludf.DUMMYFUNCTION("""COMPUTED_VALUE"""),"Er. Sumit Sah")</f>
        <v>Er. Sumit Sah</v>
      </c>
      <c r="F17" s="8" t="str">
        <f ca="1">IFERROR(__xludf.DUMMYFUNCTION("""COMPUTED_VALUE"""),"Er. Ram Sharan Timilsina")</f>
        <v>Er. Ram Sharan Timilsina</v>
      </c>
      <c r="G17" s="7">
        <f ca="1">IFERROR(__xludf.DUMMYFUNCTION("""COMPUTED_VALUE"""),0)</f>
        <v>0</v>
      </c>
      <c r="H17" s="11"/>
      <c r="I17" s="11">
        <f ca="1">IFERROR(__xludf.DUMMYFUNCTION("""COMPUTED_VALUE"""),45684)</f>
        <v>45684</v>
      </c>
      <c r="J17" s="7" t="b">
        <f ca="1">IFERROR(__xludf.DUMMYFUNCTION("""COMPUTED_VALUE"""),TRUE)</f>
        <v>1</v>
      </c>
      <c r="K17" s="7" t="b">
        <f ca="1">IFERROR(__xludf.DUMMYFUNCTION("""COMPUTED_VALUE"""),TRUE)</f>
        <v>1</v>
      </c>
      <c r="L17" s="7" t="b">
        <f ca="1">IFERROR(__xludf.DUMMYFUNCTION("""COMPUTED_VALUE"""),TRUE)</f>
        <v>1</v>
      </c>
      <c r="M17" s="7" t="b">
        <f ca="1">IFERROR(__xludf.DUMMYFUNCTION("""COMPUTED_VALUE"""),TRUE)</f>
        <v>1</v>
      </c>
      <c r="N17" s="8" t="str">
        <f ca="1">IFERROR(__xludf.DUMMYFUNCTION("""COMPUTED_VALUE"""),"Completed")</f>
        <v>Completed</v>
      </c>
      <c r="O17" s="12">
        <f ca="1">IFERROR(__xludf.DUMMYFUNCTION("""COMPUTED_VALUE"""),3852000)</f>
        <v>3852000</v>
      </c>
      <c r="P17" s="12">
        <f ca="1">IFERROR(__xludf.DUMMYFUNCTION("""COMPUTED_VALUE"""),3910659.89847715)</f>
        <v>3910659.8984771501</v>
      </c>
      <c r="Q17" s="12">
        <f ca="1">IFERROR(__xludf.DUMMYFUNCTION("""COMPUTED_VALUE"""),58659.8984771573)</f>
        <v>58659.898477157301</v>
      </c>
      <c r="R17" s="12">
        <f ca="1">IFERROR(__xludf.DUMMYFUNCTION("""COMPUTED_VALUE"""),508385.78680203)</f>
        <v>508385.78680202999</v>
      </c>
      <c r="S17" s="13">
        <f ca="1">IFERROR(__xludf.DUMMYFUNCTION("""COMPUTED_VALUE"""),4419045.68527918)</f>
        <v>4419045.6852791803</v>
      </c>
      <c r="T17" s="11">
        <f ca="1">IFERROR(__xludf.DUMMYFUNCTION("""COMPUTED_VALUE"""),45667)</f>
        <v>45667</v>
      </c>
      <c r="U17" s="14" t="str">
        <f ca="1">IFERROR(__xludf.DUMMYFUNCTION("""COMPUTED_VALUE""")," NO ")</f>
        <v xml:space="preserve"> NO </v>
      </c>
      <c r="V17" s="11"/>
      <c r="W17" s="14" t="str">
        <f ca="1">IFERROR(__xludf.DUMMYFUNCTION("""COMPUTED_VALUE""")," NO ")</f>
        <v xml:space="preserve"> NO </v>
      </c>
    </row>
    <row r="18" spans="1:23" x14ac:dyDescent="0.25">
      <c r="A18" s="7">
        <f t="shared" ca="1" si="0"/>
        <v>17</v>
      </c>
      <c r="B18" s="8" t="str">
        <f ca="1">IFERROR(__xludf.DUMMYFUNCTION("""COMPUTED_VALUE"""),"Udipur")</f>
        <v>Udipur</v>
      </c>
      <c r="C18" s="9" t="str">
        <f ca="1">IFERROR(__xludf.DUMMYFUNCTION("""COMPUTED_VALUE"""),"Marshyangdi Corridor 220kV TL Project")</f>
        <v>Marshyangdi Corridor 220kV TL Project</v>
      </c>
      <c r="D18" s="10" t="str">
        <f ca="1">IFERROR(__xludf.DUMMYFUNCTION("""COMPUTED_VALUE"""),"Substation")</f>
        <v>Substation</v>
      </c>
      <c r="E18" s="8" t="str">
        <f ca="1">IFERROR(__xludf.DUMMYFUNCTION("""COMPUTED_VALUE"""),"Er. Ram Sharan Timilsina")</f>
        <v>Er. Ram Sharan Timilsina</v>
      </c>
      <c r="F18" s="8"/>
      <c r="G18" s="7">
        <f ca="1">IFERROR(__xludf.DUMMYFUNCTION("""COMPUTED_VALUE"""),0)</f>
        <v>0</v>
      </c>
      <c r="H18" s="11">
        <f ca="1">IFERROR(__xludf.DUMMYFUNCTION("""COMPUTED_VALUE"""),45620)</f>
        <v>45620</v>
      </c>
      <c r="I18" s="11"/>
      <c r="J18" s="7" t="b">
        <f ca="1">IFERROR(__xludf.DUMMYFUNCTION("""COMPUTED_VALUE"""),TRUE)</f>
        <v>1</v>
      </c>
      <c r="K18" s="7" t="b">
        <f ca="1">IFERROR(__xludf.DUMMYFUNCTION("""COMPUTED_VALUE"""),TRUE)</f>
        <v>1</v>
      </c>
      <c r="L18" s="7" t="b">
        <f ca="1">IFERROR(__xludf.DUMMYFUNCTION("""COMPUTED_VALUE"""),TRUE)</f>
        <v>1</v>
      </c>
      <c r="M18" s="7" t="b">
        <f ca="1">IFERROR(__xludf.DUMMYFUNCTION("""COMPUTED_VALUE"""),TRUE)</f>
        <v>1</v>
      </c>
      <c r="N18" s="8" t="str">
        <f ca="1">IFERROR(__xludf.DUMMYFUNCTION("""COMPUTED_VALUE"""),"Completed")</f>
        <v>Completed</v>
      </c>
      <c r="O18" s="12">
        <f ca="1">IFERROR(__xludf.DUMMYFUNCTION("""COMPUTED_VALUE"""),5602000)</f>
        <v>5602000</v>
      </c>
      <c r="P18" s="12">
        <f ca="1">IFERROR(__xludf.DUMMYFUNCTION("""COMPUTED_VALUE"""),5687309.64467005)</f>
        <v>5687309.6446700497</v>
      </c>
      <c r="Q18" s="12">
        <f ca="1">IFERROR(__xludf.DUMMYFUNCTION("""COMPUTED_VALUE"""),85309.6446700507)</f>
        <v>85309.644670050693</v>
      </c>
      <c r="R18" s="12">
        <f ca="1">IFERROR(__xludf.DUMMYFUNCTION("""COMPUTED_VALUE"""),739350.253807106)</f>
        <v>739350.25380710606</v>
      </c>
      <c r="S18" s="12">
        <f ca="1">IFERROR(__xludf.DUMMYFUNCTION("""COMPUTED_VALUE"""),6426659.89847715)</f>
        <v>6426659.8984771501</v>
      </c>
      <c r="T18" s="11">
        <f ca="1">IFERROR(__xludf.DUMMYFUNCTION("""COMPUTED_VALUE"""),45666)</f>
        <v>45666</v>
      </c>
      <c r="U18" s="14" t="str">
        <f ca="1">IFERROR(__xludf.DUMMYFUNCTION("""COMPUTED_VALUE""")," NO ")</f>
        <v xml:space="preserve"> NO </v>
      </c>
      <c r="V18" s="11"/>
      <c r="W18" s="14" t="str">
        <f ca="1">IFERROR(__xludf.DUMMYFUNCTION("""COMPUTED_VALUE""")," NO ")</f>
        <v xml:space="preserve"> NO </v>
      </c>
    </row>
    <row r="19" spans="1:23" ht="30" x14ac:dyDescent="0.25">
      <c r="A19" s="7">
        <f t="shared" ca="1" si="0"/>
        <v>18</v>
      </c>
      <c r="B19" s="8" t="str">
        <f ca="1">IFERROR(__xludf.DUMMYFUNCTION("""COMPUTED_VALUE"""),"Tamghas 132kV")</f>
        <v>Tamghas 132kV</v>
      </c>
      <c r="C19" s="9" t="str">
        <f ca="1">IFERROR(__xludf.DUMMYFUNCTION("""COMPUTED_VALUE"""),"Burtibang Paudi Amarai Tamghas 132kV TL Project")</f>
        <v>Burtibang Paudi Amarai Tamghas 132kV TL Project</v>
      </c>
      <c r="D19" s="10" t="str">
        <f ca="1">IFERROR(__xludf.DUMMYFUNCTION("""COMPUTED_VALUE"""),"Substation")</f>
        <v>Substation</v>
      </c>
      <c r="E19" s="8" t="str">
        <f ca="1">IFERROR(__xludf.DUMMYFUNCTION("""COMPUTED_VALUE"""),"Er. Neha Karn")</f>
        <v>Er. Neha Karn</v>
      </c>
      <c r="F19" s="8" t="str">
        <f ca="1">IFERROR(__xludf.DUMMYFUNCTION("""COMPUTED_VALUE"""),"Er. Ram Sharan Timilsina")</f>
        <v>Er. Ram Sharan Timilsina</v>
      </c>
      <c r="G19" s="7">
        <f ca="1">IFERROR(__xludf.DUMMYFUNCTION("""COMPUTED_VALUE"""),0)</f>
        <v>0</v>
      </c>
      <c r="H19" s="11"/>
      <c r="I19" s="11"/>
      <c r="J19" s="7" t="b">
        <f ca="1">IFERROR(__xludf.DUMMYFUNCTION("""COMPUTED_VALUE"""),TRUE)</f>
        <v>1</v>
      </c>
      <c r="K19" s="7" t="b">
        <f ca="1">IFERROR(__xludf.DUMMYFUNCTION("""COMPUTED_VALUE"""),TRUE)</f>
        <v>1</v>
      </c>
      <c r="L19" s="7" t="b">
        <f ca="1">IFERROR(__xludf.DUMMYFUNCTION("""COMPUTED_VALUE"""),TRUE)</f>
        <v>1</v>
      </c>
      <c r="M19" s="7" t="b">
        <f ca="1">IFERROR(__xludf.DUMMYFUNCTION("""COMPUTED_VALUE"""),TRUE)</f>
        <v>1</v>
      </c>
      <c r="N19" s="8" t="str">
        <f ca="1">IFERROR(__xludf.DUMMYFUNCTION("""COMPUTED_VALUE"""),"Completed")</f>
        <v>Completed</v>
      </c>
      <c r="O19" s="12">
        <f ca="1">IFERROR(__xludf.DUMMYFUNCTION("""COMPUTED_VALUE"""),3102000)</f>
        <v>3102000</v>
      </c>
      <c r="P19" s="12">
        <f ca="1">IFERROR(__xludf.DUMMYFUNCTION("""COMPUTED_VALUE"""),3149238.5786802)</f>
        <v>3149238.5786802</v>
      </c>
      <c r="Q19" s="12">
        <f ca="1">IFERROR(__xludf.DUMMYFUNCTION("""COMPUTED_VALUE"""),47238.578680203)</f>
        <v>47238.578680202998</v>
      </c>
      <c r="R19" s="12">
        <f ca="1">IFERROR(__xludf.DUMMYFUNCTION("""COMPUTED_VALUE"""),409401.015228426)</f>
        <v>409401.01522842603</v>
      </c>
      <c r="S19" s="12">
        <f ca="1">IFERROR(__xludf.DUMMYFUNCTION("""COMPUTED_VALUE"""),3558639.59390863)</f>
        <v>3558639.5939086298</v>
      </c>
      <c r="T19" s="11">
        <f ca="1">IFERROR(__xludf.DUMMYFUNCTION("""COMPUTED_VALUE"""),45666)</f>
        <v>45666</v>
      </c>
      <c r="U19" s="14" t="str">
        <f ca="1">IFERROR(__xludf.DUMMYFUNCTION("""COMPUTED_VALUE""")," NO ")</f>
        <v xml:space="preserve"> NO </v>
      </c>
      <c r="V19" s="11"/>
      <c r="W19" s="14" t="str">
        <f ca="1">IFERROR(__xludf.DUMMYFUNCTION("""COMPUTED_VALUE""")," NO ")</f>
        <v xml:space="preserve"> NO </v>
      </c>
    </row>
    <row r="20" spans="1:23" x14ac:dyDescent="0.25">
      <c r="A20" s="7">
        <f t="shared" ca="1" si="0"/>
        <v>19</v>
      </c>
      <c r="B20" s="8" t="str">
        <f ca="1">IFERROR(__xludf.DUMMYFUNCTION("""COMPUTED_VALUE"""),"Chilime Hub 220kV")</f>
        <v>Chilime Hub 220kV</v>
      </c>
      <c r="C20" s="9"/>
      <c r="D20" s="10" t="str">
        <f ca="1">IFERROR(__xludf.DUMMYFUNCTION("""COMPUTED_VALUE"""),"Substation")</f>
        <v>Substation</v>
      </c>
      <c r="E20" s="8" t="str">
        <f ca="1">IFERROR(__xludf.DUMMYFUNCTION("""COMPUTED_VALUE"""),"Er. Ram Sharan Timilsina")</f>
        <v>Er. Ram Sharan Timilsina</v>
      </c>
      <c r="F20" s="8"/>
      <c r="G20" s="7">
        <f ca="1">IFERROR(__xludf.DUMMYFUNCTION("""COMPUTED_VALUE"""),0)</f>
        <v>0</v>
      </c>
      <c r="H20" s="11">
        <f ca="1">IFERROR(__xludf.DUMMYFUNCTION("""COMPUTED_VALUE"""),45624)</f>
        <v>45624</v>
      </c>
      <c r="I20" s="11"/>
      <c r="J20" s="7" t="b">
        <f ca="1">IFERROR(__xludf.DUMMYFUNCTION("""COMPUTED_VALUE"""),TRUE)</f>
        <v>1</v>
      </c>
      <c r="K20" s="7" t="b">
        <f ca="1">IFERROR(__xludf.DUMMYFUNCTION("""COMPUTED_VALUE"""),TRUE)</f>
        <v>1</v>
      </c>
      <c r="L20" s="7" t="b">
        <f ca="1">IFERROR(__xludf.DUMMYFUNCTION("""COMPUTED_VALUE"""),TRUE)</f>
        <v>1</v>
      </c>
      <c r="M20" s="7" t="b">
        <f ca="1">IFERROR(__xludf.DUMMYFUNCTION("""COMPUTED_VALUE"""),FALSE)</f>
        <v>0</v>
      </c>
      <c r="N20" s="8" t="str">
        <f ca="1">IFERROR(__xludf.DUMMYFUNCTION("""COMPUTED_VALUE"""),"In Progress")</f>
        <v>In Progress</v>
      </c>
      <c r="O20" s="12">
        <f ca="1">IFERROR(__xludf.DUMMYFUNCTION("""COMPUTED_VALUE"""),5102000)</f>
        <v>5102000</v>
      </c>
      <c r="P20" s="12">
        <f ca="1">IFERROR(__xludf.DUMMYFUNCTION("""COMPUTED_VALUE"""),5179695.43147208)</f>
        <v>5179695.4314720798</v>
      </c>
      <c r="Q20" s="12">
        <f ca="1">IFERROR(__xludf.DUMMYFUNCTION("""COMPUTED_VALUE"""),77695.4314720812)</f>
        <v>77695.431472081196</v>
      </c>
      <c r="R20" s="12">
        <f ca="1">IFERROR(__xludf.DUMMYFUNCTION("""COMPUTED_VALUE"""),673360.40609137)</f>
        <v>673360.40609137004</v>
      </c>
      <c r="S20" s="12">
        <f ca="1">IFERROR(__xludf.DUMMYFUNCTION("""COMPUTED_VALUE"""),5853055.83756345)</f>
        <v>5853055.8375634504</v>
      </c>
      <c r="T20" s="11">
        <f ca="1">IFERROR(__xludf.DUMMYFUNCTION("""COMPUTED_VALUE"""),45666)</f>
        <v>45666</v>
      </c>
      <c r="U20" s="14" t="str">
        <f ca="1">IFERROR(__xludf.DUMMYFUNCTION("""COMPUTED_VALUE""")," NO ")</f>
        <v xml:space="preserve"> NO </v>
      </c>
      <c r="V20" s="11"/>
      <c r="W20" s="14" t="str">
        <f ca="1">IFERROR(__xludf.DUMMYFUNCTION("""COMPUTED_VALUE""")," NO ")</f>
        <v xml:space="preserve"> NO </v>
      </c>
    </row>
    <row r="21" spans="1:23" ht="15.75" customHeight="1" x14ac:dyDescent="0.25">
      <c r="A21" s="7">
        <f t="shared" ca="1" si="0"/>
        <v>20</v>
      </c>
      <c r="B21" s="8" t="str">
        <f ca="1">IFERROR(__xludf.DUMMYFUNCTION("""COMPUTED_VALUE"""),"Sanjen (42.5MW)")</f>
        <v>Sanjen (42.5MW)</v>
      </c>
      <c r="C21" s="9" t="str">
        <f ca="1">IFERROR(__xludf.DUMMYFUNCTION("""COMPUTED_VALUE"""),"Sanjen Jalvidyut Company Limited")</f>
        <v>Sanjen Jalvidyut Company Limited</v>
      </c>
      <c r="D21" s="10" t="str">
        <f ca="1">IFERROR(__xludf.DUMMYFUNCTION("""COMPUTED_VALUE"""),"Powerhouse")</f>
        <v>Powerhouse</v>
      </c>
      <c r="E21" s="8" t="str">
        <f ca="1">IFERROR(__xludf.DUMMYFUNCTION("""COMPUTED_VALUE"""),"Er. Ram Sharan Timilsina")</f>
        <v>Er. Ram Sharan Timilsina</v>
      </c>
      <c r="F21" s="8"/>
      <c r="G21" s="7">
        <f ca="1">IFERROR(__xludf.DUMMYFUNCTION("""COMPUTED_VALUE"""),0)</f>
        <v>0</v>
      </c>
      <c r="H21" s="11">
        <f ca="1">IFERROR(__xludf.DUMMYFUNCTION("""COMPUTED_VALUE"""),45634)</f>
        <v>45634</v>
      </c>
      <c r="I21" s="11"/>
      <c r="J21" s="7" t="b">
        <f ca="1">IFERROR(__xludf.DUMMYFUNCTION("""COMPUTED_VALUE"""),TRUE)</f>
        <v>1</v>
      </c>
      <c r="K21" s="7" t="b">
        <f ca="1">IFERROR(__xludf.DUMMYFUNCTION("""COMPUTED_VALUE"""),TRUE)</f>
        <v>1</v>
      </c>
      <c r="L21" s="7" t="b">
        <f ca="1">IFERROR(__xludf.DUMMYFUNCTION("""COMPUTED_VALUE"""),TRUE)</f>
        <v>1</v>
      </c>
      <c r="M21" s="7" t="b">
        <f ca="1">IFERROR(__xludf.DUMMYFUNCTION("""COMPUTED_VALUE"""),FALSE)</f>
        <v>0</v>
      </c>
      <c r="N21" s="8" t="str">
        <f ca="1">IFERROR(__xludf.DUMMYFUNCTION("""COMPUTED_VALUE"""),"In Progress")</f>
        <v>In Progress</v>
      </c>
      <c r="O21" s="12">
        <f ca="1">IFERROR(__xludf.DUMMYFUNCTION("""COMPUTED_VALUE"""),2852000)</f>
        <v>2852000</v>
      </c>
      <c r="P21" s="12">
        <f ca="1">IFERROR(__xludf.DUMMYFUNCTION("""COMPUTED_VALUE"""),2895431.47208121)</f>
        <v>2895431.47208121</v>
      </c>
      <c r="Q21" s="12">
        <f ca="1">IFERROR(__xludf.DUMMYFUNCTION("""COMPUTED_VALUE"""),43431.4720812182)</f>
        <v>43431.472081218199</v>
      </c>
      <c r="R21" s="12">
        <f ca="1">IFERROR(__xludf.DUMMYFUNCTION("""COMPUTED_VALUE"""),376406.091370558)</f>
        <v>376406.09137055802</v>
      </c>
      <c r="S21" s="13">
        <f ca="1">IFERROR(__xludf.DUMMYFUNCTION("""COMPUTED_VALUE"""),3271837.56345177)</f>
        <v>3271837.5634517702</v>
      </c>
      <c r="T21" s="11">
        <f ca="1">IFERROR(__xludf.DUMMYFUNCTION("""COMPUTED_VALUE"""),45639)</f>
        <v>45639</v>
      </c>
      <c r="U21" s="14" t="str">
        <f ca="1">IFERROR(__xludf.DUMMYFUNCTION("""COMPUTED_VALUE""")," YES ")</f>
        <v xml:space="preserve"> YES </v>
      </c>
      <c r="V21" s="11">
        <f ca="1">IFERROR(__xludf.DUMMYFUNCTION("""COMPUTED_VALUE"""),45643)</f>
        <v>45643</v>
      </c>
      <c r="W21" s="14" t="str">
        <f ca="1">IFERROR(__xludf.DUMMYFUNCTION("""COMPUTED_VALUE""")," NO ")</f>
        <v xml:space="preserve"> NO </v>
      </c>
    </row>
    <row r="22" spans="1:23" ht="15.75" customHeight="1" x14ac:dyDescent="0.25">
      <c r="A22" s="7">
        <f t="shared" ca="1" si="0"/>
        <v>21</v>
      </c>
      <c r="B22" s="8" t="str">
        <f ca="1">IFERROR(__xludf.DUMMYFUNCTION("""COMPUTED_VALUE"""),"Sanjen Upper (14.8MW)")</f>
        <v>Sanjen Upper (14.8MW)</v>
      </c>
      <c r="C22" s="9" t="str">
        <f ca="1">IFERROR(__xludf.DUMMYFUNCTION("""COMPUTED_VALUE"""),"Sanjen Jalvidyut Company Limited")</f>
        <v>Sanjen Jalvidyut Company Limited</v>
      </c>
      <c r="D22" s="10" t="str">
        <f ca="1">IFERROR(__xludf.DUMMYFUNCTION("""COMPUTED_VALUE"""),"Powerhouse")</f>
        <v>Powerhouse</v>
      </c>
      <c r="E22" s="8" t="str">
        <f ca="1">IFERROR(__xludf.DUMMYFUNCTION("""COMPUTED_VALUE"""),"Er. Ram Sharan Timilsina")</f>
        <v>Er. Ram Sharan Timilsina</v>
      </c>
      <c r="F22" s="8"/>
      <c r="G22" s="7">
        <f ca="1">IFERROR(__xludf.DUMMYFUNCTION("""COMPUTED_VALUE"""),0)</f>
        <v>0</v>
      </c>
      <c r="H22" s="11">
        <f ca="1">IFERROR(__xludf.DUMMYFUNCTION("""COMPUTED_VALUE"""),45634)</f>
        <v>45634</v>
      </c>
      <c r="I22" s="11">
        <f ca="1">IFERROR(__xludf.DUMMYFUNCTION("""COMPUTED_VALUE"""),45649)</f>
        <v>45649</v>
      </c>
      <c r="J22" s="7" t="b">
        <f ca="1">IFERROR(__xludf.DUMMYFUNCTION("""COMPUTED_VALUE"""),TRUE)</f>
        <v>1</v>
      </c>
      <c r="K22" s="7" t="b">
        <f ca="1">IFERROR(__xludf.DUMMYFUNCTION("""COMPUTED_VALUE"""),TRUE)</f>
        <v>1</v>
      </c>
      <c r="L22" s="7" t="b">
        <f ca="1">IFERROR(__xludf.DUMMYFUNCTION("""COMPUTED_VALUE"""),TRUE)</f>
        <v>1</v>
      </c>
      <c r="M22" s="7" t="b">
        <f ca="1">IFERROR(__xludf.DUMMYFUNCTION("""COMPUTED_VALUE"""),TRUE)</f>
        <v>1</v>
      </c>
      <c r="N22" s="8" t="str">
        <f ca="1">IFERROR(__xludf.DUMMYFUNCTION("""COMPUTED_VALUE"""),"Completed")</f>
        <v>Completed</v>
      </c>
      <c r="O22" s="12">
        <f ca="1">IFERROR(__xludf.DUMMYFUNCTION("""COMPUTED_VALUE"""),2352000)</f>
        <v>2352000</v>
      </c>
      <c r="P22" s="12">
        <f ca="1">IFERROR(__xludf.DUMMYFUNCTION("""COMPUTED_VALUE"""),2387817.25888324)</f>
        <v>2387817.2588832402</v>
      </c>
      <c r="Q22" s="12">
        <f ca="1">IFERROR(__xludf.DUMMYFUNCTION("""COMPUTED_VALUE"""),35817.2588832487)</f>
        <v>35817.258883248702</v>
      </c>
      <c r="R22" s="12">
        <f ca="1">IFERROR(__xludf.DUMMYFUNCTION("""COMPUTED_VALUE"""),310416.243654822)</f>
        <v>310416.243654822</v>
      </c>
      <c r="S22" s="12">
        <f ca="1">IFERROR(__xludf.DUMMYFUNCTION("""COMPUTED_VALUE"""),2698233.50253807)</f>
        <v>2698233.5025380701</v>
      </c>
      <c r="T22" s="11">
        <f ca="1">IFERROR(__xludf.DUMMYFUNCTION("""COMPUTED_VALUE"""),45639)</f>
        <v>45639</v>
      </c>
      <c r="U22" s="14" t="str">
        <f ca="1">IFERROR(__xludf.DUMMYFUNCTION("""COMPUTED_VALUE""")," YES ")</f>
        <v xml:space="preserve"> YES </v>
      </c>
      <c r="V22" s="11">
        <f ca="1">IFERROR(__xludf.DUMMYFUNCTION("""COMPUTED_VALUE"""),45643)</f>
        <v>45643</v>
      </c>
      <c r="W22" s="14" t="str">
        <f ca="1">IFERROR(__xludf.DUMMYFUNCTION("""COMPUTED_VALUE""")," NO ")</f>
        <v xml:space="preserve"> NO </v>
      </c>
    </row>
    <row r="23" spans="1:23" ht="15.75" customHeight="1" x14ac:dyDescent="0.25">
      <c r="A23" s="7">
        <f t="shared" ca="1" si="0"/>
        <v>22</v>
      </c>
      <c r="B23" s="8" t="str">
        <f ca="1">IFERROR(__xludf.DUMMYFUNCTION("""COMPUTED_VALUE"""),"Mathillo Mardi(7)+ Mardi(4.8MW)")</f>
        <v>Mathillo Mardi(7)+ Mardi(4.8MW)</v>
      </c>
      <c r="C23" s="9" t="str">
        <f ca="1">IFERROR(__xludf.DUMMYFUNCTION("""COMPUTED_VALUE"""),"United IDI Mardi and RB Hydropower Ltd")</f>
        <v>United IDI Mardi and RB Hydropower Ltd</v>
      </c>
      <c r="D23" s="10" t="str">
        <f ca="1">IFERROR(__xludf.DUMMYFUNCTION("""COMPUTED_VALUE"""),"Powerhouse")</f>
        <v>Powerhouse</v>
      </c>
      <c r="E23" s="8" t="str">
        <f ca="1">IFERROR(__xludf.DUMMYFUNCTION("""COMPUTED_VALUE"""),"Er. Ram Sharan Timilsina")</f>
        <v>Er. Ram Sharan Timilsina</v>
      </c>
      <c r="F23" s="8"/>
      <c r="G23" s="7"/>
      <c r="H23" s="11"/>
      <c r="I23" s="11"/>
      <c r="J23" s="7" t="b">
        <f ca="1">IFERROR(__xludf.DUMMYFUNCTION("""COMPUTED_VALUE"""),TRUE)</f>
        <v>1</v>
      </c>
      <c r="K23" s="7" t="b">
        <f ca="1">IFERROR(__xludf.DUMMYFUNCTION("""COMPUTED_VALUE"""),TRUE)</f>
        <v>1</v>
      </c>
      <c r="L23" s="7" t="b">
        <f ca="1">IFERROR(__xludf.DUMMYFUNCTION("""COMPUTED_VALUE"""),TRUE)</f>
        <v>1</v>
      </c>
      <c r="M23" s="7" t="b">
        <f ca="1">IFERROR(__xludf.DUMMYFUNCTION("""COMPUTED_VALUE"""),TRUE)</f>
        <v>1</v>
      </c>
      <c r="N23" s="8" t="str">
        <f ca="1">IFERROR(__xludf.DUMMYFUNCTION("""COMPUTED_VALUE"""),"Completed")</f>
        <v>Completed</v>
      </c>
      <c r="O23" s="12">
        <f ca="1">IFERROR(__xludf.DUMMYFUNCTION("""COMPUTED_VALUE"""),250000)</f>
        <v>250000</v>
      </c>
      <c r="P23" s="12">
        <f ca="1">IFERROR(__xludf.DUMMYFUNCTION("""COMPUTED_VALUE"""),253807.106598984)</f>
        <v>253807.10659898401</v>
      </c>
      <c r="Q23" s="12">
        <f ca="1">IFERROR(__xludf.DUMMYFUNCTION("""COMPUTED_VALUE"""),3807.10659898477)</f>
        <v>3807.1065989847698</v>
      </c>
      <c r="R23" s="12">
        <f ca="1">IFERROR(__xludf.DUMMYFUNCTION("""COMPUTED_VALUE"""),32994.923857868)</f>
        <v>32994.923857868002</v>
      </c>
      <c r="S23" s="13">
        <f ca="1">IFERROR(__xludf.DUMMYFUNCTION("""COMPUTED_VALUE"""),286802.030456852)</f>
        <v>286802.03045685199</v>
      </c>
      <c r="T23" s="11"/>
      <c r="U23" s="14" t="str">
        <f ca="1">IFERROR(__xludf.DUMMYFUNCTION("""COMPUTED_VALUE""")," NO ")</f>
        <v xml:space="preserve"> NO </v>
      </c>
      <c r="V23" s="11"/>
      <c r="W23" s="14" t="str">
        <f ca="1">IFERROR(__xludf.DUMMYFUNCTION("""COMPUTED_VALUE""")," NO ")</f>
        <v xml:space="preserve"> NO </v>
      </c>
    </row>
    <row r="24" spans="1:23" ht="15.75" customHeight="1" x14ac:dyDescent="0.25">
      <c r="A24" s="7">
        <f t="shared" ca="1" si="0"/>
        <v>23</v>
      </c>
      <c r="B24" s="8" t="str">
        <f ca="1">IFERROR(__xludf.DUMMYFUNCTION("""COMPUTED_VALUE"""),"New Marshyangdi ")</f>
        <v xml:space="preserve">New Marshyangdi </v>
      </c>
      <c r="C24" s="9"/>
      <c r="D24" s="10" t="str">
        <f ca="1">IFERROR(__xludf.DUMMYFUNCTION("""COMPUTED_VALUE"""),"Substation")</f>
        <v>Substation</v>
      </c>
      <c r="E24" s="8" t="str">
        <f ca="1">IFERROR(__xludf.DUMMYFUNCTION("""COMPUTED_VALUE"""),"Er. Ram Sharan Timilsina")</f>
        <v>Er. Ram Sharan Timilsina</v>
      </c>
      <c r="F24" s="8"/>
      <c r="G24" s="7"/>
      <c r="H24" s="11"/>
      <c r="I24" s="11"/>
      <c r="J24" s="7" t="b">
        <f ca="1">IFERROR(__xludf.DUMMYFUNCTION("""COMPUTED_VALUE"""),TRUE)</f>
        <v>1</v>
      </c>
      <c r="K24" s="7" t="b">
        <f ca="1">IFERROR(__xludf.DUMMYFUNCTION("""COMPUTED_VALUE"""),TRUE)</f>
        <v>1</v>
      </c>
      <c r="L24" s="7" t="b">
        <f ca="1">IFERROR(__xludf.DUMMYFUNCTION("""COMPUTED_VALUE"""),TRUE)</f>
        <v>1</v>
      </c>
      <c r="M24" s="7" t="b">
        <f ca="1">IFERROR(__xludf.DUMMYFUNCTION("""COMPUTED_VALUE"""),FALSE)</f>
        <v>0</v>
      </c>
      <c r="N24" s="8" t="str">
        <f ca="1">IFERROR(__xludf.DUMMYFUNCTION("""COMPUTED_VALUE"""),"In Progress")</f>
        <v>In Progress</v>
      </c>
      <c r="O24" s="12">
        <f ca="1">IFERROR(__xludf.DUMMYFUNCTION("""COMPUTED_VALUE"""),6102000)</f>
        <v>6102000</v>
      </c>
      <c r="P24" s="12">
        <f ca="1">IFERROR(__xludf.DUMMYFUNCTION("""COMPUTED_VALUE"""),6194923.85786802)</f>
        <v>6194923.8578680204</v>
      </c>
      <c r="Q24" s="12">
        <f ca="1">IFERROR(__xludf.DUMMYFUNCTION("""COMPUTED_VALUE"""),92923.8578680203)</f>
        <v>92923.857868020306</v>
      </c>
      <c r="R24" s="12">
        <f ca="1">IFERROR(__xludf.DUMMYFUNCTION("""COMPUTED_VALUE"""),805340.101522842)</f>
        <v>805340.10152284196</v>
      </c>
      <c r="S24" s="13">
        <f ca="1">IFERROR(__xludf.DUMMYFUNCTION("""COMPUTED_VALUE"""),7000263.95939086)</f>
        <v>7000263.9593908601</v>
      </c>
      <c r="T24" s="11">
        <f ca="1">IFERROR(__xludf.DUMMYFUNCTION("""COMPUTED_VALUE"""),45666)</f>
        <v>45666</v>
      </c>
      <c r="U24" s="14" t="str">
        <f ca="1">IFERROR(__xludf.DUMMYFUNCTION("""COMPUTED_VALUE""")," NO ")</f>
        <v xml:space="preserve"> NO </v>
      </c>
      <c r="V24" s="11"/>
      <c r="W24" s="14" t="str">
        <f ca="1">IFERROR(__xludf.DUMMYFUNCTION("""COMPUTED_VALUE""")," NO ")</f>
        <v xml:space="preserve"> NO </v>
      </c>
    </row>
    <row r="25" spans="1:23" ht="15.75" customHeight="1" x14ac:dyDescent="0.25">
      <c r="A25" s="7">
        <f t="shared" ca="1" si="0"/>
        <v>24</v>
      </c>
      <c r="B25" s="8" t="str">
        <f ca="1">IFERROR(__xludf.DUMMYFUNCTION("""COMPUTED_VALUE"""),"Khimti 2(48.8MW)")</f>
        <v>Khimti 2(48.8MW)</v>
      </c>
      <c r="C25" s="9" t="str">
        <f ca="1">IFERROR(__xludf.DUMMYFUNCTION("""COMPUTED_VALUE"""),"Peoples Energy Limited")</f>
        <v>Peoples Energy Limited</v>
      </c>
      <c r="D25" s="10" t="str">
        <f ca="1">IFERROR(__xludf.DUMMYFUNCTION("""COMPUTED_VALUE"""),"Powerhouse")</f>
        <v>Powerhouse</v>
      </c>
      <c r="E25" s="8" t="str">
        <f ca="1">IFERROR(__xludf.DUMMYFUNCTION("""COMPUTED_VALUE"""),"Er. Ram Sharan Timilsina")</f>
        <v>Er. Ram Sharan Timilsina</v>
      </c>
      <c r="F25" s="8"/>
      <c r="G25" s="7"/>
      <c r="H25" s="11">
        <f ca="1">IFERROR(__xludf.DUMMYFUNCTION("""COMPUTED_VALUE"""),45700)</f>
        <v>45700</v>
      </c>
      <c r="I25" s="11"/>
      <c r="J25" s="7" t="b">
        <f ca="1">IFERROR(__xludf.DUMMYFUNCTION("""COMPUTED_VALUE"""),TRUE)</f>
        <v>1</v>
      </c>
      <c r="K25" s="7" t="b">
        <f ca="1">IFERROR(__xludf.DUMMYFUNCTION("""COMPUTED_VALUE"""),TRUE)</f>
        <v>1</v>
      </c>
      <c r="L25" s="7" t="b">
        <f ca="1">IFERROR(__xludf.DUMMYFUNCTION("""COMPUTED_VALUE"""),TRUE)</f>
        <v>1</v>
      </c>
      <c r="M25" s="7" t="b">
        <f ca="1">IFERROR(__xludf.DUMMYFUNCTION("""COMPUTED_VALUE"""),FALSE)</f>
        <v>0</v>
      </c>
      <c r="N25" s="8" t="str">
        <f ca="1">IFERROR(__xludf.DUMMYFUNCTION("""COMPUTED_VALUE"""),"In Progress")</f>
        <v>In Progress</v>
      </c>
      <c r="O25" s="12">
        <f ca="1">IFERROR(__xludf.DUMMYFUNCTION("""COMPUTED_VALUE"""),2602000)</f>
        <v>2602000</v>
      </c>
      <c r="P25" s="12">
        <f ca="1">IFERROR(__xludf.DUMMYFUNCTION("""COMPUTED_VALUE"""),2641624.36548223)</f>
        <v>2641624.3654822302</v>
      </c>
      <c r="Q25" s="12">
        <f ca="1">IFERROR(__xludf.DUMMYFUNCTION("""COMPUTED_VALUE"""),39624.3654822335)</f>
        <v>39624.365482233501</v>
      </c>
      <c r="R25" s="12">
        <f ca="1">IFERROR(__xludf.DUMMYFUNCTION("""COMPUTED_VALUE"""),343411.16751269)</f>
        <v>343411.16751269001</v>
      </c>
      <c r="S25" s="12">
        <f ca="1">IFERROR(__xludf.DUMMYFUNCTION("""COMPUTED_VALUE"""),2985035.53299492)</f>
        <v>2985035.5329949199</v>
      </c>
      <c r="T25" s="11">
        <f ca="1">IFERROR(__xludf.DUMMYFUNCTION("""COMPUTED_VALUE"""),45660)</f>
        <v>45660</v>
      </c>
      <c r="U25" s="14" t="str">
        <f ca="1">IFERROR(__xludf.DUMMYFUNCTION("""COMPUTED_VALUE""")," NO ")</f>
        <v xml:space="preserve"> NO </v>
      </c>
      <c r="V25" s="11"/>
      <c r="W25" s="14" t="str">
        <f ca="1">IFERROR(__xludf.DUMMYFUNCTION("""COMPUTED_VALUE""")," NO ")</f>
        <v xml:space="preserve"> NO </v>
      </c>
    </row>
    <row r="26" spans="1:23" ht="15.75" customHeight="1" x14ac:dyDescent="0.25">
      <c r="A26" s="7">
        <f t="shared" ca="1" si="0"/>
        <v>25</v>
      </c>
      <c r="B26" s="8" t="str">
        <f ca="1">IFERROR(__xludf.DUMMYFUNCTION("""COMPUTED_VALUE"""),"Bhimsensthan (Khimti Garjyang LILO)")</f>
        <v>Bhimsensthan (Khimti Garjyang LILO)</v>
      </c>
      <c r="C26" s="9" t="str">
        <f ca="1">IFERROR(__xludf.DUMMYFUNCTION("""COMPUTED_VALUE"""),"Peoples Energy Limited")</f>
        <v>Peoples Energy Limited</v>
      </c>
      <c r="D26" s="10" t="str">
        <f ca="1">IFERROR(__xludf.DUMMYFUNCTION("""COMPUTED_VALUE"""),"Substation")</f>
        <v>Substation</v>
      </c>
      <c r="E26" s="8" t="str">
        <f ca="1">IFERROR(__xludf.DUMMYFUNCTION("""COMPUTED_VALUE"""),"Er. Ram Sharan Timilsina")</f>
        <v>Er. Ram Sharan Timilsina</v>
      </c>
      <c r="F26" s="8"/>
      <c r="G26" s="7"/>
      <c r="H26" s="11">
        <f ca="1">IFERROR(__xludf.DUMMYFUNCTION("""COMPUTED_VALUE"""),45701)</f>
        <v>45701</v>
      </c>
      <c r="I26" s="11"/>
      <c r="J26" s="7" t="b">
        <f ca="1">IFERROR(__xludf.DUMMYFUNCTION("""COMPUTED_VALUE"""),TRUE)</f>
        <v>1</v>
      </c>
      <c r="K26" s="7" t="b">
        <f ca="1">IFERROR(__xludf.DUMMYFUNCTION("""COMPUTED_VALUE"""),TRUE)</f>
        <v>1</v>
      </c>
      <c r="L26" s="7" t="b">
        <f ca="1">IFERROR(__xludf.DUMMYFUNCTION("""COMPUTED_VALUE"""),TRUE)</f>
        <v>1</v>
      </c>
      <c r="M26" s="7" t="b">
        <f ca="1">IFERROR(__xludf.DUMMYFUNCTION("""COMPUTED_VALUE"""),FALSE)</f>
        <v>0</v>
      </c>
      <c r="N26" s="8" t="str">
        <f ca="1">IFERROR(__xludf.DUMMYFUNCTION("""COMPUTED_VALUE"""),"In Progress")</f>
        <v>In Progress</v>
      </c>
      <c r="O26" s="12">
        <f ca="1">IFERROR(__xludf.DUMMYFUNCTION("""COMPUTED_VALUE"""),2852000)</f>
        <v>2852000</v>
      </c>
      <c r="P26" s="12">
        <f ca="1">IFERROR(__xludf.DUMMYFUNCTION("""COMPUTED_VALUE"""),2895431.47208121)</f>
        <v>2895431.47208121</v>
      </c>
      <c r="Q26" s="12">
        <f ca="1">IFERROR(__xludf.DUMMYFUNCTION("""COMPUTED_VALUE"""),43431.4720812182)</f>
        <v>43431.472081218199</v>
      </c>
      <c r="R26" s="12">
        <f ca="1">IFERROR(__xludf.DUMMYFUNCTION("""COMPUTED_VALUE"""),376406.091370558)</f>
        <v>376406.09137055802</v>
      </c>
      <c r="S26" s="12">
        <f ca="1">IFERROR(__xludf.DUMMYFUNCTION("""COMPUTED_VALUE"""),3271837.56345177)</f>
        <v>3271837.5634517702</v>
      </c>
      <c r="T26" s="11">
        <f ca="1">IFERROR(__xludf.DUMMYFUNCTION("""COMPUTED_VALUE"""),45660)</f>
        <v>45660</v>
      </c>
      <c r="U26" s="14" t="str">
        <f ca="1">IFERROR(__xludf.DUMMYFUNCTION("""COMPUTED_VALUE""")," NO ")</f>
        <v xml:space="preserve"> NO </v>
      </c>
      <c r="V26" s="11"/>
      <c r="W26" s="14" t="str">
        <f ca="1">IFERROR(__xludf.DUMMYFUNCTION("""COMPUTED_VALUE""")," NO ")</f>
        <v xml:space="preserve"> NO </v>
      </c>
    </row>
    <row r="27" spans="1:23" ht="15.75" customHeight="1" x14ac:dyDescent="0.25">
      <c r="A27" s="7" t="str">
        <f t="shared" si="0"/>
        <v/>
      </c>
      <c r="B27" s="8"/>
      <c r="C27" s="9"/>
      <c r="D27" s="8"/>
      <c r="E27" s="8"/>
      <c r="F27" s="8"/>
      <c r="G27" s="7"/>
      <c r="H27" s="11"/>
      <c r="I27" s="11"/>
      <c r="J27" s="7" t="b">
        <v>0</v>
      </c>
      <c r="K27" s="7" t="b">
        <v>0</v>
      </c>
      <c r="L27" s="7" t="b">
        <v>0</v>
      </c>
      <c r="M27" s="7" t="b">
        <v>0</v>
      </c>
      <c r="N27" s="8"/>
      <c r="O27" s="12"/>
      <c r="P27" s="12"/>
      <c r="Q27" s="12"/>
      <c r="R27" s="12"/>
      <c r="S27" s="12"/>
      <c r="T27" s="11"/>
      <c r="U27" s="14"/>
      <c r="V27" s="11"/>
      <c r="W27" s="14"/>
    </row>
    <row r="28" spans="1:23" ht="15.75" customHeight="1" x14ac:dyDescent="0.25">
      <c r="A28" s="7" t="str">
        <f t="shared" si="0"/>
        <v/>
      </c>
      <c r="B28" s="8"/>
      <c r="C28" s="9"/>
      <c r="D28" s="8"/>
      <c r="E28" s="8"/>
      <c r="F28" s="8"/>
      <c r="G28" s="7"/>
      <c r="H28" s="11"/>
      <c r="I28" s="11"/>
      <c r="J28" s="7" t="b">
        <v>0</v>
      </c>
      <c r="K28" s="7" t="b">
        <v>0</v>
      </c>
      <c r="L28" s="7" t="b">
        <v>0</v>
      </c>
      <c r="M28" s="7" t="b">
        <v>0</v>
      </c>
      <c r="N28" s="8"/>
      <c r="O28" s="12"/>
      <c r="P28" s="12"/>
      <c r="Q28" s="12"/>
      <c r="R28" s="12"/>
      <c r="S28" s="13"/>
      <c r="T28" s="11"/>
      <c r="U28" s="14"/>
      <c r="V28" s="11"/>
      <c r="W28" s="14"/>
    </row>
    <row r="29" spans="1:23" ht="15.75" customHeight="1" x14ac:dyDescent="0.25">
      <c r="A29" s="7" t="str">
        <f t="shared" si="0"/>
        <v/>
      </c>
      <c r="B29" s="8"/>
      <c r="C29" s="9"/>
      <c r="D29" s="8"/>
      <c r="E29" s="8"/>
      <c r="F29" s="8"/>
      <c r="G29" s="7"/>
      <c r="H29" s="11"/>
      <c r="I29" s="11"/>
      <c r="J29" s="7" t="b">
        <v>0</v>
      </c>
      <c r="K29" s="7" t="b">
        <v>0</v>
      </c>
      <c r="L29" s="7" t="b">
        <v>0</v>
      </c>
      <c r="M29" s="7" t="b">
        <v>0</v>
      </c>
      <c r="N29" s="8"/>
      <c r="O29" s="12"/>
      <c r="P29" s="12"/>
      <c r="Q29" s="12"/>
      <c r="R29" s="12"/>
      <c r="S29" s="13"/>
      <c r="T29" s="11"/>
      <c r="U29" s="14"/>
      <c r="V29" s="11"/>
      <c r="W29" s="14"/>
    </row>
    <row r="30" spans="1:23" ht="15.75" customHeight="1" x14ac:dyDescent="0.25">
      <c r="A30" s="7" t="str">
        <f t="shared" si="0"/>
        <v/>
      </c>
      <c r="B30" s="8"/>
      <c r="C30" s="9"/>
      <c r="D30" s="8"/>
      <c r="E30" s="8"/>
      <c r="F30" s="8"/>
      <c r="G30" s="7"/>
      <c r="H30" s="11"/>
      <c r="I30" s="11"/>
      <c r="J30" s="7" t="b">
        <v>0</v>
      </c>
      <c r="K30" s="7" t="b">
        <v>0</v>
      </c>
      <c r="L30" s="7" t="b">
        <v>0</v>
      </c>
      <c r="M30" s="7" t="b">
        <v>0</v>
      </c>
      <c r="N30" s="8"/>
      <c r="O30" s="12"/>
      <c r="P30" s="12"/>
      <c r="Q30" s="12"/>
      <c r="R30" s="12"/>
      <c r="S30" s="13">
        <f ca="1">SUM(S2:S29)</f>
        <v>93777380.710659802</v>
      </c>
      <c r="T30" s="11"/>
      <c r="U30" s="14"/>
      <c r="V30" s="11"/>
      <c r="W30" s="14"/>
    </row>
    <row r="31" spans="1:23" ht="15.75" customHeight="1" x14ac:dyDescent="0.25">
      <c r="A31" s="7" t="str">
        <f t="shared" si="0"/>
        <v/>
      </c>
      <c r="B31" s="8"/>
      <c r="C31" s="9"/>
      <c r="D31" s="8"/>
      <c r="E31" s="8"/>
      <c r="F31" s="8"/>
      <c r="G31" s="7"/>
      <c r="H31" s="11"/>
      <c r="I31" s="11"/>
      <c r="J31" s="7" t="b">
        <v>0</v>
      </c>
      <c r="K31" s="7" t="b">
        <v>0</v>
      </c>
      <c r="L31" s="7" t="b">
        <v>0</v>
      </c>
      <c r="M31" s="7" t="b">
        <v>0</v>
      </c>
      <c r="N31" s="8"/>
      <c r="O31" s="12"/>
      <c r="P31" s="12"/>
      <c r="Q31" s="12"/>
      <c r="R31" s="12"/>
      <c r="S31" s="12"/>
      <c r="T31" s="11"/>
      <c r="U31" s="14"/>
      <c r="V31" s="11"/>
      <c r="W31" s="14"/>
    </row>
    <row r="32" spans="1:23" ht="15.75" customHeight="1" x14ac:dyDescent="0.25">
      <c r="A32" s="7" t="str">
        <f t="shared" si="0"/>
        <v/>
      </c>
      <c r="B32" s="8"/>
      <c r="C32" s="9"/>
      <c r="D32" s="8"/>
      <c r="E32" s="8"/>
      <c r="F32" s="8"/>
      <c r="G32" s="7"/>
      <c r="H32" s="11"/>
      <c r="I32" s="11"/>
      <c r="J32" s="7" t="b">
        <v>0</v>
      </c>
      <c r="K32" s="7" t="b">
        <v>0</v>
      </c>
      <c r="L32" s="7" t="b">
        <v>0</v>
      </c>
      <c r="M32" s="7" t="b">
        <v>0</v>
      </c>
      <c r="N32" s="8"/>
      <c r="O32" s="12"/>
      <c r="P32" s="12"/>
      <c r="Q32" s="12"/>
      <c r="R32" s="12"/>
      <c r="S32" s="12"/>
      <c r="T32" s="11"/>
      <c r="U32" s="14"/>
      <c r="V32" s="11"/>
      <c r="W32" s="14"/>
    </row>
    <row r="33" spans="1:23" ht="15.75" customHeight="1" x14ac:dyDescent="0.25">
      <c r="A33" s="7" t="str">
        <f t="shared" si="0"/>
        <v/>
      </c>
      <c r="B33" s="8"/>
      <c r="C33" s="9"/>
      <c r="D33" s="8"/>
      <c r="E33" s="8"/>
      <c r="F33" s="8"/>
      <c r="G33" s="7"/>
      <c r="H33" s="11"/>
      <c r="I33" s="11"/>
      <c r="J33" s="7" t="b">
        <v>0</v>
      </c>
      <c r="K33" s="7" t="b">
        <v>0</v>
      </c>
      <c r="L33" s="7" t="b">
        <v>0</v>
      </c>
      <c r="M33" s="7" t="b">
        <v>0</v>
      </c>
      <c r="N33" s="8"/>
      <c r="O33" s="12"/>
      <c r="P33" s="12"/>
      <c r="Q33" s="12"/>
      <c r="R33" s="12"/>
      <c r="S33" s="12"/>
      <c r="T33" s="11"/>
      <c r="U33" s="14"/>
      <c r="V33" s="11"/>
      <c r="W33" s="14"/>
    </row>
    <row r="34" spans="1:23" ht="15.75" customHeight="1" x14ac:dyDescent="0.25">
      <c r="A34" s="7" t="str">
        <f t="shared" si="0"/>
        <v/>
      </c>
      <c r="B34" s="8"/>
      <c r="C34" s="9"/>
      <c r="D34" s="8"/>
      <c r="E34" s="8"/>
      <c r="F34" s="8"/>
      <c r="G34" s="7"/>
      <c r="H34" s="11"/>
      <c r="I34" s="11"/>
      <c r="J34" s="7"/>
      <c r="K34" s="7"/>
      <c r="L34" s="7"/>
      <c r="M34" s="7"/>
      <c r="N34" s="8"/>
      <c r="O34" s="12"/>
      <c r="P34" s="12"/>
      <c r="Q34" s="12"/>
      <c r="R34" s="12"/>
      <c r="S34" s="12"/>
      <c r="T34" s="11"/>
      <c r="U34" s="14"/>
      <c r="V34" s="11"/>
      <c r="W34" s="14"/>
    </row>
    <row r="35" spans="1:23" ht="15.75" customHeight="1" x14ac:dyDescent="0.25">
      <c r="A35" s="7" t="str">
        <f t="shared" si="0"/>
        <v/>
      </c>
      <c r="B35" s="8"/>
      <c r="C35" s="9"/>
      <c r="D35" s="8"/>
      <c r="E35" s="8"/>
      <c r="F35" s="8"/>
      <c r="G35" s="7"/>
      <c r="H35" s="11"/>
      <c r="I35" s="11"/>
      <c r="J35" s="7"/>
      <c r="K35" s="7"/>
      <c r="L35" s="7"/>
      <c r="M35" s="7"/>
      <c r="N35" s="8"/>
      <c r="O35" s="12"/>
      <c r="P35" s="12"/>
      <c r="Q35" s="12"/>
      <c r="R35" s="12"/>
      <c r="S35" s="12"/>
      <c r="T35" s="11"/>
      <c r="U35" s="14"/>
      <c r="V35" s="11"/>
      <c r="W35" s="14"/>
    </row>
    <row r="36" spans="1:23" ht="15.75" customHeight="1" x14ac:dyDescent="0.25">
      <c r="A36" s="7" t="str">
        <f t="shared" si="0"/>
        <v/>
      </c>
      <c r="B36" s="8"/>
      <c r="C36" s="9"/>
      <c r="D36" s="8"/>
      <c r="E36" s="8"/>
      <c r="F36" s="8"/>
      <c r="G36" s="7"/>
      <c r="H36" s="11"/>
      <c r="I36" s="11"/>
      <c r="J36" s="7"/>
      <c r="K36" s="7"/>
      <c r="L36" s="7"/>
      <c r="M36" s="7"/>
      <c r="N36" s="8"/>
      <c r="O36" s="12"/>
      <c r="P36" s="12"/>
      <c r="Q36" s="12"/>
      <c r="R36" s="12"/>
      <c r="S36" s="12"/>
      <c r="T36" s="11"/>
      <c r="U36" s="14"/>
      <c r="V36" s="11"/>
      <c r="W36" s="14"/>
    </row>
    <row r="37" spans="1:23" ht="15.75" customHeight="1" x14ac:dyDescent="0.25">
      <c r="A37" s="7" t="str">
        <f t="shared" si="0"/>
        <v/>
      </c>
      <c r="B37" s="8"/>
      <c r="C37" s="9"/>
      <c r="D37" s="8"/>
      <c r="E37" s="8"/>
      <c r="F37" s="8"/>
      <c r="G37" s="7"/>
      <c r="H37" s="11"/>
      <c r="I37" s="11"/>
      <c r="J37" s="7"/>
      <c r="K37" s="7"/>
      <c r="L37" s="7"/>
      <c r="M37" s="7"/>
      <c r="N37" s="8"/>
      <c r="O37" s="12"/>
      <c r="P37" s="12"/>
      <c r="Q37" s="12"/>
      <c r="R37" s="12"/>
      <c r="S37" s="12"/>
      <c r="T37" s="11"/>
      <c r="U37" s="14"/>
      <c r="V37" s="11"/>
      <c r="W37" s="14"/>
    </row>
    <row r="38" spans="1:23" ht="15.75" customHeight="1" x14ac:dyDescent="0.25">
      <c r="A38" s="7" t="str">
        <f t="shared" si="0"/>
        <v/>
      </c>
      <c r="B38" s="8"/>
      <c r="C38" s="9"/>
      <c r="D38" s="8"/>
      <c r="E38" s="8"/>
      <c r="F38" s="8"/>
      <c r="G38" s="7"/>
      <c r="H38" s="11"/>
      <c r="I38" s="11"/>
      <c r="J38" s="7"/>
      <c r="K38" s="7"/>
      <c r="L38" s="7"/>
      <c r="M38" s="7"/>
      <c r="N38" s="8"/>
      <c r="O38" s="12"/>
      <c r="P38" s="12"/>
      <c r="Q38" s="12"/>
      <c r="R38" s="12"/>
      <c r="S38" s="12"/>
      <c r="T38" s="11"/>
      <c r="U38" s="14"/>
      <c r="V38" s="11"/>
      <c r="W38" s="14"/>
    </row>
    <row r="39" spans="1:23" ht="15.75" customHeight="1" x14ac:dyDescent="0.25">
      <c r="A39" s="7" t="str">
        <f t="shared" si="0"/>
        <v/>
      </c>
      <c r="B39" s="8"/>
      <c r="C39" s="9"/>
      <c r="D39" s="8"/>
      <c r="E39" s="8"/>
      <c r="F39" s="8"/>
      <c r="G39" s="7"/>
      <c r="H39" s="11"/>
      <c r="I39" s="11"/>
      <c r="J39" s="7"/>
      <c r="K39" s="7"/>
      <c r="L39" s="7"/>
      <c r="M39" s="7"/>
      <c r="N39" s="8"/>
      <c r="O39" s="12"/>
      <c r="P39" s="12"/>
      <c r="Q39" s="12"/>
      <c r="R39" s="12"/>
      <c r="S39" s="13"/>
      <c r="T39" s="11"/>
      <c r="U39" s="14"/>
      <c r="V39" s="11"/>
      <c r="W39" s="14"/>
    </row>
    <row r="40" spans="1:23" ht="15.75" customHeight="1" x14ac:dyDescent="0.25">
      <c r="A40" s="7" t="str">
        <f t="shared" si="0"/>
        <v/>
      </c>
      <c r="B40" s="8"/>
      <c r="C40" s="9"/>
      <c r="D40" s="8"/>
      <c r="E40" s="8"/>
      <c r="F40" s="8"/>
      <c r="G40" s="7"/>
      <c r="H40" s="11"/>
      <c r="I40" s="11"/>
      <c r="J40" s="7"/>
      <c r="K40" s="7"/>
      <c r="L40" s="7"/>
      <c r="M40" s="7"/>
      <c r="N40" s="8"/>
      <c r="O40" s="12"/>
      <c r="P40" s="12"/>
      <c r="Q40" s="12"/>
      <c r="R40" s="12"/>
      <c r="S40" s="13"/>
      <c r="T40" s="11"/>
      <c r="U40" s="14"/>
      <c r="V40" s="11"/>
      <c r="W40" s="14"/>
    </row>
    <row r="41" spans="1:23" ht="15.75" customHeight="1" x14ac:dyDescent="0.25">
      <c r="A41" s="7" t="str">
        <f t="shared" si="0"/>
        <v/>
      </c>
      <c r="B41" s="8"/>
      <c r="C41" s="9"/>
      <c r="D41" s="8"/>
      <c r="E41" s="8"/>
      <c r="F41" s="8"/>
      <c r="G41" s="7"/>
      <c r="H41" s="11"/>
      <c r="I41" s="11"/>
      <c r="J41" s="7"/>
      <c r="K41" s="7"/>
      <c r="L41" s="7"/>
      <c r="M41" s="7"/>
      <c r="N41" s="8"/>
      <c r="O41" s="12"/>
      <c r="P41" s="12"/>
      <c r="Q41" s="12"/>
      <c r="R41" s="12"/>
      <c r="S41" s="13"/>
      <c r="T41" s="11"/>
      <c r="U41" s="14"/>
      <c r="V41" s="11"/>
      <c r="W41" s="14"/>
    </row>
    <row r="42" spans="1:23" ht="15.75" customHeight="1" x14ac:dyDescent="0.25">
      <c r="A42" s="7" t="str">
        <f t="shared" si="0"/>
        <v/>
      </c>
      <c r="B42" s="8"/>
      <c r="C42" s="9"/>
      <c r="D42" s="8"/>
      <c r="E42" s="8"/>
      <c r="F42" s="8"/>
      <c r="G42" s="7"/>
      <c r="H42" s="11"/>
      <c r="I42" s="11"/>
      <c r="J42" s="7"/>
      <c r="K42" s="7"/>
      <c r="L42" s="7"/>
      <c r="M42" s="7"/>
      <c r="N42" s="8"/>
      <c r="O42" s="12"/>
      <c r="P42" s="12"/>
      <c r="Q42" s="12"/>
      <c r="R42" s="12"/>
      <c r="S42" s="13"/>
      <c r="T42" s="11"/>
      <c r="U42" s="14"/>
      <c r="V42" s="11"/>
      <c r="W42" s="14"/>
    </row>
    <row r="43" spans="1:23" ht="15.75" customHeight="1" x14ac:dyDescent="0.25">
      <c r="A43" s="7" t="str">
        <f t="shared" si="0"/>
        <v/>
      </c>
      <c r="B43" s="8"/>
      <c r="C43" s="9"/>
      <c r="D43" s="8"/>
      <c r="E43" s="8"/>
      <c r="F43" s="8"/>
      <c r="G43" s="7"/>
      <c r="H43" s="11"/>
      <c r="I43" s="11"/>
      <c r="J43" s="7"/>
      <c r="K43" s="7"/>
      <c r="L43" s="7"/>
      <c r="M43" s="7"/>
      <c r="N43" s="8"/>
      <c r="O43" s="12"/>
      <c r="P43" s="12"/>
      <c r="Q43" s="12"/>
      <c r="R43" s="12"/>
      <c r="S43" s="12"/>
      <c r="T43" s="12"/>
      <c r="U43" s="14"/>
      <c r="V43" s="11"/>
      <c r="W43" s="14"/>
    </row>
    <row r="44" spans="1:23" ht="15.75" customHeight="1" x14ac:dyDescent="0.25">
      <c r="A44" s="7" t="str">
        <f t="shared" si="0"/>
        <v/>
      </c>
      <c r="B44" s="8"/>
      <c r="C44" s="9"/>
      <c r="D44" s="8"/>
      <c r="E44" s="8"/>
      <c r="F44" s="8"/>
      <c r="G44" s="7"/>
      <c r="H44" s="11"/>
      <c r="I44" s="11"/>
      <c r="J44" s="7"/>
      <c r="K44" s="7"/>
      <c r="L44" s="7"/>
      <c r="M44" s="7"/>
      <c r="N44" s="8"/>
      <c r="O44" s="12"/>
      <c r="P44" s="12"/>
      <c r="Q44" s="12"/>
      <c r="R44" s="12"/>
      <c r="S44" s="12"/>
      <c r="T44" s="11"/>
      <c r="U44" s="14"/>
      <c r="V44" s="11"/>
      <c r="W44" s="14"/>
    </row>
    <row r="45" spans="1:23" ht="15.75" customHeight="1" x14ac:dyDescent="0.25">
      <c r="A45" s="7" t="str">
        <f t="shared" si="0"/>
        <v/>
      </c>
      <c r="B45" s="8"/>
      <c r="C45" s="9"/>
      <c r="D45" s="8"/>
      <c r="E45" s="8"/>
      <c r="F45" s="8"/>
      <c r="G45" s="7"/>
      <c r="H45" s="11"/>
      <c r="I45" s="11"/>
      <c r="J45" s="7"/>
      <c r="K45" s="7"/>
      <c r="L45" s="7"/>
      <c r="M45" s="7"/>
      <c r="N45" s="8"/>
      <c r="O45" s="12"/>
      <c r="P45" s="12"/>
      <c r="Q45" s="12"/>
      <c r="R45" s="12"/>
      <c r="S45" s="12"/>
      <c r="T45" s="11"/>
      <c r="U45" s="14"/>
      <c r="V45" s="11"/>
      <c r="W45" s="14"/>
    </row>
    <row r="46" spans="1:23" ht="15.75" customHeight="1" x14ac:dyDescent="0.25">
      <c r="A46" s="7" t="str">
        <f t="shared" si="0"/>
        <v/>
      </c>
      <c r="B46" s="8"/>
      <c r="C46" s="9"/>
      <c r="D46" s="8"/>
      <c r="E46" s="8"/>
      <c r="F46" s="8"/>
      <c r="G46" s="7"/>
      <c r="H46" s="11"/>
      <c r="I46" s="11"/>
      <c r="J46" s="7"/>
      <c r="K46" s="7"/>
      <c r="L46" s="7"/>
      <c r="M46" s="7"/>
      <c r="N46" s="8"/>
      <c r="O46" s="12"/>
      <c r="P46" s="12"/>
      <c r="Q46" s="12"/>
      <c r="R46" s="12"/>
      <c r="S46" s="13"/>
      <c r="T46" s="11"/>
      <c r="U46" s="14"/>
      <c r="V46" s="11"/>
      <c r="W46" s="14"/>
    </row>
    <row r="47" spans="1:23" ht="15.75" customHeight="1" x14ac:dyDescent="0.25">
      <c r="A47" s="7" t="str">
        <f t="shared" si="0"/>
        <v/>
      </c>
      <c r="B47" s="8"/>
      <c r="C47" s="9"/>
      <c r="D47" s="8"/>
      <c r="E47" s="8"/>
      <c r="F47" s="8"/>
      <c r="G47" s="7"/>
      <c r="H47" s="11"/>
      <c r="I47" s="11"/>
      <c r="J47" s="7"/>
      <c r="K47" s="7"/>
      <c r="L47" s="7"/>
      <c r="M47" s="7"/>
      <c r="N47" s="8"/>
      <c r="O47" s="12"/>
      <c r="P47" s="12"/>
      <c r="Q47" s="12"/>
      <c r="R47" s="12"/>
      <c r="S47" s="13"/>
      <c r="T47" s="11"/>
      <c r="U47" s="14"/>
      <c r="V47" s="11"/>
      <c r="W47" s="14"/>
    </row>
    <row r="48" spans="1:23" ht="15.75" customHeight="1" x14ac:dyDescent="0.25">
      <c r="A48" s="7" t="str">
        <f t="shared" si="0"/>
        <v/>
      </c>
      <c r="B48" s="8"/>
      <c r="C48" s="9"/>
      <c r="D48" s="8"/>
      <c r="E48" s="8"/>
      <c r="F48" s="8"/>
      <c r="G48" s="7"/>
      <c r="H48" s="11"/>
      <c r="I48" s="11"/>
      <c r="J48" s="7"/>
      <c r="K48" s="7"/>
      <c r="L48" s="7"/>
      <c r="M48" s="7"/>
      <c r="N48" s="8"/>
      <c r="O48" s="12"/>
      <c r="P48" s="12"/>
      <c r="Q48" s="12"/>
      <c r="R48" s="12"/>
      <c r="S48" s="12"/>
      <c r="T48" s="11"/>
      <c r="U48" s="14"/>
      <c r="V48" s="11"/>
      <c r="W48" s="14"/>
    </row>
    <row r="49" spans="1:23" ht="15.75" customHeight="1" x14ac:dyDescent="0.25">
      <c r="A49" s="7" t="str">
        <f t="shared" si="0"/>
        <v/>
      </c>
      <c r="B49" s="8"/>
      <c r="C49" s="9"/>
      <c r="D49" s="8"/>
      <c r="E49" s="8"/>
      <c r="F49" s="8"/>
      <c r="G49" s="7"/>
      <c r="H49" s="11"/>
      <c r="I49" s="11"/>
      <c r="J49" s="7"/>
      <c r="K49" s="7"/>
      <c r="L49" s="7"/>
      <c r="M49" s="7"/>
      <c r="N49" s="8"/>
      <c r="O49" s="12"/>
      <c r="P49" s="12"/>
      <c r="Q49" s="12"/>
      <c r="R49" s="12"/>
      <c r="S49" s="12"/>
      <c r="T49" s="11"/>
      <c r="U49" s="14"/>
      <c r="V49" s="11"/>
      <c r="W49" s="14"/>
    </row>
    <row r="50" spans="1:23" ht="15.75" customHeight="1" x14ac:dyDescent="0.25">
      <c r="A50" s="7" t="str">
        <f t="shared" si="0"/>
        <v/>
      </c>
      <c r="B50" s="8"/>
      <c r="C50" s="9"/>
      <c r="D50" s="8"/>
      <c r="E50" s="8"/>
      <c r="F50" s="8"/>
      <c r="G50" s="7"/>
      <c r="H50" s="11"/>
      <c r="I50" s="11"/>
      <c r="J50" s="7"/>
      <c r="K50" s="7"/>
      <c r="L50" s="7"/>
      <c r="M50" s="7"/>
      <c r="N50" s="8"/>
      <c r="O50" s="12"/>
      <c r="P50" s="12"/>
      <c r="Q50" s="12"/>
      <c r="R50" s="12"/>
      <c r="S50" s="12"/>
      <c r="T50" s="11"/>
      <c r="U50" s="14"/>
      <c r="V50" s="11"/>
      <c r="W50" s="14"/>
    </row>
    <row r="51" spans="1:23" ht="15.75" customHeight="1" x14ac:dyDescent="0.25">
      <c r="C51" s="26"/>
    </row>
    <row r="52" spans="1:23" ht="15.75" customHeight="1" x14ac:dyDescent="0.25">
      <c r="C52" s="26"/>
    </row>
    <row r="53" spans="1:23" ht="15.75" customHeight="1" x14ac:dyDescent="0.25">
      <c r="C53" s="26"/>
    </row>
    <row r="54" spans="1:23" ht="15.75" customHeight="1" x14ac:dyDescent="0.25">
      <c r="C54" s="26"/>
    </row>
    <row r="55" spans="1:23" ht="15.75" customHeight="1" x14ac:dyDescent="0.25">
      <c r="C55" s="26"/>
    </row>
    <row r="56" spans="1:23" ht="15.75" customHeight="1" x14ac:dyDescent="0.25">
      <c r="C56" s="26"/>
    </row>
    <row r="57" spans="1:23" ht="15.75" customHeight="1" x14ac:dyDescent="0.25">
      <c r="C57" s="26"/>
    </row>
    <row r="58" spans="1:23" ht="15.75" customHeight="1" x14ac:dyDescent="0.25">
      <c r="C58" s="26"/>
    </row>
    <row r="59" spans="1:23" ht="15.75" customHeight="1" x14ac:dyDescent="0.25">
      <c r="C59" s="26"/>
    </row>
    <row r="60" spans="1:23" ht="15.75" customHeight="1" x14ac:dyDescent="0.25">
      <c r="C60" s="26"/>
    </row>
    <row r="61" spans="1:23" ht="15.75" customHeight="1" x14ac:dyDescent="0.25">
      <c r="C61" s="26"/>
    </row>
    <row r="62" spans="1:23" ht="15.75" customHeight="1" x14ac:dyDescent="0.25">
      <c r="C62" s="26"/>
    </row>
    <row r="63" spans="1:23" ht="15.75" customHeight="1" x14ac:dyDescent="0.25">
      <c r="C63" s="26"/>
    </row>
    <row r="64" spans="1:23" ht="15.75" customHeight="1" x14ac:dyDescent="0.25">
      <c r="C64" s="26"/>
    </row>
    <row r="65" spans="3:3" ht="15.75" customHeight="1" x14ac:dyDescent="0.25">
      <c r="C65" s="26"/>
    </row>
    <row r="66" spans="3:3" ht="15.75" customHeight="1" x14ac:dyDescent="0.25">
      <c r="C66" s="26"/>
    </row>
    <row r="67" spans="3:3" ht="15.75" customHeight="1" x14ac:dyDescent="0.25">
      <c r="C67" s="26"/>
    </row>
    <row r="68" spans="3:3" ht="15.75" customHeight="1" x14ac:dyDescent="0.25">
      <c r="C68" s="26"/>
    </row>
    <row r="69" spans="3:3" ht="15.75" customHeight="1" x14ac:dyDescent="0.25">
      <c r="C69" s="26"/>
    </row>
    <row r="70" spans="3:3" ht="15.75" customHeight="1" x14ac:dyDescent="0.25">
      <c r="C70" s="26"/>
    </row>
    <row r="71" spans="3:3" ht="15.75" customHeight="1" x14ac:dyDescent="0.25">
      <c r="C71" s="26"/>
    </row>
    <row r="72" spans="3:3" ht="15.75" customHeight="1" x14ac:dyDescent="0.25">
      <c r="C72" s="26"/>
    </row>
    <row r="73" spans="3:3" ht="15.75" customHeight="1" x14ac:dyDescent="0.25">
      <c r="C73" s="26"/>
    </row>
    <row r="74" spans="3:3" ht="15.75" customHeight="1" x14ac:dyDescent="0.25">
      <c r="C74" s="26"/>
    </row>
    <row r="75" spans="3:3" ht="15.75" customHeight="1" x14ac:dyDescent="0.25">
      <c r="C75" s="26"/>
    </row>
    <row r="76" spans="3:3" ht="15.75" customHeight="1" x14ac:dyDescent="0.25">
      <c r="C76" s="26"/>
    </row>
    <row r="77" spans="3:3" ht="15.75" customHeight="1" x14ac:dyDescent="0.25">
      <c r="C77" s="26"/>
    </row>
    <row r="78" spans="3:3" ht="15.75" customHeight="1" x14ac:dyDescent="0.25">
      <c r="C78" s="26"/>
    </row>
    <row r="79" spans="3:3" ht="15.75" customHeight="1" x14ac:dyDescent="0.25">
      <c r="C79" s="26"/>
    </row>
    <row r="80" spans="3:3" ht="15.75" customHeight="1" x14ac:dyDescent="0.25">
      <c r="C80" s="26"/>
    </row>
    <row r="81" spans="3:3" ht="15.75" customHeight="1" x14ac:dyDescent="0.25">
      <c r="C81" s="26"/>
    </row>
    <row r="82" spans="3:3" ht="15.75" customHeight="1" x14ac:dyDescent="0.25">
      <c r="C82" s="26"/>
    </row>
    <row r="83" spans="3:3" ht="15.75" customHeight="1" x14ac:dyDescent="0.25">
      <c r="C83" s="26"/>
    </row>
    <row r="84" spans="3:3" ht="15.75" customHeight="1" x14ac:dyDescent="0.25">
      <c r="C84" s="26"/>
    </row>
    <row r="85" spans="3:3" ht="15.75" customHeight="1" x14ac:dyDescent="0.25">
      <c r="C85" s="26"/>
    </row>
    <row r="86" spans="3:3" ht="15.75" customHeight="1" x14ac:dyDescent="0.25">
      <c r="C86" s="26"/>
    </row>
    <row r="87" spans="3:3" ht="15.75" customHeight="1" x14ac:dyDescent="0.25">
      <c r="C87" s="26"/>
    </row>
    <row r="88" spans="3:3" ht="15.75" customHeight="1" x14ac:dyDescent="0.25">
      <c r="C88" s="26"/>
    </row>
    <row r="89" spans="3:3" ht="15.75" customHeight="1" x14ac:dyDescent="0.25">
      <c r="C89" s="26"/>
    </row>
    <row r="90" spans="3:3" ht="15.75" customHeight="1" x14ac:dyDescent="0.25">
      <c r="C90" s="26"/>
    </row>
    <row r="91" spans="3:3" ht="15.75" customHeight="1" x14ac:dyDescent="0.25">
      <c r="C91" s="26"/>
    </row>
    <row r="92" spans="3:3" ht="15.75" customHeight="1" x14ac:dyDescent="0.25">
      <c r="C92" s="26"/>
    </row>
    <row r="93" spans="3:3" ht="15.75" customHeight="1" x14ac:dyDescent="0.25">
      <c r="C93" s="26"/>
    </row>
    <row r="94" spans="3:3" ht="15.75" customHeight="1" x14ac:dyDescent="0.25">
      <c r="C94" s="26"/>
    </row>
    <row r="95" spans="3:3" ht="15.75" customHeight="1" x14ac:dyDescent="0.25">
      <c r="C95" s="26"/>
    </row>
    <row r="96" spans="3:3" ht="15.75" customHeight="1" x14ac:dyDescent="0.25">
      <c r="C96" s="26"/>
    </row>
    <row r="97" spans="3:3" ht="15.75" customHeight="1" x14ac:dyDescent="0.25">
      <c r="C97" s="26"/>
    </row>
    <row r="98" spans="3:3" ht="15.75" customHeight="1" x14ac:dyDescent="0.25">
      <c r="C98" s="26"/>
    </row>
    <row r="99" spans="3:3" ht="15.75" customHeight="1" x14ac:dyDescent="0.25">
      <c r="C99" s="26"/>
    </row>
    <row r="100" spans="3:3" ht="15.75" customHeight="1" x14ac:dyDescent="0.25">
      <c r="C100" s="26"/>
    </row>
    <row r="101" spans="3:3" ht="15.75" customHeight="1" x14ac:dyDescent="0.25">
      <c r="C101" s="26"/>
    </row>
    <row r="102" spans="3:3" ht="15.75" customHeight="1" x14ac:dyDescent="0.25">
      <c r="C102" s="26"/>
    </row>
    <row r="103" spans="3:3" ht="15.75" customHeight="1" x14ac:dyDescent="0.25">
      <c r="C103" s="26"/>
    </row>
    <row r="104" spans="3:3" ht="15.75" customHeight="1" x14ac:dyDescent="0.25">
      <c r="C104" s="26"/>
    </row>
    <row r="105" spans="3:3" ht="15.75" customHeight="1" x14ac:dyDescent="0.25">
      <c r="C105" s="26"/>
    </row>
    <row r="106" spans="3:3" ht="15.75" customHeight="1" x14ac:dyDescent="0.25">
      <c r="C106" s="26"/>
    </row>
    <row r="107" spans="3:3" ht="15.75" customHeight="1" x14ac:dyDescent="0.25">
      <c r="C107" s="26"/>
    </row>
    <row r="108" spans="3:3" ht="15.75" customHeight="1" x14ac:dyDescent="0.25">
      <c r="C108" s="26"/>
    </row>
    <row r="109" spans="3:3" ht="15.75" customHeight="1" x14ac:dyDescent="0.25">
      <c r="C109" s="26"/>
    </row>
    <row r="110" spans="3:3" ht="15.75" customHeight="1" x14ac:dyDescent="0.25">
      <c r="C110" s="26"/>
    </row>
    <row r="111" spans="3:3" ht="15.75" customHeight="1" x14ac:dyDescent="0.25">
      <c r="C111" s="26"/>
    </row>
    <row r="112" spans="3:3" ht="15.75" customHeight="1" x14ac:dyDescent="0.25">
      <c r="C112" s="26"/>
    </row>
    <row r="113" spans="3:3" ht="15.75" customHeight="1" x14ac:dyDescent="0.25">
      <c r="C113" s="26"/>
    </row>
    <row r="114" spans="3:3" ht="15.75" customHeight="1" x14ac:dyDescent="0.25">
      <c r="C114" s="26"/>
    </row>
    <row r="115" spans="3:3" ht="15.75" customHeight="1" x14ac:dyDescent="0.25">
      <c r="C115" s="26"/>
    </row>
    <row r="116" spans="3:3" ht="15.75" customHeight="1" x14ac:dyDescent="0.25">
      <c r="C116" s="26"/>
    </row>
    <row r="117" spans="3:3" ht="15.75" customHeight="1" x14ac:dyDescent="0.25">
      <c r="C117" s="26"/>
    </row>
    <row r="118" spans="3:3" ht="15.75" customHeight="1" x14ac:dyDescent="0.25">
      <c r="C118" s="26"/>
    </row>
    <row r="119" spans="3:3" ht="15.75" customHeight="1" x14ac:dyDescent="0.25">
      <c r="C119" s="26"/>
    </row>
    <row r="120" spans="3:3" ht="15.75" customHeight="1" x14ac:dyDescent="0.25">
      <c r="C120" s="26"/>
    </row>
    <row r="121" spans="3:3" ht="15.75" customHeight="1" x14ac:dyDescent="0.25">
      <c r="C121" s="26"/>
    </row>
    <row r="122" spans="3:3" ht="15.75" customHeight="1" x14ac:dyDescent="0.25">
      <c r="C122" s="26"/>
    </row>
    <row r="123" spans="3:3" ht="15.75" customHeight="1" x14ac:dyDescent="0.25">
      <c r="C123" s="26"/>
    </row>
    <row r="124" spans="3:3" ht="15.75" customHeight="1" x14ac:dyDescent="0.25">
      <c r="C124" s="26"/>
    </row>
    <row r="125" spans="3:3" ht="15.75" customHeight="1" x14ac:dyDescent="0.25">
      <c r="C125" s="26"/>
    </row>
    <row r="126" spans="3:3" ht="15.75" customHeight="1" x14ac:dyDescent="0.25">
      <c r="C126" s="26"/>
    </row>
    <row r="127" spans="3:3" ht="15.75" customHeight="1" x14ac:dyDescent="0.25">
      <c r="C127" s="26"/>
    </row>
    <row r="128" spans="3:3" ht="15.75" customHeight="1" x14ac:dyDescent="0.25">
      <c r="C128" s="26"/>
    </row>
    <row r="129" spans="3:3" ht="15.75" customHeight="1" x14ac:dyDescent="0.25">
      <c r="C129" s="26"/>
    </row>
    <row r="130" spans="3:3" ht="15.75" customHeight="1" x14ac:dyDescent="0.25">
      <c r="C130" s="26"/>
    </row>
    <row r="131" spans="3:3" ht="15.75" customHeight="1" x14ac:dyDescent="0.25">
      <c r="C131" s="26"/>
    </row>
    <row r="132" spans="3:3" ht="15.75" customHeight="1" x14ac:dyDescent="0.25">
      <c r="C132" s="26"/>
    </row>
    <row r="133" spans="3:3" ht="15.75" customHeight="1" x14ac:dyDescent="0.25">
      <c r="C133" s="26"/>
    </row>
    <row r="134" spans="3:3" ht="15.75" customHeight="1" x14ac:dyDescent="0.25">
      <c r="C134" s="26"/>
    </row>
    <row r="135" spans="3:3" ht="15.75" customHeight="1" x14ac:dyDescent="0.25">
      <c r="C135" s="26"/>
    </row>
    <row r="136" spans="3:3" ht="15.75" customHeight="1" x14ac:dyDescent="0.25">
      <c r="C136" s="26"/>
    </row>
    <row r="137" spans="3:3" ht="15.75" customHeight="1" x14ac:dyDescent="0.25">
      <c r="C137" s="26"/>
    </row>
    <row r="138" spans="3:3" ht="15.75" customHeight="1" x14ac:dyDescent="0.25">
      <c r="C138" s="26"/>
    </row>
    <row r="139" spans="3:3" ht="15.75" customHeight="1" x14ac:dyDescent="0.25">
      <c r="C139" s="26"/>
    </row>
    <row r="140" spans="3:3" ht="15.75" customHeight="1" x14ac:dyDescent="0.25">
      <c r="C140" s="26"/>
    </row>
    <row r="141" spans="3:3" ht="15.75" customHeight="1" x14ac:dyDescent="0.25">
      <c r="C141" s="26"/>
    </row>
    <row r="142" spans="3:3" ht="15.75" customHeight="1" x14ac:dyDescent="0.25">
      <c r="C142" s="26"/>
    </row>
    <row r="143" spans="3:3" ht="15.75" customHeight="1" x14ac:dyDescent="0.25">
      <c r="C143" s="26"/>
    </row>
    <row r="144" spans="3:3" ht="15.75" customHeight="1" x14ac:dyDescent="0.25">
      <c r="C144" s="26"/>
    </row>
    <row r="145" spans="3:3" ht="15.75" customHeight="1" x14ac:dyDescent="0.25">
      <c r="C145" s="26"/>
    </row>
    <row r="146" spans="3:3" ht="15.75" customHeight="1" x14ac:dyDescent="0.25">
      <c r="C146" s="26"/>
    </row>
    <row r="147" spans="3:3" ht="15.75" customHeight="1" x14ac:dyDescent="0.25">
      <c r="C147" s="26"/>
    </row>
    <row r="148" spans="3:3" ht="15.75" customHeight="1" x14ac:dyDescent="0.25">
      <c r="C148" s="26"/>
    </row>
    <row r="149" spans="3:3" ht="15.75" customHeight="1" x14ac:dyDescent="0.25">
      <c r="C149" s="26"/>
    </row>
    <row r="150" spans="3:3" ht="15.75" customHeight="1" x14ac:dyDescent="0.25">
      <c r="C150" s="26"/>
    </row>
    <row r="151" spans="3:3" ht="15.75" customHeight="1" x14ac:dyDescent="0.25">
      <c r="C151" s="26"/>
    </row>
    <row r="152" spans="3:3" ht="15.75" customHeight="1" x14ac:dyDescent="0.25">
      <c r="C152" s="26"/>
    </row>
    <row r="153" spans="3:3" ht="15.75" customHeight="1" x14ac:dyDescent="0.25">
      <c r="C153" s="26"/>
    </row>
    <row r="154" spans="3:3" ht="15.75" customHeight="1" x14ac:dyDescent="0.25">
      <c r="C154" s="26"/>
    </row>
    <row r="155" spans="3:3" ht="15.75" customHeight="1" x14ac:dyDescent="0.25">
      <c r="C155" s="26"/>
    </row>
    <row r="156" spans="3:3" ht="15.75" customHeight="1" x14ac:dyDescent="0.25">
      <c r="C156" s="26"/>
    </row>
    <row r="157" spans="3:3" ht="15.75" customHeight="1" x14ac:dyDescent="0.25">
      <c r="C157" s="26"/>
    </row>
    <row r="158" spans="3:3" ht="15.75" customHeight="1" x14ac:dyDescent="0.25">
      <c r="C158" s="26"/>
    </row>
    <row r="159" spans="3:3" ht="15.75" customHeight="1" x14ac:dyDescent="0.25">
      <c r="C159" s="26"/>
    </row>
    <row r="160" spans="3:3" ht="15.75" customHeight="1" x14ac:dyDescent="0.25">
      <c r="C160" s="26"/>
    </row>
    <row r="161" spans="3:3" ht="15.75" customHeight="1" x14ac:dyDescent="0.25">
      <c r="C161" s="26"/>
    </row>
    <row r="162" spans="3:3" ht="15.75" customHeight="1" x14ac:dyDescent="0.25">
      <c r="C162" s="26"/>
    </row>
    <row r="163" spans="3:3" ht="15.75" customHeight="1" x14ac:dyDescent="0.25">
      <c r="C163" s="26"/>
    </row>
    <row r="164" spans="3:3" ht="15.75" customHeight="1" x14ac:dyDescent="0.25">
      <c r="C164" s="26"/>
    </row>
    <row r="165" spans="3:3" ht="15.75" customHeight="1" x14ac:dyDescent="0.25">
      <c r="C165" s="26"/>
    </row>
    <row r="166" spans="3:3" ht="15.75" customHeight="1" x14ac:dyDescent="0.25">
      <c r="C166" s="26"/>
    </row>
    <row r="167" spans="3:3" ht="15.75" customHeight="1" x14ac:dyDescent="0.25">
      <c r="C167" s="26"/>
    </row>
    <row r="168" spans="3:3" ht="15.75" customHeight="1" x14ac:dyDescent="0.25">
      <c r="C168" s="26"/>
    </row>
    <row r="169" spans="3:3" ht="15.75" customHeight="1" x14ac:dyDescent="0.25">
      <c r="C169" s="26"/>
    </row>
    <row r="170" spans="3:3" ht="15.75" customHeight="1" x14ac:dyDescent="0.25">
      <c r="C170" s="26"/>
    </row>
    <row r="171" spans="3:3" ht="15.75" customHeight="1" x14ac:dyDescent="0.25">
      <c r="C171" s="26"/>
    </row>
    <row r="172" spans="3:3" ht="15.75" customHeight="1" x14ac:dyDescent="0.25">
      <c r="C172" s="26"/>
    </row>
    <row r="173" spans="3:3" ht="15.75" customHeight="1" x14ac:dyDescent="0.25">
      <c r="C173" s="26"/>
    </row>
    <row r="174" spans="3:3" ht="15.75" customHeight="1" x14ac:dyDescent="0.25">
      <c r="C174" s="26"/>
    </row>
    <row r="175" spans="3:3" ht="15.75" customHeight="1" x14ac:dyDescent="0.25">
      <c r="C175" s="26"/>
    </row>
    <row r="176" spans="3:3" ht="15.75" customHeight="1" x14ac:dyDescent="0.25">
      <c r="C176" s="26"/>
    </row>
    <row r="177" spans="3:3" ht="15.75" customHeight="1" x14ac:dyDescent="0.25">
      <c r="C177" s="26"/>
    </row>
    <row r="178" spans="3:3" ht="15.75" customHeight="1" x14ac:dyDescent="0.25">
      <c r="C178" s="26"/>
    </row>
    <row r="179" spans="3:3" ht="15.75" customHeight="1" x14ac:dyDescent="0.25">
      <c r="C179" s="26"/>
    </row>
    <row r="180" spans="3:3" ht="15.75" customHeight="1" x14ac:dyDescent="0.25">
      <c r="C180" s="26"/>
    </row>
    <row r="181" spans="3:3" ht="15.75" customHeight="1" x14ac:dyDescent="0.25">
      <c r="C181" s="26"/>
    </row>
    <row r="182" spans="3:3" ht="15.75" customHeight="1" x14ac:dyDescent="0.25">
      <c r="C182" s="26"/>
    </row>
    <row r="183" spans="3:3" ht="15.75" customHeight="1" x14ac:dyDescent="0.25">
      <c r="C183" s="26"/>
    </row>
    <row r="184" spans="3:3" ht="15.75" customHeight="1" x14ac:dyDescent="0.25">
      <c r="C184" s="26"/>
    </row>
    <row r="185" spans="3:3" ht="15.75" customHeight="1" x14ac:dyDescent="0.25">
      <c r="C185" s="26"/>
    </row>
    <row r="186" spans="3:3" ht="15.75" customHeight="1" x14ac:dyDescent="0.25">
      <c r="C186" s="26"/>
    </row>
    <row r="187" spans="3:3" ht="15.75" customHeight="1" x14ac:dyDescent="0.25">
      <c r="C187" s="26"/>
    </row>
    <row r="188" spans="3:3" ht="15.75" customHeight="1" x14ac:dyDescent="0.25">
      <c r="C188" s="26"/>
    </row>
    <row r="189" spans="3:3" ht="15.75" customHeight="1" x14ac:dyDescent="0.25">
      <c r="C189" s="26"/>
    </row>
    <row r="190" spans="3:3" ht="15.75" customHeight="1" x14ac:dyDescent="0.25">
      <c r="C190" s="26"/>
    </row>
    <row r="191" spans="3:3" ht="15.75" customHeight="1" x14ac:dyDescent="0.25">
      <c r="C191" s="26"/>
    </row>
    <row r="192" spans="3:3" ht="15.75" customHeight="1" x14ac:dyDescent="0.25">
      <c r="C192" s="26"/>
    </row>
    <row r="193" spans="3:3" ht="15.75" customHeight="1" x14ac:dyDescent="0.25">
      <c r="C193" s="26"/>
    </row>
    <row r="194" spans="3:3" ht="15.75" customHeight="1" x14ac:dyDescent="0.25">
      <c r="C194" s="26"/>
    </row>
    <row r="195" spans="3:3" ht="15.75" customHeight="1" x14ac:dyDescent="0.25">
      <c r="C195" s="26"/>
    </row>
    <row r="196" spans="3:3" ht="15.75" customHeight="1" x14ac:dyDescent="0.25">
      <c r="C196" s="26"/>
    </row>
    <row r="197" spans="3:3" ht="15.75" customHeight="1" x14ac:dyDescent="0.25">
      <c r="C197" s="26"/>
    </row>
    <row r="198" spans="3:3" ht="15.75" customHeight="1" x14ac:dyDescent="0.25">
      <c r="C198" s="26"/>
    </row>
    <row r="199" spans="3:3" ht="15.75" customHeight="1" x14ac:dyDescent="0.25">
      <c r="C199" s="26"/>
    </row>
    <row r="200" spans="3:3" ht="15.75" customHeight="1" x14ac:dyDescent="0.25">
      <c r="C200" s="26"/>
    </row>
    <row r="201" spans="3:3" ht="15.75" customHeight="1" x14ac:dyDescent="0.25">
      <c r="C201" s="26"/>
    </row>
    <row r="202" spans="3:3" ht="15.75" customHeight="1" x14ac:dyDescent="0.25">
      <c r="C202" s="26"/>
    </row>
    <row r="203" spans="3:3" ht="15.75" customHeight="1" x14ac:dyDescent="0.25">
      <c r="C203" s="26"/>
    </row>
    <row r="204" spans="3:3" ht="15.75" customHeight="1" x14ac:dyDescent="0.25">
      <c r="C204" s="26"/>
    </row>
    <row r="205" spans="3:3" ht="15.75" customHeight="1" x14ac:dyDescent="0.25">
      <c r="C205" s="26"/>
    </row>
    <row r="206" spans="3:3" ht="15.75" customHeight="1" x14ac:dyDescent="0.25">
      <c r="C206" s="26"/>
    </row>
    <row r="207" spans="3:3" ht="15.75" customHeight="1" x14ac:dyDescent="0.25">
      <c r="C207" s="26"/>
    </row>
    <row r="208" spans="3:3" ht="15.75" customHeight="1" x14ac:dyDescent="0.25">
      <c r="C208" s="26"/>
    </row>
    <row r="209" spans="3:3" ht="15.75" customHeight="1" x14ac:dyDescent="0.25">
      <c r="C209" s="26"/>
    </row>
    <row r="210" spans="3:3" ht="15.75" customHeight="1" x14ac:dyDescent="0.25">
      <c r="C210" s="26"/>
    </row>
    <row r="211" spans="3:3" ht="15.75" customHeight="1" x14ac:dyDescent="0.25">
      <c r="C211" s="26"/>
    </row>
    <row r="212" spans="3:3" ht="15.75" customHeight="1" x14ac:dyDescent="0.25">
      <c r="C212" s="26"/>
    </row>
    <row r="213" spans="3:3" ht="15.75" customHeight="1" x14ac:dyDescent="0.25">
      <c r="C213" s="26"/>
    </row>
    <row r="214" spans="3:3" ht="15.75" customHeight="1" x14ac:dyDescent="0.25">
      <c r="C214" s="26"/>
    </row>
    <row r="215" spans="3:3" ht="15.75" customHeight="1" x14ac:dyDescent="0.25">
      <c r="C215" s="26"/>
    </row>
    <row r="216" spans="3:3" ht="15.75" customHeight="1" x14ac:dyDescent="0.25">
      <c r="C216" s="26"/>
    </row>
    <row r="217" spans="3:3" ht="15.75" customHeight="1" x14ac:dyDescent="0.25">
      <c r="C217" s="26"/>
    </row>
    <row r="218" spans="3:3" ht="15.75" customHeight="1" x14ac:dyDescent="0.25">
      <c r="C218" s="26"/>
    </row>
    <row r="219" spans="3:3" ht="15.75" customHeight="1" x14ac:dyDescent="0.25">
      <c r="C219" s="26"/>
    </row>
    <row r="220" spans="3:3" ht="15.75" customHeight="1" x14ac:dyDescent="0.25">
      <c r="C220" s="26"/>
    </row>
    <row r="221" spans="3:3" ht="15.75" customHeight="1" x14ac:dyDescent="0.25">
      <c r="C221" s="26"/>
    </row>
    <row r="222" spans="3:3" ht="15.75" customHeight="1" x14ac:dyDescent="0.25">
      <c r="C222" s="26"/>
    </row>
    <row r="223" spans="3:3" ht="15.75" customHeight="1" x14ac:dyDescent="0.25">
      <c r="C223" s="26"/>
    </row>
    <row r="224" spans="3:3" ht="15.75" customHeight="1" x14ac:dyDescent="0.25">
      <c r="C224" s="26"/>
    </row>
    <row r="225" spans="3:3" ht="15.75" customHeight="1" x14ac:dyDescent="0.25">
      <c r="C225" s="26"/>
    </row>
    <row r="226" spans="3:3" ht="15.75" customHeight="1" x14ac:dyDescent="0.25">
      <c r="C226" s="26"/>
    </row>
    <row r="227" spans="3:3" ht="15.75" customHeight="1" x14ac:dyDescent="0.25">
      <c r="C227" s="26"/>
    </row>
    <row r="228" spans="3:3" ht="15.75" customHeight="1" x14ac:dyDescent="0.25">
      <c r="C228" s="26"/>
    </row>
    <row r="229" spans="3:3" ht="15.75" customHeight="1" x14ac:dyDescent="0.25">
      <c r="C229" s="26"/>
    </row>
    <row r="230" spans="3:3" ht="15.75" customHeight="1" x14ac:dyDescent="0.25">
      <c r="C230" s="26"/>
    </row>
    <row r="231" spans="3:3" ht="15.75" customHeight="1" x14ac:dyDescent="0.25">
      <c r="C231" s="26"/>
    </row>
    <row r="232" spans="3:3" ht="15.75" customHeight="1" x14ac:dyDescent="0.25">
      <c r="C232" s="26"/>
    </row>
    <row r="233" spans="3:3" ht="15.75" customHeight="1" x14ac:dyDescent="0.25">
      <c r="C233" s="26"/>
    </row>
    <row r="234" spans="3:3" ht="15.75" customHeight="1" x14ac:dyDescent="0.25">
      <c r="C234" s="26"/>
    </row>
    <row r="235" spans="3:3" ht="15.75" customHeight="1" x14ac:dyDescent="0.25">
      <c r="C235" s="26"/>
    </row>
    <row r="236" spans="3:3" ht="15.75" customHeight="1" x14ac:dyDescent="0.25">
      <c r="C236" s="26"/>
    </row>
    <row r="237" spans="3:3" ht="15.75" customHeight="1" x14ac:dyDescent="0.25">
      <c r="C237" s="26"/>
    </row>
    <row r="238" spans="3:3" ht="15.75" customHeight="1" x14ac:dyDescent="0.25">
      <c r="C238" s="26"/>
    </row>
    <row r="239" spans="3:3" ht="15.75" customHeight="1" x14ac:dyDescent="0.25">
      <c r="C239" s="26"/>
    </row>
    <row r="240" spans="3:3" ht="15.75" customHeight="1" x14ac:dyDescent="0.25">
      <c r="C240" s="26"/>
    </row>
    <row r="241" spans="3:3" ht="15.75" customHeight="1" x14ac:dyDescent="0.25">
      <c r="C241" s="26"/>
    </row>
    <row r="242" spans="3:3" ht="15.75" customHeight="1" x14ac:dyDescent="0.25">
      <c r="C242" s="26"/>
    </row>
    <row r="243" spans="3:3" ht="15.75" customHeight="1" x14ac:dyDescent="0.25">
      <c r="C243" s="26"/>
    </row>
    <row r="244" spans="3:3" ht="15.75" customHeight="1" x14ac:dyDescent="0.25">
      <c r="C244" s="26"/>
    </row>
    <row r="245" spans="3:3" ht="15.75" customHeight="1" x14ac:dyDescent="0.25">
      <c r="C245" s="26"/>
    </row>
    <row r="246" spans="3:3" ht="15.75" customHeight="1" x14ac:dyDescent="0.25">
      <c r="C246" s="26"/>
    </row>
    <row r="247" spans="3:3" ht="15.75" customHeight="1" x14ac:dyDescent="0.25">
      <c r="C247" s="26"/>
    </row>
    <row r="248" spans="3:3" ht="15.75" customHeight="1" x14ac:dyDescent="0.25">
      <c r="C248" s="26"/>
    </row>
    <row r="249" spans="3:3" ht="15.75" customHeight="1" x14ac:dyDescent="0.25">
      <c r="C249" s="26"/>
    </row>
    <row r="250" spans="3:3" ht="15.75" customHeight="1" x14ac:dyDescent="0.25">
      <c r="C250" s="26"/>
    </row>
    <row r="251" spans="3:3" ht="15.75" customHeight="1" x14ac:dyDescent="0.25">
      <c r="C251" s="26"/>
    </row>
    <row r="252" spans="3:3" ht="15.75" customHeight="1" x14ac:dyDescent="0.25">
      <c r="C252" s="26"/>
    </row>
    <row r="253" spans="3:3" ht="15.75" customHeight="1" x14ac:dyDescent="0.25">
      <c r="C253" s="26"/>
    </row>
    <row r="254" spans="3:3" ht="15.75" customHeight="1" x14ac:dyDescent="0.25">
      <c r="C254" s="26"/>
    </row>
    <row r="255" spans="3:3" ht="15.75" customHeight="1" x14ac:dyDescent="0.25">
      <c r="C255" s="26"/>
    </row>
    <row r="256" spans="3:3" ht="15.75" customHeight="1" x14ac:dyDescent="0.25">
      <c r="C256" s="26"/>
    </row>
    <row r="257" spans="3:3" ht="15.75" customHeight="1" x14ac:dyDescent="0.25">
      <c r="C257" s="26"/>
    </row>
    <row r="258" spans="3:3" ht="15.75" customHeight="1" x14ac:dyDescent="0.25">
      <c r="C258" s="26"/>
    </row>
    <row r="259" spans="3:3" ht="15.75" customHeight="1" x14ac:dyDescent="0.25">
      <c r="C259" s="26"/>
    </row>
    <row r="260" spans="3:3" ht="15.75" customHeight="1" x14ac:dyDescent="0.25">
      <c r="C260" s="26"/>
    </row>
    <row r="261" spans="3:3" ht="15.75" customHeight="1" x14ac:dyDescent="0.25">
      <c r="C261" s="26"/>
    </row>
    <row r="262" spans="3:3" ht="15.75" customHeight="1" x14ac:dyDescent="0.25">
      <c r="C262" s="26"/>
    </row>
    <row r="263" spans="3:3" ht="15.75" customHeight="1" x14ac:dyDescent="0.25">
      <c r="C263" s="26"/>
    </row>
    <row r="264" spans="3:3" ht="15.75" customHeight="1" x14ac:dyDescent="0.25">
      <c r="C264" s="26"/>
    </row>
    <row r="265" spans="3:3" ht="15.75" customHeight="1" x14ac:dyDescent="0.25">
      <c r="C265" s="26"/>
    </row>
    <row r="266" spans="3:3" ht="15.75" customHeight="1" x14ac:dyDescent="0.25">
      <c r="C266" s="26"/>
    </row>
    <row r="267" spans="3:3" ht="15.75" customHeight="1" x14ac:dyDescent="0.25">
      <c r="C267" s="26"/>
    </row>
    <row r="268" spans="3:3" ht="15.75" customHeight="1" x14ac:dyDescent="0.25">
      <c r="C268" s="26"/>
    </row>
    <row r="269" spans="3:3" ht="15.75" customHeight="1" x14ac:dyDescent="0.25">
      <c r="C269" s="26"/>
    </row>
    <row r="270" spans="3:3" ht="15.75" customHeight="1" x14ac:dyDescent="0.25">
      <c r="C270" s="26"/>
    </row>
    <row r="271" spans="3:3" ht="15.75" customHeight="1" x14ac:dyDescent="0.25">
      <c r="C271" s="26"/>
    </row>
    <row r="272" spans="3:3" ht="15.75" customHeight="1" x14ac:dyDescent="0.25">
      <c r="C272" s="26"/>
    </row>
    <row r="273" spans="3:3" ht="15.75" customHeight="1" x14ac:dyDescent="0.25">
      <c r="C273" s="26"/>
    </row>
    <row r="274" spans="3:3" ht="15.75" customHeight="1" x14ac:dyDescent="0.25">
      <c r="C274" s="26"/>
    </row>
    <row r="275" spans="3:3" ht="15.75" customHeight="1" x14ac:dyDescent="0.25">
      <c r="C275" s="26"/>
    </row>
    <row r="276" spans="3:3" ht="15.75" customHeight="1" x14ac:dyDescent="0.25">
      <c r="C276" s="26"/>
    </row>
    <row r="277" spans="3:3" ht="15.75" customHeight="1" x14ac:dyDescent="0.25">
      <c r="C277" s="26"/>
    </row>
    <row r="278" spans="3:3" ht="15.75" customHeight="1" x14ac:dyDescent="0.25">
      <c r="C278" s="26"/>
    </row>
    <row r="279" spans="3:3" ht="15.75" customHeight="1" x14ac:dyDescent="0.25">
      <c r="C279" s="26"/>
    </row>
    <row r="280" spans="3:3" ht="15.75" customHeight="1" x14ac:dyDescent="0.25">
      <c r="C280" s="26"/>
    </row>
    <row r="281" spans="3:3" ht="15.75" customHeight="1" x14ac:dyDescent="0.25">
      <c r="C281" s="26"/>
    </row>
    <row r="282" spans="3:3" ht="15.75" customHeight="1" x14ac:dyDescent="0.25">
      <c r="C282" s="26"/>
    </row>
    <row r="283" spans="3:3" ht="15.75" customHeight="1" x14ac:dyDescent="0.25">
      <c r="C283" s="26"/>
    </row>
    <row r="284" spans="3:3" ht="15.75" customHeight="1" x14ac:dyDescent="0.25">
      <c r="C284" s="26"/>
    </row>
    <row r="285" spans="3:3" ht="15.75" customHeight="1" x14ac:dyDescent="0.25">
      <c r="C285" s="26"/>
    </row>
    <row r="286" spans="3:3" ht="15.75" customHeight="1" x14ac:dyDescent="0.25">
      <c r="C286" s="26"/>
    </row>
    <row r="287" spans="3:3" ht="15.75" customHeight="1" x14ac:dyDescent="0.25">
      <c r="C287" s="26"/>
    </row>
    <row r="288" spans="3:3" ht="15.75" customHeight="1" x14ac:dyDescent="0.25">
      <c r="C288" s="26"/>
    </row>
    <row r="289" spans="3:3" ht="15.75" customHeight="1" x14ac:dyDescent="0.25">
      <c r="C289" s="26"/>
    </row>
    <row r="290" spans="3:3" ht="15.75" customHeight="1" x14ac:dyDescent="0.25">
      <c r="C290" s="26"/>
    </row>
    <row r="291" spans="3:3" ht="15.75" customHeight="1" x14ac:dyDescent="0.25">
      <c r="C291" s="26"/>
    </row>
    <row r="292" spans="3:3" ht="15.75" customHeight="1" x14ac:dyDescent="0.25">
      <c r="C292" s="26"/>
    </row>
    <row r="293" spans="3:3" ht="15.75" customHeight="1" x14ac:dyDescent="0.25">
      <c r="C293" s="26"/>
    </row>
    <row r="294" spans="3:3" ht="15.75" customHeight="1" x14ac:dyDescent="0.25">
      <c r="C294" s="26"/>
    </row>
    <row r="295" spans="3:3" ht="15.75" customHeight="1" x14ac:dyDescent="0.25">
      <c r="C295" s="26"/>
    </row>
    <row r="296" spans="3:3" ht="15.75" customHeight="1" x14ac:dyDescent="0.25">
      <c r="C296" s="26"/>
    </row>
    <row r="297" spans="3:3" ht="15.75" customHeight="1" x14ac:dyDescent="0.25">
      <c r="C297" s="26"/>
    </row>
    <row r="298" spans="3:3" ht="15.75" customHeight="1" x14ac:dyDescent="0.25">
      <c r="C298" s="26"/>
    </row>
    <row r="299" spans="3:3" ht="15.75" customHeight="1" x14ac:dyDescent="0.25">
      <c r="C299" s="26"/>
    </row>
    <row r="300" spans="3:3" ht="15.75" customHeight="1" x14ac:dyDescent="0.25">
      <c r="C300" s="26"/>
    </row>
    <row r="301" spans="3:3" ht="15.75" customHeight="1" x14ac:dyDescent="0.25">
      <c r="C301" s="26"/>
    </row>
    <row r="302" spans="3:3" ht="15.75" customHeight="1" x14ac:dyDescent="0.25">
      <c r="C302" s="26"/>
    </row>
    <row r="303" spans="3:3" ht="15.75" customHeight="1" x14ac:dyDescent="0.25">
      <c r="C303" s="26"/>
    </row>
    <row r="304" spans="3:3" ht="15.75" customHeight="1" x14ac:dyDescent="0.25">
      <c r="C304" s="26"/>
    </row>
    <row r="305" spans="3:3" ht="15.75" customHeight="1" x14ac:dyDescent="0.25">
      <c r="C305" s="26"/>
    </row>
    <row r="306" spans="3:3" ht="15.75" customHeight="1" x14ac:dyDescent="0.25">
      <c r="C306" s="26"/>
    </row>
    <row r="307" spans="3:3" ht="15.75" customHeight="1" x14ac:dyDescent="0.25">
      <c r="C307" s="26"/>
    </row>
    <row r="308" spans="3:3" ht="15.75" customHeight="1" x14ac:dyDescent="0.25">
      <c r="C308" s="26"/>
    </row>
    <row r="309" spans="3:3" ht="15.75" customHeight="1" x14ac:dyDescent="0.25">
      <c r="C309" s="26"/>
    </row>
    <row r="310" spans="3:3" ht="15.75" customHeight="1" x14ac:dyDescent="0.25">
      <c r="C310" s="26"/>
    </row>
    <row r="311" spans="3:3" ht="15.75" customHeight="1" x14ac:dyDescent="0.25">
      <c r="C311" s="26"/>
    </row>
    <row r="312" spans="3:3" ht="15.75" customHeight="1" x14ac:dyDescent="0.25">
      <c r="C312" s="26"/>
    </row>
    <row r="313" spans="3:3" ht="15.75" customHeight="1" x14ac:dyDescent="0.25">
      <c r="C313" s="26"/>
    </row>
    <row r="314" spans="3:3" ht="15.75" customHeight="1" x14ac:dyDescent="0.25">
      <c r="C314" s="26"/>
    </row>
    <row r="315" spans="3:3" ht="15.75" customHeight="1" x14ac:dyDescent="0.25">
      <c r="C315" s="26"/>
    </row>
    <row r="316" spans="3:3" ht="15.75" customHeight="1" x14ac:dyDescent="0.25">
      <c r="C316" s="26"/>
    </row>
    <row r="317" spans="3:3" ht="15.75" customHeight="1" x14ac:dyDescent="0.25">
      <c r="C317" s="26"/>
    </row>
    <row r="318" spans="3:3" ht="15.75" customHeight="1" x14ac:dyDescent="0.25">
      <c r="C318" s="26"/>
    </row>
    <row r="319" spans="3:3" ht="15.75" customHeight="1" x14ac:dyDescent="0.25">
      <c r="C319" s="26"/>
    </row>
    <row r="320" spans="3:3" ht="15.75" customHeight="1" x14ac:dyDescent="0.25">
      <c r="C320" s="26"/>
    </row>
    <row r="321" spans="3:3" ht="15.75" customHeight="1" x14ac:dyDescent="0.25">
      <c r="C321" s="26"/>
    </row>
    <row r="322" spans="3:3" ht="15.75" customHeight="1" x14ac:dyDescent="0.25">
      <c r="C322" s="26"/>
    </row>
    <row r="323" spans="3:3" ht="15.75" customHeight="1" x14ac:dyDescent="0.25">
      <c r="C323" s="26"/>
    </row>
    <row r="324" spans="3:3" ht="15.75" customHeight="1" x14ac:dyDescent="0.25">
      <c r="C324" s="26"/>
    </row>
    <row r="325" spans="3:3" ht="15.75" customHeight="1" x14ac:dyDescent="0.25">
      <c r="C325" s="26"/>
    </row>
    <row r="326" spans="3:3" ht="15.75" customHeight="1" x14ac:dyDescent="0.25">
      <c r="C326" s="26"/>
    </row>
    <row r="327" spans="3:3" ht="15.75" customHeight="1" x14ac:dyDescent="0.25">
      <c r="C327" s="26"/>
    </row>
    <row r="328" spans="3:3" ht="15.75" customHeight="1" x14ac:dyDescent="0.25">
      <c r="C328" s="26"/>
    </row>
    <row r="329" spans="3:3" ht="15.75" customHeight="1" x14ac:dyDescent="0.25">
      <c r="C329" s="26"/>
    </row>
    <row r="330" spans="3:3" ht="15.75" customHeight="1" x14ac:dyDescent="0.25">
      <c r="C330" s="26"/>
    </row>
    <row r="331" spans="3:3" ht="15.75" customHeight="1" x14ac:dyDescent="0.25">
      <c r="C331" s="26"/>
    </row>
    <row r="332" spans="3:3" ht="15.75" customHeight="1" x14ac:dyDescent="0.25">
      <c r="C332" s="26"/>
    </row>
    <row r="333" spans="3:3" ht="15.75" customHeight="1" x14ac:dyDescent="0.25">
      <c r="C333" s="26"/>
    </row>
    <row r="334" spans="3:3" ht="15.75" customHeight="1" x14ac:dyDescent="0.25">
      <c r="C334" s="26"/>
    </row>
    <row r="335" spans="3:3" ht="15.75" customHeight="1" x14ac:dyDescent="0.25">
      <c r="C335" s="26"/>
    </row>
    <row r="336" spans="3:3" ht="15.75" customHeight="1" x14ac:dyDescent="0.25">
      <c r="C336" s="26"/>
    </row>
    <row r="337" spans="3:3" ht="15.75" customHeight="1" x14ac:dyDescent="0.25">
      <c r="C337" s="26"/>
    </row>
    <row r="338" spans="3:3" ht="15.75" customHeight="1" x14ac:dyDescent="0.25">
      <c r="C338" s="26"/>
    </row>
    <row r="339" spans="3:3" ht="15.75" customHeight="1" x14ac:dyDescent="0.25">
      <c r="C339" s="26"/>
    </row>
    <row r="340" spans="3:3" ht="15.75" customHeight="1" x14ac:dyDescent="0.25">
      <c r="C340" s="26"/>
    </row>
    <row r="341" spans="3:3" ht="15.75" customHeight="1" x14ac:dyDescent="0.25">
      <c r="C341" s="26"/>
    </row>
    <row r="342" spans="3:3" ht="15.75" customHeight="1" x14ac:dyDescent="0.25">
      <c r="C342" s="26"/>
    </row>
    <row r="343" spans="3:3" ht="15.75" customHeight="1" x14ac:dyDescent="0.25">
      <c r="C343" s="26"/>
    </row>
    <row r="344" spans="3:3" ht="15.75" customHeight="1" x14ac:dyDescent="0.25">
      <c r="C344" s="26"/>
    </row>
    <row r="345" spans="3:3" ht="15.75" customHeight="1" x14ac:dyDescent="0.25">
      <c r="C345" s="26"/>
    </row>
    <row r="346" spans="3:3" ht="15.75" customHeight="1" x14ac:dyDescent="0.25">
      <c r="C346" s="26"/>
    </row>
    <row r="347" spans="3:3" ht="15.75" customHeight="1" x14ac:dyDescent="0.25">
      <c r="C347" s="26"/>
    </row>
    <row r="348" spans="3:3" ht="15.75" customHeight="1" x14ac:dyDescent="0.25">
      <c r="C348" s="26"/>
    </row>
    <row r="349" spans="3:3" ht="15.75" customHeight="1" x14ac:dyDescent="0.25">
      <c r="C349" s="26"/>
    </row>
    <row r="350" spans="3:3" ht="15.75" customHeight="1" x14ac:dyDescent="0.25">
      <c r="C350" s="26"/>
    </row>
    <row r="351" spans="3:3" ht="15.75" customHeight="1" x14ac:dyDescent="0.25">
      <c r="C351" s="26"/>
    </row>
    <row r="352" spans="3:3" ht="15.75" customHeight="1" x14ac:dyDescent="0.25">
      <c r="C352" s="26"/>
    </row>
    <row r="353" spans="3:3" ht="15.75" customHeight="1" x14ac:dyDescent="0.25">
      <c r="C353" s="26"/>
    </row>
    <row r="354" spans="3:3" ht="15.75" customHeight="1" x14ac:dyDescent="0.25">
      <c r="C354" s="26"/>
    </row>
    <row r="355" spans="3:3" ht="15.75" customHeight="1" x14ac:dyDescent="0.25">
      <c r="C355" s="26"/>
    </row>
    <row r="356" spans="3:3" ht="15.75" customHeight="1" x14ac:dyDescent="0.25">
      <c r="C356" s="26"/>
    </row>
    <row r="357" spans="3:3" ht="15.75" customHeight="1" x14ac:dyDescent="0.25">
      <c r="C357" s="26"/>
    </row>
    <row r="358" spans="3:3" ht="15.75" customHeight="1" x14ac:dyDescent="0.25">
      <c r="C358" s="26"/>
    </row>
    <row r="359" spans="3:3" ht="15.75" customHeight="1" x14ac:dyDescent="0.25">
      <c r="C359" s="26"/>
    </row>
    <row r="360" spans="3:3" ht="15.75" customHeight="1" x14ac:dyDescent="0.25">
      <c r="C360" s="26"/>
    </row>
    <row r="361" spans="3:3" ht="15.75" customHeight="1" x14ac:dyDescent="0.25">
      <c r="C361" s="26"/>
    </row>
    <row r="362" spans="3:3" ht="15.75" customHeight="1" x14ac:dyDescent="0.25">
      <c r="C362" s="26"/>
    </row>
    <row r="363" spans="3:3" ht="15.75" customHeight="1" x14ac:dyDescent="0.25">
      <c r="C363" s="26"/>
    </row>
    <row r="364" spans="3:3" ht="15.75" customHeight="1" x14ac:dyDescent="0.25">
      <c r="C364" s="26"/>
    </row>
    <row r="365" spans="3:3" ht="15.75" customHeight="1" x14ac:dyDescent="0.25">
      <c r="C365" s="26"/>
    </row>
    <row r="366" spans="3:3" ht="15.75" customHeight="1" x14ac:dyDescent="0.25">
      <c r="C366" s="26"/>
    </row>
    <row r="367" spans="3:3" ht="15.75" customHeight="1" x14ac:dyDescent="0.25">
      <c r="C367" s="26"/>
    </row>
    <row r="368" spans="3:3" ht="15.75" customHeight="1" x14ac:dyDescent="0.25">
      <c r="C368" s="26"/>
    </row>
    <row r="369" spans="3:3" ht="15.75" customHeight="1" x14ac:dyDescent="0.25">
      <c r="C369" s="26"/>
    </row>
    <row r="370" spans="3:3" ht="15.75" customHeight="1" x14ac:dyDescent="0.25">
      <c r="C370" s="26"/>
    </row>
    <row r="371" spans="3:3" ht="15.75" customHeight="1" x14ac:dyDescent="0.25">
      <c r="C371" s="26"/>
    </row>
    <row r="372" spans="3:3" ht="15.75" customHeight="1" x14ac:dyDescent="0.25">
      <c r="C372" s="26"/>
    </row>
    <row r="373" spans="3:3" ht="15.75" customHeight="1" x14ac:dyDescent="0.25">
      <c r="C373" s="26"/>
    </row>
    <row r="374" spans="3:3" ht="15.75" customHeight="1" x14ac:dyDescent="0.25">
      <c r="C374" s="26"/>
    </row>
    <row r="375" spans="3:3" ht="15.75" customHeight="1" x14ac:dyDescent="0.25">
      <c r="C375" s="26"/>
    </row>
    <row r="376" spans="3:3" ht="15.75" customHeight="1" x14ac:dyDescent="0.25">
      <c r="C376" s="26"/>
    </row>
    <row r="377" spans="3:3" ht="15.75" customHeight="1" x14ac:dyDescent="0.25">
      <c r="C377" s="26"/>
    </row>
    <row r="378" spans="3:3" ht="15.75" customHeight="1" x14ac:dyDescent="0.25">
      <c r="C378" s="26"/>
    </row>
    <row r="379" spans="3:3" ht="15.75" customHeight="1" x14ac:dyDescent="0.25">
      <c r="C379" s="26"/>
    </row>
    <row r="380" spans="3:3" ht="15.75" customHeight="1" x14ac:dyDescent="0.25">
      <c r="C380" s="26"/>
    </row>
    <row r="381" spans="3:3" ht="15.75" customHeight="1" x14ac:dyDescent="0.25">
      <c r="C381" s="26"/>
    </row>
    <row r="382" spans="3:3" ht="15.75" customHeight="1" x14ac:dyDescent="0.25">
      <c r="C382" s="26"/>
    </row>
    <row r="383" spans="3:3" ht="15.75" customHeight="1" x14ac:dyDescent="0.25">
      <c r="C383" s="26"/>
    </row>
    <row r="384" spans="3:3" ht="15.75" customHeight="1" x14ac:dyDescent="0.25">
      <c r="C384" s="26"/>
    </row>
    <row r="385" spans="3:3" ht="15.75" customHeight="1" x14ac:dyDescent="0.25">
      <c r="C385" s="26"/>
    </row>
    <row r="386" spans="3:3" ht="15.75" customHeight="1" x14ac:dyDescent="0.25">
      <c r="C386" s="26"/>
    </row>
    <row r="387" spans="3:3" ht="15.75" customHeight="1" x14ac:dyDescent="0.25">
      <c r="C387" s="26"/>
    </row>
    <row r="388" spans="3:3" ht="15.75" customHeight="1" x14ac:dyDescent="0.25">
      <c r="C388" s="26"/>
    </row>
    <row r="389" spans="3:3" ht="15.75" customHeight="1" x14ac:dyDescent="0.25">
      <c r="C389" s="26"/>
    </row>
    <row r="390" spans="3:3" ht="15.75" customHeight="1" x14ac:dyDescent="0.25">
      <c r="C390" s="26"/>
    </row>
    <row r="391" spans="3:3" ht="15.75" customHeight="1" x14ac:dyDescent="0.25">
      <c r="C391" s="26"/>
    </row>
    <row r="392" spans="3:3" ht="15.75" customHeight="1" x14ac:dyDescent="0.25">
      <c r="C392" s="26"/>
    </row>
    <row r="393" spans="3:3" ht="15.75" customHeight="1" x14ac:dyDescent="0.25">
      <c r="C393" s="26"/>
    </row>
    <row r="394" spans="3:3" ht="15.75" customHeight="1" x14ac:dyDescent="0.25">
      <c r="C394" s="26"/>
    </row>
    <row r="395" spans="3:3" ht="15.75" customHeight="1" x14ac:dyDescent="0.25">
      <c r="C395" s="26"/>
    </row>
    <row r="396" spans="3:3" ht="15.75" customHeight="1" x14ac:dyDescent="0.25">
      <c r="C396" s="26"/>
    </row>
    <row r="397" spans="3:3" ht="15.75" customHeight="1" x14ac:dyDescent="0.25">
      <c r="C397" s="26"/>
    </row>
    <row r="398" spans="3:3" ht="15.75" customHeight="1" x14ac:dyDescent="0.25">
      <c r="C398" s="26"/>
    </row>
    <row r="399" spans="3:3" ht="15.75" customHeight="1" x14ac:dyDescent="0.25">
      <c r="C399" s="26"/>
    </row>
    <row r="400" spans="3:3" ht="15.75" customHeight="1" x14ac:dyDescent="0.25">
      <c r="C400" s="26"/>
    </row>
    <row r="401" spans="3:3" ht="15.75" customHeight="1" x14ac:dyDescent="0.25">
      <c r="C401" s="26"/>
    </row>
    <row r="402" spans="3:3" ht="15.75" customHeight="1" x14ac:dyDescent="0.25">
      <c r="C402" s="26"/>
    </row>
    <row r="403" spans="3:3" ht="15.75" customHeight="1" x14ac:dyDescent="0.25">
      <c r="C403" s="26"/>
    </row>
    <row r="404" spans="3:3" ht="15.75" customHeight="1" x14ac:dyDescent="0.25">
      <c r="C404" s="26"/>
    </row>
    <row r="405" spans="3:3" ht="15.75" customHeight="1" x14ac:dyDescent="0.25">
      <c r="C405" s="26"/>
    </row>
    <row r="406" spans="3:3" ht="15.75" customHeight="1" x14ac:dyDescent="0.25">
      <c r="C406" s="26"/>
    </row>
    <row r="407" spans="3:3" ht="15.75" customHeight="1" x14ac:dyDescent="0.25">
      <c r="C407" s="26"/>
    </row>
    <row r="408" spans="3:3" ht="15.75" customHeight="1" x14ac:dyDescent="0.25">
      <c r="C408" s="26"/>
    </row>
    <row r="409" spans="3:3" ht="15.75" customHeight="1" x14ac:dyDescent="0.25">
      <c r="C409" s="26"/>
    </row>
    <row r="410" spans="3:3" ht="15.75" customHeight="1" x14ac:dyDescent="0.25">
      <c r="C410" s="26"/>
    </row>
    <row r="411" spans="3:3" ht="15.75" customHeight="1" x14ac:dyDescent="0.25">
      <c r="C411" s="26"/>
    </row>
    <row r="412" spans="3:3" ht="15.75" customHeight="1" x14ac:dyDescent="0.25">
      <c r="C412" s="26"/>
    </row>
    <row r="413" spans="3:3" ht="15.75" customHeight="1" x14ac:dyDescent="0.25">
      <c r="C413" s="26"/>
    </row>
    <row r="414" spans="3:3" ht="15.75" customHeight="1" x14ac:dyDescent="0.25">
      <c r="C414" s="26"/>
    </row>
    <row r="415" spans="3:3" ht="15.75" customHeight="1" x14ac:dyDescent="0.25">
      <c r="C415" s="26"/>
    </row>
    <row r="416" spans="3:3" ht="15.75" customHeight="1" x14ac:dyDescent="0.25">
      <c r="C416" s="26"/>
    </row>
    <row r="417" spans="3:3" ht="15.75" customHeight="1" x14ac:dyDescent="0.25">
      <c r="C417" s="26"/>
    </row>
    <row r="418" spans="3:3" ht="15.75" customHeight="1" x14ac:dyDescent="0.25">
      <c r="C418" s="26"/>
    </row>
    <row r="419" spans="3:3" ht="15.75" customHeight="1" x14ac:dyDescent="0.25">
      <c r="C419" s="26"/>
    </row>
    <row r="420" spans="3:3" ht="15.75" customHeight="1" x14ac:dyDescent="0.25">
      <c r="C420" s="26"/>
    </row>
    <row r="421" spans="3:3" ht="15.75" customHeight="1" x14ac:dyDescent="0.25">
      <c r="C421" s="26"/>
    </row>
    <row r="422" spans="3:3" ht="15.75" customHeight="1" x14ac:dyDescent="0.25">
      <c r="C422" s="26"/>
    </row>
    <row r="423" spans="3:3" ht="15.75" customHeight="1" x14ac:dyDescent="0.25">
      <c r="C423" s="26"/>
    </row>
    <row r="424" spans="3:3" ht="15.75" customHeight="1" x14ac:dyDescent="0.25">
      <c r="C424" s="26"/>
    </row>
    <row r="425" spans="3:3" ht="15.75" customHeight="1" x14ac:dyDescent="0.25">
      <c r="C425" s="26"/>
    </row>
    <row r="426" spans="3:3" ht="15.75" customHeight="1" x14ac:dyDescent="0.25">
      <c r="C426" s="26"/>
    </row>
    <row r="427" spans="3:3" ht="15.75" customHeight="1" x14ac:dyDescent="0.25">
      <c r="C427" s="26"/>
    </row>
    <row r="428" spans="3:3" ht="15.75" customHeight="1" x14ac:dyDescent="0.25">
      <c r="C428" s="26"/>
    </row>
    <row r="429" spans="3:3" ht="15.75" customHeight="1" x14ac:dyDescent="0.25">
      <c r="C429" s="26"/>
    </row>
    <row r="430" spans="3:3" ht="15.75" customHeight="1" x14ac:dyDescent="0.25">
      <c r="C430" s="26"/>
    </row>
    <row r="431" spans="3:3" ht="15.75" customHeight="1" x14ac:dyDescent="0.25">
      <c r="C431" s="26"/>
    </row>
    <row r="432" spans="3:3" ht="15.75" customHeight="1" x14ac:dyDescent="0.25">
      <c r="C432" s="26"/>
    </row>
    <row r="433" spans="3:3" ht="15.75" customHeight="1" x14ac:dyDescent="0.25">
      <c r="C433" s="26"/>
    </row>
    <row r="434" spans="3:3" ht="15.75" customHeight="1" x14ac:dyDescent="0.25">
      <c r="C434" s="26"/>
    </row>
    <row r="435" spans="3:3" ht="15.75" customHeight="1" x14ac:dyDescent="0.25">
      <c r="C435" s="26"/>
    </row>
    <row r="436" spans="3:3" ht="15.75" customHeight="1" x14ac:dyDescent="0.25">
      <c r="C436" s="26"/>
    </row>
    <row r="437" spans="3:3" ht="15.75" customHeight="1" x14ac:dyDescent="0.25">
      <c r="C437" s="26"/>
    </row>
    <row r="438" spans="3:3" ht="15.75" customHeight="1" x14ac:dyDescent="0.25">
      <c r="C438" s="26"/>
    </row>
    <row r="439" spans="3:3" ht="15.75" customHeight="1" x14ac:dyDescent="0.25">
      <c r="C439" s="26"/>
    </row>
    <row r="440" spans="3:3" ht="15.75" customHeight="1" x14ac:dyDescent="0.25">
      <c r="C440" s="26"/>
    </row>
    <row r="441" spans="3:3" ht="15.75" customHeight="1" x14ac:dyDescent="0.25">
      <c r="C441" s="26"/>
    </row>
    <row r="442" spans="3:3" ht="15.75" customHeight="1" x14ac:dyDescent="0.25">
      <c r="C442" s="26"/>
    </row>
    <row r="443" spans="3:3" ht="15.75" customHeight="1" x14ac:dyDescent="0.25">
      <c r="C443" s="26"/>
    </row>
    <row r="444" spans="3:3" ht="15.75" customHeight="1" x14ac:dyDescent="0.25">
      <c r="C444" s="26"/>
    </row>
    <row r="445" spans="3:3" ht="15.75" customHeight="1" x14ac:dyDescent="0.25">
      <c r="C445" s="26"/>
    </row>
    <row r="446" spans="3:3" ht="15.75" customHeight="1" x14ac:dyDescent="0.25">
      <c r="C446" s="26"/>
    </row>
    <row r="447" spans="3:3" ht="15.75" customHeight="1" x14ac:dyDescent="0.25">
      <c r="C447" s="26"/>
    </row>
    <row r="448" spans="3:3" ht="15.75" customHeight="1" x14ac:dyDescent="0.25">
      <c r="C448" s="26"/>
    </row>
    <row r="449" spans="3:3" ht="15.75" customHeight="1" x14ac:dyDescent="0.25">
      <c r="C449" s="26"/>
    </row>
    <row r="450" spans="3:3" ht="15.75" customHeight="1" x14ac:dyDescent="0.25">
      <c r="C450" s="26"/>
    </row>
    <row r="451" spans="3:3" ht="15.75" customHeight="1" x14ac:dyDescent="0.25">
      <c r="C451" s="26"/>
    </row>
    <row r="452" spans="3:3" ht="15.75" customHeight="1" x14ac:dyDescent="0.25">
      <c r="C452" s="26"/>
    </row>
    <row r="453" spans="3:3" ht="15.75" customHeight="1" x14ac:dyDescent="0.25">
      <c r="C453" s="26"/>
    </row>
    <row r="454" spans="3:3" ht="15.75" customHeight="1" x14ac:dyDescent="0.25">
      <c r="C454" s="26"/>
    </row>
    <row r="455" spans="3:3" ht="15.75" customHeight="1" x14ac:dyDescent="0.25">
      <c r="C455" s="26"/>
    </row>
    <row r="456" spans="3:3" ht="15.75" customHeight="1" x14ac:dyDescent="0.25">
      <c r="C456" s="26"/>
    </row>
    <row r="457" spans="3:3" ht="15.75" customHeight="1" x14ac:dyDescent="0.25">
      <c r="C457" s="26"/>
    </row>
    <row r="458" spans="3:3" ht="15.75" customHeight="1" x14ac:dyDescent="0.25">
      <c r="C458" s="26"/>
    </row>
    <row r="459" spans="3:3" ht="15.75" customHeight="1" x14ac:dyDescent="0.25">
      <c r="C459" s="26"/>
    </row>
    <row r="460" spans="3:3" ht="15.75" customHeight="1" x14ac:dyDescent="0.25">
      <c r="C460" s="26"/>
    </row>
    <row r="461" spans="3:3" ht="15.75" customHeight="1" x14ac:dyDescent="0.25">
      <c r="C461" s="26"/>
    </row>
    <row r="462" spans="3:3" ht="15.75" customHeight="1" x14ac:dyDescent="0.25">
      <c r="C462" s="26"/>
    </row>
    <row r="463" spans="3:3" ht="15.75" customHeight="1" x14ac:dyDescent="0.25">
      <c r="C463" s="26"/>
    </row>
    <row r="464" spans="3:3" ht="15.75" customHeight="1" x14ac:dyDescent="0.25">
      <c r="C464" s="26"/>
    </row>
    <row r="465" spans="3:3" ht="15.75" customHeight="1" x14ac:dyDescent="0.25">
      <c r="C465" s="26"/>
    </row>
    <row r="466" spans="3:3" ht="15.75" customHeight="1" x14ac:dyDescent="0.25">
      <c r="C466" s="26"/>
    </row>
    <row r="467" spans="3:3" ht="15.75" customHeight="1" x14ac:dyDescent="0.25">
      <c r="C467" s="26"/>
    </row>
    <row r="468" spans="3:3" ht="15.75" customHeight="1" x14ac:dyDescent="0.25">
      <c r="C468" s="26"/>
    </row>
    <row r="469" spans="3:3" ht="15.75" customHeight="1" x14ac:dyDescent="0.25">
      <c r="C469" s="26"/>
    </row>
    <row r="470" spans="3:3" ht="15.75" customHeight="1" x14ac:dyDescent="0.25">
      <c r="C470" s="26"/>
    </row>
    <row r="471" spans="3:3" ht="15.75" customHeight="1" x14ac:dyDescent="0.25">
      <c r="C471" s="26"/>
    </row>
    <row r="472" spans="3:3" ht="15.75" customHeight="1" x14ac:dyDescent="0.25">
      <c r="C472" s="26"/>
    </row>
    <row r="473" spans="3:3" ht="15.75" customHeight="1" x14ac:dyDescent="0.25">
      <c r="C473" s="26"/>
    </row>
    <row r="474" spans="3:3" ht="15.75" customHeight="1" x14ac:dyDescent="0.25">
      <c r="C474" s="26"/>
    </row>
    <row r="475" spans="3:3" ht="15.75" customHeight="1" x14ac:dyDescent="0.25">
      <c r="C475" s="26"/>
    </row>
    <row r="476" spans="3:3" ht="15.75" customHeight="1" x14ac:dyDescent="0.25">
      <c r="C476" s="26"/>
    </row>
    <row r="477" spans="3:3" ht="15.75" customHeight="1" x14ac:dyDescent="0.25">
      <c r="C477" s="26"/>
    </row>
    <row r="478" spans="3:3" ht="15.75" customHeight="1" x14ac:dyDescent="0.25">
      <c r="C478" s="26"/>
    </row>
    <row r="479" spans="3:3" ht="15.75" customHeight="1" x14ac:dyDescent="0.25">
      <c r="C479" s="26"/>
    </row>
    <row r="480" spans="3:3" ht="15.75" customHeight="1" x14ac:dyDescent="0.25">
      <c r="C480" s="26"/>
    </row>
    <row r="481" spans="3:3" ht="15.75" customHeight="1" x14ac:dyDescent="0.25">
      <c r="C481" s="26"/>
    </row>
    <row r="482" spans="3:3" ht="15.75" customHeight="1" x14ac:dyDescent="0.25">
      <c r="C482" s="26"/>
    </row>
    <row r="483" spans="3:3" ht="15.75" customHeight="1" x14ac:dyDescent="0.25">
      <c r="C483" s="26"/>
    </row>
    <row r="484" spans="3:3" ht="15.75" customHeight="1" x14ac:dyDescent="0.25">
      <c r="C484" s="26"/>
    </row>
    <row r="485" spans="3:3" ht="15.75" customHeight="1" x14ac:dyDescent="0.25">
      <c r="C485" s="26"/>
    </row>
    <row r="486" spans="3:3" ht="15.75" customHeight="1" x14ac:dyDescent="0.25">
      <c r="C486" s="26"/>
    </row>
    <row r="487" spans="3:3" ht="15.75" customHeight="1" x14ac:dyDescent="0.25">
      <c r="C487" s="26"/>
    </row>
    <row r="488" spans="3:3" ht="15.75" customHeight="1" x14ac:dyDescent="0.25">
      <c r="C488" s="26"/>
    </row>
    <row r="489" spans="3:3" ht="15.75" customHeight="1" x14ac:dyDescent="0.25">
      <c r="C489" s="26"/>
    </row>
    <row r="490" spans="3:3" ht="15.75" customHeight="1" x14ac:dyDescent="0.25">
      <c r="C490" s="26"/>
    </row>
    <row r="491" spans="3:3" ht="15.75" customHeight="1" x14ac:dyDescent="0.25">
      <c r="C491" s="26"/>
    </row>
    <row r="492" spans="3:3" ht="15.75" customHeight="1" x14ac:dyDescent="0.25">
      <c r="C492" s="26"/>
    </row>
    <row r="493" spans="3:3" ht="15.75" customHeight="1" x14ac:dyDescent="0.25">
      <c r="C493" s="26"/>
    </row>
    <row r="494" spans="3:3" ht="15.75" customHeight="1" x14ac:dyDescent="0.25">
      <c r="C494" s="26"/>
    </row>
    <row r="495" spans="3:3" ht="15.75" customHeight="1" x14ac:dyDescent="0.25">
      <c r="C495" s="26"/>
    </row>
    <row r="496" spans="3:3" ht="15.75" customHeight="1" x14ac:dyDescent="0.25">
      <c r="C496" s="26"/>
    </row>
    <row r="497" spans="3:3" ht="15.75" customHeight="1" x14ac:dyDescent="0.25">
      <c r="C497" s="26"/>
    </row>
    <row r="498" spans="3:3" ht="15.75" customHeight="1" x14ac:dyDescent="0.25">
      <c r="C498" s="26"/>
    </row>
    <row r="499" spans="3:3" ht="15.75" customHeight="1" x14ac:dyDescent="0.25">
      <c r="C499" s="26"/>
    </row>
    <row r="500" spans="3:3" ht="15.75" customHeight="1" x14ac:dyDescent="0.25">
      <c r="C500" s="26"/>
    </row>
    <row r="501" spans="3:3" ht="15.75" customHeight="1" x14ac:dyDescent="0.25">
      <c r="C501" s="26"/>
    </row>
    <row r="502" spans="3:3" ht="15.75" customHeight="1" x14ac:dyDescent="0.25">
      <c r="C502" s="26"/>
    </row>
    <row r="503" spans="3:3" ht="15.75" customHeight="1" x14ac:dyDescent="0.25">
      <c r="C503" s="26"/>
    </row>
    <row r="504" spans="3:3" ht="15.75" customHeight="1" x14ac:dyDescent="0.25">
      <c r="C504" s="26"/>
    </row>
    <row r="505" spans="3:3" ht="15.75" customHeight="1" x14ac:dyDescent="0.25">
      <c r="C505" s="26"/>
    </row>
    <row r="506" spans="3:3" ht="15.75" customHeight="1" x14ac:dyDescent="0.25">
      <c r="C506" s="26"/>
    </row>
    <row r="507" spans="3:3" ht="15.75" customHeight="1" x14ac:dyDescent="0.25">
      <c r="C507" s="26"/>
    </row>
    <row r="508" spans="3:3" ht="15.75" customHeight="1" x14ac:dyDescent="0.25">
      <c r="C508" s="26"/>
    </row>
    <row r="509" spans="3:3" ht="15.75" customHeight="1" x14ac:dyDescent="0.25">
      <c r="C509" s="26"/>
    </row>
    <row r="510" spans="3:3" ht="15.75" customHeight="1" x14ac:dyDescent="0.25">
      <c r="C510" s="26"/>
    </row>
    <row r="511" spans="3:3" ht="15.75" customHeight="1" x14ac:dyDescent="0.25">
      <c r="C511" s="26"/>
    </row>
    <row r="512" spans="3:3" ht="15.75" customHeight="1" x14ac:dyDescent="0.25">
      <c r="C512" s="26"/>
    </row>
    <row r="513" spans="3:3" ht="15.75" customHeight="1" x14ac:dyDescent="0.25">
      <c r="C513" s="26"/>
    </row>
    <row r="514" spans="3:3" ht="15.75" customHeight="1" x14ac:dyDescent="0.25">
      <c r="C514" s="26"/>
    </row>
    <row r="515" spans="3:3" ht="15.75" customHeight="1" x14ac:dyDescent="0.25">
      <c r="C515" s="26"/>
    </row>
    <row r="516" spans="3:3" ht="15.75" customHeight="1" x14ac:dyDescent="0.25">
      <c r="C516" s="26"/>
    </row>
    <row r="517" spans="3:3" ht="15.75" customHeight="1" x14ac:dyDescent="0.25">
      <c r="C517" s="26"/>
    </row>
    <row r="518" spans="3:3" ht="15.75" customHeight="1" x14ac:dyDescent="0.25">
      <c r="C518" s="26"/>
    </row>
    <row r="519" spans="3:3" ht="15.75" customHeight="1" x14ac:dyDescent="0.25">
      <c r="C519" s="26"/>
    </row>
    <row r="520" spans="3:3" ht="15.75" customHeight="1" x14ac:dyDescent="0.25">
      <c r="C520" s="26"/>
    </row>
    <row r="521" spans="3:3" ht="15.75" customHeight="1" x14ac:dyDescent="0.25">
      <c r="C521" s="26"/>
    </row>
    <row r="522" spans="3:3" ht="15.75" customHeight="1" x14ac:dyDescent="0.25">
      <c r="C522" s="26"/>
    </row>
    <row r="523" spans="3:3" ht="15.75" customHeight="1" x14ac:dyDescent="0.25">
      <c r="C523" s="26"/>
    </row>
    <row r="524" spans="3:3" ht="15.75" customHeight="1" x14ac:dyDescent="0.25">
      <c r="C524" s="26"/>
    </row>
    <row r="525" spans="3:3" ht="15.75" customHeight="1" x14ac:dyDescent="0.25">
      <c r="C525" s="26"/>
    </row>
    <row r="526" spans="3:3" ht="15.75" customHeight="1" x14ac:dyDescent="0.25">
      <c r="C526" s="26"/>
    </row>
    <row r="527" spans="3:3" ht="15.75" customHeight="1" x14ac:dyDescent="0.25">
      <c r="C527" s="26"/>
    </row>
    <row r="528" spans="3:3" ht="15.75" customHeight="1" x14ac:dyDescent="0.25">
      <c r="C528" s="26"/>
    </row>
    <row r="529" spans="3:3" ht="15.75" customHeight="1" x14ac:dyDescent="0.25">
      <c r="C529" s="26"/>
    </row>
    <row r="530" spans="3:3" ht="15.75" customHeight="1" x14ac:dyDescent="0.25">
      <c r="C530" s="26"/>
    </row>
    <row r="531" spans="3:3" ht="15.75" customHeight="1" x14ac:dyDescent="0.25">
      <c r="C531" s="26"/>
    </row>
    <row r="532" spans="3:3" ht="15.75" customHeight="1" x14ac:dyDescent="0.25">
      <c r="C532" s="26"/>
    </row>
    <row r="533" spans="3:3" ht="15.75" customHeight="1" x14ac:dyDescent="0.25">
      <c r="C533" s="26"/>
    </row>
    <row r="534" spans="3:3" ht="15.75" customHeight="1" x14ac:dyDescent="0.25">
      <c r="C534" s="26"/>
    </row>
    <row r="535" spans="3:3" ht="15.75" customHeight="1" x14ac:dyDescent="0.25">
      <c r="C535" s="26"/>
    </row>
    <row r="536" spans="3:3" ht="15.75" customHeight="1" x14ac:dyDescent="0.25">
      <c r="C536" s="26"/>
    </row>
    <row r="537" spans="3:3" ht="15.75" customHeight="1" x14ac:dyDescent="0.25">
      <c r="C537" s="26"/>
    </row>
    <row r="538" spans="3:3" ht="15.75" customHeight="1" x14ac:dyDescent="0.25">
      <c r="C538" s="26"/>
    </row>
    <row r="539" spans="3:3" ht="15.75" customHeight="1" x14ac:dyDescent="0.25">
      <c r="C539" s="26"/>
    </row>
    <row r="540" spans="3:3" ht="15.75" customHeight="1" x14ac:dyDescent="0.25">
      <c r="C540" s="26"/>
    </row>
    <row r="541" spans="3:3" ht="15.75" customHeight="1" x14ac:dyDescent="0.25">
      <c r="C541" s="26"/>
    </row>
    <row r="542" spans="3:3" ht="15.75" customHeight="1" x14ac:dyDescent="0.25">
      <c r="C542" s="26"/>
    </row>
    <row r="543" spans="3:3" ht="15.75" customHeight="1" x14ac:dyDescent="0.25">
      <c r="C543" s="26"/>
    </row>
    <row r="544" spans="3:3" ht="15.75" customHeight="1" x14ac:dyDescent="0.25">
      <c r="C544" s="26"/>
    </row>
    <row r="545" spans="3:3" ht="15.75" customHeight="1" x14ac:dyDescent="0.25">
      <c r="C545" s="26"/>
    </row>
    <row r="546" spans="3:3" ht="15.75" customHeight="1" x14ac:dyDescent="0.25">
      <c r="C546" s="26"/>
    </row>
    <row r="547" spans="3:3" ht="15.75" customHeight="1" x14ac:dyDescent="0.25">
      <c r="C547" s="26"/>
    </row>
    <row r="548" spans="3:3" ht="15.75" customHeight="1" x14ac:dyDescent="0.25">
      <c r="C548" s="26"/>
    </row>
    <row r="549" spans="3:3" ht="15.75" customHeight="1" x14ac:dyDescent="0.25">
      <c r="C549" s="26"/>
    </row>
    <row r="550" spans="3:3" ht="15.75" customHeight="1" x14ac:dyDescent="0.25">
      <c r="C550" s="26"/>
    </row>
    <row r="551" spans="3:3" ht="15.75" customHeight="1" x14ac:dyDescent="0.25">
      <c r="C551" s="26"/>
    </row>
    <row r="552" spans="3:3" ht="15.75" customHeight="1" x14ac:dyDescent="0.25">
      <c r="C552" s="26"/>
    </row>
    <row r="553" spans="3:3" ht="15.75" customHeight="1" x14ac:dyDescent="0.25">
      <c r="C553" s="26"/>
    </row>
    <row r="554" spans="3:3" ht="15.75" customHeight="1" x14ac:dyDescent="0.25">
      <c r="C554" s="26"/>
    </row>
    <row r="555" spans="3:3" ht="15.75" customHeight="1" x14ac:dyDescent="0.25">
      <c r="C555" s="26"/>
    </row>
    <row r="556" spans="3:3" ht="15.75" customHeight="1" x14ac:dyDescent="0.25">
      <c r="C556" s="26"/>
    </row>
    <row r="557" spans="3:3" ht="15.75" customHeight="1" x14ac:dyDescent="0.25">
      <c r="C557" s="26"/>
    </row>
    <row r="558" spans="3:3" ht="15.75" customHeight="1" x14ac:dyDescent="0.25">
      <c r="C558" s="26"/>
    </row>
    <row r="559" spans="3:3" ht="15.75" customHeight="1" x14ac:dyDescent="0.25">
      <c r="C559" s="26"/>
    </row>
    <row r="560" spans="3:3" ht="15.75" customHeight="1" x14ac:dyDescent="0.25">
      <c r="C560" s="26"/>
    </row>
    <row r="561" spans="3:3" ht="15.75" customHeight="1" x14ac:dyDescent="0.25">
      <c r="C561" s="26"/>
    </row>
    <row r="562" spans="3:3" ht="15.75" customHeight="1" x14ac:dyDescent="0.25">
      <c r="C562" s="26"/>
    </row>
    <row r="563" spans="3:3" ht="15.75" customHeight="1" x14ac:dyDescent="0.25">
      <c r="C563" s="26"/>
    </row>
    <row r="564" spans="3:3" ht="15.75" customHeight="1" x14ac:dyDescent="0.25">
      <c r="C564" s="26"/>
    </row>
    <row r="565" spans="3:3" ht="15.75" customHeight="1" x14ac:dyDescent="0.25">
      <c r="C565" s="26"/>
    </row>
    <row r="566" spans="3:3" ht="15.75" customHeight="1" x14ac:dyDescent="0.25">
      <c r="C566" s="26"/>
    </row>
    <row r="567" spans="3:3" ht="15.75" customHeight="1" x14ac:dyDescent="0.25">
      <c r="C567" s="26"/>
    </row>
    <row r="568" spans="3:3" ht="15.75" customHeight="1" x14ac:dyDescent="0.25">
      <c r="C568" s="26"/>
    </row>
    <row r="569" spans="3:3" ht="15.75" customHeight="1" x14ac:dyDescent="0.25">
      <c r="C569" s="26"/>
    </row>
    <row r="570" spans="3:3" ht="15.75" customHeight="1" x14ac:dyDescent="0.25">
      <c r="C570" s="26"/>
    </row>
    <row r="571" spans="3:3" ht="15.75" customHeight="1" x14ac:dyDescent="0.25">
      <c r="C571" s="26"/>
    </row>
    <row r="572" spans="3:3" ht="15.75" customHeight="1" x14ac:dyDescent="0.25">
      <c r="C572" s="26"/>
    </row>
    <row r="573" spans="3:3" ht="15.75" customHeight="1" x14ac:dyDescent="0.25">
      <c r="C573" s="26"/>
    </row>
    <row r="574" spans="3:3" ht="15.75" customHeight="1" x14ac:dyDescent="0.25">
      <c r="C574" s="26"/>
    </row>
    <row r="575" spans="3:3" ht="15.75" customHeight="1" x14ac:dyDescent="0.25">
      <c r="C575" s="26"/>
    </row>
    <row r="576" spans="3:3" ht="15.75" customHeight="1" x14ac:dyDescent="0.25">
      <c r="C576" s="26"/>
    </row>
    <row r="577" spans="3:3" ht="15.75" customHeight="1" x14ac:dyDescent="0.25">
      <c r="C577" s="26"/>
    </row>
    <row r="578" spans="3:3" ht="15.75" customHeight="1" x14ac:dyDescent="0.25">
      <c r="C578" s="26"/>
    </row>
    <row r="579" spans="3:3" ht="15.75" customHeight="1" x14ac:dyDescent="0.25">
      <c r="C579" s="26"/>
    </row>
    <row r="580" spans="3:3" ht="15.75" customHeight="1" x14ac:dyDescent="0.25">
      <c r="C580" s="26"/>
    </row>
    <row r="581" spans="3:3" ht="15.75" customHeight="1" x14ac:dyDescent="0.25">
      <c r="C581" s="26"/>
    </row>
    <row r="582" spans="3:3" ht="15.75" customHeight="1" x14ac:dyDescent="0.25">
      <c r="C582" s="26"/>
    </row>
    <row r="583" spans="3:3" ht="15.75" customHeight="1" x14ac:dyDescent="0.25">
      <c r="C583" s="26"/>
    </row>
    <row r="584" spans="3:3" ht="15.75" customHeight="1" x14ac:dyDescent="0.25">
      <c r="C584" s="26"/>
    </row>
    <row r="585" spans="3:3" ht="15.75" customHeight="1" x14ac:dyDescent="0.25">
      <c r="C585" s="26"/>
    </row>
    <row r="586" spans="3:3" ht="15.75" customHeight="1" x14ac:dyDescent="0.25">
      <c r="C586" s="26"/>
    </row>
    <row r="587" spans="3:3" ht="15.75" customHeight="1" x14ac:dyDescent="0.25">
      <c r="C587" s="26"/>
    </row>
    <row r="588" spans="3:3" ht="15.75" customHeight="1" x14ac:dyDescent="0.25">
      <c r="C588" s="26"/>
    </row>
    <row r="589" spans="3:3" ht="15.75" customHeight="1" x14ac:dyDescent="0.25">
      <c r="C589" s="26"/>
    </row>
    <row r="590" spans="3:3" ht="15.75" customHeight="1" x14ac:dyDescent="0.25">
      <c r="C590" s="26"/>
    </row>
    <row r="591" spans="3:3" ht="15.75" customHeight="1" x14ac:dyDescent="0.25">
      <c r="C591" s="26"/>
    </row>
    <row r="592" spans="3:3" ht="15.75" customHeight="1" x14ac:dyDescent="0.25">
      <c r="C592" s="26"/>
    </row>
    <row r="593" spans="3:3" ht="15.75" customHeight="1" x14ac:dyDescent="0.25">
      <c r="C593" s="26"/>
    </row>
    <row r="594" spans="3:3" ht="15.75" customHeight="1" x14ac:dyDescent="0.25">
      <c r="C594" s="26"/>
    </row>
    <row r="595" spans="3:3" ht="15.75" customHeight="1" x14ac:dyDescent="0.25">
      <c r="C595" s="26"/>
    </row>
    <row r="596" spans="3:3" ht="15.75" customHeight="1" x14ac:dyDescent="0.25">
      <c r="C596" s="26"/>
    </row>
    <row r="597" spans="3:3" ht="15.75" customHeight="1" x14ac:dyDescent="0.25">
      <c r="C597" s="26"/>
    </row>
    <row r="598" spans="3:3" ht="15.75" customHeight="1" x14ac:dyDescent="0.25">
      <c r="C598" s="26"/>
    </row>
    <row r="599" spans="3:3" ht="15.75" customHeight="1" x14ac:dyDescent="0.25">
      <c r="C599" s="26"/>
    </row>
    <row r="600" spans="3:3" ht="15.75" customHeight="1" x14ac:dyDescent="0.25">
      <c r="C600" s="26"/>
    </row>
    <row r="601" spans="3:3" ht="15.75" customHeight="1" x14ac:dyDescent="0.25">
      <c r="C601" s="26"/>
    </row>
    <row r="602" spans="3:3" ht="15.75" customHeight="1" x14ac:dyDescent="0.25">
      <c r="C602" s="26"/>
    </row>
    <row r="603" spans="3:3" ht="15.75" customHeight="1" x14ac:dyDescent="0.25">
      <c r="C603" s="26"/>
    </row>
    <row r="604" spans="3:3" ht="15.75" customHeight="1" x14ac:dyDescent="0.25">
      <c r="C604" s="26"/>
    </row>
    <row r="605" spans="3:3" ht="15.75" customHeight="1" x14ac:dyDescent="0.25">
      <c r="C605" s="26"/>
    </row>
    <row r="606" spans="3:3" ht="15.75" customHeight="1" x14ac:dyDescent="0.25">
      <c r="C606" s="26"/>
    </row>
    <row r="607" spans="3:3" ht="15.75" customHeight="1" x14ac:dyDescent="0.25">
      <c r="C607" s="26"/>
    </row>
    <row r="608" spans="3:3" ht="15.75" customHeight="1" x14ac:dyDescent="0.25">
      <c r="C608" s="26"/>
    </row>
    <row r="609" spans="3:3" ht="15.75" customHeight="1" x14ac:dyDescent="0.25">
      <c r="C609" s="26"/>
    </row>
    <row r="610" spans="3:3" ht="15.75" customHeight="1" x14ac:dyDescent="0.25">
      <c r="C610" s="26"/>
    </row>
    <row r="611" spans="3:3" ht="15.75" customHeight="1" x14ac:dyDescent="0.25">
      <c r="C611" s="26"/>
    </row>
    <row r="612" spans="3:3" ht="15.75" customHeight="1" x14ac:dyDescent="0.25">
      <c r="C612" s="26"/>
    </row>
    <row r="613" spans="3:3" ht="15.75" customHeight="1" x14ac:dyDescent="0.25">
      <c r="C613" s="26"/>
    </row>
    <row r="614" spans="3:3" ht="15.75" customHeight="1" x14ac:dyDescent="0.25">
      <c r="C614" s="26"/>
    </row>
    <row r="615" spans="3:3" ht="15.75" customHeight="1" x14ac:dyDescent="0.25">
      <c r="C615" s="26"/>
    </row>
    <row r="616" spans="3:3" ht="15.75" customHeight="1" x14ac:dyDescent="0.25">
      <c r="C616" s="26"/>
    </row>
    <row r="617" spans="3:3" ht="15.75" customHeight="1" x14ac:dyDescent="0.25">
      <c r="C617" s="26"/>
    </row>
    <row r="618" spans="3:3" ht="15.75" customHeight="1" x14ac:dyDescent="0.25">
      <c r="C618" s="26"/>
    </row>
    <row r="619" spans="3:3" ht="15.75" customHeight="1" x14ac:dyDescent="0.25">
      <c r="C619" s="26"/>
    </row>
    <row r="620" spans="3:3" ht="15.75" customHeight="1" x14ac:dyDescent="0.25">
      <c r="C620" s="26"/>
    </row>
    <row r="621" spans="3:3" ht="15.75" customHeight="1" x14ac:dyDescent="0.25">
      <c r="C621" s="26"/>
    </row>
    <row r="622" spans="3:3" ht="15.75" customHeight="1" x14ac:dyDescent="0.25">
      <c r="C622" s="26"/>
    </row>
    <row r="623" spans="3:3" ht="15.75" customHeight="1" x14ac:dyDescent="0.25">
      <c r="C623" s="26"/>
    </row>
    <row r="624" spans="3:3" ht="15.75" customHeight="1" x14ac:dyDescent="0.25">
      <c r="C624" s="26"/>
    </row>
    <row r="625" spans="3:3" ht="15.75" customHeight="1" x14ac:dyDescent="0.25">
      <c r="C625" s="26"/>
    </row>
    <row r="626" spans="3:3" ht="15.75" customHeight="1" x14ac:dyDescent="0.25">
      <c r="C626" s="26"/>
    </row>
    <row r="627" spans="3:3" ht="15.75" customHeight="1" x14ac:dyDescent="0.25">
      <c r="C627" s="26"/>
    </row>
    <row r="628" spans="3:3" ht="15.75" customHeight="1" x14ac:dyDescent="0.25">
      <c r="C628" s="26"/>
    </row>
    <row r="629" spans="3:3" ht="15.75" customHeight="1" x14ac:dyDescent="0.25">
      <c r="C629" s="26"/>
    </row>
    <row r="630" spans="3:3" ht="15.75" customHeight="1" x14ac:dyDescent="0.25">
      <c r="C630" s="26"/>
    </row>
    <row r="631" spans="3:3" ht="15.75" customHeight="1" x14ac:dyDescent="0.25">
      <c r="C631" s="26"/>
    </row>
    <row r="632" spans="3:3" ht="15.75" customHeight="1" x14ac:dyDescent="0.25">
      <c r="C632" s="26"/>
    </row>
    <row r="633" spans="3:3" ht="15.75" customHeight="1" x14ac:dyDescent="0.25">
      <c r="C633" s="26"/>
    </row>
    <row r="634" spans="3:3" ht="15.75" customHeight="1" x14ac:dyDescent="0.25">
      <c r="C634" s="26"/>
    </row>
    <row r="635" spans="3:3" ht="15.75" customHeight="1" x14ac:dyDescent="0.25">
      <c r="C635" s="26"/>
    </row>
    <row r="636" spans="3:3" ht="15.75" customHeight="1" x14ac:dyDescent="0.25">
      <c r="C636" s="26"/>
    </row>
    <row r="637" spans="3:3" ht="15.75" customHeight="1" x14ac:dyDescent="0.25">
      <c r="C637" s="26"/>
    </row>
    <row r="638" spans="3:3" ht="15.75" customHeight="1" x14ac:dyDescent="0.25">
      <c r="C638" s="26"/>
    </row>
    <row r="639" spans="3:3" ht="15.75" customHeight="1" x14ac:dyDescent="0.25">
      <c r="C639" s="26"/>
    </row>
    <row r="640" spans="3:3" ht="15.75" customHeight="1" x14ac:dyDescent="0.25">
      <c r="C640" s="26"/>
    </row>
    <row r="641" spans="3:3" ht="15.75" customHeight="1" x14ac:dyDescent="0.25">
      <c r="C641" s="26"/>
    </row>
    <row r="642" spans="3:3" ht="15.75" customHeight="1" x14ac:dyDescent="0.25">
      <c r="C642" s="26"/>
    </row>
    <row r="643" spans="3:3" ht="15.75" customHeight="1" x14ac:dyDescent="0.25">
      <c r="C643" s="26"/>
    </row>
    <row r="644" spans="3:3" ht="15.75" customHeight="1" x14ac:dyDescent="0.25">
      <c r="C644" s="26"/>
    </row>
    <row r="645" spans="3:3" ht="15.75" customHeight="1" x14ac:dyDescent="0.25">
      <c r="C645" s="26"/>
    </row>
    <row r="646" spans="3:3" ht="15.75" customHeight="1" x14ac:dyDescent="0.25">
      <c r="C646" s="26"/>
    </row>
    <row r="647" spans="3:3" ht="15.75" customHeight="1" x14ac:dyDescent="0.25">
      <c r="C647" s="26"/>
    </row>
    <row r="648" spans="3:3" ht="15.75" customHeight="1" x14ac:dyDescent="0.25">
      <c r="C648" s="26"/>
    </row>
    <row r="649" spans="3:3" ht="15.75" customHeight="1" x14ac:dyDescent="0.25">
      <c r="C649" s="26"/>
    </row>
    <row r="650" spans="3:3" ht="15.75" customHeight="1" x14ac:dyDescent="0.25">
      <c r="C650" s="26"/>
    </row>
    <row r="651" spans="3:3" ht="15.75" customHeight="1" x14ac:dyDescent="0.25">
      <c r="C651" s="26"/>
    </row>
    <row r="652" spans="3:3" ht="15.75" customHeight="1" x14ac:dyDescent="0.25">
      <c r="C652" s="26"/>
    </row>
    <row r="653" spans="3:3" ht="15.75" customHeight="1" x14ac:dyDescent="0.25">
      <c r="C653" s="26"/>
    </row>
    <row r="654" spans="3:3" ht="15.75" customHeight="1" x14ac:dyDescent="0.25">
      <c r="C654" s="26"/>
    </row>
    <row r="655" spans="3:3" ht="15.75" customHeight="1" x14ac:dyDescent="0.25">
      <c r="C655" s="26"/>
    </row>
    <row r="656" spans="3:3" ht="15.75" customHeight="1" x14ac:dyDescent="0.25">
      <c r="C656" s="26"/>
    </row>
    <row r="657" spans="3:3" ht="15.75" customHeight="1" x14ac:dyDescent="0.25">
      <c r="C657" s="26"/>
    </row>
    <row r="658" spans="3:3" ht="15.75" customHeight="1" x14ac:dyDescent="0.25">
      <c r="C658" s="26"/>
    </row>
    <row r="659" spans="3:3" ht="15.75" customHeight="1" x14ac:dyDescent="0.25">
      <c r="C659" s="26"/>
    </row>
    <row r="660" spans="3:3" ht="15.75" customHeight="1" x14ac:dyDescent="0.25">
      <c r="C660" s="26"/>
    </row>
    <row r="661" spans="3:3" ht="15.75" customHeight="1" x14ac:dyDescent="0.25">
      <c r="C661" s="26"/>
    </row>
    <row r="662" spans="3:3" ht="15.75" customHeight="1" x14ac:dyDescent="0.25">
      <c r="C662" s="26"/>
    </row>
    <row r="663" spans="3:3" ht="15.75" customHeight="1" x14ac:dyDescent="0.25">
      <c r="C663" s="26"/>
    </row>
    <row r="664" spans="3:3" ht="15.75" customHeight="1" x14ac:dyDescent="0.25">
      <c r="C664" s="26"/>
    </row>
    <row r="665" spans="3:3" ht="15.75" customHeight="1" x14ac:dyDescent="0.25">
      <c r="C665" s="26"/>
    </row>
    <row r="666" spans="3:3" ht="15.75" customHeight="1" x14ac:dyDescent="0.25">
      <c r="C666" s="26"/>
    </row>
    <row r="667" spans="3:3" ht="15.75" customHeight="1" x14ac:dyDescent="0.25">
      <c r="C667" s="26"/>
    </row>
    <row r="668" spans="3:3" ht="15.75" customHeight="1" x14ac:dyDescent="0.25">
      <c r="C668" s="26"/>
    </row>
    <row r="669" spans="3:3" ht="15.75" customHeight="1" x14ac:dyDescent="0.25">
      <c r="C669" s="26"/>
    </row>
    <row r="670" spans="3:3" ht="15.75" customHeight="1" x14ac:dyDescent="0.25">
      <c r="C670" s="26"/>
    </row>
    <row r="671" spans="3:3" ht="15.75" customHeight="1" x14ac:dyDescent="0.25">
      <c r="C671" s="26"/>
    </row>
    <row r="672" spans="3:3" ht="15.75" customHeight="1" x14ac:dyDescent="0.25">
      <c r="C672" s="26"/>
    </row>
    <row r="673" spans="3:3" ht="15.75" customHeight="1" x14ac:dyDescent="0.25">
      <c r="C673" s="26"/>
    </row>
    <row r="674" spans="3:3" ht="15.75" customHeight="1" x14ac:dyDescent="0.25">
      <c r="C674" s="26"/>
    </row>
    <row r="675" spans="3:3" ht="15.75" customHeight="1" x14ac:dyDescent="0.25">
      <c r="C675" s="26"/>
    </row>
    <row r="676" spans="3:3" ht="15.75" customHeight="1" x14ac:dyDescent="0.25">
      <c r="C676" s="26"/>
    </row>
    <row r="677" spans="3:3" ht="15.75" customHeight="1" x14ac:dyDescent="0.25">
      <c r="C677" s="26"/>
    </row>
    <row r="678" spans="3:3" ht="15.75" customHeight="1" x14ac:dyDescent="0.25">
      <c r="C678" s="26"/>
    </row>
    <row r="679" spans="3:3" ht="15.75" customHeight="1" x14ac:dyDescent="0.25">
      <c r="C679" s="26"/>
    </row>
    <row r="680" spans="3:3" ht="15.75" customHeight="1" x14ac:dyDescent="0.25">
      <c r="C680" s="26"/>
    </row>
    <row r="681" spans="3:3" ht="15.75" customHeight="1" x14ac:dyDescent="0.25">
      <c r="C681" s="26"/>
    </row>
    <row r="682" spans="3:3" ht="15.75" customHeight="1" x14ac:dyDescent="0.25">
      <c r="C682" s="26"/>
    </row>
    <row r="683" spans="3:3" ht="15.75" customHeight="1" x14ac:dyDescent="0.25">
      <c r="C683" s="26"/>
    </row>
    <row r="684" spans="3:3" ht="15.75" customHeight="1" x14ac:dyDescent="0.25">
      <c r="C684" s="26"/>
    </row>
    <row r="685" spans="3:3" ht="15.75" customHeight="1" x14ac:dyDescent="0.25">
      <c r="C685" s="26"/>
    </row>
    <row r="686" spans="3:3" ht="15.75" customHeight="1" x14ac:dyDescent="0.25">
      <c r="C686" s="26"/>
    </row>
    <row r="687" spans="3:3" ht="15.75" customHeight="1" x14ac:dyDescent="0.25">
      <c r="C687" s="26"/>
    </row>
    <row r="688" spans="3:3" ht="15.75" customHeight="1" x14ac:dyDescent="0.25">
      <c r="C688" s="26"/>
    </row>
    <row r="689" spans="3:3" ht="15.75" customHeight="1" x14ac:dyDescent="0.25">
      <c r="C689" s="26"/>
    </row>
    <row r="690" spans="3:3" ht="15.75" customHeight="1" x14ac:dyDescent="0.25">
      <c r="C690" s="26"/>
    </row>
    <row r="691" spans="3:3" ht="15.75" customHeight="1" x14ac:dyDescent="0.25">
      <c r="C691" s="26"/>
    </row>
    <row r="692" spans="3:3" ht="15.75" customHeight="1" x14ac:dyDescent="0.25">
      <c r="C692" s="26"/>
    </row>
    <row r="693" spans="3:3" ht="15.75" customHeight="1" x14ac:dyDescent="0.25">
      <c r="C693" s="26"/>
    </row>
    <row r="694" spans="3:3" ht="15.75" customHeight="1" x14ac:dyDescent="0.25">
      <c r="C694" s="26"/>
    </row>
    <row r="695" spans="3:3" ht="15.75" customHeight="1" x14ac:dyDescent="0.25">
      <c r="C695" s="26"/>
    </row>
    <row r="696" spans="3:3" ht="15.75" customHeight="1" x14ac:dyDescent="0.25">
      <c r="C696" s="26"/>
    </row>
    <row r="697" spans="3:3" ht="15.75" customHeight="1" x14ac:dyDescent="0.25">
      <c r="C697" s="26"/>
    </row>
    <row r="698" spans="3:3" ht="15.75" customHeight="1" x14ac:dyDescent="0.25">
      <c r="C698" s="26"/>
    </row>
    <row r="699" spans="3:3" ht="15.75" customHeight="1" x14ac:dyDescent="0.25">
      <c r="C699" s="26"/>
    </row>
    <row r="700" spans="3:3" ht="15.75" customHeight="1" x14ac:dyDescent="0.25">
      <c r="C700" s="26"/>
    </row>
    <row r="701" spans="3:3" ht="15.75" customHeight="1" x14ac:dyDescent="0.25">
      <c r="C701" s="26"/>
    </row>
    <row r="702" spans="3:3" ht="15.75" customHeight="1" x14ac:dyDescent="0.25">
      <c r="C702" s="26"/>
    </row>
    <row r="703" spans="3:3" ht="15.75" customHeight="1" x14ac:dyDescent="0.25">
      <c r="C703" s="26"/>
    </row>
    <row r="704" spans="3:3" ht="15.75" customHeight="1" x14ac:dyDescent="0.25">
      <c r="C704" s="26"/>
    </row>
    <row r="705" spans="3:3" ht="15.75" customHeight="1" x14ac:dyDescent="0.25">
      <c r="C705" s="26"/>
    </row>
    <row r="706" spans="3:3" ht="15.75" customHeight="1" x14ac:dyDescent="0.25">
      <c r="C706" s="26"/>
    </row>
    <row r="707" spans="3:3" ht="15.75" customHeight="1" x14ac:dyDescent="0.25">
      <c r="C707" s="26"/>
    </row>
    <row r="708" spans="3:3" ht="15.75" customHeight="1" x14ac:dyDescent="0.25">
      <c r="C708" s="26"/>
    </row>
    <row r="709" spans="3:3" ht="15.75" customHeight="1" x14ac:dyDescent="0.25">
      <c r="C709" s="26"/>
    </row>
    <row r="710" spans="3:3" ht="15.75" customHeight="1" x14ac:dyDescent="0.25">
      <c r="C710" s="26"/>
    </row>
    <row r="711" spans="3:3" ht="15.75" customHeight="1" x14ac:dyDescent="0.25">
      <c r="C711" s="26"/>
    </row>
    <row r="712" spans="3:3" ht="15.75" customHeight="1" x14ac:dyDescent="0.25">
      <c r="C712" s="26"/>
    </row>
    <row r="713" spans="3:3" ht="15.75" customHeight="1" x14ac:dyDescent="0.25">
      <c r="C713" s="26"/>
    </row>
    <row r="714" spans="3:3" ht="15.75" customHeight="1" x14ac:dyDescent="0.25">
      <c r="C714" s="26"/>
    </row>
    <row r="715" spans="3:3" ht="15.75" customHeight="1" x14ac:dyDescent="0.25">
      <c r="C715" s="26"/>
    </row>
    <row r="716" spans="3:3" ht="15.75" customHeight="1" x14ac:dyDescent="0.25">
      <c r="C716" s="26"/>
    </row>
    <row r="717" spans="3:3" ht="15.75" customHeight="1" x14ac:dyDescent="0.25">
      <c r="C717" s="26"/>
    </row>
    <row r="718" spans="3:3" ht="15.75" customHeight="1" x14ac:dyDescent="0.25">
      <c r="C718" s="26"/>
    </row>
    <row r="719" spans="3:3" ht="15.75" customHeight="1" x14ac:dyDescent="0.25">
      <c r="C719" s="26"/>
    </row>
    <row r="720" spans="3:3" ht="15.75" customHeight="1" x14ac:dyDescent="0.25">
      <c r="C720" s="26"/>
    </row>
    <row r="721" spans="3:3" ht="15.75" customHeight="1" x14ac:dyDescent="0.25">
      <c r="C721" s="26"/>
    </row>
    <row r="722" spans="3:3" ht="15.75" customHeight="1" x14ac:dyDescent="0.25">
      <c r="C722" s="26"/>
    </row>
    <row r="723" spans="3:3" ht="15.75" customHeight="1" x14ac:dyDescent="0.25">
      <c r="C723" s="26"/>
    </row>
    <row r="724" spans="3:3" ht="15.75" customHeight="1" x14ac:dyDescent="0.25">
      <c r="C724" s="26"/>
    </row>
    <row r="725" spans="3:3" ht="15.75" customHeight="1" x14ac:dyDescent="0.25">
      <c r="C725" s="26"/>
    </row>
    <row r="726" spans="3:3" ht="15.75" customHeight="1" x14ac:dyDescent="0.25">
      <c r="C726" s="26"/>
    </row>
    <row r="727" spans="3:3" ht="15.75" customHeight="1" x14ac:dyDescent="0.25">
      <c r="C727" s="26"/>
    </row>
    <row r="728" spans="3:3" ht="15.75" customHeight="1" x14ac:dyDescent="0.25">
      <c r="C728" s="26"/>
    </row>
    <row r="729" spans="3:3" ht="15.75" customHeight="1" x14ac:dyDescent="0.25">
      <c r="C729" s="26"/>
    </row>
    <row r="730" spans="3:3" ht="15.75" customHeight="1" x14ac:dyDescent="0.25">
      <c r="C730" s="26"/>
    </row>
    <row r="731" spans="3:3" ht="15.75" customHeight="1" x14ac:dyDescent="0.25">
      <c r="C731" s="26"/>
    </row>
    <row r="732" spans="3:3" ht="15.75" customHeight="1" x14ac:dyDescent="0.25">
      <c r="C732" s="26"/>
    </row>
    <row r="733" spans="3:3" ht="15.75" customHeight="1" x14ac:dyDescent="0.25">
      <c r="C733" s="26"/>
    </row>
    <row r="734" spans="3:3" ht="15.75" customHeight="1" x14ac:dyDescent="0.25">
      <c r="C734" s="26"/>
    </row>
    <row r="735" spans="3:3" ht="15.75" customHeight="1" x14ac:dyDescent="0.25">
      <c r="C735" s="26"/>
    </row>
    <row r="736" spans="3:3" ht="15.75" customHeight="1" x14ac:dyDescent="0.25">
      <c r="C736" s="26"/>
    </row>
    <row r="737" spans="3:3" ht="15.75" customHeight="1" x14ac:dyDescent="0.25">
      <c r="C737" s="26"/>
    </row>
    <row r="738" spans="3:3" ht="15.75" customHeight="1" x14ac:dyDescent="0.25">
      <c r="C738" s="26"/>
    </row>
    <row r="739" spans="3:3" ht="15.75" customHeight="1" x14ac:dyDescent="0.25">
      <c r="C739" s="26"/>
    </row>
    <row r="740" spans="3:3" ht="15.75" customHeight="1" x14ac:dyDescent="0.25">
      <c r="C740" s="26"/>
    </row>
    <row r="741" spans="3:3" ht="15.75" customHeight="1" x14ac:dyDescent="0.25">
      <c r="C741" s="26"/>
    </row>
    <row r="742" spans="3:3" ht="15.75" customHeight="1" x14ac:dyDescent="0.25">
      <c r="C742" s="26"/>
    </row>
    <row r="743" spans="3:3" ht="15.75" customHeight="1" x14ac:dyDescent="0.25">
      <c r="C743" s="26"/>
    </row>
    <row r="744" spans="3:3" ht="15.75" customHeight="1" x14ac:dyDescent="0.25">
      <c r="C744" s="26"/>
    </row>
    <row r="745" spans="3:3" ht="15.75" customHeight="1" x14ac:dyDescent="0.25">
      <c r="C745" s="26"/>
    </row>
    <row r="746" spans="3:3" ht="15.75" customHeight="1" x14ac:dyDescent="0.25">
      <c r="C746" s="26"/>
    </row>
    <row r="747" spans="3:3" ht="15.75" customHeight="1" x14ac:dyDescent="0.25">
      <c r="C747" s="26"/>
    </row>
    <row r="748" spans="3:3" ht="15.75" customHeight="1" x14ac:dyDescent="0.25">
      <c r="C748" s="26"/>
    </row>
    <row r="749" spans="3:3" ht="15.75" customHeight="1" x14ac:dyDescent="0.25">
      <c r="C749" s="26"/>
    </row>
    <row r="750" spans="3:3" ht="15.75" customHeight="1" x14ac:dyDescent="0.25">
      <c r="C750" s="26"/>
    </row>
    <row r="751" spans="3:3" ht="15.75" customHeight="1" x14ac:dyDescent="0.25">
      <c r="C751" s="26"/>
    </row>
    <row r="752" spans="3:3" ht="15.75" customHeight="1" x14ac:dyDescent="0.25">
      <c r="C752" s="26"/>
    </row>
    <row r="753" spans="3:3" ht="15.75" customHeight="1" x14ac:dyDescent="0.25">
      <c r="C753" s="26"/>
    </row>
    <row r="754" spans="3:3" ht="15.75" customHeight="1" x14ac:dyDescent="0.25">
      <c r="C754" s="26"/>
    </row>
    <row r="755" spans="3:3" ht="15.75" customHeight="1" x14ac:dyDescent="0.25">
      <c r="C755" s="26"/>
    </row>
    <row r="756" spans="3:3" ht="15.75" customHeight="1" x14ac:dyDescent="0.25">
      <c r="C756" s="26"/>
    </row>
    <row r="757" spans="3:3" ht="15.75" customHeight="1" x14ac:dyDescent="0.25">
      <c r="C757" s="26"/>
    </row>
    <row r="758" spans="3:3" ht="15.75" customHeight="1" x14ac:dyDescent="0.25">
      <c r="C758" s="26"/>
    </row>
    <row r="759" spans="3:3" ht="15.75" customHeight="1" x14ac:dyDescent="0.25">
      <c r="C759" s="26"/>
    </row>
    <row r="760" spans="3:3" ht="15.75" customHeight="1" x14ac:dyDescent="0.25">
      <c r="C760" s="26"/>
    </row>
    <row r="761" spans="3:3" ht="15.75" customHeight="1" x14ac:dyDescent="0.25">
      <c r="C761" s="26"/>
    </row>
    <row r="762" spans="3:3" ht="15.75" customHeight="1" x14ac:dyDescent="0.25">
      <c r="C762" s="26"/>
    </row>
    <row r="763" spans="3:3" ht="15.75" customHeight="1" x14ac:dyDescent="0.25">
      <c r="C763" s="26"/>
    </row>
    <row r="764" spans="3:3" ht="15.75" customHeight="1" x14ac:dyDescent="0.25">
      <c r="C764" s="26"/>
    </row>
    <row r="765" spans="3:3" ht="15.75" customHeight="1" x14ac:dyDescent="0.25">
      <c r="C765" s="26"/>
    </row>
    <row r="766" spans="3:3" ht="15.75" customHeight="1" x14ac:dyDescent="0.25">
      <c r="C766" s="26"/>
    </row>
    <row r="767" spans="3:3" ht="15.75" customHeight="1" x14ac:dyDescent="0.25">
      <c r="C767" s="26"/>
    </row>
    <row r="768" spans="3:3" ht="15.75" customHeight="1" x14ac:dyDescent="0.25">
      <c r="C768" s="26"/>
    </row>
    <row r="769" spans="3:3" ht="15.75" customHeight="1" x14ac:dyDescent="0.25">
      <c r="C769" s="26"/>
    </row>
    <row r="770" spans="3:3" ht="15.75" customHeight="1" x14ac:dyDescent="0.25">
      <c r="C770" s="26"/>
    </row>
    <row r="771" spans="3:3" ht="15.75" customHeight="1" x14ac:dyDescent="0.25">
      <c r="C771" s="26"/>
    </row>
    <row r="772" spans="3:3" ht="15.75" customHeight="1" x14ac:dyDescent="0.25">
      <c r="C772" s="26"/>
    </row>
    <row r="773" spans="3:3" ht="15.75" customHeight="1" x14ac:dyDescent="0.25">
      <c r="C773" s="26"/>
    </row>
    <row r="774" spans="3:3" ht="15.75" customHeight="1" x14ac:dyDescent="0.25">
      <c r="C774" s="26"/>
    </row>
    <row r="775" spans="3:3" ht="15.75" customHeight="1" x14ac:dyDescent="0.25">
      <c r="C775" s="26"/>
    </row>
    <row r="776" spans="3:3" ht="15.75" customHeight="1" x14ac:dyDescent="0.25">
      <c r="C776" s="26"/>
    </row>
    <row r="777" spans="3:3" ht="15.75" customHeight="1" x14ac:dyDescent="0.25">
      <c r="C777" s="26"/>
    </row>
    <row r="778" spans="3:3" ht="15.75" customHeight="1" x14ac:dyDescent="0.25">
      <c r="C778" s="26"/>
    </row>
    <row r="779" spans="3:3" ht="15.75" customHeight="1" x14ac:dyDescent="0.25">
      <c r="C779" s="26"/>
    </row>
    <row r="780" spans="3:3" ht="15.75" customHeight="1" x14ac:dyDescent="0.25">
      <c r="C780" s="26"/>
    </row>
    <row r="781" spans="3:3" ht="15.75" customHeight="1" x14ac:dyDescent="0.25">
      <c r="C781" s="26"/>
    </row>
    <row r="782" spans="3:3" ht="15.75" customHeight="1" x14ac:dyDescent="0.25">
      <c r="C782" s="26"/>
    </row>
    <row r="783" spans="3:3" ht="15.75" customHeight="1" x14ac:dyDescent="0.25">
      <c r="C783" s="26"/>
    </row>
    <row r="784" spans="3:3" ht="15.75" customHeight="1" x14ac:dyDescent="0.25">
      <c r="C784" s="26"/>
    </row>
    <row r="785" spans="3:3" ht="15.75" customHeight="1" x14ac:dyDescent="0.25">
      <c r="C785" s="26"/>
    </row>
    <row r="786" spans="3:3" ht="15.75" customHeight="1" x14ac:dyDescent="0.25">
      <c r="C786" s="26"/>
    </row>
    <row r="787" spans="3:3" ht="15.75" customHeight="1" x14ac:dyDescent="0.25">
      <c r="C787" s="26"/>
    </row>
    <row r="788" spans="3:3" ht="15.75" customHeight="1" x14ac:dyDescent="0.25">
      <c r="C788" s="26"/>
    </row>
    <row r="789" spans="3:3" ht="15.75" customHeight="1" x14ac:dyDescent="0.25">
      <c r="C789" s="26"/>
    </row>
    <row r="790" spans="3:3" ht="15.75" customHeight="1" x14ac:dyDescent="0.25">
      <c r="C790" s="26"/>
    </row>
    <row r="791" spans="3:3" ht="15.75" customHeight="1" x14ac:dyDescent="0.25">
      <c r="C791" s="26"/>
    </row>
    <row r="792" spans="3:3" ht="15.75" customHeight="1" x14ac:dyDescent="0.25">
      <c r="C792" s="26"/>
    </row>
    <row r="793" spans="3:3" ht="15.75" customHeight="1" x14ac:dyDescent="0.25">
      <c r="C793" s="26"/>
    </row>
    <row r="794" spans="3:3" ht="15.75" customHeight="1" x14ac:dyDescent="0.25">
      <c r="C794" s="26"/>
    </row>
    <row r="795" spans="3:3" ht="15.75" customHeight="1" x14ac:dyDescent="0.25">
      <c r="C795" s="26"/>
    </row>
    <row r="796" spans="3:3" ht="15.75" customHeight="1" x14ac:dyDescent="0.25">
      <c r="C796" s="26"/>
    </row>
    <row r="797" spans="3:3" ht="15.75" customHeight="1" x14ac:dyDescent="0.25">
      <c r="C797" s="26"/>
    </row>
    <row r="798" spans="3:3" ht="15.75" customHeight="1" x14ac:dyDescent="0.25">
      <c r="C798" s="26"/>
    </row>
    <row r="799" spans="3:3" ht="15.75" customHeight="1" x14ac:dyDescent="0.25">
      <c r="C799" s="26"/>
    </row>
    <row r="800" spans="3:3" ht="15.75" customHeight="1" x14ac:dyDescent="0.25">
      <c r="C800" s="26"/>
    </row>
    <row r="801" spans="3:3" ht="15.75" customHeight="1" x14ac:dyDescent="0.25">
      <c r="C801" s="26"/>
    </row>
    <row r="802" spans="3:3" ht="15.75" customHeight="1" x14ac:dyDescent="0.25">
      <c r="C802" s="26"/>
    </row>
    <row r="803" spans="3:3" ht="15.75" customHeight="1" x14ac:dyDescent="0.25">
      <c r="C803" s="26"/>
    </row>
    <row r="804" spans="3:3" ht="15.75" customHeight="1" x14ac:dyDescent="0.25">
      <c r="C804" s="26"/>
    </row>
    <row r="805" spans="3:3" ht="15.75" customHeight="1" x14ac:dyDescent="0.25">
      <c r="C805" s="26"/>
    </row>
    <row r="806" spans="3:3" ht="15.75" customHeight="1" x14ac:dyDescent="0.25">
      <c r="C806" s="26"/>
    </row>
    <row r="807" spans="3:3" ht="15.75" customHeight="1" x14ac:dyDescent="0.25">
      <c r="C807" s="26"/>
    </row>
    <row r="808" spans="3:3" ht="15.75" customHeight="1" x14ac:dyDescent="0.25">
      <c r="C808" s="26"/>
    </row>
    <row r="809" spans="3:3" ht="15.75" customHeight="1" x14ac:dyDescent="0.25">
      <c r="C809" s="26"/>
    </row>
    <row r="810" spans="3:3" ht="15.75" customHeight="1" x14ac:dyDescent="0.25">
      <c r="C810" s="26"/>
    </row>
    <row r="811" spans="3:3" ht="15.75" customHeight="1" x14ac:dyDescent="0.25">
      <c r="C811" s="26"/>
    </row>
    <row r="812" spans="3:3" ht="15.75" customHeight="1" x14ac:dyDescent="0.25">
      <c r="C812" s="26"/>
    </row>
    <row r="813" spans="3:3" ht="15.75" customHeight="1" x14ac:dyDescent="0.25">
      <c r="C813" s="26"/>
    </row>
    <row r="814" spans="3:3" ht="15.75" customHeight="1" x14ac:dyDescent="0.25">
      <c r="C814" s="26"/>
    </row>
    <row r="815" spans="3:3" ht="15.75" customHeight="1" x14ac:dyDescent="0.25">
      <c r="C815" s="26"/>
    </row>
    <row r="816" spans="3:3" ht="15.75" customHeight="1" x14ac:dyDescent="0.25">
      <c r="C816" s="26"/>
    </row>
    <row r="817" spans="3:3" ht="15.75" customHeight="1" x14ac:dyDescent="0.25">
      <c r="C817" s="26"/>
    </row>
    <row r="818" spans="3:3" ht="15.75" customHeight="1" x14ac:dyDescent="0.25">
      <c r="C818" s="26"/>
    </row>
    <row r="819" spans="3:3" ht="15.75" customHeight="1" x14ac:dyDescent="0.25">
      <c r="C819" s="26"/>
    </row>
    <row r="820" spans="3:3" ht="15.75" customHeight="1" x14ac:dyDescent="0.25">
      <c r="C820" s="26"/>
    </row>
    <row r="821" spans="3:3" ht="15.75" customHeight="1" x14ac:dyDescent="0.25">
      <c r="C821" s="26"/>
    </row>
    <row r="822" spans="3:3" ht="15.75" customHeight="1" x14ac:dyDescent="0.25">
      <c r="C822" s="26"/>
    </row>
    <row r="823" spans="3:3" ht="15.75" customHeight="1" x14ac:dyDescent="0.25">
      <c r="C823" s="26"/>
    </row>
    <row r="824" spans="3:3" ht="15.75" customHeight="1" x14ac:dyDescent="0.25">
      <c r="C824" s="26"/>
    </row>
    <row r="825" spans="3:3" ht="15.75" customHeight="1" x14ac:dyDescent="0.25">
      <c r="C825" s="26"/>
    </row>
    <row r="826" spans="3:3" ht="15.75" customHeight="1" x14ac:dyDescent="0.25">
      <c r="C826" s="26"/>
    </row>
    <row r="827" spans="3:3" ht="15.75" customHeight="1" x14ac:dyDescent="0.25">
      <c r="C827" s="26"/>
    </row>
    <row r="828" spans="3:3" ht="15.75" customHeight="1" x14ac:dyDescent="0.25">
      <c r="C828" s="26"/>
    </row>
    <row r="829" spans="3:3" ht="15.75" customHeight="1" x14ac:dyDescent="0.25">
      <c r="C829" s="26"/>
    </row>
    <row r="830" spans="3:3" ht="15.75" customHeight="1" x14ac:dyDescent="0.25">
      <c r="C830" s="26"/>
    </row>
    <row r="831" spans="3:3" ht="15.75" customHeight="1" x14ac:dyDescent="0.25">
      <c r="C831" s="26"/>
    </row>
    <row r="832" spans="3:3" ht="15.75" customHeight="1" x14ac:dyDescent="0.25">
      <c r="C832" s="26"/>
    </row>
    <row r="833" spans="3:3" ht="15.75" customHeight="1" x14ac:dyDescent="0.25">
      <c r="C833" s="26"/>
    </row>
    <row r="834" spans="3:3" ht="15.75" customHeight="1" x14ac:dyDescent="0.25">
      <c r="C834" s="26"/>
    </row>
    <row r="835" spans="3:3" ht="15.75" customHeight="1" x14ac:dyDescent="0.25">
      <c r="C835" s="26"/>
    </row>
    <row r="836" spans="3:3" ht="15.75" customHeight="1" x14ac:dyDescent="0.25">
      <c r="C836" s="26"/>
    </row>
    <row r="837" spans="3:3" ht="15.75" customHeight="1" x14ac:dyDescent="0.25">
      <c r="C837" s="26"/>
    </row>
    <row r="838" spans="3:3" ht="15.75" customHeight="1" x14ac:dyDescent="0.25">
      <c r="C838" s="26"/>
    </row>
    <row r="839" spans="3:3" ht="15.75" customHeight="1" x14ac:dyDescent="0.25">
      <c r="C839" s="26"/>
    </row>
    <row r="840" spans="3:3" ht="15.75" customHeight="1" x14ac:dyDescent="0.25">
      <c r="C840" s="26"/>
    </row>
    <row r="841" spans="3:3" ht="15.75" customHeight="1" x14ac:dyDescent="0.25">
      <c r="C841" s="26"/>
    </row>
    <row r="842" spans="3:3" ht="15.75" customHeight="1" x14ac:dyDescent="0.25">
      <c r="C842" s="26"/>
    </row>
    <row r="843" spans="3:3" ht="15.75" customHeight="1" x14ac:dyDescent="0.25">
      <c r="C843" s="26"/>
    </row>
    <row r="844" spans="3:3" ht="15.75" customHeight="1" x14ac:dyDescent="0.25">
      <c r="C844" s="26"/>
    </row>
    <row r="845" spans="3:3" ht="15.75" customHeight="1" x14ac:dyDescent="0.25">
      <c r="C845" s="26"/>
    </row>
    <row r="846" spans="3:3" ht="15.75" customHeight="1" x14ac:dyDescent="0.25">
      <c r="C846" s="26"/>
    </row>
    <row r="847" spans="3:3" ht="15.75" customHeight="1" x14ac:dyDescent="0.25">
      <c r="C847" s="26"/>
    </row>
    <row r="848" spans="3:3" ht="15.75" customHeight="1" x14ac:dyDescent="0.25">
      <c r="C848" s="26"/>
    </row>
    <row r="849" spans="3:3" ht="15.75" customHeight="1" x14ac:dyDescent="0.25">
      <c r="C849" s="26"/>
    </row>
    <row r="850" spans="3:3" ht="15.75" customHeight="1" x14ac:dyDescent="0.25">
      <c r="C850" s="26"/>
    </row>
    <row r="851" spans="3:3" ht="15.75" customHeight="1" x14ac:dyDescent="0.25">
      <c r="C851" s="26"/>
    </row>
    <row r="852" spans="3:3" ht="15.75" customHeight="1" x14ac:dyDescent="0.25">
      <c r="C852" s="26"/>
    </row>
    <row r="853" spans="3:3" ht="15.75" customHeight="1" x14ac:dyDescent="0.25">
      <c r="C853" s="26"/>
    </row>
    <row r="854" spans="3:3" ht="15.75" customHeight="1" x14ac:dyDescent="0.25">
      <c r="C854" s="26"/>
    </row>
    <row r="855" spans="3:3" ht="15.75" customHeight="1" x14ac:dyDescent="0.25">
      <c r="C855" s="26"/>
    </row>
    <row r="856" spans="3:3" ht="15.75" customHeight="1" x14ac:dyDescent="0.25">
      <c r="C856" s="26"/>
    </row>
    <row r="857" spans="3:3" ht="15.75" customHeight="1" x14ac:dyDescent="0.25">
      <c r="C857" s="26"/>
    </row>
    <row r="858" spans="3:3" ht="15.75" customHeight="1" x14ac:dyDescent="0.25">
      <c r="C858" s="26"/>
    </row>
    <row r="859" spans="3:3" ht="15.75" customHeight="1" x14ac:dyDescent="0.25">
      <c r="C859" s="26"/>
    </row>
    <row r="860" spans="3:3" ht="15.75" customHeight="1" x14ac:dyDescent="0.25">
      <c r="C860" s="26"/>
    </row>
    <row r="861" spans="3:3" ht="15.75" customHeight="1" x14ac:dyDescent="0.25">
      <c r="C861" s="26"/>
    </row>
    <row r="862" spans="3:3" ht="15.75" customHeight="1" x14ac:dyDescent="0.25">
      <c r="C862" s="26"/>
    </row>
    <row r="863" spans="3:3" ht="15.75" customHeight="1" x14ac:dyDescent="0.25">
      <c r="C863" s="26"/>
    </row>
    <row r="864" spans="3:3" ht="15.75" customHeight="1" x14ac:dyDescent="0.25">
      <c r="C864" s="26"/>
    </row>
    <row r="865" spans="3:3" ht="15.75" customHeight="1" x14ac:dyDescent="0.25">
      <c r="C865" s="26"/>
    </row>
    <row r="866" spans="3:3" ht="15.75" customHeight="1" x14ac:dyDescent="0.25">
      <c r="C866" s="26"/>
    </row>
    <row r="867" spans="3:3" ht="15.75" customHeight="1" x14ac:dyDescent="0.25">
      <c r="C867" s="26"/>
    </row>
    <row r="868" spans="3:3" ht="15.75" customHeight="1" x14ac:dyDescent="0.25">
      <c r="C868" s="26"/>
    </row>
    <row r="869" spans="3:3" ht="15.75" customHeight="1" x14ac:dyDescent="0.25">
      <c r="C869" s="26"/>
    </row>
    <row r="870" spans="3:3" ht="15.75" customHeight="1" x14ac:dyDescent="0.25">
      <c r="C870" s="26"/>
    </row>
    <row r="871" spans="3:3" ht="15.75" customHeight="1" x14ac:dyDescent="0.25">
      <c r="C871" s="26"/>
    </row>
    <row r="872" spans="3:3" ht="15.75" customHeight="1" x14ac:dyDescent="0.25">
      <c r="C872" s="26"/>
    </row>
    <row r="873" spans="3:3" ht="15.75" customHeight="1" x14ac:dyDescent="0.25">
      <c r="C873" s="26"/>
    </row>
    <row r="874" spans="3:3" ht="15.75" customHeight="1" x14ac:dyDescent="0.25">
      <c r="C874" s="26"/>
    </row>
    <row r="875" spans="3:3" ht="15.75" customHeight="1" x14ac:dyDescent="0.25">
      <c r="C875" s="26"/>
    </row>
    <row r="876" spans="3:3" ht="15.75" customHeight="1" x14ac:dyDescent="0.25">
      <c r="C876" s="26"/>
    </row>
    <row r="877" spans="3:3" ht="15.75" customHeight="1" x14ac:dyDescent="0.25">
      <c r="C877" s="26"/>
    </row>
    <row r="878" spans="3:3" ht="15.75" customHeight="1" x14ac:dyDescent="0.25">
      <c r="C878" s="26"/>
    </row>
    <row r="879" spans="3:3" ht="15.75" customHeight="1" x14ac:dyDescent="0.25">
      <c r="C879" s="26"/>
    </row>
    <row r="880" spans="3:3" ht="15.75" customHeight="1" x14ac:dyDescent="0.25">
      <c r="C880" s="26"/>
    </row>
    <row r="881" spans="3:3" ht="15.75" customHeight="1" x14ac:dyDescent="0.25">
      <c r="C881" s="26"/>
    </row>
    <row r="882" spans="3:3" ht="15.75" customHeight="1" x14ac:dyDescent="0.25">
      <c r="C882" s="26"/>
    </row>
    <row r="883" spans="3:3" ht="15.75" customHeight="1" x14ac:dyDescent="0.25">
      <c r="C883" s="26"/>
    </row>
    <row r="884" spans="3:3" ht="15.75" customHeight="1" x14ac:dyDescent="0.25">
      <c r="C884" s="26"/>
    </row>
    <row r="885" spans="3:3" ht="15.75" customHeight="1" x14ac:dyDescent="0.25">
      <c r="C885" s="26"/>
    </row>
    <row r="886" spans="3:3" ht="15.75" customHeight="1" x14ac:dyDescent="0.25">
      <c r="C886" s="26"/>
    </row>
    <row r="887" spans="3:3" ht="15.75" customHeight="1" x14ac:dyDescent="0.25">
      <c r="C887" s="26"/>
    </row>
    <row r="888" spans="3:3" ht="15.75" customHeight="1" x14ac:dyDescent="0.25">
      <c r="C888" s="26"/>
    </row>
    <row r="889" spans="3:3" ht="15.75" customHeight="1" x14ac:dyDescent="0.25">
      <c r="C889" s="26"/>
    </row>
    <row r="890" spans="3:3" ht="15.75" customHeight="1" x14ac:dyDescent="0.25">
      <c r="C890" s="26"/>
    </row>
    <row r="891" spans="3:3" ht="15.75" customHeight="1" x14ac:dyDescent="0.25">
      <c r="C891" s="26"/>
    </row>
    <row r="892" spans="3:3" ht="15.75" customHeight="1" x14ac:dyDescent="0.25">
      <c r="C892" s="26"/>
    </row>
    <row r="893" spans="3:3" ht="15.75" customHeight="1" x14ac:dyDescent="0.25">
      <c r="C893" s="26"/>
    </row>
    <row r="894" spans="3:3" ht="15.75" customHeight="1" x14ac:dyDescent="0.25">
      <c r="C894" s="26"/>
    </row>
    <row r="895" spans="3:3" ht="15.75" customHeight="1" x14ac:dyDescent="0.25">
      <c r="C895" s="26"/>
    </row>
    <row r="896" spans="3:3" ht="15.75" customHeight="1" x14ac:dyDescent="0.25">
      <c r="C896" s="26"/>
    </row>
    <row r="897" spans="3:3" ht="15.75" customHeight="1" x14ac:dyDescent="0.25">
      <c r="C897" s="26"/>
    </row>
    <row r="898" spans="3:3" ht="15.75" customHeight="1" x14ac:dyDescent="0.25">
      <c r="C898" s="26"/>
    </row>
    <row r="899" spans="3:3" ht="15.75" customHeight="1" x14ac:dyDescent="0.25">
      <c r="C899" s="26"/>
    </row>
    <row r="900" spans="3:3" ht="15.75" customHeight="1" x14ac:dyDescent="0.25">
      <c r="C900" s="26"/>
    </row>
    <row r="901" spans="3:3" ht="15.75" customHeight="1" x14ac:dyDescent="0.25">
      <c r="C901" s="26"/>
    </row>
    <row r="902" spans="3:3" ht="15.75" customHeight="1" x14ac:dyDescent="0.25">
      <c r="C902" s="26"/>
    </row>
    <row r="903" spans="3:3" ht="15.75" customHeight="1" x14ac:dyDescent="0.25">
      <c r="C903" s="26"/>
    </row>
    <row r="904" spans="3:3" ht="15.75" customHeight="1" x14ac:dyDescent="0.25">
      <c r="C904" s="26"/>
    </row>
    <row r="905" spans="3:3" ht="15.75" customHeight="1" x14ac:dyDescent="0.25">
      <c r="C905" s="26"/>
    </row>
    <row r="906" spans="3:3" ht="15.75" customHeight="1" x14ac:dyDescent="0.25">
      <c r="C906" s="26"/>
    </row>
    <row r="907" spans="3:3" ht="15.75" customHeight="1" x14ac:dyDescent="0.25">
      <c r="C907" s="26"/>
    </row>
    <row r="908" spans="3:3" ht="15.75" customHeight="1" x14ac:dyDescent="0.25">
      <c r="C908" s="26"/>
    </row>
    <row r="909" spans="3:3" ht="15.75" customHeight="1" x14ac:dyDescent="0.25">
      <c r="C909" s="26"/>
    </row>
    <row r="910" spans="3:3" ht="15.75" customHeight="1" x14ac:dyDescent="0.25">
      <c r="C910" s="26"/>
    </row>
    <row r="911" spans="3:3" ht="15.75" customHeight="1" x14ac:dyDescent="0.25">
      <c r="C911" s="26"/>
    </row>
    <row r="912" spans="3:3" ht="15.75" customHeight="1" x14ac:dyDescent="0.25">
      <c r="C912" s="26"/>
    </row>
    <row r="913" spans="3:3" ht="15.75" customHeight="1" x14ac:dyDescent="0.25">
      <c r="C913" s="26"/>
    </row>
    <row r="914" spans="3:3" ht="15.75" customHeight="1" x14ac:dyDescent="0.25">
      <c r="C914" s="26"/>
    </row>
    <row r="915" spans="3:3" ht="15.75" customHeight="1" x14ac:dyDescent="0.25">
      <c r="C915" s="26"/>
    </row>
    <row r="916" spans="3:3" ht="15.75" customHeight="1" x14ac:dyDescent="0.25">
      <c r="C916" s="26"/>
    </row>
    <row r="917" spans="3:3" ht="15.75" customHeight="1" x14ac:dyDescent="0.25">
      <c r="C917" s="26"/>
    </row>
    <row r="918" spans="3:3" ht="15.75" customHeight="1" x14ac:dyDescent="0.25">
      <c r="C918" s="26"/>
    </row>
    <row r="919" spans="3:3" ht="15.75" customHeight="1" x14ac:dyDescent="0.25">
      <c r="C919" s="26"/>
    </row>
    <row r="920" spans="3:3" ht="15.75" customHeight="1" x14ac:dyDescent="0.25">
      <c r="C920" s="26"/>
    </row>
    <row r="921" spans="3:3" ht="15.75" customHeight="1" x14ac:dyDescent="0.25">
      <c r="C921" s="26"/>
    </row>
    <row r="922" spans="3:3" ht="15.75" customHeight="1" x14ac:dyDescent="0.25">
      <c r="C922" s="26"/>
    </row>
    <row r="923" spans="3:3" ht="15.75" customHeight="1" x14ac:dyDescent="0.25">
      <c r="C923" s="26"/>
    </row>
    <row r="924" spans="3:3" ht="15.75" customHeight="1" x14ac:dyDescent="0.25">
      <c r="C924" s="26"/>
    </row>
    <row r="925" spans="3:3" ht="15.75" customHeight="1" x14ac:dyDescent="0.25">
      <c r="C925" s="26"/>
    </row>
    <row r="926" spans="3:3" ht="15.75" customHeight="1" x14ac:dyDescent="0.25">
      <c r="C926" s="26"/>
    </row>
    <row r="927" spans="3:3" ht="15.75" customHeight="1" x14ac:dyDescent="0.25">
      <c r="C927" s="26"/>
    </row>
    <row r="928" spans="3:3" ht="15.75" customHeight="1" x14ac:dyDescent="0.25">
      <c r="C928" s="26"/>
    </row>
    <row r="929" spans="3:3" ht="15.75" customHeight="1" x14ac:dyDescent="0.25">
      <c r="C929" s="26"/>
    </row>
    <row r="930" spans="3:3" ht="15.75" customHeight="1" x14ac:dyDescent="0.25">
      <c r="C930" s="26"/>
    </row>
    <row r="931" spans="3:3" ht="15.75" customHeight="1" x14ac:dyDescent="0.25">
      <c r="C931" s="26"/>
    </row>
    <row r="932" spans="3:3" ht="15.75" customHeight="1" x14ac:dyDescent="0.25">
      <c r="C932" s="26"/>
    </row>
    <row r="933" spans="3:3" ht="15.75" customHeight="1" x14ac:dyDescent="0.25">
      <c r="C933" s="26"/>
    </row>
    <row r="934" spans="3:3" ht="15.75" customHeight="1" x14ac:dyDescent="0.25">
      <c r="C934" s="26"/>
    </row>
    <row r="935" spans="3:3" ht="15.75" customHeight="1" x14ac:dyDescent="0.25">
      <c r="C935" s="26"/>
    </row>
    <row r="936" spans="3:3" ht="15.75" customHeight="1" x14ac:dyDescent="0.25">
      <c r="C936" s="26"/>
    </row>
    <row r="937" spans="3:3" ht="15.75" customHeight="1" x14ac:dyDescent="0.25">
      <c r="C937" s="26"/>
    </row>
    <row r="938" spans="3:3" ht="15.75" customHeight="1" x14ac:dyDescent="0.25">
      <c r="C938" s="26"/>
    </row>
    <row r="939" spans="3:3" ht="15.75" customHeight="1" x14ac:dyDescent="0.25">
      <c r="C939" s="26"/>
    </row>
    <row r="940" spans="3:3" ht="15.75" customHeight="1" x14ac:dyDescent="0.25">
      <c r="C940" s="26"/>
    </row>
    <row r="941" spans="3:3" ht="15.75" customHeight="1" x14ac:dyDescent="0.25">
      <c r="C941" s="26"/>
    </row>
    <row r="942" spans="3:3" ht="15.75" customHeight="1" x14ac:dyDescent="0.25">
      <c r="C942" s="26"/>
    </row>
    <row r="943" spans="3:3" ht="15.75" customHeight="1" x14ac:dyDescent="0.25">
      <c r="C943" s="26"/>
    </row>
    <row r="944" spans="3:3" ht="15.75" customHeight="1" x14ac:dyDescent="0.25">
      <c r="C944" s="26"/>
    </row>
    <row r="945" spans="3:3" ht="15.75" customHeight="1" x14ac:dyDescent="0.25">
      <c r="C945" s="26"/>
    </row>
    <row r="946" spans="3:3" ht="15.75" customHeight="1" x14ac:dyDescent="0.25">
      <c r="C946" s="26"/>
    </row>
    <row r="947" spans="3:3" ht="15.75" customHeight="1" x14ac:dyDescent="0.25">
      <c r="C947" s="26"/>
    </row>
    <row r="948" spans="3:3" ht="15.75" customHeight="1" x14ac:dyDescent="0.25">
      <c r="C948" s="26"/>
    </row>
    <row r="949" spans="3:3" ht="15.75" customHeight="1" x14ac:dyDescent="0.25">
      <c r="C949" s="26"/>
    </row>
    <row r="950" spans="3:3" ht="15.75" customHeight="1" x14ac:dyDescent="0.25">
      <c r="C950" s="26"/>
    </row>
    <row r="951" spans="3:3" ht="15.75" customHeight="1" x14ac:dyDescent="0.25">
      <c r="C951" s="26"/>
    </row>
    <row r="952" spans="3:3" ht="15.75" customHeight="1" x14ac:dyDescent="0.25">
      <c r="C952" s="26"/>
    </row>
    <row r="953" spans="3:3" ht="15.75" customHeight="1" x14ac:dyDescent="0.25">
      <c r="C953" s="26"/>
    </row>
    <row r="954" spans="3:3" ht="15.75" customHeight="1" x14ac:dyDescent="0.25">
      <c r="C954" s="26"/>
    </row>
    <row r="955" spans="3:3" ht="15.75" customHeight="1" x14ac:dyDescent="0.25">
      <c r="C955" s="26"/>
    </row>
    <row r="956" spans="3:3" ht="15.75" customHeight="1" x14ac:dyDescent="0.25">
      <c r="C956" s="26"/>
    </row>
    <row r="957" spans="3:3" ht="15.75" customHeight="1" x14ac:dyDescent="0.25">
      <c r="C957" s="26"/>
    </row>
    <row r="958" spans="3:3" ht="15.75" customHeight="1" x14ac:dyDescent="0.25">
      <c r="C958" s="26"/>
    </row>
    <row r="959" spans="3:3" ht="15.75" customHeight="1" x14ac:dyDescent="0.25">
      <c r="C959" s="26"/>
    </row>
    <row r="960" spans="3:3" ht="15.75" customHeight="1" x14ac:dyDescent="0.25">
      <c r="C960" s="26"/>
    </row>
    <row r="961" spans="3:3" ht="15.75" customHeight="1" x14ac:dyDescent="0.25">
      <c r="C961" s="26"/>
    </row>
    <row r="962" spans="3:3" ht="15.75" customHeight="1" x14ac:dyDescent="0.25">
      <c r="C962" s="26"/>
    </row>
    <row r="963" spans="3:3" ht="15.75" customHeight="1" x14ac:dyDescent="0.25">
      <c r="C963" s="26"/>
    </row>
    <row r="964" spans="3:3" ht="15.75" customHeight="1" x14ac:dyDescent="0.25">
      <c r="C964" s="26"/>
    </row>
    <row r="965" spans="3:3" ht="15.75" customHeight="1" x14ac:dyDescent="0.25">
      <c r="C965" s="26"/>
    </row>
    <row r="966" spans="3:3" ht="15.75" customHeight="1" x14ac:dyDescent="0.25">
      <c r="C966" s="26"/>
    </row>
    <row r="967" spans="3:3" ht="15.75" customHeight="1" x14ac:dyDescent="0.25">
      <c r="C967" s="26"/>
    </row>
    <row r="968" spans="3:3" ht="15.75" customHeight="1" x14ac:dyDescent="0.25">
      <c r="C968" s="26"/>
    </row>
    <row r="969" spans="3:3" ht="15.75" customHeight="1" x14ac:dyDescent="0.25">
      <c r="C969" s="26"/>
    </row>
    <row r="970" spans="3:3" ht="15.75" customHeight="1" x14ac:dyDescent="0.25">
      <c r="C970" s="26"/>
    </row>
    <row r="971" spans="3:3" ht="15.75" customHeight="1" x14ac:dyDescent="0.25">
      <c r="C971" s="26"/>
    </row>
    <row r="972" spans="3:3" ht="15.75" customHeight="1" x14ac:dyDescent="0.25">
      <c r="C972" s="26"/>
    </row>
    <row r="973" spans="3:3" ht="15.75" customHeight="1" x14ac:dyDescent="0.25">
      <c r="C973" s="26"/>
    </row>
    <row r="974" spans="3:3" ht="15.75" customHeight="1" x14ac:dyDescent="0.25">
      <c r="C974" s="26"/>
    </row>
    <row r="975" spans="3:3" ht="15.75" customHeight="1" x14ac:dyDescent="0.25">
      <c r="C975" s="26"/>
    </row>
    <row r="976" spans="3:3" ht="15.75" customHeight="1" x14ac:dyDescent="0.25">
      <c r="C976" s="26"/>
    </row>
    <row r="977" spans="3:3" ht="15.75" customHeight="1" x14ac:dyDescent="0.25">
      <c r="C977" s="26"/>
    </row>
    <row r="978" spans="3:3" ht="15.75" customHeight="1" x14ac:dyDescent="0.25">
      <c r="C978" s="26"/>
    </row>
    <row r="979" spans="3:3" ht="15.75" customHeight="1" x14ac:dyDescent="0.25">
      <c r="C979" s="26"/>
    </row>
    <row r="980" spans="3:3" ht="15.75" customHeight="1" x14ac:dyDescent="0.25">
      <c r="C980" s="26"/>
    </row>
    <row r="981" spans="3:3" ht="15.75" customHeight="1" x14ac:dyDescent="0.25">
      <c r="C981" s="26"/>
    </row>
    <row r="982" spans="3:3" ht="15.75" customHeight="1" x14ac:dyDescent="0.25">
      <c r="C982" s="26"/>
    </row>
    <row r="983" spans="3:3" ht="15.75" customHeight="1" x14ac:dyDescent="0.25">
      <c r="C983" s="26"/>
    </row>
    <row r="984" spans="3:3" ht="15.75" customHeight="1" x14ac:dyDescent="0.25">
      <c r="C984" s="26"/>
    </row>
    <row r="985" spans="3:3" ht="15.75" customHeight="1" x14ac:dyDescent="0.25">
      <c r="C985" s="26"/>
    </row>
    <row r="986" spans="3:3" ht="15.75" customHeight="1" x14ac:dyDescent="0.25">
      <c r="C986" s="26"/>
    </row>
    <row r="987" spans="3:3" ht="15.75" customHeight="1" x14ac:dyDescent="0.25">
      <c r="C987" s="26"/>
    </row>
    <row r="988" spans="3:3" ht="15.75" customHeight="1" x14ac:dyDescent="0.25">
      <c r="C988" s="26"/>
    </row>
    <row r="989" spans="3:3" ht="15.75" customHeight="1" x14ac:dyDescent="0.25">
      <c r="C989" s="26"/>
    </row>
    <row r="990" spans="3:3" ht="15.75" customHeight="1" x14ac:dyDescent="0.25">
      <c r="C990" s="26"/>
    </row>
    <row r="991" spans="3:3" ht="15.75" customHeight="1" x14ac:dyDescent="0.25">
      <c r="C991" s="26"/>
    </row>
    <row r="992" spans="3:3" ht="15.75" customHeight="1" x14ac:dyDescent="0.25">
      <c r="C992" s="26"/>
    </row>
    <row r="993" spans="3:3" ht="15.75" customHeight="1" x14ac:dyDescent="0.25">
      <c r="C993" s="26"/>
    </row>
    <row r="994" spans="3:3" ht="15.75" customHeight="1" x14ac:dyDescent="0.25">
      <c r="C994" s="26"/>
    </row>
    <row r="995" spans="3:3" ht="15.75" customHeight="1" x14ac:dyDescent="0.25">
      <c r="C995" s="26"/>
    </row>
    <row r="996" spans="3:3" ht="15.75" customHeight="1" x14ac:dyDescent="0.25">
      <c r="C996" s="26"/>
    </row>
    <row r="997" spans="3:3" ht="15.75" customHeight="1" x14ac:dyDescent="0.25">
      <c r="C997" s="26"/>
    </row>
    <row r="998" spans="3:3" ht="15.75" customHeight="1" x14ac:dyDescent="0.25">
      <c r="C998" s="26"/>
    </row>
    <row r="999" spans="3:3" ht="15.75" customHeight="1" x14ac:dyDescent="0.25">
      <c r="C999" s="26"/>
    </row>
    <row r="1000" spans="3:3" ht="15.75" customHeight="1" x14ac:dyDescent="0.25">
      <c r="C1000" s="26"/>
    </row>
  </sheetData>
  <conditionalFormatting sqref="N1:N50">
    <cfRule type="cellIs" dxfId="3" priority="1" operator="equal">
      <formula>"Completed"</formula>
    </cfRule>
  </conditionalFormatting>
  <conditionalFormatting sqref="N2:N50">
    <cfRule type="expression" dxfId="2" priority="2">
      <formula>"N2=""Completed"""</formula>
    </cfRule>
  </conditionalFormatting>
  <conditionalFormatting sqref="S2">
    <cfRule type="expression" dxfId="1" priority="3">
      <formula>"$T2=""YES"""</formula>
    </cfRule>
  </conditionalFormatting>
  <conditionalFormatting sqref="S2:S50">
    <cfRule type="expression" dxfId="0" priority="4">
      <formula>$U2="YES"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SCADATable</vt:lpstr>
      <vt:lpstr>Sumit</vt:lpstr>
      <vt:lpstr>Janardhan Rimal</vt:lpstr>
      <vt:lpstr>Neha</vt:lpstr>
      <vt:lpstr>Ramsharan</vt:lpstr>
      <vt:lpstr>SCADATable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KC</dc:creator>
  <cp:lastModifiedBy>Comm8 ldc</cp:lastModifiedBy>
  <dcterms:created xsi:type="dcterms:W3CDTF">2024-12-17T05:33:02Z</dcterms:created>
  <dcterms:modified xsi:type="dcterms:W3CDTF">2025-03-03T09:42:24Z</dcterms:modified>
</cp:coreProperties>
</file>