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a\Downloads\"/>
    </mc:Choice>
  </mc:AlternateContent>
  <xr:revisionPtr revIDLastSave="0" documentId="13_ncr:1_{0BEB14AF-3E52-4571-8BE2-9CCB056ADC9D}" xr6:coauthVersionLast="47" xr6:coauthVersionMax="47" xr10:uidLastSave="{00000000-0000-0000-0000-000000000000}"/>
  <bookViews>
    <workbookView xWindow="-110" yWindow="-110" windowWidth="25820" windowHeight="15500" activeTab="11" xr2:uid="{00000000-000D-0000-FFFF-FFFF00000000}"/>
  </bookViews>
  <sheets>
    <sheet name="Data" sheetId="1" r:id="rId1"/>
    <sheet name="1" sheetId="5" r:id="rId2"/>
    <sheet name="2" sheetId="12" r:id="rId3"/>
    <sheet name="3" sheetId="6" r:id="rId4"/>
    <sheet name="4" sheetId="13" r:id="rId5"/>
    <sheet name="5" sheetId="10" r:id="rId6"/>
    <sheet name="6" sheetId="9" r:id="rId7"/>
    <sheet name="7" sheetId="14" r:id="rId8"/>
    <sheet name="8" sheetId="15" r:id="rId9"/>
    <sheet name="9" sheetId="11" r:id="rId10"/>
    <sheet name="10" sheetId="18" r:id="rId11"/>
    <sheet name="Deeper Analysis on products" sheetId="16" r:id="rId12"/>
  </sheets>
  <definedNames>
    <definedName name="_xlnm._FilterDatabase" localSheetId="0" hidden="1">Data!$C$11:$G$11</definedName>
    <definedName name="data">Table3[[#Headers],[Sales Person]]</definedName>
    <definedName name="ques">Data!$J$11:$K$21</definedName>
  </definedNames>
  <calcPr calcId="191029"/>
  <pivotCaches>
    <pivotCache cacheId="13" r:id="rId13"/>
    <pivotCache cacheId="3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6" l="1"/>
  <c r="F6" i="15"/>
  <c r="B8" i="16" a="1"/>
  <c r="B8" i="16" s="1"/>
  <c r="D8" i="16" s="1"/>
  <c r="B6" i="15" a="1"/>
  <c r="B6" i="15" s="1"/>
  <c r="F7" i="15"/>
  <c r="F8" i="15"/>
  <c r="F9" i="15"/>
  <c r="F10" i="15"/>
  <c r="F11" i="15"/>
  <c r="F12" i="15"/>
  <c r="F13" i="15"/>
  <c r="F14" i="15"/>
  <c r="F15" i="15"/>
  <c r="F16" i="15"/>
  <c r="F17" i="15"/>
  <c r="F19" i="15"/>
  <c r="F20" i="15"/>
  <c r="F21" i="15"/>
  <c r="F22" i="15"/>
  <c r="F23" i="15"/>
  <c r="F24" i="15"/>
  <c r="F26" i="15"/>
  <c r="F27" i="15"/>
  <c r="A34" i="12" a="1"/>
  <c r="A34" i="12" s="1"/>
  <c r="B34" i="12" s="1"/>
  <c r="F4" i="12" a="1"/>
  <c r="F4" i="12" s="1"/>
  <c r="L4" i="12" a="1"/>
  <c r="L4" i="12" s="1"/>
  <c r="M4" i="12" s="1"/>
  <c r="C4" i="12" a="1"/>
  <c r="C4" i="12" s="1"/>
  <c r="O4" i="12" a="1"/>
  <c r="O4" i="12" s="1"/>
  <c r="P4" i="12" s="1"/>
  <c r="I4" i="12" a="1"/>
  <c r="I4" i="12" s="1"/>
  <c r="J4" i="12" s="1"/>
  <c r="A4" i="12" a="1"/>
  <c r="A4" i="12" s="1"/>
  <c r="D20" i="11"/>
  <c r="D21" i="11"/>
  <c r="D22" i="11"/>
  <c r="D23" i="11"/>
  <c r="D24" i="11"/>
  <c r="D25" i="11"/>
  <c r="D26" i="11"/>
  <c r="D27" i="11"/>
  <c r="D28" i="11"/>
  <c r="D19" i="11"/>
  <c r="C20" i="11"/>
  <c r="C21" i="11"/>
  <c r="C22" i="11"/>
  <c r="C23" i="11"/>
  <c r="C24" i="11"/>
  <c r="C25" i="11"/>
  <c r="C26" i="11"/>
  <c r="C27" i="11"/>
  <c r="C28" i="11"/>
  <c r="C19" i="11"/>
  <c r="D9" i="11"/>
  <c r="C9" i="11"/>
  <c r="C8" i="11"/>
  <c r="D8" i="11"/>
  <c r="N4" i="9"/>
  <c r="M4" i="9"/>
  <c r="N3" i="9"/>
  <c r="M3" i="9"/>
  <c r="H10" i="10"/>
  <c r="H24" i="10"/>
  <c r="H12" i="10"/>
  <c r="H16" i="10"/>
  <c r="H6" i="10"/>
  <c r="H20" i="10"/>
  <c r="H9" i="10"/>
  <c r="H25" i="10"/>
  <c r="H15" i="10"/>
  <c r="H14" i="10"/>
  <c r="H17" i="10"/>
  <c r="H26" i="10"/>
  <c r="H18" i="10"/>
  <c r="H11" i="10"/>
  <c r="H22" i="10"/>
  <c r="H5" i="10"/>
  <c r="H7" i="10"/>
  <c r="H21" i="10"/>
  <c r="H23" i="10"/>
  <c r="H13" i="10"/>
  <c r="H8" i="10"/>
  <c r="H19" i="10"/>
  <c r="G10" i="10"/>
  <c r="I10" i="10" s="1"/>
  <c r="G24" i="10"/>
  <c r="I24" i="10" s="1"/>
  <c r="G12" i="10"/>
  <c r="G16" i="10"/>
  <c r="G6" i="10"/>
  <c r="G20" i="10"/>
  <c r="G9" i="10"/>
  <c r="I9" i="10" s="1"/>
  <c r="G25" i="10"/>
  <c r="I25" i="10" s="1"/>
  <c r="G15" i="10"/>
  <c r="I15" i="10" s="1"/>
  <c r="G14" i="10"/>
  <c r="G17" i="10"/>
  <c r="G26" i="10"/>
  <c r="I26" i="10" s="1"/>
  <c r="G18" i="10"/>
  <c r="I18" i="10" s="1"/>
  <c r="G11" i="10"/>
  <c r="I11" i="10" s="1"/>
  <c r="G22" i="10"/>
  <c r="I22" i="10" s="1"/>
  <c r="G5" i="10"/>
  <c r="I5" i="10" s="1"/>
  <c r="G7" i="10"/>
  <c r="I7" i="10" s="1"/>
  <c r="G21" i="10"/>
  <c r="G23" i="10"/>
  <c r="G13" i="10"/>
  <c r="I13" i="10" s="1"/>
  <c r="G8" i="10"/>
  <c r="I8" i="10" s="1"/>
  <c r="G19" i="10"/>
  <c r="I19" i="10" s="1"/>
  <c r="H12" i="6"/>
  <c r="H13" i="6"/>
  <c r="H14" i="6"/>
  <c r="H15" i="6"/>
  <c r="H16" i="6"/>
  <c r="H11" i="6"/>
  <c r="G12" i="6"/>
  <c r="G13" i="6"/>
  <c r="G14" i="6"/>
  <c r="G15" i="6"/>
  <c r="G16" i="6"/>
  <c r="G11" i="6"/>
  <c r="F10" i="5"/>
  <c r="F9" i="5"/>
  <c r="E10" i="5"/>
  <c r="E9" i="5"/>
  <c r="F8" i="5"/>
  <c r="E8" i="5"/>
  <c r="F7" i="5"/>
  <c r="E7" i="5"/>
  <c r="C8" i="16" l="1"/>
  <c r="C13" i="16"/>
  <c r="C12" i="16"/>
  <c r="C11" i="16"/>
  <c r="C10" i="16"/>
  <c r="C9" i="16"/>
  <c r="D13" i="16"/>
  <c r="D12" i="16"/>
  <c r="D11" i="16"/>
  <c r="D10" i="16"/>
  <c r="D9" i="16"/>
  <c r="E8" i="16"/>
  <c r="F8" i="16" s="1"/>
  <c r="G8" i="16" s="1"/>
  <c r="H8" i="16" s="1"/>
  <c r="F25" i="15"/>
  <c r="C25" i="15"/>
  <c r="D18" i="15"/>
  <c r="C18" i="15"/>
  <c r="E18" i="15" s="1"/>
  <c r="F18" i="15"/>
  <c r="C12" i="15"/>
  <c r="D25" i="15"/>
  <c r="E25" i="15" s="1"/>
  <c r="G25" i="15" s="1"/>
  <c r="H25" i="15" s="1"/>
  <c r="I25" i="15" s="1"/>
  <c r="D12" i="15"/>
  <c r="C19" i="15"/>
  <c r="D19" i="15"/>
  <c r="C26" i="15"/>
  <c r="C13" i="15"/>
  <c r="D26" i="15"/>
  <c r="D13" i="15"/>
  <c r="C20" i="15"/>
  <c r="C7" i="15"/>
  <c r="D20" i="15"/>
  <c r="C27" i="15"/>
  <c r="D7" i="15"/>
  <c r="C14" i="15"/>
  <c r="D27" i="15"/>
  <c r="D14" i="15"/>
  <c r="C21" i="15"/>
  <c r="C8" i="15"/>
  <c r="D21" i="15"/>
  <c r="D8" i="15"/>
  <c r="C15" i="15"/>
  <c r="D15" i="15"/>
  <c r="C22" i="15"/>
  <c r="C9" i="15"/>
  <c r="D22" i="15"/>
  <c r="D9" i="15"/>
  <c r="C16" i="15"/>
  <c r="D16" i="15"/>
  <c r="C23" i="15"/>
  <c r="C10" i="15"/>
  <c r="D23" i="15"/>
  <c r="D10" i="15"/>
  <c r="C17" i="15"/>
  <c r="D17" i="15"/>
  <c r="C24" i="15"/>
  <c r="C11" i="15"/>
  <c r="D24" i="15"/>
  <c r="D11" i="15"/>
  <c r="I20" i="10"/>
  <c r="F10" i="9"/>
  <c r="I6" i="10"/>
  <c r="C48" i="12"/>
  <c r="C47" i="12"/>
  <c r="C46" i="12"/>
  <c r="C45" i="12"/>
  <c r="C44" i="12"/>
  <c r="C43" i="12"/>
  <c r="C42" i="12"/>
  <c r="C41" i="12"/>
  <c r="B54" i="12"/>
  <c r="B53" i="12"/>
  <c r="B52" i="12"/>
  <c r="B51" i="12"/>
  <c r="B50" i="12"/>
  <c r="B49" i="12"/>
  <c r="B48" i="12"/>
  <c r="B47" i="12"/>
  <c r="C52" i="12"/>
  <c r="B46" i="12"/>
  <c r="C51" i="12"/>
  <c r="B45" i="12"/>
  <c r="C50" i="12"/>
  <c r="B44" i="12"/>
  <c r="C49" i="12"/>
  <c r="B43" i="12"/>
  <c r="C40" i="12"/>
  <c r="B42" i="12"/>
  <c r="C39" i="12"/>
  <c r="B41" i="12"/>
  <c r="C38" i="12"/>
  <c r="B40" i="12"/>
  <c r="C37" i="12"/>
  <c r="C34" i="12"/>
  <c r="D34" i="12" s="1"/>
  <c r="B38" i="12"/>
  <c r="D38" i="12" s="1"/>
  <c r="C35" i="12"/>
  <c r="B37" i="12"/>
  <c r="C54" i="12"/>
  <c r="B36" i="12"/>
  <c r="B39" i="12"/>
  <c r="C36" i="12"/>
  <c r="C55" i="12"/>
  <c r="C53" i="12"/>
  <c r="B55" i="12"/>
  <c r="B35" i="12"/>
  <c r="M13" i="12"/>
  <c r="M12" i="12"/>
  <c r="M11" i="12"/>
  <c r="M10" i="12"/>
  <c r="M9" i="12"/>
  <c r="M8" i="12"/>
  <c r="M7" i="12"/>
  <c r="M6" i="12"/>
  <c r="M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J9" i="12"/>
  <c r="J8" i="12"/>
  <c r="J7" i="12"/>
  <c r="J6" i="12"/>
  <c r="J5" i="12"/>
  <c r="J10" i="12" s="1"/>
  <c r="P8" i="12"/>
  <c r="P7" i="12"/>
  <c r="P6" i="12"/>
  <c r="P25" i="12"/>
  <c r="P5" i="12"/>
  <c r="I17" i="10"/>
  <c r="I14" i="10"/>
  <c r="I16" i="10"/>
  <c r="I12" i="10"/>
  <c r="I23" i="10"/>
  <c r="I21" i="10"/>
  <c r="D6" i="9"/>
  <c r="D295" i="9"/>
  <c r="D287" i="9"/>
  <c r="D279" i="9"/>
  <c r="D271" i="9"/>
  <c r="D263" i="9"/>
  <c r="D255" i="9"/>
  <c r="D247" i="9"/>
  <c r="D239" i="9"/>
  <c r="D231" i="9"/>
  <c r="D223" i="9"/>
  <c r="D215" i="9"/>
  <c r="D207" i="9"/>
  <c r="D199" i="9"/>
  <c r="D191" i="9"/>
  <c r="D183" i="9"/>
  <c r="D175" i="9"/>
  <c r="D167" i="9"/>
  <c r="D159" i="9"/>
  <c r="D151" i="9"/>
  <c r="D143" i="9"/>
  <c r="D135" i="9"/>
  <c r="D127" i="9"/>
  <c r="D119" i="9"/>
  <c r="D111" i="9"/>
  <c r="D103" i="9"/>
  <c r="D95" i="9"/>
  <c r="D87" i="9"/>
  <c r="D79" i="9"/>
  <c r="D71" i="9"/>
  <c r="D63" i="9"/>
  <c r="D55" i="9"/>
  <c r="D47" i="9"/>
  <c r="D39" i="9"/>
  <c r="D31" i="9"/>
  <c r="D23" i="9"/>
  <c r="D15" i="9"/>
  <c r="D7" i="9"/>
  <c r="F299" i="9"/>
  <c r="F291" i="9"/>
  <c r="F283" i="9"/>
  <c r="F275" i="9"/>
  <c r="F267" i="9"/>
  <c r="F259" i="9"/>
  <c r="F251" i="9"/>
  <c r="F243" i="9"/>
  <c r="F235" i="9"/>
  <c r="F227" i="9"/>
  <c r="F219" i="9"/>
  <c r="F211" i="9"/>
  <c r="F203" i="9"/>
  <c r="F195" i="9"/>
  <c r="F187" i="9"/>
  <c r="F179" i="9"/>
  <c r="F171" i="9"/>
  <c r="F163" i="9"/>
  <c r="F155" i="9"/>
  <c r="F147" i="9"/>
  <c r="F139" i="9"/>
  <c r="F131" i="9"/>
  <c r="F123" i="9"/>
  <c r="F115" i="9"/>
  <c r="F107" i="9"/>
  <c r="F99" i="9"/>
  <c r="F91" i="9"/>
  <c r="F83" i="9"/>
  <c r="F75" i="9"/>
  <c r="F67" i="9"/>
  <c r="F59" i="9"/>
  <c r="F51" i="9"/>
  <c r="F43" i="9"/>
  <c r="F35" i="9"/>
  <c r="F27" i="9"/>
  <c r="F19" i="9"/>
  <c r="F11" i="9"/>
  <c r="F3" i="9"/>
  <c r="D296" i="9"/>
  <c r="D288" i="9"/>
  <c r="D280" i="9"/>
  <c r="D272" i="9"/>
  <c r="D264" i="9"/>
  <c r="D256" i="9"/>
  <c r="D248" i="9"/>
  <c r="D240" i="9"/>
  <c r="D232" i="9"/>
  <c r="D224" i="9"/>
  <c r="D216" i="9"/>
  <c r="D208" i="9"/>
  <c r="D200" i="9"/>
  <c r="D192" i="9"/>
  <c r="D184" i="9"/>
  <c r="D176" i="9"/>
  <c r="D168" i="9"/>
  <c r="D160" i="9"/>
  <c r="D152" i="9"/>
  <c r="D144" i="9"/>
  <c r="D136" i="9"/>
  <c r="D128" i="9"/>
  <c r="D120" i="9"/>
  <c r="D112" i="9"/>
  <c r="D104" i="9"/>
  <c r="D96" i="9"/>
  <c r="D88" i="9"/>
  <c r="D80" i="9"/>
  <c r="D72" i="9"/>
  <c r="D64" i="9"/>
  <c r="D56" i="9"/>
  <c r="D48" i="9"/>
  <c r="D40" i="9"/>
  <c r="D32" i="9"/>
  <c r="D24" i="9"/>
  <c r="D16" i="9"/>
  <c r="D8" i="9"/>
  <c r="F300" i="9"/>
  <c r="F292" i="9"/>
  <c r="F284" i="9"/>
  <c r="F276" i="9"/>
  <c r="F268" i="9"/>
  <c r="F260" i="9"/>
  <c r="F252" i="9"/>
  <c r="F244" i="9"/>
  <c r="F236" i="9"/>
  <c r="F228" i="9"/>
  <c r="F220" i="9"/>
  <c r="F212" i="9"/>
  <c r="F204" i="9"/>
  <c r="F196" i="9"/>
  <c r="F188" i="9"/>
  <c r="F180" i="9"/>
  <c r="F172" i="9"/>
  <c r="F164" i="9"/>
  <c r="F156" i="9"/>
  <c r="F148" i="9"/>
  <c r="F140" i="9"/>
  <c r="F132" i="9"/>
  <c r="F124" i="9"/>
  <c r="F116" i="9"/>
  <c r="F108" i="9"/>
  <c r="F100" i="9"/>
  <c r="F92" i="9"/>
  <c r="F84" i="9"/>
  <c r="F76" i="9"/>
  <c r="F68" i="9"/>
  <c r="F60" i="9"/>
  <c r="F52" i="9"/>
  <c r="F44" i="9"/>
  <c r="F36" i="9"/>
  <c r="F28" i="9"/>
  <c r="F20" i="9"/>
  <c r="F12" i="9"/>
  <c r="F4" i="9"/>
  <c r="D297" i="9"/>
  <c r="D289" i="9"/>
  <c r="D281" i="9"/>
  <c r="D273" i="9"/>
  <c r="D265" i="9"/>
  <c r="D257" i="9"/>
  <c r="D249" i="9"/>
  <c r="D241" i="9"/>
  <c r="D233" i="9"/>
  <c r="D225" i="9"/>
  <c r="D217" i="9"/>
  <c r="D209" i="9"/>
  <c r="D201" i="9"/>
  <c r="D193" i="9"/>
  <c r="D185" i="9"/>
  <c r="D177" i="9"/>
  <c r="D169" i="9"/>
  <c r="D161" i="9"/>
  <c r="D153" i="9"/>
  <c r="D145" i="9"/>
  <c r="D137" i="9"/>
  <c r="D129" i="9"/>
  <c r="D121" i="9"/>
  <c r="D113" i="9"/>
  <c r="D105" i="9"/>
  <c r="D97" i="9"/>
  <c r="D89" i="9"/>
  <c r="D81" i="9"/>
  <c r="D73" i="9"/>
  <c r="D65" i="9"/>
  <c r="D57" i="9"/>
  <c r="D49" i="9"/>
  <c r="D41" i="9"/>
  <c r="D33" i="9"/>
  <c r="D25" i="9"/>
  <c r="D17" i="9"/>
  <c r="D9" i="9"/>
  <c r="F301" i="9"/>
  <c r="F293" i="9"/>
  <c r="F285" i="9"/>
  <c r="F277" i="9"/>
  <c r="F269" i="9"/>
  <c r="F261" i="9"/>
  <c r="F253" i="9"/>
  <c r="F245" i="9"/>
  <c r="F237" i="9"/>
  <c r="F229" i="9"/>
  <c r="F221" i="9"/>
  <c r="F213" i="9"/>
  <c r="F205" i="9"/>
  <c r="F197" i="9"/>
  <c r="F189" i="9"/>
  <c r="F181" i="9"/>
  <c r="F173" i="9"/>
  <c r="F165" i="9"/>
  <c r="F157" i="9"/>
  <c r="F149" i="9"/>
  <c r="F141" i="9"/>
  <c r="F133" i="9"/>
  <c r="F125" i="9"/>
  <c r="F117" i="9"/>
  <c r="F109" i="9"/>
  <c r="F101" i="9"/>
  <c r="F93" i="9"/>
  <c r="F85" i="9"/>
  <c r="F77" i="9"/>
  <c r="F69" i="9"/>
  <c r="F61" i="9"/>
  <c r="F53" i="9"/>
  <c r="F45" i="9"/>
  <c r="F37" i="9"/>
  <c r="F29" i="9"/>
  <c r="F21" i="9"/>
  <c r="F13" i="9"/>
  <c r="F5" i="9"/>
  <c r="D298" i="9"/>
  <c r="D290" i="9"/>
  <c r="D282" i="9"/>
  <c r="D274" i="9"/>
  <c r="D266" i="9"/>
  <c r="D258" i="9"/>
  <c r="D250" i="9"/>
  <c r="D242" i="9"/>
  <c r="D234" i="9"/>
  <c r="D226" i="9"/>
  <c r="D218" i="9"/>
  <c r="D210" i="9"/>
  <c r="D202" i="9"/>
  <c r="D194" i="9"/>
  <c r="D186" i="9"/>
  <c r="D178" i="9"/>
  <c r="D170" i="9"/>
  <c r="D162" i="9"/>
  <c r="D154" i="9"/>
  <c r="D146" i="9"/>
  <c r="D138" i="9"/>
  <c r="D130" i="9"/>
  <c r="D122" i="9"/>
  <c r="D114" i="9"/>
  <c r="D106" i="9"/>
  <c r="D98" i="9"/>
  <c r="D90" i="9"/>
  <c r="D82" i="9"/>
  <c r="D74" i="9"/>
  <c r="D66" i="9"/>
  <c r="D58" i="9"/>
  <c r="D50" i="9"/>
  <c r="D42" i="9"/>
  <c r="D34" i="9"/>
  <c r="D26" i="9"/>
  <c r="D18" i="9"/>
  <c r="D10" i="9"/>
  <c r="F302" i="9"/>
  <c r="F294" i="9"/>
  <c r="F286" i="9"/>
  <c r="F278" i="9"/>
  <c r="F270" i="9"/>
  <c r="F262" i="9"/>
  <c r="F254" i="9"/>
  <c r="F246" i="9"/>
  <c r="F238" i="9"/>
  <c r="F230" i="9"/>
  <c r="F222" i="9"/>
  <c r="F214" i="9"/>
  <c r="F206" i="9"/>
  <c r="F198" i="9"/>
  <c r="F190" i="9"/>
  <c r="F182" i="9"/>
  <c r="F174" i="9"/>
  <c r="F166" i="9"/>
  <c r="F158" i="9"/>
  <c r="F150" i="9"/>
  <c r="F142" i="9"/>
  <c r="F134" i="9"/>
  <c r="F126" i="9"/>
  <c r="F118" i="9"/>
  <c r="F110" i="9"/>
  <c r="F102" i="9"/>
  <c r="F94" i="9"/>
  <c r="F86" i="9"/>
  <c r="F78" i="9"/>
  <c r="F70" i="9"/>
  <c r="F62" i="9"/>
  <c r="F54" i="9"/>
  <c r="F46" i="9"/>
  <c r="F38" i="9"/>
  <c r="F30" i="9"/>
  <c r="F22" i="9"/>
  <c r="F14" i="9"/>
  <c r="F6" i="9"/>
  <c r="D286" i="9"/>
  <c r="D283" i="9"/>
  <c r="D267" i="9"/>
  <c r="D259" i="9"/>
  <c r="D243" i="9"/>
  <c r="D235" i="9"/>
  <c r="D227" i="9"/>
  <c r="D219" i="9"/>
  <c r="D211" i="9"/>
  <c r="D203" i="9"/>
  <c r="D195" i="9"/>
  <c r="D187" i="9"/>
  <c r="D179" i="9"/>
  <c r="D171" i="9"/>
  <c r="D163" i="9"/>
  <c r="D155" i="9"/>
  <c r="D147" i="9"/>
  <c r="D139" i="9"/>
  <c r="D131" i="9"/>
  <c r="D123" i="9"/>
  <c r="D115" i="9"/>
  <c r="D107" i="9"/>
  <c r="D99" i="9"/>
  <c r="D91" i="9"/>
  <c r="D83" i="9"/>
  <c r="D75" i="9"/>
  <c r="D67" i="9"/>
  <c r="D59" i="9"/>
  <c r="D51" i="9"/>
  <c r="D43" i="9"/>
  <c r="D35" i="9"/>
  <c r="D27" i="9"/>
  <c r="D19" i="9"/>
  <c r="D11" i="9"/>
  <c r="D3" i="9"/>
  <c r="F295" i="9"/>
  <c r="F287" i="9"/>
  <c r="F279" i="9"/>
  <c r="F271" i="9"/>
  <c r="F263" i="9"/>
  <c r="F255" i="9"/>
  <c r="F247" i="9"/>
  <c r="F239" i="9"/>
  <c r="F231" i="9"/>
  <c r="F223" i="9"/>
  <c r="F215" i="9"/>
  <c r="F207" i="9"/>
  <c r="F199" i="9"/>
  <c r="F191" i="9"/>
  <c r="F183" i="9"/>
  <c r="F175" i="9"/>
  <c r="F167" i="9"/>
  <c r="F159" i="9"/>
  <c r="F151" i="9"/>
  <c r="F143" i="9"/>
  <c r="F135" i="9"/>
  <c r="F127" i="9"/>
  <c r="F119" i="9"/>
  <c r="F111" i="9"/>
  <c r="F103" i="9"/>
  <c r="F95" i="9"/>
  <c r="F87" i="9"/>
  <c r="F79" i="9"/>
  <c r="F71" i="9"/>
  <c r="F63" i="9"/>
  <c r="F55" i="9"/>
  <c r="F47" i="9"/>
  <c r="F39" i="9"/>
  <c r="F31" i="9"/>
  <c r="F23" i="9"/>
  <c r="F15" i="9"/>
  <c r="F7" i="9"/>
  <c r="D302" i="9"/>
  <c r="D278" i="9"/>
  <c r="D299" i="9"/>
  <c r="D291" i="9"/>
  <c r="D275" i="9"/>
  <c r="D251" i="9"/>
  <c r="D300" i="9"/>
  <c r="D292" i="9"/>
  <c r="D284" i="9"/>
  <c r="D276" i="9"/>
  <c r="D268" i="9"/>
  <c r="D260" i="9"/>
  <c r="D252" i="9"/>
  <c r="D244" i="9"/>
  <c r="D236" i="9"/>
  <c r="D228" i="9"/>
  <c r="D220" i="9"/>
  <c r="D212" i="9"/>
  <c r="D204" i="9"/>
  <c r="D196" i="9"/>
  <c r="D188" i="9"/>
  <c r="D180" i="9"/>
  <c r="D172" i="9"/>
  <c r="D164" i="9"/>
  <c r="D156" i="9"/>
  <c r="D148" i="9"/>
  <c r="D140" i="9"/>
  <c r="D132" i="9"/>
  <c r="D124" i="9"/>
  <c r="D116" i="9"/>
  <c r="D108" i="9"/>
  <c r="D100" i="9"/>
  <c r="D92" i="9"/>
  <c r="D84" i="9"/>
  <c r="D76" i="9"/>
  <c r="D68" i="9"/>
  <c r="D60" i="9"/>
  <c r="D52" i="9"/>
  <c r="D44" i="9"/>
  <c r="D36" i="9"/>
  <c r="D28" i="9"/>
  <c r="D20" i="9"/>
  <c r="D12" i="9"/>
  <c r="D4" i="9"/>
  <c r="F296" i="9"/>
  <c r="F288" i="9"/>
  <c r="F280" i="9"/>
  <c r="F272" i="9"/>
  <c r="F264" i="9"/>
  <c r="F256" i="9"/>
  <c r="F248" i="9"/>
  <c r="F240" i="9"/>
  <c r="F232" i="9"/>
  <c r="F224" i="9"/>
  <c r="F216" i="9"/>
  <c r="F208" i="9"/>
  <c r="F200" i="9"/>
  <c r="F192" i="9"/>
  <c r="F184" i="9"/>
  <c r="F176" i="9"/>
  <c r="F168" i="9"/>
  <c r="F160" i="9"/>
  <c r="F152" i="9"/>
  <c r="F144" i="9"/>
  <c r="F136" i="9"/>
  <c r="F128" i="9"/>
  <c r="F120" i="9"/>
  <c r="F112" i="9"/>
  <c r="F104" i="9"/>
  <c r="F96" i="9"/>
  <c r="F88" i="9"/>
  <c r="F80" i="9"/>
  <c r="F72" i="9"/>
  <c r="F64" i="9"/>
  <c r="F56" i="9"/>
  <c r="F48" i="9"/>
  <c r="F40" i="9"/>
  <c r="F32" i="9"/>
  <c r="F24" i="9"/>
  <c r="F16" i="9"/>
  <c r="F8" i="9"/>
  <c r="D270" i="9"/>
  <c r="D301" i="9"/>
  <c r="D293" i="9"/>
  <c r="D285" i="9"/>
  <c r="D277" i="9"/>
  <c r="D269" i="9"/>
  <c r="D261" i="9"/>
  <c r="D253" i="9"/>
  <c r="D245" i="9"/>
  <c r="D237" i="9"/>
  <c r="D229" i="9"/>
  <c r="D221" i="9"/>
  <c r="D213" i="9"/>
  <c r="D205" i="9"/>
  <c r="D197" i="9"/>
  <c r="D189" i="9"/>
  <c r="D181" i="9"/>
  <c r="D173" i="9"/>
  <c r="D165" i="9"/>
  <c r="D157" i="9"/>
  <c r="D149" i="9"/>
  <c r="D141" i="9"/>
  <c r="D133" i="9"/>
  <c r="D125" i="9"/>
  <c r="D117" i="9"/>
  <c r="D109" i="9"/>
  <c r="D101" i="9"/>
  <c r="D93" i="9"/>
  <c r="D85" i="9"/>
  <c r="D77" i="9"/>
  <c r="D69" i="9"/>
  <c r="D61" i="9"/>
  <c r="D53" i="9"/>
  <c r="D45" i="9"/>
  <c r="D37" i="9"/>
  <c r="D29" i="9"/>
  <c r="D21" i="9"/>
  <c r="D13" i="9"/>
  <c r="D5" i="9"/>
  <c r="F297" i="9"/>
  <c r="F289" i="9"/>
  <c r="F281" i="9"/>
  <c r="F273" i="9"/>
  <c r="F265" i="9"/>
  <c r="F257" i="9"/>
  <c r="F249" i="9"/>
  <c r="F241" i="9"/>
  <c r="F233" i="9"/>
  <c r="F225" i="9"/>
  <c r="F217" i="9"/>
  <c r="F209" i="9"/>
  <c r="F201" i="9"/>
  <c r="F193" i="9"/>
  <c r="F185" i="9"/>
  <c r="F177" i="9"/>
  <c r="F169" i="9"/>
  <c r="F161" i="9"/>
  <c r="F153" i="9"/>
  <c r="F145" i="9"/>
  <c r="F137" i="9"/>
  <c r="F129" i="9"/>
  <c r="F121" i="9"/>
  <c r="F113" i="9"/>
  <c r="F105" i="9"/>
  <c r="F97" i="9"/>
  <c r="F89" i="9"/>
  <c r="F81" i="9"/>
  <c r="F73" i="9"/>
  <c r="F65" i="9"/>
  <c r="F57" i="9"/>
  <c r="F49" i="9"/>
  <c r="F41" i="9"/>
  <c r="F33" i="9"/>
  <c r="F25" i="9"/>
  <c r="F17" i="9"/>
  <c r="F9" i="9"/>
  <c r="D294" i="9"/>
  <c r="D262" i="9"/>
  <c r="D254" i="9"/>
  <c r="D246" i="9"/>
  <c r="D238" i="9"/>
  <c r="D230" i="9"/>
  <c r="D222" i="9"/>
  <c r="D214" i="9"/>
  <c r="D206" i="9"/>
  <c r="D198" i="9"/>
  <c r="D190" i="9"/>
  <c r="D182" i="9"/>
  <c r="D174" i="9"/>
  <c r="D166" i="9"/>
  <c r="D158" i="9"/>
  <c r="D150" i="9"/>
  <c r="D142" i="9"/>
  <c r="D134" i="9"/>
  <c r="D126" i="9"/>
  <c r="D118" i="9"/>
  <c r="D110" i="9"/>
  <c r="D102" i="9"/>
  <c r="D94" i="9"/>
  <c r="D86" i="9"/>
  <c r="D78" i="9"/>
  <c r="D70" i="9"/>
  <c r="D62" i="9"/>
  <c r="D54" i="9"/>
  <c r="D46" i="9"/>
  <c r="D38" i="9"/>
  <c r="D30" i="9"/>
  <c r="D22" i="9"/>
  <c r="D14" i="9"/>
  <c r="F298" i="9"/>
  <c r="F290" i="9"/>
  <c r="F282" i="9"/>
  <c r="F274" i="9"/>
  <c r="F266" i="9"/>
  <c r="F258" i="9"/>
  <c r="F250" i="9"/>
  <c r="F242" i="9"/>
  <c r="F234" i="9"/>
  <c r="F226" i="9"/>
  <c r="F218" i="9"/>
  <c r="F210" i="9"/>
  <c r="F202" i="9"/>
  <c r="F194" i="9"/>
  <c r="F186" i="9"/>
  <c r="F178" i="9"/>
  <c r="F170" i="9"/>
  <c r="F162" i="9"/>
  <c r="F154" i="9"/>
  <c r="F146" i="9"/>
  <c r="F138" i="9"/>
  <c r="F130" i="9"/>
  <c r="F122" i="9"/>
  <c r="F114" i="9"/>
  <c r="F106" i="9"/>
  <c r="F98" i="9"/>
  <c r="F90" i="9"/>
  <c r="F82" i="9"/>
  <c r="F74" i="9"/>
  <c r="F66" i="9"/>
  <c r="F58" i="9"/>
  <c r="F50" i="9"/>
  <c r="F42" i="9"/>
  <c r="F34" i="9"/>
  <c r="F26" i="9"/>
  <c r="F18" i="9"/>
  <c r="E9" i="16" l="1"/>
  <c r="F9" i="16" s="1"/>
  <c r="G9" i="16" s="1"/>
  <c r="H9" i="16" s="1"/>
  <c r="E10" i="16"/>
  <c r="F10" i="16" s="1"/>
  <c r="G10" i="16" s="1"/>
  <c r="H10" i="16" s="1"/>
  <c r="E11" i="16"/>
  <c r="F11" i="16" s="1"/>
  <c r="G11" i="16" s="1"/>
  <c r="H11" i="16" s="1"/>
  <c r="E12" i="16"/>
  <c r="F12" i="16" s="1"/>
  <c r="G12" i="16" s="1"/>
  <c r="H12" i="16" s="1"/>
  <c r="E13" i="16"/>
  <c r="F13" i="16" s="1"/>
  <c r="G13" i="16" s="1"/>
  <c r="H13" i="16" s="1"/>
  <c r="D52" i="12"/>
  <c r="D54" i="12"/>
  <c r="D47" i="12"/>
  <c r="G18" i="15"/>
  <c r="H18" i="15" s="1"/>
  <c r="I18" i="15" s="1"/>
  <c r="E21" i="15"/>
  <c r="G21" i="15" s="1"/>
  <c r="H21" i="15" s="1"/>
  <c r="I21" i="15" s="1"/>
  <c r="E11" i="15"/>
  <c r="G11" i="15" s="1"/>
  <c r="H11" i="15" s="1"/>
  <c r="I11" i="15" s="1"/>
  <c r="C6" i="15"/>
  <c r="E24" i="15"/>
  <c r="G24" i="15" s="1"/>
  <c r="H24" i="15" s="1"/>
  <c r="I24" i="15" s="1"/>
  <c r="E14" i="15"/>
  <c r="G14" i="15" s="1"/>
  <c r="H14" i="15" s="1"/>
  <c r="I14" i="15" s="1"/>
  <c r="E17" i="15"/>
  <c r="G17" i="15" s="1"/>
  <c r="H17" i="15" s="1"/>
  <c r="I17" i="15" s="1"/>
  <c r="E27" i="15"/>
  <c r="G27" i="15" s="1"/>
  <c r="H27" i="15" s="1"/>
  <c r="I27" i="15" s="1"/>
  <c r="E10" i="15"/>
  <c r="G10" i="15" s="1"/>
  <c r="H10" i="15" s="1"/>
  <c r="I10" i="15" s="1"/>
  <c r="E7" i="15"/>
  <c r="G7" i="15" s="1"/>
  <c r="H7" i="15" s="1"/>
  <c r="I7" i="15" s="1"/>
  <c r="E23" i="15"/>
  <c r="G23" i="15" s="1"/>
  <c r="H23" i="15" s="1"/>
  <c r="I23" i="15" s="1"/>
  <c r="E20" i="15"/>
  <c r="G20" i="15" s="1"/>
  <c r="H20" i="15" s="1"/>
  <c r="I20" i="15" s="1"/>
  <c r="E16" i="15"/>
  <c r="G16" i="15" s="1"/>
  <c r="H16" i="15" s="1"/>
  <c r="I16" i="15" s="1"/>
  <c r="E13" i="15"/>
  <c r="G13" i="15" s="1"/>
  <c r="H13" i="15" s="1"/>
  <c r="I13" i="15" s="1"/>
  <c r="E26" i="15"/>
  <c r="G26" i="15" s="1"/>
  <c r="H26" i="15" s="1"/>
  <c r="I26" i="15" s="1"/>
  <c r="E9" i="15"/>
  <c r="G9" i="15" s="1"/>
  <c r="H9" i="15" s="1"/>
  <c r="I9" i="15" s="1"/>
  <c r="E22" i="15"/>
  <c r="G22" i="15" s="1"/>
  <c r="H22" i="15" s="1"/>
  <c r="I22" i="15" s="1"/>
  <c r="E19" i="15"/>
  <c r="G19" i="15" s="1"/>
  <c r="H19" i="15" s="1"/>
  <c r="I19" i="15" s="1"/>
  <c r="E15" i="15"/>
  <c r="G15" i="15" s="1"/>
  <c r="H15" i="15" s="1"/>
  <c r="I15" i="15" s="1"/>
  <c r="D6" i="15"/>
  <c r="E12" i="15"/>
  <c r="G12" i="15" s="1"/>
  <c r="H12" i="15" s="1"/>
  <c r="I12" i="15" s="1"/>
  <c r="E8" i="15"/>
  <c r="G8" i="15" s="1"/>
  <c r="H8" i="15" s="1"/>
  <c r="I8" i="15" s="1"/>
  <c r="D41" i="12"/>
  <c r="D46" i="12"/>
  <c r="D45" i="12"/>
  <c r="D51" i="12"/>
  <c r="D42" i="12"/>
  <c r="D43" i="12"/>
  <c r="D49" i="12"/>
  <c r="D55" i="12"/>
  <c r="D44" i="12"/>
  <c r="D53" i="12"/>
  <c r="D50" i="12"/>
  <c r="D48" i="12"/>
  <c r="D39" i="12"/>
  <c r="M14" i="12"/>
  <c r="D40" i="12"/>
  <c r="D36" i="12"/>
  <c r="D37" i="12"/>
  <c r="D35" i="12"/>
  <c r="P26" i="12"/>
  <c r="E6" i="15" l="1"/>
  <c r="G6" i="15" s="1"/>
  <c r="H6" i="15" s="1"/>
  <c r="I6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<sst xmlns="http://schemas.openxmlformats.org/spreadsheetml/2006/main" count="1423" uniqueCount="108">
  <si>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</si>
  <si>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</si>
  <si>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</si>
  <si>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</si>
  <si>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</si>
  <si>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</si>
  <si>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</si>
  <si>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</si>
  <si>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</si>
  <si>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</si>
  <si>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</si>
  <si>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</si>
  <si>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</si>
  <si>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</si>
  <si>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</si>
  <si>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</si>
  <si>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</si>
  <si>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</si>
  <si>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</si>
  <si>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</si>
  <si>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</si>
  <si>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</si>
  <si>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</si>
  <si>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</si>
  <si>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</si>
  <si>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</si>
  <si>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</si>
  <si>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</si>
  <si>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</si>
  <si>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</si>
  <si>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</si>
  <si>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</si>
  <si>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</si>
  <si>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</si>
  <si>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</si>
  <si>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</si>
  <si>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</si>
  <si>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</si>
  <si>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</si>
  <si>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</si>
  <si>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</si>
  <si>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</si>
  <si>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</si>
  <si>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</si>
  <si>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</si>
  <si>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</si>
  <si>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</si>
  <si>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</si>
  <si>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</si>
  <si>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</si>
  <si>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</si>
  <si>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</si>
  <si>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</si>
  <si>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</si>
  <si>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</si>
  <si>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</si>
  <si>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Column1</t>
  </si>
  <si>
    <t>amount</t>
  </si>
  <si>
    <t>unit</t>
  </si>
  <si>
    <t>average</t>
  </si>
  <si>
    <t>count</t>
  </si>
  <si>
    <t>median</t>
  </si>
  <si>
    <t xml:space="preserve">max </t>
  </si>
  <si>
    <t>min</t>
  </si>
  <si>
    <t>country</t>
  </si>
  <si>
    <t>Products</t>
  </si>
  <si>
    <t>Amount Per unit</t>
  </si>
  <si>
    <t>Unit</t>
  </si>
  <si>
    <t>Average</t>
  </si>
  <si>
    <t>SD</t>
  </si>
  <si>
    <t>Z score amount</t>
  </si>
  <si>
    <t>Z score unit</t>
  </si>
  <si>
    <t>Country</t>
  </si>
  <si>
    <t>Total</t>
  </si>
  <si>
    <t xml:space="preserve"> Quick Summary</t>
  </si>
  <si>
    <t>Sales Performance</t>
  </si>
  <si>
    <t>Name</t>
  </si>
  <si>
    <t>1) All countries</t>
  </si>
  <si>
    <t>2) All sales persons</t>
  </si>
  <si>
    <t>3) All products</t>
  </si>
  <si>
    <t>4) Country Sales</t>
  </si>
  <si>
    <t>5) Sales by sales persons</t>
  </si>
  <si>
    <t>6) Product Sales</t>
  </si>
  <si>
    <t>Exploratory Data Analysis</t>
  </si>
  <si>
    <t>units</t>
  </si>
  <si>
    <t>8) Average Amount per product</t>
  </si>
  <si>
    <t>Row Labels</t>
  </si>
  <si>
    <t>Grand Total</t>
  </si>
  <si>
    <t>Sum of Amount</t>
  </si>
  <si>
    <t>Column Labels</t>
  </si>
  <si>
    <t>Average per unit</t>
  </si>
  <si>
    <t>Cost per Unit</t>
  </si>
  <si>
    <t>Profit per unit</t>
  </si>
  <si>
    <t>Total Profit</t>
  </si>
  <si>
    <t>Profit Percentage</t>
  </si>
  <si>
    <t>Sum of Profit Percentage</t>
  </si>
  <si>
    <t>Sum of Total Profit</t>
  </si>
  <si>
    <t>We can consider products with less profit margins and also less total profits to discontinue.</t>
  </si>
  <si>
    <t xml:space="preserve">Products which suits our criteria </t>
  </si>
  <si>
    <t xml:space="preserve"> with least profit margina and third least profits</t>
  </si>
  <si>
    <t>Let us know how a product is performing in different countries with respect to its profit margins</t>
  </si>
  <si>
    <t>Total Sales</t>
  </si>
  <si>
    <t>Cost Per unit</t>
  </si>
  <si>
    <t>Total Units</t>
  </si>
  <si>
    <t>Per unit sale</t>
  </si>
  <si>
    <t>Profit percentage</t>
  </si>
  <si>
    <t>Select product in c3 cell</t>
  </si>
  <si>
    <t>Select country in c3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</si>
</sst>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8" formatCode="0.0%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  <xf numFmtId="0" fontId="0" fillId="4" borderId="2" xfId="0" applyFill="1" applyBorder="1"/>
    <xf numFmtId="0" fontId="0" fillId="0" borderId="3" xfId="0" applyBorder="1"/>
    <xf numFmtId="0" fontId="0" fillId="4" borderId="3" xfId="0" applyFill="1" applyBorder="1"/>
    <xf numFmtId="44" fontId="0" fillId="0" borderId="0" xfId="2" applyFont="1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6" xfId="0" applyFont="1" applyFill="1" applyBorder="1"/>
    <xf numFmtId="0" fontId="0" fillId="5" borderId="7" xfId="0" applyFill="1" applyBorder="1"/>
    <xf numFmtId="164" fontId="0" fillId="0" borderId="0" xfId="2" applyNumberFormat="1" applyFont="1" applyBorder="1"/>
    <xf numFmtId="41" fontId="0" fillId="0" borderId="8" xfId="1" applyNumberFormat="1" applyFont="1" applyBorder="1"/>
    <xf numFmtId="0" fontId="0" fillId="6" borderId="9" xfId="0" applyFill="1" applyBorder="1"/>
    <xf numFmtId="165" fontId="0" fillId="0" borderId="8" xfId="1" applyNumberFormat="1" applyFont="1" applyBorder="1"/>
    <xf numFmtId="0" fontId="0" fillId="5" borderId="9" xfId="0" applyFill="1" applyBorder="1"/>
    <xf numFmtId="0" fontId="0" fillId="6" borderId="10" xfId="0" applyFill="1" applyBorder="1"/>
    <xf numFmtId="164" fontId="0" fillId="0" borderId="11" xfId="2" applyNumberFormat="1" applyFont="1" applyBorder="1"/>
    <xf numFmtId="165" fontId="0" fillId="0" borderId="12" xfId="1" applyNumberFormat="1" applyFont="1" applyBorder="1"/>
    <xf numFmtId="0" fontId="2" fillId="8" borderId="0" xfId="0" applyFont="1" applyFill="1"/>
    <xf numFmtId="2" fontId="0" fillId="0" borderId="0" xfId="0" applyNumberFormat="1"/>
    <xf numFmtId="6" fontId="0" fillId="4" borderId="2" xfId="0" applyNumberFormat="1" applyFill="1" applyBorder="1"/>
    <xf numFmtId="6" fontId="0" fillId="0" borderId="3" xfId="0" applyNumberFormat="1" applyBorder="1"/>
    <xf numFmtId="6" fontId="0" fillId="4" borderId="3" xfId="0" applyNumberFormat="1" applyFill="1" applyBorder="1"/>
    <xf numFmtId="3" fontId="0" fillId="4" borderId="13" xfId="0" applyNumberFormat="1" applyFill="1" applyBorder="1"/>
    <xf numFmtId="3" fontId="0" fillId="0" borderId="14" xfId="0" applyNumberFormat="1" applyBorder="1"/>
    <xf numFmtId="3" fontId="0" fillId="4" borderId="14" xfId="0" applyNumberFormat="1" applyFill="1" applyBorder="1"/>
    <xf numFmtId="0" fontId="2" fillId="9" borderId="0" xfId="0" applyFont="1" applyFill="1"/>
    <xf numFmtId="3" fontId="0" fillId="0" borderId="15" xfId="0" applyNumberFormat="1" applyBorder="1"/>
    <xf numFmtId="3" fontId="0" fillId="4" borderId="0" xfId="0" applyNumberFormat="1" applyFill="1"/>
    <xf numFmtId="2" fontId="0" fillId="4" borderId="2" xfId="2" applyNumberFormat="1" applyFont="1" applyFill="1" applyBorder="1"/>
    <xf numFmtId="2" fontId="0" fillId="0" borderId="3" xfId="2" applyNumberFormat="1" applyFont="1" applyBorder="1"/>
    <xf numFmtId="2" fontId="0" fillId="4" borderId="3" xfId="2" applyNumberFormat="1" applyFont="1" applyFill="1" applyBorder="1"/>
    <xf numFmtId="2" fontId="0" fillId="0" borderId="0" xfId="2" applyNumberFormat="1" applyFont="1" applyBorder="1"/>
    <xf numFmtId="0" fontId="0" fillId="10" borderId="0" xfId="0" applyFill="1"/>
    <xf numFmtId="0" fontId="0" fillId="6" borderId="0" xfId="0" applyFill="1"/>
    <xf numFmtId="0" fontId="0" fillId="4" borderId="16" xfId="0" applyFill="1" applyBorder="1"/>
    <xf numFmtId="0" fontId="0" fillId="0" borderId="17" xfId="0" applyBorder="1"/>
    <xf numFmtId="0" fontId="0" fillId="4" borderId="17" xfId="0" applyFill="1" applyBorder="1"/>
    <xf numFmtId="0" fontId="2" fillId="10" borderId="0" xfId="0" applyFont="1" applyFill="1"/>
    <xf numFmtId="0" fontId="0" fillId="10" borderId="0" xfId="0" applyFill="1" applyAlignment="1">
      <alignment horizontal="center"/>
    </xf>
    <xf numFmtId="44" fontId="0" fillId="10" borderId="0" xfId="2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6" fontId="0" fillId="0" borderId="0" xfId="0" applyNumberFormat="1" applyBorder="1"/>
    <xf numFmtId="0" fontId="2" fillId="6" borderId="4" xfId="0" applyFont="1" applyFill="1" applyBorder="1"/>
    <xf numFmtId="44" fontId="0" fillId="0" borderId="0" xfId="0" applyNumberFormat="1"/>
    <xf numFmtId="168" fontId="0" fillId="0" borderId="0" xfId="3" applyNumberFormat="1" applyFont="1"/>
    <xf numFmtId="10" fontId="0" fillId="0" borderId="0" xfId="3" applyNumberFormat="1" applyFont="1"/>
    <xf numFmtId="9" fontId="0" fillId="0" borderId="0" xfId="0" applyNumberFormat="1"/>
    <xf numFmtId="0" fontId="0" fillId="10" borderId="0" xfId="0" applyFill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 outline="0">
        <left/>
        <right style="thin">
          <color theme="4" tint="0.39997558519241921"/>
        </right>
        <top/>
        <bottom style="thin">
          <color theme="4" tint="0.39997558519241921"/>
        </bottom>
      </border>
    </dxf>
    <dxf>
      <numFmt numFmtId="2" formatCode="0.00"/>
      <border diagonalUp="0" diagonalDown="0" outline="0">
        <left/>
        <right/>
        <top/>
        <bottom style="thin">
          <color theme="4" tint="0.39997558519241921"/>
        </bottom>
      </border>
    </dxf>
    <dxf>
      <numFmt numFmtId="10" formatCode="&quot;$&quot;#,##0_);[Red]\(&quot;$&quot;#,##0\)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'2'!$I$4:$I$9</c:f>
              <c:strCache>
                <c:ptCount val="6"/>
                <c:pt idx="0">
                  <c:v>New Zealand</c:v>
                </c:pt>
                <c:pt idx="1">
                  <c:v>USA</c:v>
                </c:pt>
                <c:pt idx="2">
                  <c:v>Canada</c:v>
                </c:pt>
                <c:pt idx="3">
                  <c:v>UK</c:v>
                </c:pt>
                <c:pt idx="4">
                  <c:v>Australia</c:v>
                </c:pt>
                <c:pt idx="5">
                  <c:v>India</c:v>
                </c:pt>
              </c:strCache>
            </c:strRef>
          </c:cat>
          <c:val>
            <c:numRef>
              <c:f>'2'!$J$4:$J$9</c:f>
              <c:numCache>
                <c:formatCode>_("$"* #,##0.00_);_("$"* \(#,##0.00\);_("$"* "-"??_);_(@_)</c:formatCode>
                <c:ptCount val="6"/>
                <c:pt idx="0">
                  <c:v>218813</c:v>
                </c:pt>
                <c:pt idx="1">
                  <c:v>189434</c:v>
                </c:pt>
                <c:pt idx="2">
                  <c:v>237944</c:v>
                </c:pt>
                <c:pt idx="3">
                  <c:v>173530</c:v>
                </c:pt>
                <c:pt idx="4">
                  <c:v>168679</c:v>
                </c:pt>
                <c:pt idx="5">
                  <c:v>252469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4-4F89-A878-04D7A939F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11104"/>
        <c:axId val="777149632"/>
      </c:barChart>
      <c:catAx>
        <c:axId val="443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149632"/>
        <c:crosses val="autoZero"/>
        <c:auto val="1"/>
        <c:lblAlgn val="ctr"/>
        <c:lblOffset val="100"/>
        <c:noMultiLvlLbl val="0"/>
      </c:catAx>
      <c:valAx>
        <c:axId val="7771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'2'!$L$4:$L$13</c:f>
              <c:strCache>
                <c:ptCount val="10"/>
                <c:pt idx="0">
                  <c:v>Ram Mahesh</c:v>
                </c:pt>
                <c:pt idx="1">
                  <c:v>Brien Boise</c:v>
                </c:pt>
                <c:pt idx="2">
                  <c:v>Husein Augar</c:v>
                </c:pt>
                <c:pt idx="3">
                  <c:v>Carla Molina</c:v>
                </c:pt>
                <c:pt idx="4">
                  <c:v>Curtice Advani</c:v>
                </c:pt>
                <c:pt idx="5">
                  <c:v>Ches Bonnell</c:v>
                </c:pt>
                <c:pt idx="6">
                  <c:v>Gigi Bohling</c:v>
                </c:pt>
                <c:pt idx="7">
                  <c:v>Barr Faughny</c:v>
                </c:pt>
                <c:pt idx="8">
                  <c:v>Gunar Cockshoot</c:v>
                </c:pt>
                <c:pt idx="9">
                  <c:v>Oby Sorrel</c:v>
                </c:pt>
              </c:strCache>
            </c:strRef>
          </c:cat>
          <c:val>
            <c:numRef>
              <c:f>'2'!$M$4:$M$13</c:f>
              <c:numCache>
                <c:formatCode>_("$"* #,##0.00_);_("$"* \(#,##0.00\);_("$"* "-"??_);_(@_)</c:formatCode>
                <c:ptCount val="10"/>
                <c:pt idx="0">
                  <c:v>151599</c:v>
                </c:pt>
                <c:pt idx="1">
                  <c:v>98084</c:v>
                </c:pt>
                <c:pt idx="2">
                  <c:v>132580</c:v>
                </c:pt>
                <c:pt idx="3">
                  <c:v>98210</c:v>
                </c:pt>
                <c:pt idx="4">
                  <c:v>130697</c:v>
                </c:pt>
                <c:pt idx="5">
                  <c:v>149975</c:v>
                </c:pt>
                <c:pt idx="6">
                  <c:v>165725</c:v>
                </c:pt>
                <c:pt idx="7">
                  <c:v>123949</c:v>
                </c:pt>
                <c:pt idx="8">
                  <c:v>106834</c:v>
                </c:pt>
                <c:pt idx="9">
                  <c:v>83216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7-450A-8AB7-5769A4CC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013152"/>
        <c:axId val="59087536"/>
      </c:barChart>
      <c:catAx>
        <c:axId val="9480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7536"/>
        <c:crosses val="autoZero"/>
        <c:auto val="1"/>
        <c:lblAlgn val="ctr"/>
        <c:lblOffset val="100"/>
        <c:noMultiLvlLbl val="0"/>
      </c:catAx>
      <c:valAx>
        <c:axId val="5908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'2'!$O$4:$O$25</c:f>
              <c:strCache>
                <c:ptCount val="22"/>
                <c:pt idx="0">
                  <c:v>70% Dark Bites</c:v>
                </c:pt>
                <c:pt idx="1">
                  <c:v>Choco Coated Almonds</c:v>
                </c:pt>
                <c:pt idx="2">
                  <c:v>Almond Choco</c:v>
                </c:pt>
                <c:pt idx="3">
                  <c:v>Drinking Coco</c:v>
                </c:pt>
                <c:pt idx="4">
                  <c:v>White Choc</c:v>
                </c:pt>
                <c:pt idx="5">
                  <c:v>Peanut Butter Cubes</c:v>
                </c:pt>
                <c:pt idx="6">
                  <c:v>Smooth Sliky Salty</c:v>
                </c:pt>
                <c:pt idx="7">
                  <c:v>After Nines</c:v>
                </c:pt>
                <c:pt idx="8">
                  <c:v>50% Dark Bites</c:v>
                </c:pt>
                <c:pt idx="9">
                  <c:v>Eclairs</c:v>
                </c:pt>
                <c:pt idx="10">
                  <c:v>Mint Chip Choco</c:v>
                </c:pt>
                <c:pt idx="11">
                  <c:v>Milk Bars</c:v>
                </c:pt>
                <c:pt idx="12">
                  <c:v>Manuka Honey Choco</c:v>
                </c:pt>
                <c:pt idx="13">
                  <c:v>Orange Choco</c:v>
                </c:pt>
                <c:pt idx="14">
                  <c:v>Fruit &amp; Nut Bars</c:v>
                </c:pt>
                <c:pt idx="15">
                  <c:v>99% Dark &amp; Pure</c:v>
                </c:pt>
                <c:pt idx="16">
                  <c:v>Raspberry Choco</c:v>
                </c:pt>
                <c:pt idx="17">
                  <c:v>85% Dark Bars</c:v>
                </c:pt>
                <c:pt idx="18">
                  <c:v>Organic Choco Syrup</c:v>
                </c:pt>
                <c:pt idx="19">
                  <c:v>Caramel Stuffed Bars</c:v>
                </c:pt>
                <c:pt idx="20">
                  <c:v>Spicy Special Slims</c:v>
                </c:pt>
                <c:pt idx="21">
                  <c:v>Baker's Choco Chips</c:v>
                </c:pt>
              </c:strCache>
            </c:strRef>
          </c:cat>
          <c:val>
            <c:numRef>
              <c:f>'2'!$P$4:$P$25</c:f>
              <c:numCache>
                <c:formatCode>_("$"* #,##0.00_);_("$"* \(#,##0.00\);_("$"* "-"??_);_(@_)</c:formatCode>
                <c:ptCount val="22"/>
                <c:pt idx="0">
                  <c:v>66500</c:v>
                </c:pt>
                <c:pt idx="1">
                  <c:v>71967</c:v>
                </c:pt>
                <c:pt idx="2">
                  <c:v>33551</c:v>
                </c:pt>
                <c:pt idx="3">
                  <c:v>52150</c:v>
                </c:pt>
                <c:pt idx="4">
                  <c:v>57372</c:v>
                </c:pt>
                <c:pt idx="5">
                  <c:v>69160</c:v>
                </c:pt>
                <c:pt idx="6">
                  <c:v>39263</c:v>
                </c:pt>
                <c:pt idx="7">
                  <c:v>66283</c:v>
                </c:pt>
                <c:pt idx="8">
                  <c:v>43183</c:v>
                </c:pt>
                <c:pt idx="9">
                  <c:v>63721</c:v>
                </c:pt>
                <c:pt idx="10">
                  <c:v>62111</c:v>
                </c:pt>
                <c:pt idx="11">
                  <c:v>47271</c:v>
                </c:pt>
                <c:pt idx="12">
                  <c:v>58009</c:v>
                </c:pt>
                <c:pt idx="13">
                  <c:v>54712</c:v>
                </c:pt>
                <c:pt idx="14">
                  <c:v>56644</c:v>
                </c:pt>
                <c:pt idx="15">
                  <c:v>44744</c:v>
                </c:pt>
                <c:pt idx="16">
                  <c:v>68971</c:v>
                </c:pt>
                <c:pt idx="17">
                  <c:v>35378</c:v>
                </c:pt>
                <c:pt idx="18">
                  <c:v>69461</c:v>
                </c:pt>
                <c:pt idx="19">
                  <c:v>72373</c:v>
                </c:pt>
                <c:pt idx="20">
                  <c:v>37772</c:v>
                </c:pt>
                <c:pt idx="21">
                  <c:v>70273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F-4BBA-83B4-4A636D03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02416"/>
        <c:axId val="50391712"/>
      </c:barChart>
      <c:catAx>
        <c:axId val="9840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1712"/>
        <c:crosses val="autoZero"/>
        <c:auto val="1"/>
        <c:lblAlgn val="ctr"/>
        <c:lblOffset val="100"/>
        <c:noMultiLvlLbl val="0"/>
      </c:catAx>
      <c:valAx>
        <c:axId val="503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[beginner-DA-course-blank.xlsx]4!PivotTable5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'4'!$C$5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697-42E6-A0B6-8F70EA90A2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97-42E6-A0B6-8F70EA90A2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697-42E6-A0B6-8F70EA90A2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97-42E6-A0B6-8F70EA90A2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697-42E6-A0B6-8F70EA90A2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97-42E6-A0B6-8F70EA90A2E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B697-42E6-A0B6-8F70EA90A2E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697-42E6-A0B6-8F70EA90A2E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B697-42E6-A0B6-8F70EA90A2E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697-42E6-A0B6-8F70EA90A2E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B697-42E6-A0B6-8F70EA90A2E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697-42E6-A0B6-8F70EA90A2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'4'!$B$6:$B$12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'4'!$C$6:$C$12</c:f>
              <c:numCache>
                <c:formatCode>General</c:formatCode>
                <c:ptCount val="6"/>
                <c:pt idx="0">
                  <c:v>168679</c:v>
                </c:pt>
                <c:pt idx="1">
                  <c:v>237944</c:v>
                </c:pt>
                <c:pt idx="2">
                  <c:v>252469</c:v>
                </c:pt>
                <c:pt idx="3">
                  <c:v>218813</c:v>
                </c:pt>
                <c:pt idx="4">
                  <c:v>173530</c:v>
                </c:pt>
                <c:pt idx="5">
                  <c:v>189434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7-42E6-A0B6-8F70EA90A2E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'6'!$D$2</c:f>
              <c:strCache>
                <c:ptCount val="1"/>
                <c:pt idx="0">
                  <c:v>Z score amount</c:v>
                </c:pt>
              </c:strCache>
            </c:strRef>
          </c:tx>
          <c:spPr>
            <a:ln w="19050">
              <a:noFill/>
            </a:ln>
          </c:spPr>
          <c:yVal>
            <c:numRef>
              <c:f>'6'!$D$3:$D$302</c:f>
              <c:numCache>
                <c:formatCode>0.00</c:formatCode>
                <c:ptCount val="300"/>
                <c:pt idx="0">
                  <c:v>-0.80529994576328801</c:v>
                </c:pt>
                <c:pt idx="1">
                  <c:v>0.8237444985626815</c:v>
                </c:pt>
                <c:pt idx="2">
                  <c:v>-1.018466918505667</c:v>
                </c:pt>
                <c:pt idx="3">
                  <c:v>1.7616791786291488</c:v>
                </c:pt>
                <c:pt idx="4">
                  <c:v>-0.65271727053716422</c:v>
                </c:pt>
                <c:pt idx="5">
                  <c:v>1.5170981256931562</c:v>
                </c:pt>
                <c:pt idx="6">
                  <c:v>-0.46647665224645418</c:v>
                </c:pt>
                <c:pt idx="7">
                  <c:v>0.28072968378735835</c:v>
                </c:pt>
                <c:pt idx="8">
                  <c:v>-0.91524922644093609</c:v>
                </c:pt>
                <c:pt idx="9">
                  <c:v>0.27399809517444113</c:v>
                </c:pt>
                <c:pt idx="10">
                  <c:v>-0.75369109973092263</c:v>
                </c:pt>
                <c:pt idx="11">
                  <c:v>-4.9118158245585915E-2</c:v>
                </c:pt>
                <c:pt idx="12">
                  <c:v>-0.47769596660131619</c:v>
                </c:pt>
                <c:pt idx="13">
                  <c:v>-1.2450970684738805</c:v>
                </c:pt>
                <c:pt idx="14">
                  <c:v>-0.5360364012465989</c:v>
                </c:pt>
                <c:pt idx="15">
                  <c:v>-0.64822954479521933</c:v>
                </c:pt>
                <c:pt idx="16">
                  <c:v>1.1401291633697914</c:v>
                </c:pt>
                <c:pt idx="17">
                  <c:v>3.6779380704395868</c:v>
                </c:pt>
                <c:pt idx="18">
                  <c:v>-1.2181707140222116</c:v>
                </c:pt>
                <c:pt idx="19">
                  <c:v>1.7010948811128939</c:v>
                </c:pt>
                <c:pt idx="20">
                  <c:v>1.2882241128539704</c:v>
                </c:pt>
                <c:pt idx="21">
                  <c:v>-0.78061745418259154</c:v>
                </c:pt>
                <c:pt idx="22">
                  <c:v>-0.61905932747257808</c:v>
                </c:pt>
                <c:pt idx="23">
                  <c:v>-0.75817882547286741</c:v>
                </c:pt>
                <c:pt idx="24">
                  <c:v>-0.64822954479521933</c:v>
                </c:pt>
                <c:pt idx="25">
                  <c:v>1.9793338771134728</c:v>
                </c:pt>
                <c:pt idx="26">
                  <c:v>-1.3191445432159699</c:v>
                </c:pt>
                <c:pt idx="27">
                  <c:v>-0.69310680221466758</c:v>
                </c:pt>
                <c:pt idx="28">
                  <c:v>0.69808817778822663</c:v>
                </c:pt>
                <c:pt idx="29">
                  <c:v>0.17526812885165508</c:v>
                </c:pt>
                <c:pt idx="30">
                  <c:v>0.72501453223989554</c:v>
                </c:pt>
                <c:pt idx="31">
                  <c:v>-1.1486109650220668</c:v>
                </c:pt>
                <c:pt idx="32">
                  <c:v>0.92471832775644003</c:v>
                </c:pt>
                <c:pt idx="33">
                  <c:v>0.5387739139491855</c:v>
                </c:pt>
                <c:pt idx="34">
                  <c:v>-5.1362021116558326E-2</c:v>
                </c:pt>
                <c:pt idx="35">
                  <c:v>-0.9623703467313568</c:v>
                </c:pt>
                <c:pt idx="36">
                  <c:v>0.60608980007835778</c:v>
                </c:pt>
                <c:pt idx="37">
                  <c:v>-0.71554543092439171</c:v>
                </c:pt>
                <c:pt idx="38">
                  <c:v>-0.28023603395574415</c:v>
                </c:pt>
                <c:pt idx="39">
                  <c:v>-0.59213297302090906</c:v>
                </c:pt>
                <c:pt idx="40">
                  <c:v>0.91349901340157791</c:v>
                </c:pt>
                <c:pt idx="41">
                  <c:v>9.0001339754703508E-2</c:v>
                </c:pt>
                <c:pt idx="42">
                  <c:v>-0.86364038040857072</c:v>
                </c:pt>
                <c:pt idx="43">
                  <c:v>-0.55174344134340569</c:v>
                </c:pt>
                <c:pt idx="44">
                  <c:v>-1.2495847942158251</c:v>
                </c:pt>
                <c:pt idx="45">
                  <c:v>0.26053491794860667</c:v>
                </c:pt>
                <c:pt idx="46">
                  <c:v>0.30092444962611004</c:v>
                </c:pt>
                <c:pt idx="47">
                  <c:v>1.6225596806288596</c:v>
                </c:pt>
                <c:pt idx="48">
                  <c:v>-0.25555354237504763</c:v>
                </c:pt>
                <c:pt idx="49">
                  <c:v>0.28297354665833074</c:v>
                </c:pt>
                <c:pt idx="50">
                  <c:v>3.8619348258593247</c:v>
                </c:pt>
                <c:pt idx="51">
                  <c:v>-1.166561867989846</c:v>
                </c:pt>
                <c:pt idx="52">
                  <c:v>1.3061750158217498</c:v>
                </c:pt>
                <c:pt idx="53">
                  <c:v>0.78335496688517814</c:v>
                </c:pt>
                <c:pt idx="54">
                  <c:v>0.19995062043235159</c:v>
                </c:pt>
                <c:pt idx="55">
                  <c:v>0.41760531891667535</c:v>
                </c:pt>
                <c:pt idx="56">
                  <c:v>-0.85690879179565349</c:v>
                </c:pt>
                <c:pt idx="57">
                  <c:v>1.1670555178214603</c:v>
                </c:pt>
                <c:pt idx="58">
                  <c:v>-0.97807738682816359</c:v>
                </c:pt>
                <c:pt idx="59">
                  <c:v>-1.2675356971836045</c:v>
                </c:pt>
                <c:pt idx="60">
                  <c:v>3.3904767980393255E-2</c:v>
                </c:pt>
                <c:pt idx="61">
                  <c:v>0.63526001740099913</c:v>
                </c:pt>
                <c:pt idx="62">
                  <c:v>-0.5831575215370195</c:v>
                </c:pt>
                <c:pt idx="63">
                  <c:v>-1.0251985071185843</c:v>
                </c:pt>
                <c:pt idx="64">
                  <c:v>1.7863616702098455</c:v>
                </c:pt>
                <c:pt idx="65">
                  <c:v>-0.61905932747257808</c:v>
                </c:pt>
                <c:pt idx="66">
                  <c:v>0.11243996846442759</c:v>
                </c:pt>
                <c:pt idx="67">
                  <c:v>-0.55174344134340569</c:v>
                </c:pt>
                <c:pt idx="68">
                  <c:v>-3.7898843890723864E-2</c:v>
                </c:pt>
                <c:pt idx="69">
                  <c:v>-1.0498809986992808</c:v>
                </c:pt>
                <c:pt idx="70">
                  <c:v>0.46472643920709594</c:v>
                </c:pt>
                <c:pt idx="71">
                  <c:v>-0.61232773885966085</c:v>
                </c:pt>
                <c:pt idx="72">
                  <c:v>3.2673111650516358</c:v>
                </c:pt>
                <c:pt idx="73">
                  <c:v>1.3869540791767565</c:v>
                </c:pt>
                <c:pt idx="74">
                  <c:v>-0.39916076611728185</c:v>
                </c:pt>
                <c:pt idx="75">
                  <c:v>-0.11643404437475821</c:v>
                </c:pt>
                <c:pt idx="76">
                  <c:v>-1.0521248615702532</c:v>
                </c:pt>
                <c:pt idx="77">
                  <c:v>0.2672665065615239</c:v>
                </c:pt>
                <c:pt idx="78">
                  <c:v>-1.2944620516352734</c:v>
                </c:pt>
                <c:pt idx="79">
                  <c:v>2.9666335403413329</c:v>
                </c:pt>
                <c:pt idx="80">
                  <c:v>1.5238297143060735</c:v>
                </c:pt>
                <c:pt idx="81">
                  <c:v>-1.3079252288611078</c:v>
                </c:pt>
                <c:pt idx="82">
                  <c:v>-0.25555354237504763</c:v>
                </c:pt>
                <c:pt idx="83">
                  <c:v>-0.10521473001989616</c:v>
                </c:pt>
                <c:pt idx="84">
                  <c:v>-1.3056813659901354</c:v>
                </c:pt>
                <c:pt idx="85">
                  <c:v>1.1782748321763223</c:v>
                </c:pt>
                <c:pt idx="86">
                  <c:v>1.1401291633697914</c:v>
                </c:pt>
                <c:pt idx="87">
                  <c:v>-1.0139791927637223</c:v>
                </c:pt>
                <c:pt idx="88">
                  <c:v>-1.1441232392801219</c:v>
                </c:pt>
                <c:pt idx="89">
                  <c:v>-0.53379253837562646</c:v>
                </c:pt>
                <c:pt idx="90">
                  <c:v>0.97857103665977785</c:v>
                </c:pt>
                <c:pt idx="91">
                  <c:v>1.0638378257567294</c:v>
                </c:pt>
                <c:pt idx="92">
                  <c:v>-0.32960101711713713</c:v>
                </c:pt>
                <c:pt idx="93">
                  <c:v>-1.1755373194737357</c:v>
                </c:pt>
                <c:pt idx="94">
                  <c:v>-0.44852574927867489</c:v>
                </c:pt>
                <c:pt idx="95">
                  <c:v>5.4099533819144945E-2</c:v>
                </c:pt>
                <c:pt idx="96">
                  <c:v>-0.55398730421437814</c:v>
                </c:pt>
                <c:pt idx="97">
                  <c:v>-0.91524922644093609</c:v>
                </c:pt>
                <c:pt idx="98">
                  <c:v>2.6322979725664442</c:v>
                </c:pt>
                <c:pt idx="99">
                  <c:v>-0.14336039882642712</c:v>
                </c:pt>
                <c:pt idx="100">
                  <c:v>-0.40589235473019908</c:v>
                </c:pt>
                <c:pt idx="101">
                  <c:v>-1.0700757645380323</c:v>
                </c:pt>
                <c:pt idx="102">
                  <c:v>-0.3856975888914474</c:v>
                </c:pt>
                <c:pt idx="103">
                  <c:v>-0.44628188640770244</c:v>
                </c:pt>
                <c:pt idx="104">
                  <c:v>1.8065564360485971</c:v>
                </c:pt>
                <c:pt idx="105">
                  <c:v>-0.82325084873106735</c:v>
                </c:pt>
                <c:pt idx="106">
                  <c:v>2.3338642107271133</c:v>
                </c:pt>
                <c:pt idx="107">
                  <c:v>0.83720767578851596</c:v>
                </c:pt>
                <c:pt idx="108">
                  <c:v>-0.87485969476343273</c:v>
                </c:pt>
                <c:pt idx="109">
                  <c:v>-0.67739976211786068</c:v>
                </c:pt>
                <c:pt idx="110">
                  <c:v>0.35253329565847547</c:v>
                </c:pt>
                <c:pt idx="111">
                  <c:v>-0.70881384231147437</c:v>
                </c:pt>
                <c:pt idx="112">
                  <c:v>0.79233041836906781</c:v>
                </c:pt>
                <c:pt idx="113">
                  <c:v>1.2411029925635497</c:v>
                </c:pt>
                <c:pt idx="114">
                  <c:v>-0.8681281061505155</c:v>
                </c:pt>
                <c:pt idx="115">
                  <c:v>-1.1575864165059564</c:v>
                </c:pt>
                <c:pt idx="116">
                  <c:v>-0.84344561456981904</c:v>
                </c:pt>
                <c:pt idx="117">
                  <c:v>0.83945153865948841</c:v>
                </c:pt>
                <c:pt idx="118">
                  <c:v>2.3832291938885066</c:v>
                </c:pt>
                <c:pt idx="119">
                  <c:v>-0.51135390966590233</c:v>
                </c:pt>
                <c:pt idx="120">
                  <c:v>-0.83671402595690181</c:v>
                </c:pt>
                <c:pt idx="121">
                  <c:v>0.63750388027197147</c:v>
                </c:pt>
                <c:pt idx="122">
                  <c:v>-1.0543687244412256</c:v>
                </c:pt>
                <c:pt idx="123">
                  <c:v>0.19770675756137918</c:v>
                </c:pt>
                <c:pt idx="124">
                  <c:v>-1.018466918505667</c:v>
                </c:pt>
                <c:pt idx="125">
                  <c:v>-0.4305748463108956</c:v>
                </c:pt>
                <c:pt idx="126">
                  <c:v>0.15058563727095856</c:v>
                </c:pt>
                <c:pt idx="127">
                  <c:v>0.45350712485223393</c:v>
                </c:pt>
                <c:pt idx="128">
                  <c:v>0.80803745846587471</c:v>
                </c:pt>
                <c:pt idx="129">
                  <c:v>9.6732928367620735E-2</c:v>
                </c:pt>
                <c:pt idx="130">
                  <c:v>-1.2720234229255494</c:v>
                </c:pt>
                <c:pt idx="131">
                  <c:v>1.1670555178214603</c:v>
                </c:pt>
                <c:pt idx="132">
                  <c:v>-0.25555354237504763</c:v>
                </c:pt>
                <c:pt idx="133">
                  <c:v>0.72277066936892309</c:v>
                </c:pt>
                <c:pt idx="134">
                  <c:v>-1.1598302793769288</c:v>
                </c:pt>
                <c:pt idx="135">
                  <c:v>0.4938966565297373</c:v>
                </c:pt>
                <c:pt idx="136">
                  <c:v>0.612821388691275</c:v>
                </c:pt>
                <c:pt idx="137">
                  <c:v>-0.12316563298767544</c:v>
                </c:pt>
                <c:pt idx="138">
                  <c:v>0.11019610559345519</c:v>
                </c:pt>
                <c:pt idx="139">
                  <c:v>-1.242853205602908</c:v>
                </c:pt>
                <c:pt idx="140">
                  <c:v>-1.3124129546030527</c:v>
                </c:pt>
                <c:pt idx="141">
                  <c:v>-1.2944620516352734</c:v>
                </c:pt>
                <c:pt idx="142">
                  <c:v>-0.53154867550465401</c:v>
                </c:pt>
                <c:pt idx="143">
                  <c:v>1.1894941465311843</c:v>
                </c:pt>
                <c:pt idx="144">
                  <c:v>1.8559214192099902</c:v>
                </c:pt>
                <c:pt idx="145">
                  <c:v>-1.0633441759251152</c:v>
                </c:pt>
                <c:pt idx="146">
                  <c:v>-0.34755192008491642</c:v>
                </c:pt>
                <c:pt idx="147">
                  <c:v>0.86413403024018487</c:v>
                </c:pt>
                <c:pt idx="148">
                  <c:v>-0.67964362498883313</c:v>
                </c:pt>
                <c:pt idx="149">
                  <c:v>1.0212044312082535</c:v>
                </c:pt>
                <c:pt idx="150">
                  <c:v>-1.2114391254092942</c:v>
                </c:pt>
                <c:pt idx="151">
                  <c:v>-0.30267466266546822</c:v>
                </c:pt>
                <c:pt idx="152">
                  <c:v>1.3779786276928667</c:v>
                </c:pt>
                <c:pt idx="153">
                  <c:v>-1.3258761318288872</c:v>
                </c:pt>
                <c:pt idx="154">
                  <c:v>1.5148542628221837</c:v>
                </c:pt>
                <c:pt idx="155">
                  <c:v>-0.1859937933749029</c:v>
                </c:pt>
                <c:pt idx="156">
                  <c:v>1.0077412539824191</c:v>
                </c:pt>
                <c:pt idx="157">
                  <c:v>-0.23535877653629594</c:v>
                </c:pt>
                <c:pt idx="158">
                  <c:v>0.14609791152901375</c:v>
                </c:pt>
                <c:pt idx="159">
                  <c:v>1.1850064207892395</c:v>
                </c:pt>
                <c:pt idx="160">
                  <c:v>1.126665986143957</c:v>
                </c:pt>
                <c:pt idx="161">
                  <c:v>-0.59662069876285395</c:v>
                </c:pt>
                <c:pt idx="162">
                  <c:v>0.49165279365876485</c:v>
                </c:pt>
                <c:pt idx="163">
                  <c:v>-0.6414979561823021</c:v>
                </c:pt>
                <c:pt idx="164">
                  <c:v>-0.43506257205284043</c:v>
                </c:pt>
                <c:pt idx="165">
                  <c:v>2.825270179470071</c:v>
                </c:pt>
                <c:pt idx="166">
                  <c:v>-0.47769596660131619</c:v>
                </c:pt>
                <c:pt idx="167">
                  <c:v>-0.10970245576184098</c:v>
                </c:pt>
                <c:pt idx="168">
                  <c:v>-1.0633441759251152</c:v>
                </c:pt>
                <c:pt idx="169">
                  <c:v>-0.49789073244006787</c:v>
                </c:pt>
                <c:pt idx="170">
                  <c:v>0.14385404865804133</c:v>
                </c:pt>
                <c:pt idx="171">
                  <c:v>-0.79632449427939844</c:v>
                </c:pt>
                <c:pt idx="172">
                  <c:v>0.27399809517444113</c:v>
                </c:pt>
                <c:pt idx="173">
                  <c:v>-0.68188748785980546</c:v>
                </c:pt>
                <c:pt idx="174">
                  <c:v>-0.82325084873106735</c:v>
                </c:pt>
                <c:pt idx="175">
                  <c:v>-0.23984650227824075</c:v>
                </c:pt>
                <c:pt idx="176">
                  <c:v>-1.1261723363123426</c:v>
                </c:pt>
                <c:pt idx="177">
                  <c:v>1.9030425395004107</c:v>
                </c:pt>
                <c:pt idx="178">
                  <c:v>-0.8254947116020398</c:v>
                </c:pt>
                <c:pt idx="179">
                  <c:v>2.3675221537916995</c:v>
                </c:pt>
                <c:pt idx="180">
                  <c:v>-0.5831575215370195</c:v>
                </c:pt>
                <c:pt idx="181">
                  <c:v>-0.34530805721394403</c:v>
                </c:pt>
                <c:pt idx="182">
                  <c:v>-0.58091365866604705</c:v>
                </c:pt>
                <c:pt idx="183">
                  <c:v>0.26277878081957906</c:v>
                </c:pt>
                <c:pt idx="184">
                  <c:v>0.39067896446500644</c:v>
                </c:pt>
                <c:pt idx="185">
                  <c:v>1.001009665369502</c:v>
                </c:pt>
                <c:pt idx="186">
                  <c:v>0.68686886343336451</c:v>
                </c:pt>
                <c:pt idx="187">
                  <c:v>-0.51135390966590233</c:v>
                </c:pt>
                <c:pt idx="188">
                  <c:v>-8.7263827052116882E-2</c:v>
                </c:pt>
                <c:pt idx="189">
                  <c:v>0.6442354688848887</c:v>
                </c:pt>
                <c:pt idx="190">
                  <c:v>-0.47993982947228864</c:v>
                </c:pt>
                <c:pt idx="191">
                  <c:v>-0.72003315666633649</c:v>
                </c:pt>
                <c:pt idx="192">
                  <c:v>-0.70656997944050204</c:v>
                </c:pt>
                <c:pt idx="193">
                  <c:v>0.69360045204628173</c:v>
                </c:pt>
                <c:pt idx="194">
                  <c:v>-1.1463671021510944</c:v>
                </c:pt>
                <c:pt idx="195">
                  <c:v>-0.41038008047214392</c:v>
                </c:pt>
                <c:pt idx="196">
                  <c:v>-1.0992459818606737</c:v>
                </c:pt>
                <c:pt idx="197">
                  <c:v>-0.17253061614906845</c:v>
                </c:pt>
                <c:pt idx="198">
                  <c:v>0.8708656188531021</c:v>
                </c:pt>
                <c:pt idx="199">
                  <c:v>0.18873130607748953</c:v>
                </c:pt>
                <c:pt idx="200">
                  <c:v>1.9770900142425003</c:v>
                </c:pt>
                <c:pt idx="201">
                  <c:v>-0.91749308931190854</c:v>
                </c:pt>
                <c:pt idx="202">
                  <c:v>-0.83671402595690181</c:v>
                </c:pt>
                <c:pt idx="203">
                  <c:v>-0.33184487998810958</c:v>
                </c:pt>
                <c:pt idx="204">
                  <c:v>-0.98705283831205326</c:v>
                </c:pt>
                <c:pt idx="205">
                  <c:v>0.37497192436819954</c:v>
                </c:pt>
                <c:pt idx="206">
                  <c:v>-3.7898843890723864E-2</c:v>
                </c:pt>
                <c:pt idx="207">
                  <c:v>-1.0251985071185843</c:v>
                </c:pt>
                <c:pt idx="208">
                  <c:v>-0.75593496260189508</c:v>
                </c:pt>
                <c:pt idx="209">
                  <c:v>-0.80081222002134322</c:v>
                </c:pt>
                <c:pt idx="210">
                  <c:v>-1.276511148667494</c:v>
                </c:pt>
                <c:pt idx="211">
                  <c:v>1.8267512018873489</c:v>
                </c:pt>
                <c:pt idx="212">
                  <c:v>1.0054973911114466</c:v>
                </c:pt>
                <c:pt idx="213">
                  <c:v>0.88881652182088144</c:v>
                </c:pt>
                <c:pt idx="214">
                  <c:v>-6.9312924084337604E-2</c:v>
                </c:pt>
                <c:pt idx="215">
                  <c:v>0.23136470062596531</c:v>
                </c:pt>
                <c:pt idx="216">
                  <c:v>-0.18823765624587532</c:v>
                </c:pt>
                <c:pt idx="217">
                  <c:v>-1.0162230556346945</c:v>
                </c:pt>
                <c:pt idx="218">
                  <c:v>-1.2024636739254047</c:v>
                </c:pt>
                <c:pt idx="219">
                  <c:v>-0.61457160173063319</c:v>
                </c:pt>
                <c:pt idx="220">
                  <c:v>-0.37896600027853017</c:v>
                </c:pt>
                <c:pt idx="221">
                  <c:v>-1.2361216169899907</c:v>
                </c:pt>
                <c:pt idx="222">
                  <c:v>0.63526001740099913</c:v>
                </c:pt>
                <c:pt idx="223">
                  <c:v>0.21341379765818605</c:v>
                </c:pt>
                <c:pt idx="224">
                  <c:v>2.4682491580710504E-4</c:v>
                </c:pt>
                <c:pt idx="225">
                  <c:v>-0.67739976211786068</c:v>
                </c:pt>
                <c:pt idx="226">
                  <c:v>1.5754385603384389</c:v>
                </c:pt>
                <c:pt idx="227">
                  <c:v>-0.39018531463339223</c:v>
                </c:pt>
                <c:pt idx="228">
                  <c:v>0.57018799414279919</c:v>
                </c:pt>
                <c:pt idx="229">
                  <c:v>-0.5046223210529851</c:v>
                </c:pt>
                <c:pt idx="230">
                  <c:v>1.499147222725377</c:v>
                </c:pt>
                <c:pt idx="231">
                  <c:v>0.63301615453002669</c:v>
                </c:pt>
                <c:pt idx="232">
                  <c:v>-0.20170083347170978</c:v>
                </c:pt>
                <c:pt idx="233">
                  <c:v>5.8587259561089761E-2</c:v>
                </c:pt>
                <c:pt idx="234">
                  <c:v>-1.1306600620542875</c:v>
                </c:pt>
                <c:pt idx="235">
                  <c:v>0.71603908075600586</c:v>
                </c:pt>
                <c:pt idx="236">
                  <c:v>0.42882463327153741</c:v>
                </c:pt>
                <c:pt idx="237">
                  <c:v>-0.31165011414935789</c:v>
                </c:pt>
                <c:pt idx="238">
                  <c:v>-0.90851763782801886</c:v>
                </c:pt>
                <c:pt idx="239">
                  <c:v>1.0167167054663089</c:v>
                </c:pt>
                <c:pt idx="240">
                  <c:v>0.63974774314294391</c:v>
                </c:pt>
                <c:pt idx="241">
                  <c:v>-0.21292014782657184</c:v>
                </c:pt>
                <c:pt idx="242">
                  <c:v>1.7706546301130386</c:v>
                </c:pt>
                <c:pt idx="243">
                  <c:v>-0.54501185273048847</c:v>
                </c:pt>
                <c:pt idx="244">
                  <c:v>1.7212896469516454</c:v>
                </c:pt>
                <c:pt idx="245">
                  <c:v>-1.2473409313448529</c:v>
                </c:pt>
                <c:pt idx="246">
                  <c:v>-0.45974506363353695</c:v>
                </c:pt>
                <c:pt idx="247">
                  <c:v>-1.1014898447316461</c:v>
                </c:pt>
                <c:pt idx="248">
                  <c:v>-0.12092177011670303</c:v>
                </c:pt>
                <c:pt idx="249">
                  <c:v>-0.81651926011815013</c:v>
                </c:pt>
                <c:pt idx="250">
                  <c:v>0.33907011843264101</c:v>
                </c:pt>
                <c:pt idx="251">
                  <c:v>-1.0229546442476118</c:v>
                </c:pt>
                <c:pt idx="252">
                  <c:v>-0.68861907647272269</c:v>
                </c:pt>
                <c:pt idx="253">
                  <c:v>0.83271995004657118</c:v>
                </c:pt>
                <c:pt idx="254">
                  <c:v>-1.2563163828287425</c:v>
                </c:pt>
                <c:pt idx="255">
                  <c:v>0.68686886343336451</c:v>
                </c:pt>
                <c:pt idx="256">
                  <c:v>9.2245202625675912E-2</c:v>
                </c:pt>
                <c:pt idx="257">
                  <c:v>-1.265291834312632</c:v>
                </c:pt>
                <c:pt idx="258">
                  <c:v>-1.1688057308608184</c:v>
                </c:pt>
                <c:pt idx="259">
                  <c:v>-1.1867566338285978</c:v>
                </c:pt>
                <c:pt idx="260">
                  <c:v>1.92099344246819</c:v>
                </c:pt>
                <c:pt idx="261">
                  <c:v>-0.79632449427939844</c:v>
                </c:pt>
                <c:pt idx="262">
                  <c:v>0.73623384659475755</c:v>
                </c:pt>
                <c:pt idx="263">
                  <c:v>-0.61681546460160563</c:v>
                </c:pt>
                <c:pt idx="264">
                  <c:v>-1.1306600620542875</c:v>
                </c:pt>
                <c:pt idx="265">
                  <c:v>-0.80081222002134322</c:v>
                </c:pt>
                <c:pt idx="266">
                  <c:v>-9.8483141406978933E-2</c:v>
                </c:pt>
                <c:pt idx="267">
                  <c:v>0.52531073672335105</c:v>
                </c:pt>
                <c:pt idx="268">
                  <c:v>-0.98256511257010848</c:v>
                </c:pt>
                <c:pt idx="269">
                  <c:v>0.28297354665833074</c:v>
                </c:pt>
                <c:pt idx="270">
                  <c:v>-0.40813621760117152</c:v>
                </c:pt>
                <c:pt idx="271">
                  <c:v>-0.80754380863426045</c:v>
                </c:pt>
                <c:pt idx="272">
                  <c:v>0.85964630449824009</c:v>
                </c:pt>
                <c:pt idx="273">
                  <c:v>0.80803745846587471</c:v>
                </c:pt>
                <c:pt idx="274">
                  <c:v>-0.39018531463339223</c:v>
                </c:pt>
                <c:pt idx="275">
                  <c:v>-0.33408874285908197</c:v>
                </c:pt>
                <c:pt idx="276">
                  <c:v>-0.3677466859236681</c:v>
                </c:pt>
                <c:pt idx="277">
                  <c:v>-0.5988645616338264</c:v>
                </c:pt>
                <c:pt idx="278">
                  <c:v>0.19770675756137918</c:v>
                </c:pt>
                <c:pt idx="279">
                  <c:v>1.0817887287245087</c:v>
                </c:pt>
                <c:pt idx="280">
                  <c:v>6.0831122432062172E-2</c:v>
                </c:pt>
                <c:pt idx="281">
                  <c:v>0.25604719220666183</c:v>
                </c:pt>
                <c:pt idx="282">
                  <c:v>0.20668220904526882</c:v>
                </c:pt>
                <c:pt idx="283">
                  <c:v>1.0728132772406191</c:v>
                </c:pt>
                <c:pt idx="284">
                  <c:v>0.87310948172407454</c:v>
                </c:pt>
                <c:pt idx="285">
                  <c:v>1.559731520241632</c:v>
                </c:pt>
                <c:pt idx="286">
                  <c:v>-0.87710355763440517</c:v>
                </c:pt>
                <c:pt idx="287">
                  <c:v>-2.6679529535861814E-2</c:v>
                </c:pt>
                <c:pt idx="288">
                  <c:v>-0.63701023044035732</c:v>
                </c:pt>
                <c:pt idx="289">
                  <c:v>-0.15906743892323399</c:v>
                </c:pt>
                <c:pt idx="290">
                  <c:v>-1.1239284734413704</c:v>
                </c:pt>
                <c:pt idx="291">
                  <c:v>-0.54725571560146091</c:v>
                </c:pt>
                <c:pt idx="292">
                  <c:v>-0.63925409331132976</c:v>
                </c:pt>
                <c:pt idx="293">
                  <c:v>0.74296543520767477</c:v>
                </c:pt>
                <c:pt idx="294">
                  <c:v>0.11243996846442759</c:v>
                </c:pt>
                <c:pt idx="295">
                  <c:v>-1.0251985071185843</c:v>
                </c:pt>
                <c:pt idx="296">
                  <c:v>1.5081226742092666</c:v>
                </c:pt>
                <c:pt idx="297">
                  <c:v>-3.7898843890723864E-2</c:v>
                </c:pt>
                <c:pt idx="298">
                  <c:v>-1.0970021189897012</c:v>
                </c:pt>
                <c:pt idx="299">
                  <c:v>-9.1751552794061705E-2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7-48A6-9D06-41DEE6600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65440"/>
        <c:axId val="78739712"/>
      </c:scatterChart>
      <c:valAx>
        <c:axId val="7876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78739712"/>
        <c:crosses val="autoZero"/>
        <c:crossBetween val="midCat"/>
      </c:valAx>
      <c:valAx>
        <c:axId val="787397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8765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</a:t>
            </a:r>
            <a:r>
              <a:rPr lang="en-US" baseline="0"/>
              <a:t>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'8'!$H$6:$H$27</c:f>
              <c:numCache>
                <c:formatCode>_("$"* #,##0.00_);_("$"* \(#,##0.00\);_("$"* "-"??_);_(@_)</c:formatCode>
                <c:ptCount val="22"/>
                <c:pt idx="0">
                  <c:v>25899.019999999997</c:v>
                </c:pt>
                <c:pt idx="1">
                  <c:v>52063.349999999991</c:v>
                </c:pt>
                <c:pt idx="2">
                  <c:v>14946.92</c:v>
                </c:pt>
                <c:pt idx="3">
                  <c:v>40814.559999999998</c:v>
                </c:pt>
                <c:pt idx="4">
                  <c:v>29678.1</c:v>
                </c:pt>
                <c:pt idx="5">
                  <c:v>46226.020000000004</c:v>
                </c:pt>
                <c:pt idx="6">
                  <c:v>29518.430000000004</c:v>
                </c:pt>
                <c:pt idx="7">
                  <c:v>46234.960000000006</c:v>
                </c:pt>
                <c:pt idx="8">
                  <c:v>19525.600000000002</c:v>
                </c:pt>
                <c:pt idx="9">
                  <c:v>56471.590000000004</c:v>
                </c:pt>
                <c:pt idx="10">
                  <c:v>43177.340000000004</c:v>
                </c:pt>
                <c:pt idx="11">
                  <c:v>29721.27</c:v>
                </c:pt>
                <c:pt idx="12">
                  <c:v>36700.839999999997</c:v>
                </c:pt>
                <c:pt idx="13">
                  <c:v>31390.48</c:v>
                </c:pt>
                <c:pt idx="14">
                  <c:v>44884.12</c:v>
                </c:pt>
                <c:pt idx="15">
                  <c:v>29800.159999999996</c:v>
                </c:pt>
                <c:pt idx="16">
                  <c:v>50988.91</c:v>
                </c:pt>
                <c:pt idx="17">
                  <c:v>30189.320000000003</c:v>
                </c:pt>
                <c:pt idx="18">
                  <c:v>19572.14</c:v>
                </c:pt>
                <c:pt idx="19">
                  <c:v>39084.339999999997</c:v>
                </c:pt>
                <c:pt idx="20">
                  <c:v>26000</c:v>
                </c:pt>
                <c:pt idx="21">
                  <c:v>58277.8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4-48CA-94D3-DE3D92686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8496"/>
        <c:axId val="144503968"/>
      </c:barChart>
      <c:catAx>
        <c:axId val="5002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3968"/>
        <c:crosses val="autoZero"/>
        <c:auto val="1"/>
        <c:lblAlgn val="ctr"/>
        <c:lblOffset val="100"/>
        <c:noMultiLvlLbl val="0"/>
      </c:catAx>
      <c:valAx>
        <c:axId val="1445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</c:v>
          </c:tx>
          <c:invertIfNegative val="0"/>
          <c:cat>
            <c:strRef>
              <c:f>'9'!$B$19:$B$28</c:f>
              <c:strCache>
                <c:ptCount val="10"/>
                <c:pt idx="0">
                  <c:v>Ram Mahesh</c:v>
                </c:pt>
                <c:pt idx="1">
                  <c:v>Brien Boise</c:v>
                </c:pt>
                <c:pt idx="2">
                  <c:v>Husein Augar</c:v>
                </c:pt>
                <c:pt idx="3">
                  <c:v>Carla Molina</c:v>
                </c:pt>
                <c:pt idx="4">
                  <c:v>Curtice Advani</c:v>
                </c:pt>
                <c:pt idx="5">
                  <c:v>Ches Bonnell</c:v>
                </c:pt>
                <c:pt idx="6">
                  <c:v>Gigi Bohling</c:v>
                </c:pt>
                <c:pt idx="7">
                  <c:v>Barr Faughny</c:v>
                </c:pt>
                <c:pt idx="8">
                  <c:v>Gunar Cockshoot</c:v>
                </c:pt>
                <c:pt idx="9">
                  <c:v>Oby Sorrel</c:v>
                </c:pt>
              </c:strCache>
            </c:strRef>
          </c:cat>
          <c:val>
            <c:numRef>
              <c:f>'9'!$C$19:$C$28</c:f>
              <c:numCache>
                <c:formatCode>General</c:formatCode>
                <c:ptCount val="10"/>
                <c:pt idx="0">
                  <c:v>24451</c:v>
                </c:pt>
                <c:pt idx="1">
                  <c:v>20125</c:v>
                </c:pt>
                <c:pt idx="2">
                  <c:v>21434</c:v>
                </c:pt>
                <c:pt idx="3">
                  <c:v>17283</c:v>
                </c:pt>
                <c:pt idx="4">
                  <c:v>26985</c:v>
                </c:pt>
                <c:pt idx="5">
                  <c:v>43568</c:v>
                </c:pt>
                <c:pt idx="6">
                  <c:v>14504</c:v>
                </c:pt>
                <c:pt idx="7">
                  <c:v>25655</c:v>
                </c:pt>
                <c:pt idx="8">
                  <c:v>16821</c:v>
                </c:pt>
                <c:pt idx="9">
                  <c:v>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E-4E6F-A1B7-55CBA440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367232"/>
        <c:axId val="102369536"/>
      </c:barChart>
      <c:catAx>
        <c:axId val="10236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2369536"/>
        <c:crosses val="autoZero"/>
        <c:auto val="1"/>
        <c:lblAlgn val="ctr"/>
        <c:lblOffset val="100"/>
        <c:noMultiLvlLbl val="0"/>
      </c:catAx>
      <c:valAx>
        <c:axId val="10236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6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country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'Deeper Analysis on products'!$B$8:$B$13</c:f>
              <c:strCache>
                <c:ptCount val="6"/>
                <c:pt idx="0">
                  <c:v>New Zealand</c:v>
                </c:pt>
                <c:pt idx="1">
                  <c:v>USA</c:v>
                </c:pt>
                <c:pt idx="2">
                  <c:v>Canada</c:v>
                </c:pt>
                <c:pt idx="3">
                  <c:v>UK</c:v>
                </c:pt>
                <c:pt idx="4">
                  <c:v>Australia</c:v>
                </c:pt>
                <c:pt idx="5">
                  <c:v>India</c:v>
                </c:pt>
              </c:strCache>
            </c:strRef>
          </c:cat>
          <c:val>
            <c:numRef>
              <c:f>'Deeper Analysis on products'!$G$8:$G$13</c:f>
              <c:numCache>
                <c:formatCode>_("$"* #,##0.00_);_("$"* \(#,##0.00\);_("$"* "-"??_);_(@_)</c:formatCode>
                <c:ptCount val="6"/>
                <c:pt idx="0">
                  <c:v>5891.06</c:v>
                </c:pt>
                <c:pt idx="1">
                  <c:v>3625.86</c:v>
                </c:pt>
                <c:pt idx="2">
                  <c:v>0</c:v>
                </c:pt>
                <c:pt idx="3">
                  <c:v>8541.4000000000015</c:v>
                </c:pt>
                <c:pt idx="4">
                  <c:v>4208.33</c:v>
                </c:pt>
                <c:pt idx="5">
                  <c:v>7922.67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2-4519-B990-12ECC2D99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8976"/>
        <c:axId val="101910352"/>
      </c:barChart>
      <c:catAx>
        <c:axId val="5002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0352"/>
        <c:crosses val="autoZero"/>
        <c:auto val="1"/>
        <c:lblAlgn val="ctr"/>
        <c:lblOffset val="100"/>
        <c:noMultiLvlLbl val="0"/>
      </c:catAx>
      <c:valAx>
        <c:axId val="1019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percentage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'Deeper Analysis on products'!$B$8:$B$13</c:f>
              <c:strCache>
                <c:ptCount val="6"/>
                <c:pt idx="0">
                  <c:v>New Zealand</c:v>
                </c:pt>
                <c:pt idx="1">
                  <c:v>USA</c:v>
                </c:pt>
                <c:pt idx="2">
                  <c:v>Canada</c:v>
                </c:pt>
                <c:pt idx="3">
                  <c:v>UK</c:v>
                </c:pt>
                <c:pt idx="4">
                  <c:v>Australia</c:v>
                </c:pt>
                <c:pt idx="5">
                  <c:v>India</c:v>
                </c:pt>
              </c:strCache>
            </c:strRef>
          </c:cat>
          <c:val>
            <c:numRef>
              <c:f>'Deeper Analysis on products'!$H$8:$H$13</c:f>
              <c:numCache>
                <c:formatCode>0.00%</c:formatCode>
                <c:ptCount val="6"/>
                <c:pt idx="0">
                  <c:v>0.92076586433260399</c:v>
                </c:pt>
                <c:pt idx="1">
                  <c:v>0.81829383886255924</c:v>
                </c:pt>
                <c:pt idx="2">
                  <c:v>0</c:v>
                </c:pt>
                <c:pt idx="3">
                  <c:v>0.78167841127482396</c:v>
                </c:pt>
                <c:pt idx="4">
                  <c:v>0.88410294117647059</c:v>
                </c:pt>
                <c:pt idx="5">
                  <c:v>0.89400473933649294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F-48B9-8002-073EBCC05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94928"/>
        <c:axId val="144505952"/>
      </c:barChart>
      <c:catAx>
        <c:axId val="14659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5952"/>
        <c:crosses val="autoZero"/>
        <c:auto val="1"/>
        <c:lblAlgn val="ctr"/>
        <c:lblOffset val="100"/>
        <c:noMultiLvlLbl val="0"/>
      </c:catAx>
      <c:valAx>
        <c:axId val="1445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2</xdr:row>
      <xdr:rowOff>662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288925</xdr:colOff>
      <xdr:row>12</xdr:row>
      <xdr:rowOff>177800</xdr:rowOff>
    </xdr:from>
    <xdr:to>
      <xdr:col>10</xdr:col>
      <xdr:colOff>177800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24700-A866-1114-991B-2FE919BF4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434975</xdr:colOff>
      <xdr:row>15</xdr:row>
      <xdr:rowOff>133350</xdr:rowOff>
    </xdr:from>
    <xdr:to>
      <xdr:col>13</xdr:col>
      <xdr:colOff>317500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33BDC2-D727-B2FC-33B9-176F76F87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161925</xdr:colOff>
      <xdr:row>3</xdr:row>
      <xdr:rowOff>127000</xdr:rowOff>
    </xdr:from>
    <xdr:to>
      <xdr:col>23</xdr:col>
      <xdr:colOff>466725</xdr:colOff>
      <xdr:row>18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789F5-13FF-908A-FFBE-ED135506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63500</xdr:rowOff>
    </xdr:from>
    <xdr:to>
      <xdr:col>12</xdr:col>
      <xdr:colOff>314325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4E5BC-F8D2-0A2D-712D-19DBC3593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10</xdr:row>
      <xdr:rowOff>121920</xdr:rowOff>
    </xdr:from>
    <xdr:to>
      <xdr:col>16</xdr:col>
      <xdr:colOff>167640</xdr:colOff>
      <xdr:row>25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511174</xdr:colOff>
      <xdr:row>6</xdr:row>
      <xdr:rowOff>88900</xdr:rowOff>
    </xdr:from>
    <xdr:to>
      <xdr:col>19</xdr:col>
      <xdr:colOff>241299</xdr:colOff>
      <xdr:row>25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854971-9A9B-C9EE-C116-367B2E53D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8</xdr:row>
      <xdr:rowOff>45720</xdr:rowOff>
    </xdr:from>
    <xdr:to>
      <xdr:col>14</xdr:col>
      <xdr:colOff>281940</xdr:colOff>
      <xdr:row>22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149225</xdr:colOff>
      <xdr:row>16</xdr:row>
      <xdr:rowOff>57150</xdr:rowOff>
    </xdr:from>
    <xdr:to>
      <xdr:col>6</xdr:col>
      <xdr:colOff>365125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8F205-7740-F7E8-55A9-80C91FC9B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682625</xdr:colOff>
      <xdr:row>16</xdr:row>
      <xdr:rowOff>38100</xdr:rowOff>
    </xdr:from>
    <xdr:to>
      <xdr:col>13</xdr:col>
      <xdr:colOff>371475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6FE136-8F55-5EEF-7797-EAD4C4DB3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raj Talla" refreshedDate="45320.482413888887" createdVersion="8" refreshedVersion="8" minRefreshableVersion="3" recordCount="300" xr:uid="{64DBDCC8-3007-4245-9B30-B06A8EF2485A}">
  <cacheSource type="worksheet">
    <worksheetSource name="table3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raj Talla" refreshedDate="45320.525210532411" createdVersion="8" refreshedVersion="8" minRefreshableVersion="3" recordCount="22" xr:uid="{B84F4153-242D-481A-BBBC-5A6D4D0FE4E1}">
  <cacheSource type="worksheet">
    <worksheetSource ref="B5:I27" sheet="8"/>
  </cacheSource>
  <cacheFields count="8"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44">
      <sharedItems containsSemiMixedTypes="0" containsString="0" containsNumber="1" containsInteger="1" minValue="33551" maxValue="72373"/>
    </cacheField>
    <cacheField name="units" numFmtId="0">
      <sharedItems containsSemiMixedTypes="0" containsString="0" containsNumber="1" containsInteger="1" minValue="1044" maxValue="3207"/>
    </cacheField>
    <cacheField name="Average per unit" numFmtId="44">
      <sharedItems containsSemiMixedTypes="0" containsString="0" containsNumber="1" minValue="19.492271505376344" maxValue="44.990867579908674"/>
    </cacheField>
    <cacheField name="Cost per Unit" numFmtId="44">
      <sharedItems containsSemiMixedTypes="0" containsString="0" containsNumber="1" minValue="3.11" maxValue="16.73"/>
    </cacheField>
    <cacheField name="Profit per unit" numFmtId="44">
      <sharedItems containsSemiMixedTypes="0" containsString="0" containsNumber="1" minValue="6.5634272300469476" maxValue="33.260867579908677"/>
    </cacheField>
    <cacheField name="Total Profit" numFmtId="44">
      <sharedItems containsSemiMixedTypes="0" containsString="0" containsNumber="1" minValue="14946.92" maxValue="58277.8" count="22">
        <n v="25899.019999999997"/>
        <n v="52063.349999999991"/>
        <n v="14946.92"/>
        <n v="40814.559999999998"/>
        <n v="29678.1"/>
        <n v="46226.020000000004"/>
        <n v="29518.430000000004"/>
        <n v="46234.960000000006"/>
        <n v="19525.600000000002"/>
        <n v="56471.590000000004"/>
        <n v="43177.340000000004"/>
        <n v="29721.27"/>
        <n v="36700.839999999997"/>
        <n v="31390.48"/>
        <n v="44884.12"/>
        <n v="29800.159999999996"/>
        <n v="50988.91"/>
        <n v="30189.320000000003"/>
        <n v="19572.14"/>
        <n v="39084.339999999997"/>
        <n v="26000"/>
        <n v="58277.8"/>
      </sharedItems>
    </cacheField>
    <cacheField name="Profit Percentage" numFmtId="168">
      <sharedItems containsSemiMixedTypes="0" containsString="0" containsNumber="1" minValue="0.28177164164063284" maxValue="0.88623201142480512" count="22">
        <n v="0.38945894736842102"/>
        <n v="0.72343365709283414"/>
        <n v="0.44549849482876813"/>
        <n v="0.78263777564717163"/>
        <n v="0.51729240744614091"/>
        <n v="0.6683924233661076"/>
        <n v="0.75181290273285295"/>
        <n v="0.69753873542235578"/>
        <n v="0.45215941458444298"/>
        <n v="0.88623201142480512"/>
        <n v="0.6951641416174269"/>
        <n v="0.62874214634765502"/>
        <n v="0.63267492975227979"/>
        <n v="0.57374031291124428"/>
        <n v="0.79238966174705183"/>
        <n v="0.66601466118362229"/>
        <n v="0.73928042220643464"/>
        <n v="0.85333597150771678"/>
        <n v="0.28177164164063284"/>
        <n v="0.54004034653807353"/>
        <n v="0.68834056973419466"/>
        <n v="0.829305707739814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70% Dark Bites"/>
    <n v="1624"/>
    <n v="114"/>
  </r>
  <r>
    <x v="1"/>
    <x v="1"/>
    <s v="Choco Coated Almonds"/>
    <n v="6706"/>
    <n v="459"/>
  </r>
  <r>
    <x v="2"/>
    <x v="1"/>
    <s v="Almond Choco"/>
    <n v="959"/>
    <n v="147"/>
  </r>
  <r>
    <x v="3"/>
    <x v="2"/>
    <s v="Drinking Coco"/>
    <n v="9632"/>
    <n v="288"/>
  </r>
  <r>
    <x v="4"/>
    <x v="3"/>
    <s v="White Choc"/>
    <n v="2100"/>
    <n v="414"/>
  </r>
  <r>
    <x v="0"/>
    <x v="1"/>
    <s v="Peanut Butter Cubes"/>
    <n v="8869"/>
    <n v="432"/>
  </r>
  <r>
    <x v="4"/>
    <x v="4"/>
    <s v="Smooth Sliky Salty"/>
    <n v="2681"/>
    <n v="54"/>
  </r>
  <r>
    <x v="1"/>
    <x v="1"/>
    <s v="After Nines"/>
    <n v="5012"/>
    <n v="210"/>
  </r>
  <r>
    <x v="5"/>
    <x v="4"/>
    <s v="50% Dark Bites"/>
    <n v="1281"/>
    <n v="75"/>
  </r>
  <r>
    <x v="6"/>
    <x v="0"/>
    <s v="50% Dark Bites"/>
    <n v="4991"/>
    <n v="12"/>
  </r>
  <r>
    <x v="7"/>
    <x v="3"/>
    <s v="White Choc"/>
    <n v="1785"/>
    <n v="462"/>
  </r>
  <r>
    <x v="8"/>
    <x v="0"/>
    <s v="Eclairs"/>
    <n v="3983"/>
    <n v="144"/>
  </r>
  <r>
    <x v="2"/>
    <x v="4"/>
    <s v="Mint Chip Choco"/>
    <n v="2646"/>
    <n v="120"/>
  </r>
  <r>
    <x v="7"/>
    <x v="5"/>
    <s v="Milk Bars"/>
    <n v="252"/>
    <n v="54"/>
  </r>
  <r>
    <x v="8"/>
    <x v="1"/>
    <s v="White Choc"/>
    <n v="2464"/>
    <n v="234"/>
  </r>
  <r>
    <x v="8"/>
    <x v="1"/>
    <s v="Manuka Honey Choco"/>
    <n v="2114"/>
    <n v="66"/>
  </r>
  <r>
    <x v="4"/>
    <x v="0"/>
    <s v="Smooth Sliky Salty"/>
    <n v="7693"/>
    <n v="87"/>
  </r>
  <r>
    <x v="6"/>
    <x v="5"/>
    <s v="Orange Choco"/>
    <n v="15610"/>
    <n v="339"/>
  </r>
  <r>
    <x v="3"/>
    <x v="5"/>
    <s v="After Nines"/>
    <n v="336"/>
    <n v="144"/>
  </r>
  <r>
    <x v="7"/>
    <x v="3"/>
    <s v="Orange Choco"/>
    <n v="9443"/>
    <n v="162"/>
  </r>
  <r>
    <x v="2"/>
    <x v="5"/>
    <s v="Fruit &amp; Nut Bars"/>
    <n v="8155"/>
    <n v="90"/>
  </r>
  <r>
    <x v="1"/>
    <x v="4"/>
    <s v="Fruit &amp; Nut Bars"/>
    <n v="1701"/>
    <n v="234"/>
  </r>
  <r>
    <x v="9"/>
    <x v="4"/>
    <s v="After Nines"/>
    <n v="2205"/>
    <n v="141"/>
  </r>
  <r>
    <x v="1"/>
    <x v="0"/>
    <s v="99% Dark &amp; Pure"/>
    <n v="1771"/>
    <n v="204"/>
  </r>
  <r>
    <x v="3"/>
    <x v="1"/>
    <s v="Raspberry Choco"/>
    <n v="2114"/>
    <n v="186"/>
  </r>
  <r>
    <x v="3"/>
    <x v="2"/>
    <s v="Milk Bars"/>
    <n v="10311"/>
    <n v="231"/>
  </r>
  <r>
    <x v="8"/>
    <x v="3"/>
    <s v="Mint Chip Choco"/>
    <n v="21"/>
    <n v="168"/>
  </r>
  <r>
    <x v="9"/>
    <x v="1"/>
    <s v="Orange Choco"/>
    <n v="1974"/>
    <n v="195"/>
  </r>
  <r>
    <x v="6"/>
    <x v="2"/>
    <s v="Fruit &amp; Nut Bars"/>
    <n v="6314"/>
    <n v="15"/>
  </r>
  <r>
    <x v="9"/>
    <x v="0"/>
    <s v="Fruit &amp; Nut Bars"/>
    <n v="4683"/>
    <n v="30"/>
  </r>
  <r>
    <x v="3"/>
    <x v="0"/>
    <s v="85% Dark Bars"/>
    <n v="6398"/>
    <n v="102"/>
  </r>
  <r>
    <x v="7"/>
    <x v="1"/>
    <s v="99% Dark &amp; Pure"/>
    <n v="553"/>
    <n v="15"/>
  </r>
  <r>
    <x v="1"/>
    <x v="3"/>
    <s v="70% Dark Bites"/>
    <n v="7021"/>
    <n v="183"/>
  </r>
  <r>
    <x v="0"/>
    <x v="3"/>
    <s v="After Nines"/>
    <n v="5817"/>
    <n v="12"/>
  </r>
  <r>
    <x v="3"/>
    <x v="3"/>
    <s v="50% Dark Bites"/>
    <n v="3976"/>
    <n v="72"/>
  </r>
  <r>
    <x v="4"/>
    <x v="4"/>
    <s v="Organic Choco Syrup"/>
    <n v="1134"/>
    <n v="282"/>
  </r>
  <r>
    <x v="7"/>
    <x v="3"/>
    <s v="Caramel Stuffed Bars"/>
    <n v="6027"/>
    <n v="144"/>
  </r>
  <r>
    <x v="4"/>
    <x v="0"/>
    <s v="Mint Chip Choco"/>
    <n v="1904"/>
    <n v="405"/>
  </r>
  <r>
    <x v="5"/>
    <x v="5"/>
    <s v="Choco Coated Almonds"/>
    <n v="3262"/>
    <n v="75"/>
  </r>
  <r>
    <x v="0"/>
    <x v="5"/>
    <s v="Organic Choco Syrup"/>
    <n v="2289"/>
    <n v="135"/>
  </r>
  <r>
    <x v="6"/>
    <x v="5"/>
    <s v="Organic Choco Syrup"/>
    <n v="6986"/>
    <n v="21"/>
  </r>
  <r>
    <x v="7"/>
    <x v="4"/>
    <s v="Fruit &amp; Nut Bars"/>
    <n v="4417"/>
    <n v="153"/>
  </r>
  <r>
    <x v="4"/>
    <x v="5"/>
    <s v="Raspberry Choco"/>
    <n v="1442"/>
    <n v="15"/>
  </r>
  <r>
    <x v="8"/>
    <x v="1"/>
    <s v="50% Dark Bites"/>
    <n v="2415"/>
    <n v="255"/>
  </r>
  <r>
    <x v="7"/>
    <x v="0"/>
    <s v="99% Dark &amp; Pure"/>
    <n v="238"/>
    <n v="18"/>
  </r>
  <r>
    <x v="4"/>
    <x v="0"/>
    <s v="Fruit &amp; Nut Bars"/>
    <n v="4949"/>
    <n v="189"/>
  </r>
  <r>
    <x v="6"/>
    <x v="4"/>
    <s v="Choco Coated Almonds"/>
    <n v="5075"/>
    <n v="21"/>
  </r>
  <r>
    <x v="8"/>
    <x v="2"/>
    <s v="Mint Chip Choco"/>
    <n v="9198"/>
    <n v="36"/>
  </r>
  <r>
    <x v="4"/>
    <x v="5"/>
    <s v="Manuka Honey Choco"/>
    <n v="3339"/>
    <n v="75"/>
  </r>
  <r>
    <x v="0"/>
    <x v="5"/>
    <s v="Eclairs"/>
    <n v="5019"/>
    <n v="156"/>
  </r>
  <r>
    <x v="6"/>
    <x v="2"/>
    <s v="Mint Chip Choco"/>
    <n v="16184"/>
    <n v="39"/>
  </r>
  <r>
    <x v="4"/>
    <x v="2"/>
    <s v="Spicy Special Slims"/>
    <n v="497"/>
    <n v="63"/>
  </r>
  <r>
    <x v="7"/>
    <x v="2"/>
    <s v="Manuka Honey Choco"/>
    <n v="8211"/>
    <n v="75"/>
  </r>
  <r>
    <x v="7"/>
    <x v="4"/>
    <s v="Caramel Stuffed Bars"/>
    <n v="6580"/>
    <n v="183"/>
  </r>
  <r>
    <x v="3"/>
    <x v="1"/>
    <s v="Milk Bars"/>
    <n v="4760"/>
    <n v="69"/>
  </r>
  <r>
    <x v="0"/>
    <x v="2"/>
    <s v="White Choc"/>
    <n v="5439"/>
    <n v="30"/>
  </r>
  <r>
    <x v="3"/>
    <x v="5"/>
    <s v="Eclairs"/>
    <n v="1463"/>
    <n v="39"/>
  </r>
  <r>
    <x v="8"/>
    <x v="5"/>
    <s v="Choco Coated Almonds"/>
    <n v="7777"/>
    <n v="504"/>
  </r>
  <r>
    <x v="2"/>
    <x v="0"/>
    <s v="Manuka Honey Choco"/>
    <n v="1085"/>
    <n v="273"/>
  </r>
  <r>
    <x v="6"/>
    <x v="0"/>
    <s v="Smooth Sliky Salty"/>
    <n v="182"/>
    <n v="48"/>
  </r>
  <r>
    <x v="4"/>
    <x v="5"/>
    <s v="Organic Choco Syrup"/>
    <n v="4242"/>
    <n v="207"/>
  </r>
  <r>
    <x v="4"/>
    <x v="2"/>
    <s v="Choco Coated Almonds"/>
    <n v="6118"/>
    <n v="9"/>
  </r>
  <r>
    <x v="9"/>
    <x v="2"/>
    <s v="Fruit &amp; Nut Bars"/>
    <n v="2317"/>
    <n v="261"/>
  </r>
  <r>
    <x v="4"/>
    <x v="4"/>
    <s v="Mint Chip Choco"/>
    <n v="938"/>
    <n v="6"/>
  </r>
  <r>
    <x v="1"/>
    <x v="0"/>
    <s v="Raspberry Choco"/>
    <n v="9709"/>
    <n v="30"/>
  </r>
  <r>
    <x v="5"/>
    <x v="5"/>
    <s v="Orange Choco"/>
    <n v="2205"/>
    <n v="138"/>
  </r>
  <r>
    <x v="5"/>
    <x v="0"/>
    <s v="Eclairs"/>
    <n v="4487"/>
    <n v="111"/>
  </r>
  <r>
    <x v="6"/>
    <x v="1"/>
    <s v="Drinking Coco"/>
    <n v="2415"/>
    <n v="15"/>
  </r>
  <r>
    <x v="0"/>
    <x v="5"/>
    <s v="99% Dark &amp; Pure"/>
    <n v="4018"/>
    <n v="162"/>
  </r>
  <r>
    <x v="6"/>
    <x v="5"/>
    <s v="99% Dark &amp; Pure"/>
    <n v="861"/>
    <n v="195"/>
  </r>
  <r>
    <x v="9"/>
    <x v="4"/>
    <s v="50% Dark Bites"/>
    <n v="5586"/>
    <n v="525"/>
  </r>
  <r>
    <x v="5"/>
    <x v="5"/>
    <s v="Peanut Butter Cubes"/>
    <n v="2226"/>
    <n v="48"/>
  </r>
  <r>
    <x v="2"/>
    <x v="5"/>
    <s v="Caramel Stuffed Bars"/>
    <n v="14329"/>
    <n v="150"/>
  </r>
  <r>
    <x v="2"/>
    <x v="5"/>
    <s v="Orange Choco"/>
    <n v="8463"/>
    <n v="492"/>
  </r>
  <r>
    <x v="6"/>
    <x v="5"/>
    <s v="Manuka Honey Choco"/>
    <n v="2891"/>
    <n v="102"/>
  </r>
  <r>
    <x v="8"/>
    <x v="2"/>
    <s v="Fruit &amp; Nut Bars"/>
    <n v="3773"/>
    <n v="165"/>
  </r>
  <r>
    <x v="3"/>
    <x v="2"/>
    <s v="Caramel Stuffed Bars"/>
    <n v="854"/>
    <n v="309"/>
  </r>
  <r>
    <x v="4"/>
    <x v="2"/>
    <s v="Eclairs"/>
    <n v="4970"/>
    <n v="156"/>
  </r>
  <r>
    <x v="2"/>
    <x v="1"/>
    <s v="Baker's Choco Chips"/>
    <n v="98"/>
    <n v="159"/>
  </r>
  <r>
    <x v="6"/>
    <x v="1"/>
    <s v="Raspberry Choco"/>
    <n v="13391"/>
    <n v="201"/>
  </r>
  <r>
    <x v="1"/>
    <x v="3"/>
    <s v="Smooth Sliky Salty"/>
    <n v="8890"/>
    <n v="210"/>
  </r>
  <r>
    <x v="7"/>
    <x v="4"/>
    <s v="Milk Bars"/>
    <n v="56"/>
    <n v="51"/>
  </r>
  <r>
    <x v="8"/>
    <x v="2"/>
    <s v="White Choc"/>
    <n v="3339"/>
    <n v="39"/>
  </r>
  <r>
    <x v="9"/>
    <x v="1"/>
    <s v="Drinking Coco"/>
    <n v="3808"/>
    <n v="279"/>
  </r>
  <r>
    <x v="9"/>
    <x v="4"/>
    <s v="Milk Bars"/>
    <n v="63"/>
    <n v="123"/>
  </r>
  <r>
    <x v="7"/>
    <x v="3"/>
    <s v="Organic Choco Syrup"/>
    <n v="7812"/>
    <n v="81"/>
  </r>
  <r>
    <x v="0"/>
    <x v="0"/>
    <s v="99% Dark &amp; Pure"/>
    <n v="7693"/>
    <n v="21"/>
  </r>
  <r>
    <x v="8"/>
    <x v="2"/>
    <s v="Caramel Stuffed Bars"/>
    <n v="973"/>
    <n v="162"/>
  </r>
  <r>
    <x v="9"/>
    <x v="1"/>
    <s v="Spicy Special Slims"/>
    <n v="567"/>
    <n v="228"/>
  </r>
  <r>
    <x v="9"/>
    <x v="2"/>
    <s v="Manuka Honey Choco"/>
    <n v="2471"/>
    <n v="342"/>
  </r>
  <r>
    <x v="6"/>
    <x v="4"/>
    <s v="Milk Bars"/>
    <n v="7189"/>
    <n v="54"/>
  </r>
  <r>
    <x v="3"/>
    <x v="1"/>
    <s v="Caramel Stuffed Bars"/>
    <n v="7455"/>
    <n v="216"/>
  </r>
  <r>
    <x v="8"/>
    <x v="5"/>
    <s v="Baker's Choco Chips"/>
    <n v="3108"/>
    <n v="54"/>
  </r>
  <r>
    <x v="4"/>
    <x v="4"/>
    <s v="White Choc"/>
    <n v="469"/>
    <n v="75"/>
  </r>
  <r>
    <x v="2"/>
    <x v="0"/>
    <s v="Fruit &amp; Nut Bars"/>
    <n v="2737"/>
    <n v="93"/>
  </r>
  <r>
    <x v="2"/>
    <x v="0"/>
    <s v="White Choc"/>
    <n v="4305"/>
    <n v="156"/>
  </r>
  <r>
    <x v="2"/>
    <x v="4"/>
    <s v="Eclairs"/>
    <n v="2408"/>
    <n v="9"/>
  </r>
  <r>
    <x v="8"/>
    <x v="2"/>
    <s v="99% Dark &amp; Pure"/>
    <n v="1281"/>
    <n v="18"/>
  </r>
  <r>
    <x v="0"/>
    <x v="1"/>
    <s v="Choco Coated Almonds"/>
    <n v="12348"/>
    <n v="234"/>
  </r>
  <r>
    <x v="8"/>
    <x v="5"/>
    <s v="Caramel Stuffed Bars"/>
    <n v="3689"/>
    <n v="312"/>
  </r>
  <r>
    <x v="5"/>
    <x v="2"/>
    <s v="99% Dark &amp; Pure"/>
    <n v="2870"/>
    <n v="300"/>
  </r>
  <r>
    <x v="7"/>
    <x v="2"/>
    <s v="Organic Choco Syrup"/>
    <n v="798"/>
    <n v="519"/>
  </r>
  <r>
    <x v="3"/>
    <x v="0"/>
    <s v="Spicy Special Slims"/>
    <n v="2933"/>
    <n v="9"/>
  </r>
  <r>
    <x v="6"/>
    <x v="1"/>
    <s v="Almond Choco"/>
    <n v="2744"/>
    <n v="9"/>
  </r>
  <r>
    <x v="0"/>
    <x v="2"/>
    <s v="Peanut Butter Cubes"/>
    <n v="9772"/>
    <n v="90"/>
  </r>
  <r>
    <x v="5"/>
    <x v="5"/>
    <s v="White Choc"/>
    <n v="1568"/>
    <n v="96"/>
  </r>
  <r>
    <x v="7"/>
    <x v="2"/>
    <s v="Mint Chip Choco"/>
    <n v="11417"/>
    <n v="21"/>
  </r>
  <r>
    <x v="0"/>
    <x v="5"/>
    <s v="Baker's Choco Chips"/>
    <n v="6748"/>
    <n v="48"/>
  </r>
  <r>
    <x v="9"/>
    <x v="2"/>
    <s v="Organic Choco Syrup"/>
    <n v="1407"/>
    <n v="72"/>
  </r>
  <r>
    <x v="1"/>
    <x v="1"/>
    <s v="Manuka Honey Choco"/>
    <n v="2023"/>
    <n v="168"/>
  </r>
  <r>
    <x v="6"/>
    <x v="3"/>
    <s v="Baker's Choco Chips"/>
    <n v="5236"/>
    <n v="51"/>
  </r>
  <r>
    <x v="3"/>
    <x v="2"/>
    <s v="99% Dark &amp; Pure"/>
    <n v="1925"/>
    <n v="192"/>
  </r>
  <r>
    <x v="5"/>
    <x v="0"/>
    <s v="50% Dark Bites"/>
    <n v="6608"/>
    <n v="225"/>
  </r>
  <r>
    <x v="4"/>
    <x v="5"/>
    <s v="Baker's Choco Chips"/>
    <n v="8008"/>
    <n v="456"/>
  </r>
  <r>
    <x v="9"/>
    <x v="5"/>
    <s v="White Choc"/>
    <n v="1428"/>
    <n v="93"/>
  </r>
  <r>
    <x v="4"/>
    <x v="5"/>
    <s v="Almond Choco"/>
    <n v="525"/>
    <n v="48"/>
  </r>
  <r>
    <x v="4"/>
    <x v="0"/>
    <s v="Drinking Coco"/>
    <n v="1505"/>
    <n v="102"/>
  </r>
  <r>
    <x v="5"/>
    <x v="1"/>
    <s v="70% Dark Bites"/>
    <n v="6755"/>
    <n v="252"/>
  </r>
  <r>
    <x v="7"/>
    <x v="0"/>
    <s v="Drinking Coco"/>
    <n v="11571"/>
    <n v="138"/>
  </r>
  <r>
    <x v="0"/>
    <x v="4"/>
    <s v="White Choc"/>
    <n v="2541"/>
    <n v="90"/>
  </r>
  <r>
    <x v="3"/>
    <x v="0"/>
    <s v="70% Dark Bites"/>
    <n v="1526"/>
    <n v="240"/>
  </r>
  <r>
    <x v="0"/>
    <x v="4"/>
    <s v="Almond Choco"/>
    <n v="6125"/>
    <n v="102"/>
  </r>
  <r>
    <x v="3"/>
    <x v="1"/>
    <s v="Organic Choco Syrup"/>
    <n v="847"/>
    <n v="129"/>
  </r>
  <r>
    <x v="1"/>
    <x v="1"/>
    <s v="Organic Choco Syrup"/>
    <n v="4753"/>
    <n v="300"/>
  </r>
  <r>
    <x v="4"/>
    <x v="4"/>
    <s v="Peanut Butter Cubes"/>
    <n v="959"/>
    <n v="135"/>
  </r>
  <r>
    <x v="5"/>
    <x v="1"/>
    <s v="85% Dark Bars"/>
    <n v="2793"/>
    <n v="114"/>
  </r>
  <r>
    <x v="5"/>
    <x v="1"/>
    <s v="50% Dark Bites"/>
    <n v="4606"/>
    <n v="63"/>
  </r>
  <r>
    <x v="5"/>
    <x v="2"/>
    <s v="Manuka Honey Choco"/>
    <n v="5551"/>
    <n v="252"/>
  </r>
  <r>
    <x v="9"/>
    <x v="2"/>
    <s v="Choco Coated Almonds"/>
    <n v="6657"/>
    <n v="303"/>
  </r>
  <r>
    <x v="5"/>
    <x v="3"/>
    <s v="Eclairs"/>
    <n v="4438"/>
    <n v="246"/>
  </r>
  <r>
    <x v="1"/>
    <x v="4"/>
    <s v="After Nines"/>
    <n v="168"/>
    <n v="84"/>
  </r>
  <r>
    <x v="5"/>
    <x v="5"/>
    <s v="Eclairs"/>
    <n v="7777"/>
    <n v="39"/>
  </r>
  <r>
    <x v="6"/>
    <x v="2"/>
    <s v="Eclairs"/>
    <n v="3339"/>
    <n v="348"/>
  </r>
  <r>
    <x v="5"/>
    <x v="0"/>
    <s v="Peanut Butter Cubes"/>
    <n v="6391"/>
    <n v="48"/>
  </r>
  <r>
    <x v="6"/>
    <x v="0"/>
    <s v="After Nines"/>
    <n v="518"/>
    <n v="75"/>
  </r>
  <r>
    <x v="5"/>
    <x v="4"/>
    <s v="Caramel Stuffed Bars"/>
    <n v="5677"/>
    <n v="258"/>
  </r>
  <r>
    <x v="4"/>
    <x v="3"/>
    <s v="Eclairs"/>
    <n v="6048"/>
    <n v="27"/>
  </r>
  <r>
    <x v="1"/>
    <x v="4"/>
    <s v="Choco Coated Almonds"/>
    <n v="3752"/>
    <n v="213"/>
  </r>
  <r>
    <x v="6"/>
    <x v="1"/>
    <s v="Manuka Honey Choco"/>
    <n v="4480"/>
    <n v="357"/>
  </r>
  <r>
    <x v="2"/>
    <x v="0"/>
    <s v="Almond Choco"/>
    <n v="259"/>
    <n v="207"/>
  </r>
  <r>
    <x v="1"/>
    <x v="0"/>
    <s v="70% Dark Bites"/>
    <n v="42"/>
    <n v="150"/>
  </r>
  <r>
    <x v="3"/>
    <x v="2"/>
    <s v="Baker's Choco Chips"/>
    <n v="98"/>
    <n v="204"/>
  </r>
  <r>
    <x v="5"/>
    <x v="1"/>
    <s v="Organic Choco Syrup"/>
    <n v="2478"/>
    <n v="21"/>
  </r>
  <r>
    <x v="3"/>
    <x v="5"/>
    <s v="Peanut Butter Cubes"/>
    <n v="7847"/>
    <n v="174"/>
  </r>
  <r>
    <x v="7"/>
    <x v="0"/>
    <s v="Eclairs"/>
    <n v="9926"/>
    <n v="201"/>
  </r>
  <r>
    <x v="1"/>
    <x v="4"/>
    <s v="Milk Bars"/>
    <n v="819"/>
    <n v="510"/>
  </r>
  <r>
    <x v="4"/>
    <x v="3"/>
    <s v="Manuka Honey Choco"/>
    <n v="3052"/>
    <n v="378"/>
  </r>
  <r>
    <x v="2"/>
    <x v="5"/>
    <s v="Spicy Special Slims"/>
    <n v="6832"/>
    <n v="27"/>
  </r>
  <r>
    <x v="7"/>
    <x v="3"/>
    <s v="Mint Chip Choco"/>
    <n v="2016"/>
    <n v="117"/>
  </r>
  <r>
    <x v="4"/>
    <x v="4"/>
    <s v="Spicy Special Slims"/>
    <n v="7322"/>
    <n v="36"/>
  </r>
  <r>
    <x v="1"/>
    <x v="1"/>
    <s v="Peanut Butter Cubes"/>
    <n v="357"/>
    <n v="126"/>
  </r>
  <r>
    <x v="2"/>
    <x v="3"/>
    <s v="White Choc"/>
    <n v="3192"/>
    <n v="72"/>
  </r>
  <r>
    <x v="5"/>
    <x v="2"/>
    <s v="After Nines"/>
    <n v="8435"/>
    <n v="42"/>
  </r>
  <r>
    <x v="0"/>
    <x v="3"/>
    <s v="Manuka Honey Choco"/>
    <n v="0"/>
    <n v="135"/>
  </r>
  <r>
    <x v="5"/>
    <x v="5"/>
    <s v="85% Dark Bars"/>
    <n v="8862"/>
    <n v="189"/>
  </r>
  <r>
    <x v="4"/>
    <x v="0"/>
    <s v="Caramel Stuffed Bars"/>
    <n v="3556"/>
    <n v="459"/>
  </r>
  <r>
    <x v="6"/>
    <x v="5"/>
    <s v="Raspberry Choco"/>
    <n v="7280"/>
    <n v="201"/>
  </r>
  <r>
    <x v="4"/>
    <x v="5"/>
    <s v="70% Dark Bites"/>
    <n v="3402"/>
    <n v="366"/>
  </r>
  <r>
    <x v="8"/>
    <x v="0"/>
    <s v="Manuka Honey Choco"/>
    <n v="4592"/>
    <n v="324"/>
  </r>
  <r>
    <x v="2"/>
    <x v="1"/>
    <s v="Raspberry Choco"/>
    <n v="7833"/>
    <n v="243"/>
  </r>
  <r>
    <x v="7"/>
    <x v="3"/>
    <s v="Spicy Special Slims"/>
    <n v="7651"/>
    <n v="213"/>
  </r>
  <r>
    <x v="0"/>
    <x v="1"/>
    <s v="70% Dark Bites"/>
    <n v="2275"/>
    <n v="447"/>
  </r>
  <r>
    <x v="0"/>
    <x v="4"/>
    <s v="Milk Bars"/>
    <n v="5670"/>
    <n v="297"/>
  </r>
  <r>
    <x v="5"/>
    <x v="1"/>
    <s v="Mint Chip Choco"/>
    <n v="2135"/>
    <n v="27"/>
  </r>
  <r>
    <x v="0"/>
    <x v="5"/>
    <s v="Fruit &amp; Nut Bars"/>
    <n v="2779"/>
    <n v="75"/>
  </r>
  <r>
    <x v="9"/>
    <x v="3"/>
    <s v="Peanut Butter Cubes"/>
    <n v="12950"/>
    <n v="30"/>
  </r>
  <r>
    <x v="5"/>
    <x v="2"/>
    <s v="Drinking Coco"/>
    <n v="2646"/>
    <n v="177"/>
  </r>
  <r>
    <x v="0"/>
    <x v="5"/>
    <s v="Peanut Butter Cubes"/>
    <n v="3794"/>
    <n v="159"/>
  </r>
  <r>
    <x v="8"/>
    <x v="1"/>
    <s v="Peanut Butter Cubes"/>
    <n v="819"/>
    <n v="306"/>
  </r>
  <r>
    <x v="8"/>
    <x v="5"/>
    <s v="Orange Choco"/>
    <n v="2583"/>
    <n v="18"/>
  </r>
  <r>
    <x v="5"/>
    <x v="1"/>
    <s v="99% Dark &amp; Pure"/>
    <n v="4585"/>
    <n v="240"/>
  </r>
  <r>
    <x v="6"/>
    <x v="5"/>
    <s v="Peanut Butter Cubes"/>
    <n v="1652"/>
    <n v="93"/>
  </r>
  <r>
    <x v="9"/>
    <x v="5"/>
    <s v="Baker's Choco Chips"/>
    <n v="4991"/>
    <n v="9"/>
  </r>
  <r>
    <x v="1"/>
    <x v="5"/>
    <s v="Mint Chip Choco"/>
    <n v="2009"/>
    <n v="219"/>
  </r>
  <r>
    <x v="7"/>
    <x v="3"/>
    <s v="After Nines"/>
    <n v="1568"/>
    <n v="141"/>
  </r>
  <r>
    <x v="3"/>
    <x v="0"/>
    <s v="Orange Choco"/>
    <n v="3388"/>
    <n v="123"/>
  </r>
  <r>
    <x v="0"/>
    <x v="4"/>
    <s v="85% Dark Bars"/>
    <n v="623"/>
    <n v="51"/>
  </r>
  <r>
    <x v="4"/>
    <x v="2"/>
    <s v="Almond Choco"/>
    <n v="10073"/>
    <n v="120"/>
  </r>
  <r>
    <x v="1"/>
    <x v="3"/>
    <s v="Baker's Choco Chips"/>
    <n v="1561"/>
    <n v="27"/>
  </r>
  <r>
    <x v="2"/>
    <x v="2"/>
    <s v="Organic Choco Syrup"/>
    <n v="11522"/>
    <n v="204"/>
  </r>
  <r>
    <x v="4"/>
    <x v="4"/>
    <s v="Milk Bars"/>
    <n v="2317"/>
    <n v="123"/>
  </r>
  <r>
    <x v="9"/>
    <x v="0"/>
    <s v="Caramel Stuffed Bars"/>
    <n v="3059"/>
    <n v="27"/>
  </r>
  <r>
    <x v="3"/>
    <x v="0"/>
    <s v="Baker's Choco Chips"/>
    <n v="2324"/>
    <n v="177"/>
  </r>
  <r>
    <x v="8"/>
    <x v="3"/>
    <s v="Baker's Choco Chips"/>
    <n v="4956"/>
    <n v="171"/>
  </r>
  <r>
    <x v="9"/>
    <x v="5"/>
    <s v="99% Dark &amp; Pure"/>
    <n v="5355"/>
    <n v="204"/>
  </r>
  <r>
    <x v="8"/>
    <x v="5"/>
    <s v="50% Dark Bites"/>
    <n v="7259"/>
    <n v="276"/>
  </r>
  <r>
    <x v="1"/>
    <x v="0"/>
    <s v="Baker's Choco Chips"/>
    <n v="6279"/>
    <n v="45"/>
  </r>
  <r>
    <x v="0"/>
    <x v="4"/>
    <s v="Manuka Honey Choco"/>
    <n v="2541"/>
    <n v="45"/>
  </r>
  <r>
    <x v="4"/>
    <x v="1"/>
    <s v="Organic Choco Syrup"/>
    <n v="3864"/>
    <n v="177"/>
  </r>
  <r>
    <x v="6"/>
    <x v="2"/>
    <s v="Milk Bars"/>
    <n v="6146"/>
    <n v="63"/>
  </r>
  <r>
    <x v="2"/>
    <x v="3"/>
    <s v="Drinking Coco"/>
    <n v="2639"/>
    <n v="204"/>
  </r>
  <r>
    <x v="1"/>
    <x v="0"/>
    <s v="After Nines"/>
    <n v="1890"/>
    <n v="195"/>
  </r>
  <r>
    <x v="5"/>
    <x v="5"/>
    <s v="50% Dark Bites"/>
    <n v="1932"/>
    <n v="369"/>
  </r>
  <r>
    <x v="8"/>
    <x v="5"/>
    <s v="White Choc"/>
    <n v="6300"/>
    <n v="42"/>
  </r>
  <r>
    <x v="4"/>
    <x v="0"/>
    <s v="70% Dark Bites"/>
    <n v="560"/>
    <n v="81"/>
  </r>
  <r>
    <x v="2"/>
    <x v="0"/>
    <s v="Baker's Choco Chips"/>
    <n v="2856"/>
    <n v="246"/>
  </r>
  <r>
    <x v="2"/>
    <x v="5"/>
    <s v="Eclairs"/>
    <n v="707"/>
    <n v="174"/>
  </r>
  <r>
    <x v="1"/>
    <x v="1"/>
    <s v="70% Dark Bites"/>
    <n v="3598"/>
    <n v="81"/>
  </r>
  <r>
    <x v="0"/>
    <x v="1"/>
    <s v="After Nines"/>
    <n v="6853"/>
    <n v="372"/>
  </r>
  <r>
    <x v="0"/>
    <x v="1"/>
    <s v="Mint Chip Choco"/>
    <n v="4725"/>
    <n v="174"/>
  </r>
  <r>
    <x v="3"/>
    <x v="2"/>
    <s v="Choco Coated Almonds"/>
    <n v="10304"/>
    <n v="84"/>
  </r>
  <r>
    <x v="3"/>
    <x v="5"/>
    <s v="Mint Chip Choco"/>
    <n v="1274"/>
    <n v="225"/>
  </r>
  <r>
    <x v="6"/>
    <x v="2"/>
    <s v="70% Dark Bites"/>
    <n v="1526"/>
    <n v="105"/>
  </r>
  <r>
    <x v="0"/>
    <x v="3"/>
    <s v="Caramel Stuffed Bars"/>
    <n v="3101"/>
    <n v="225"/>
  </r>
  <r>
    <x v="7"/>
    <x v="0"/>
    <s v="50% Dark Bites"/>
    <n v="1057"/>
    <n v="54"/>
  </r>
  <r>
    <x v="5"/>
    <x v="0"/>
    <s v="Baker's Choco Chips"/>
    <n v="5306"/>
    <n v="0"/>
  </r>
  <r>
    <x v="6"/>
    <x v="3"/>
    <s v="85% Dark Bars"/>
    <n v="4018"/>
    <n v="171"/>
  </r>
  <r>
    <x v="2"/>
    <x v="5"/>
    <s v="Mint Chip Choco"/>
    <n v="938"/>
    <n v="189"/>
  </r>
  <r>
    <x v="5"/>
    <x v="4"/>
    <s v="Drinking Coco"/>
    <n v="1778"/>
    <n v="270"/>
  </r>
  <r>
    <x v="4"/>
    <x v="3"/>
    <s v="70% Dark Bites"/>
    <n v="1638"/>
    <n v="63"/>
  </r>
  <r>
    <x v="3"/>
    <x v="4"/>
    <s v="White Choc"/>
    <n v="154"/>
    <n v="21"/>
  </r>
  <r>
    <x v="5"/>
    <x v="0"/>
    <s v="After Nines"/>
    <n v="9835"/>
    <n v="207"/>
  </r>
  <r>
    <x v="2"/>
    <x v="0"/>
    <s v="Orange Choco"/>
    <n v="7273"/>
    <n v="96"/>
  </r>
  <r>
    <x v="6"/>
    <x v="3"/>
    <s v="After Nines"/>
    <n v="6909"/>
    <n v="81"/>
  </r>
  <r>
    <x v="2"/>
    <x v="3"/>
    <s v="85% Dark Bars"/>
    <n v="3920"/>
    <n v="306"/>
  </r>
  <r>
    <x v="9"/>
    <x v="3"/>
    <s v="Spicy Special Slims"/>
    <n v="4858"/>
    <n v="279"/>
  </r>
  <r>
    <x v="7"/>
    <x v="4"/>
    <s v="Almond Choco"/>
    <n v="3549"/>
    <n v="3"/>
  </r>
  <r>
    <x v="5"/>
    <x v="3"/>
    <s v="Organic Choco Syrup"/>
    <n v="966"/>
    <n v="198"/>
  </r>
  <r>
    <x v="6"/>
    <x v="3"/>
    <s v="Drinking Coco"/>
    <n v="385"/>
    <n v="249"/>
  </r>
  <r>
    <x v="4"/>
    <x v="5"/>
    <s v="Mint Chip Choco"/>
    <n v="2219"/>
    <n v="75"/>
  </r>
  <r>
    <x v="2"/>
    <x v="2"/>
    <s v="Choco Coated Almonds"/>
    <n v="2954"/>
    <n v="189"/>
  </r>
  <r>
    <x v="5"/>
    <x v="2"/>
    <s v="Choco Coated Almonds"/>
    <n v="280"/>
    <n v="87"/>
  </r>
  <r>
    <x v="3"/>
    <x v="2"/>
    <s v="70% Dark Bites"/>
    <n v="6118"/>
    <n v="174"/>
  </r>
  <r>
    <x v="7"/>
    <x v="3"/>
    <s v="Raspberry Choco"/>
    <n v="4802"/>
    <n v="36"/>
  </r>
  <r>
    <x v="2"/>
    <x v="4"/>
    <s v="85% Dark Bars"/>
    <n v="4137"/>
    <n v="60"/>
  </r>
  <r>
    <x v="8"/>
    <x v="1"/>
    <s v="Fruit &amp; Nut Bars"/>
    <n v="2023"/>
    <n v="78"/>
  </r>
  <r>
    <x v="2"/>
    <x v="2"/>
    <s v="70% Dark Bites"/>
    <n v="9051"/>
    <n v="57"/>
  </r>
  <r>
    <x v="2"/>
    <x v="0"/>
    <s v="Caramel Stuffed Bars"/>
    <n v="2919"/>
    <n v="45"/>
  </r>
  <r>
    <x v="3"/>
    <x v="4"/>
    <s v="After Nines"/>
    <n v="5915"/>
    <n v="3"/>
  </r>
  <r>
    <x v="9"/>
    <x v="1"/>
    <s v="Raspberry Choco"/>
    <n v="2562"/>
    <n v="6"/>
  </r>
  <r>
    <x v="6"/>
    <x v="0"/>
    <s v="White Choc"/>
    <n v="8813"/>
    <n v="21"/>
  </r>
  <r>
    <x v="6"/>
    <x v="2"/>
    <s v="Drinking Coco"/>
    <n v="6111"/>
    <n v="3"/>
  </r>
  <r>
    <x v="1"/>
    <x v="5"/>
    <s v="Smooth Sliky Salty"/>
    <n v="3507"/>
    <n v="288"/>
  </r>
  <r>
    <x v="4"/>
    <x v="2"/>
    <s v="Milk Bars"/>
    <n v="4319"/>
    <n v="30"/>
  </r>
  <r>
    <x v="0"/>
    <x v="4"/>
    <s v="Baker's Choco Chips"/>
    <n v="609"/>
    <n v="87"/>
  </r>
  <r>
    <x v="0"/>
    <x v="3"/>
    <s v="Organic Choco Syrup"/>
    <n v="6370"/>
    <n v="30"/>
  </r>
  <r>
    <x v="6"/>
    <x v="4"/>
    <s v="99% Dark &amp; Pure"/>
    <n v="5474"/>
    <n v="168"/>
  </r>
  <r>
    <x v="0"/>
    <x v="2"/>
    <s v="Organic Choco Syrup"/>
    <n v="3164"/>
    <n v="306"/>
  </r>
  <r>
    <x v="4"/>
    <x v="1"/>
    <s v="Almond Choco"/>
    <n v="1302"/>
    <n v="402"/>
  </r>
  <r>
    <x v="8"/>
    <x v="0"/>
    <s v="Caramel Stuffed Bars"/>
    <n v="7308"/>
    <n v="327"/>
  </r>
  <r>
    <x v="0"/>
    <x v="0"/>
    <s v="Organic Choco Syrup"/>
    <n v="6132"/>
    <n v="93"/>
  </r>
  <r>
    <x v="9"/>
    <x v="1"/>
    <s v="50% Dark Bites"/>
    <n v="3472"/>
    <n v="96"/>
  </r>
  <r>
    <x v="1"/>
    <x v="3"/>
    <s v="Drinking Coco"/>
    <n v="9660"/>
    <n v="27"/>
  </r>
  <r>
    <x v="2"/>
    <x v="4"/>
    <s v="Baker's Choco Chips"/>
    <n v="2436"/>
    <n v="99"/>
  </r>
  <r>
    <x v="2"/>
    <x v="4"/>
    <s v="Peanut Butter Cubes"/>
    <n v="9506"/>
    <n v="87"/>
  </r>
  <r>
    <x v="9"/>
    <x v="0"/>
    <s v="Spicy Special Slims"/>
    <n v="245"/>
    <n v="288"/>
  </r>
  <r>
    <x v="1"/>
    <x v="1"/>
    <s v="Orange Choco"/>
    <n v="2702"/>
    <n v="363"/>
  </r>
  <r>
    <x v="9"/>
    <x v="5"/>
    <s v="Eclairs"/>
    <n v="700"/>
    <n v="87"/>
  </r>
  <r>
    <x v="4"/>
    <x v="5"/>
    <s v="Eclairs"/>
    <n v="3759"/>
    <n v="150"/>
  </r>
  <r>
    <x v="7"/>
    <x v="1"/>
    <s v="Eclairs"/>
    <n v="1589"/>
    <n v="303"/>
  </r>
  <r>
    <x v="5"/>
    <x v="1"/>
    <s v="Caramel Stuffed Bars"/>
    <n v="5194"/>
    <n v="288"/>
  </r>
  <r>
    <x v="9"/>
    <x v="2"/>
    <s v="Milk Bars"/>
    <n v="945"/>
    <n v="75"/>
  </r>
  <r>
    <x v="0"/>
    <x v="4"/>
    <s v="Smooth Sliky Salty"/>
    <n v="1988"/>
    <n v="39"/>
  </r>
  <r>
    <x v="4"/>
    <x v="5"/>
    <s v="Choco Coated Almonds"/>
    <n v="6734"/>
    <n v="123"/>
  </r>
  <r>
    <x v="0"/>
    <x v="2"/>
    <s v="Almond Choco"/>
    <n v="217"/>
    <n v="36"/>
  </r>
  <r>
    <x v="6"/>
    <x v="5"/>
    <s v="After Nines"/>
    <n v="6279"/>
    <n v="237"/>
  </r>
  <r>
    <x v="0"/>
    <x v="2"/>
    <s v="Milk Bars"/>
    <n v="4424"/>
    <n v="201"/>
  </r>
  <r>
    <x v="7"/>
    <x v="2"/>
    <s v="Eclairs"/>
    <n v="189"/>
    <n v="48"/>
  </r>
  <r>
    <x v="6"/>
    <x v="1"/>
    <s v="After Nines"/>
    <n v="490"/>
    <n v="84"/>
  </r>
  <r>
    <x v="1"/>
    <x v="0"/>
    <s v="Spicy Special Slims"/>
    <n v="434"/>
    <n v="87"/>
  </r>
  <r>
    <x v="5"/>
    <x v="4"/>
    <s v="70% Dark Bites"/>
    <n v="10129"/>
    <n v="312"/>
  </r>
  <r>
    <x v="8"/>
    <x v="3"/>
    <s v="Caramel Stuffed Bars"/>
    <n v="1652"/>
    <n v="102"/>
  </r>
  <r>
    <x v="1"/>
    <x v="4"/>
    <s v="Spicy Special Slims"/>
    <n v="6433"/>
    <n v="78"/>
  </r>
  <r>
    <x v="8"/>
    <x v="5"/>
    <s v="Fruit &amp; Nut Bars"/>
    <n v="2212"/>
    <n v="117"/>
  </r>
  <r>
    <x v="3"/>
    <x v="1"/>
    <s v="99% Dark &amp; Pure"/>
    <n v="609"/>
    <n v="99"/>
  </r>
  <r>
    <x v="0"/>
    <x v="1"/>
    <s v="85% Dark Bars"/>
    <n v="1638"/>
    <n v="48"/>
  </r>
  <r>
    <x v="5"/>
    <x v="5"/>
    <s v="Raspberry Choco"/>
    <n v="3829"/>
    <n v="24"/>
  </r>
  <r>
    <x v="0"/>
    <x v="3"/>
    <s v="Raspberry Choco"/>
    <n v="5775"/>
    <n v="42"/>
  </r>
  <r>
    <x v="4"/>
    <x v="1"/>
    <s v="Orange Choco"/>
    <n v="1071"/>
    <n v="270"/>
  </r>
  <r>
    <x v="1"/>
    <x v="2"/>
    <s v="Fruit &amp; Nut Bars"/>
    <n v="5019"/>
    <n v="150"/>
  </r>
  <r>
    <x v="7"/>
    <x v="0"/>
    <s v="Raspberry Choco"/>
    <n v="2863"/>
    <n v="42"/>
  </r>
  <r>
    <x v="0"/>
    <x v="1"/>
    <s v="Manuka Honey Choco"/>
    <n v="1617"/>
    <n v="126"/>
  </r>
  <r>
    <x v="4"/>
    <x v="0"/>
    <s v="Baker's Choco Chips"/>
    <n v="6818"/>
    <n v="6"/>
  </r>
  <r>
    <x v="8"/>
    <x v="1"/>
    <s v="Raspberry Choco"/>
    <n v="6657"/>
    <n v="276"/>
  </r>
  <r>
    <x v="8"/>
    <x v="5"/>
    <s v="Eclairs"/>
    <n v="2919"/>
    <n v="93"/>
  </r>
  <r>
    <x v="7"/>
    <x v="2"/>
    <s v="Smooth Sliky Salty"/>
    <n v="3094"/>
    <n v="246"/>
  </r>
  <r>
    <x v="4"/>
    <x v="3"/>
    <s v="85% Dark Bars"/>
    <n v="2989"/>
    <n v="3"/>
  </r>
  <r>
    <x v="1"/>
    <x v="4"/>
    <s v="Organic Choco Syrup"/>
    <n v="2268"/>
    <n v="63"/>
  </r>
  <r>
    <x v="6"/>
    <x v="1"/>
    <s v="Smooth Sliky Salty"/>
    <n v="4753"/>
    <n v="246"/>
  </r>
  <r>
    <x v="7"/>
    <x v="5"/>
    <s v="99% Dark &amp; Pure"/>
    <n v="7511"/>
    <n v="120"/>
  </r>
  <r>
    <x v="7"/>
    <x v="4"/>
    <s v="Smooth Sliky Salty"/>
    <n v="4326"/>
    <n v="348"/>
  </r>
  <r>
    <x v="3"/>
    <x v="5"/>
    <s v="Fruit &amp; Nut Bars"/>
    <n v="4935"/>
    <n v="126"/>
  </r>
  <r>
    <x v="4"/>
    <x v="1"/>
    <s v="70% Dark Bites"/>
    <n v="4781"/>
    <n v="123"/>
  </r>
  <r>
    <x v="6"/>
    <x v="4"/>
    <s v="White Choc"/>
    <n v="7483"/>
    <n v="45"/>
  </r>
  <r>
    <x v="9"/>
    <x v="4"/>
    <s v="Almond Choco"/>
    <n v="6860"/>
    <n v="126"/>
  </r>
  <r>
    <x v="0"/>
    <x v="0"/>
    <s v="Manuka Honey Choco"/>
    <n v="9002"/>
    <n v="72"/>
  </r>
  <r>
    <x v="4"/>
    <x v="2"/>
    <s v="Manuka Honey Choco"/>
    <n v="1400"/>
    <n v="135"/>
  </r>
  <r>
    <x v="9"/>
    <x v="5"/>
    <s v="After Nines"/>
    <n v="4053"/>
    <n v="24"/>
  </r>
  <r>
    <x v="5"/>
    <x v="2"/>
    <s v="Smooth Sliky Salty"/>
    <n v="2149"/>
    <n v="117"/>
  </r>
  <r>
    <x v="8"/>
    <x v="3"/>
    <s v="Manuka Honey Choco"/>
    <n v="3640"/>
    <n v="51"/>
  </r>
  <r>
    <x v="7"/>
    <x v="3"/>
    <s v="Fruit &amp; Nut Bars"/>
    <n v="630"/>
    <n v="36"/>
  </r>
  <r>
    <x v="2"/>
    <x v="1"/>
    <s v="Organic Choco Syrup"/>
    <n v="2429"/>
    <n v="144"/>
  </r>
  <r>
    <x v="2"/>
    <x v="2"/>
    <s v="White Choc"/>
    <n v="2142"/>
    <n v="114"/>
  </r>
  <r>
    <x v="5"/>
    <x v="0"/>
    <s v="70% Dark Bites"/>
    <n v="6454"/>
    <n v="54"/>
  </r>
  <r>
    <x v="5"/>
    <x v="0"/>
    <s v="Mint Chip Choco"/>
    <n v="4487"/>
    <n v="333"/>
  </r>
  <r>
    <x v="8"/>
    <x v="0"/>
    <s v="Almond Choco"/>
    <n v="938"/>
    <n v="366"/>
  </r>
  <r>
    <x v="8"/>
    <x v="4"/>
    <s v="Baker's Choco Chips"/>
    <n v="8841"/>
    <n v="303"/>
  </r>
  <r>
    <x v="7"/>
    <x v="3"/>
    <s v="Peanut Butter Cubes"/>
    <n v="4018"/>
    <n v="126"/>
  </r>
  <r>
    <x v="3"/>
    <x v="0"/>
    <s v="Raspberry Choco"/>
    <n v="714"/>
    <n v="231"/>
  </r>
  <r>
    <x v="2"/>
    <x v="4"/>
    <s v="White Choc"/>
    <n v="3850"/>
    <n v="1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66500"/>
    <n v="2802"/>
    <n v="23.733047822983583"/>
    <n v="14.49"/>
    <n v="9.2430478229835824"/>
    <x v="0"/>
    <x v="0"/>
  </r>
  <r>
    <x v="1"/>
    <n v="71967"/>
    <n v="2301"/>
    <n v="31.276401564537156"/>
    <n v="8.65"/>
    <n v="22.626401564537154"/>
    <x v="1"/>
    <x v="1"/>
  </r>
  <r>
    <x v="2"/>
    <n v="33551"/>
    <n v="1566"/>
    <n v="21.424648786717754"/>
    <n v="11.88"/>
    <n v="9.5446487867177527"/>
    <x v="2"/>
    <x v="2"/>
  </r>
  <r>
    <x v="3"/>
    <n v="52150"/>
    <n v="1752"/>
    <n v="29.765981735159816"/>
    <n v="6.47"/>
    <n v="23.295981735159817"/>
    <x v="3"/>
    <x v="3"/>
  </r>
  <r>
    <x v="4"/>
    <n v="57372"/>
    <n v="2106"/>
    <n v="27.242165242165242"/>
    <n v="13.15"/>
    <n v="14.092165242165242"/>
    <x v="4"/>
    <x v="4"/>
  </r>
  <r>
    <x v="5"/>
    <n v="69160"/>
    <n v="1854"/>
    <n v="37.303128371089535"/>
    <n v="12.37"/>
    <n v="24.933128371089538"/>
    <x v="5"/>
    <x v="5"/>
  </r>
  <r>
    <x v="6"/>
    <n v="39263"/>
    <n v="1683"/>
    <n v="23.329174093879978"/>
    <n v="5.79"/>
    <n v="17.539174093879978"/>
    <x v="6"/>
    <x v="6"/>
  </r>
  <r>
    <x v="7"/>
    <n v="66283"/>
    <n v="2052"/>
    <n v="32.301656920077974"/>
    <n v="9.77"/>
    <n v="22.531656920077975"/>
    <x v="7"/>
    <x v="7"/>
  </r>
  <r>
    <x v="8"/>
    <n v="43183"/>
    <n v="2022"/>
    <n v="21.356577645895154"/>
    <n v="11.7"/>
    <n v="9.6565776458951547"/>
    <x v="8"/>
    <x v="8"/>
  </r>
  <r>
    <x v="9"/>
    <n v="63721"/>
    <n v="2331"/>
    <n v="27.336336336336338"/>
    <n v="3.11"/>
    <n v="24.226336336336338"/>
    <x v="9"/>
    <x v="9"/>
  </r>
  <r>
    <x v="10"/>
    <n v="62111"/>
    <n v="2154"/>
    <n v="28.835190343546891"/>
    <n v="8.7899999999999991"/>
    <n v="20.045190343546892"/>
    <x v="10"/>
    <x v="10"/>
  </r>
  <r>
    <x v="11"/>
    <n v="47271"/>
    <n v="1881"/>
    <n v="25.130781499202552"/>
    <n v="9.33"/>
    <n v="15.800781499202552"/>
    <x v="11"/>
    <x v="11"/>
  </r>
  <r>
    <x v="12"/>
    <n v="58009"/>
    <n v="2976"/>
    <n v="19.492271505376344"/>
    <n v="7.16"/>
    <n v="12.332271505376344"/>
    <x v="12"/>
    <x v="12"/>
  </r>
  <r>
    <x v="13"/>
    <n v="54712"/>
    <n v="2196"/>
    <n v="24.9143897996357"/>
    <n v="10.62"/>
    <n v="14.294389799635701"/>
    <x v="13"/>
    <x v="13"/>
  </r>
  <r>
    <x v="14"/>
    <n v="56644"/>
    <n v="1812"/>
    <n v="31.260485651214129"/>
    <n v="6.49"/>
    <n v="24.77048565121413"/>
    <x v="14"/>
    <x v="14"/>
  </r>
  <r>
    <x v="15"/>
    <n v="44744"/>
    <n v="1956"/>
    <n v="22.87525562372188"/>
    <n v="7.64"/>
    <n v="15.23525562372188"/>
    <x v="15"/>
    <x v="15"/>
  </r>
  <r>
    <x v="16"/>
    <n v="68971"/>
    <n v="1533"/>
    <n v="44.990867579908674"/>
    <n v="11.73"/>
    <n v="33.260867579908677"/>
    <x v="16"/>
    <x v="16"/>
  </r>
  <r>
    <x v="17"/>
    <n v="35378"/>
    <n v="1044"/>
    <n v="33.88697318007663"/>
    <n v="4.97"/>
    <n v="28.916973180076631"/>
    <x v="17"/>
    <x v="17"/>
  </r>
  <r>
    <x v="18"/>
    <n v="69461"/>
    <n v="2982"/>
    <n v="23.293427230046948"/>
    <n v="16.73"/>
    <n v="6.5634272300469476"/>
    <x v="18"/>
    <x v="18"/>
  </r>
  <r>
    <x v="19"/>
    <n v="72373"/>
    <n v="3207"/>
    <n v="22.567196757093857"/>
    <n v="10.38"/>
    <n v="12.187196757093856"/>
    <x v="19"/>
    <x v="19"/>
  </r>
  <r>
    <x v="20"/>
    <n v="37772"/>
    <n v="1308"/>
    <n v="28.877675840978593"/>
    <n v="9"/>
    <n v="19.877675840978593"/>
    <x v="20"/>
    <x v="20"/>
  </r>
  <r>
    <x v="21"/>
    <n v="70273"/>
    <n v="2142"/>
    <n v="32.807189542483663"/>
    <n v="5.6"/>
    <n v="27.207189542483661"/>
    <x v="2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CF18D-7541-45A9-8B0A-54C0D831C231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5:C12" firstHeaderRow="1" firstDataRow="1" firstDataCol="1"/>
  <pivotFields count="5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6" showAll="0"/>
    <pivotField numFmtId="3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435B9-1D82-4AA6-9651-D43FD8B7B066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L13" firstHeaderRow="1" firstDataRow="2" firstDataCol="1"/>
  <pivotFields count="5">
    <pivotField axis="axisCol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6" showAll="0"/>
    <pivotField numFmtId="3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Amount" fld="3" baseField="0" baseItem="0"/>
  </dataFields>
  <conditionalFormats count="6"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0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1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2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3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7D78D-34E6-49DA-92B3-81FA41C5222D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D28" firstHeaderRow="0" firstDataRow="1" firstDataCol="1"/>
  <pivotFields count="8">
    <pivotField axis="axisRow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numFmtId="44" showAll="0"/>
    <pivotField showAll="0"/>
    <pivotField numFmtId="44" showAll="0"/>
    <pivotField numFmtId="44" showAll="0"/>
    <pivotField numFmtId="44" showAll="0"/>
    <pivotField dataField="1" numFmtId="44" showAll="0">
      <items count="23">
        <item x="2"/>
        <item x="8"/>
        <item x="18"/>
        <item x="0"/>
        <item x="20"/>
        <item x="6"/>
        <item x="4"/>
        <item x="11"/>
        <item x="15"/>
        <item x="17"/>
        <item x="13"/>
        <item x="12"/>
        <item x="19"/>
        <item x="3"/>
        <item x="10"/>
        <item x="14"/>
        <item x="5"/>
        <item x="7"/>
        <item x="16"/>
        <item x="1"/>
        <item x="9"/>
        <item x="21"/>
        <item t="default"/>
      </items>
    </pivotField>
    <pivotField dataField="1" numFmtId="168" showAll="0">
      <items count="23">
        <item x="18"/>
        <item x="0"/>
        <item x="2"/>
        <item x="8"/>
        <item x="4"/>
        <item x="19"/>
        <item x="13"/>
        <item x="11"/>
        <item x="12"/>
        <item x="15"/>
        <item x="5"/>
        <item x="20"/>
        <item x="10"/>
        <item x="7"/>
        <item x="1"/>
        <item x="16"/>
        <item x="6"/>
        <item x="3"/>
        <item x="14"/>
        <item x="21"/>
        <item x="17"/>
        <item x="9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Profit" fld="6" baseField="0" baseItem="0"/>
    <dataField name="Sum of Profit Percentage" fld="7" baseField="0" baseItem="0"/>
  </dataFields>
  <formats count="1">
    <format dxfId="17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conditionalFormats count="2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M11:N33" totalsRowShown="0">
  <autoFilter ref="M11:N33" xr:uid="{00000000-0009-0000-0100-000001000000}"/>
  <tableColumns count="2">
    <tableColumn id="1" xr3:uid="{00000000-0010-0000-0000-000001000000}" name="Product"/>
    <tableColumn id="2" xr3:uid="{00000000-0010-0000-0000-000002000000}" name="Cost per unit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1:G311" totalsRowShown="0" headerRowDxfId="31">
  <autoFilter ref="C11:G311" xr:uid="{00000000-0009-0000-0100-000003000000}"/>
  <tableColumns count="5">
    <tableColumn id="1" xr3:uid="{00000000-0010-0000-0100-000001000000}" name="Sales Person"/>
    <tableColumn id="2" xr3:uid="{00000000-0010-0000-0100-000002000000}" name="Geography"/>
    <tableColumn id="3" xr3:uid="{00000000-0010-0000-0100-000003000000}" name="Product"/>
    <tableColumn id="4" xr3:uid="{00000000-0010-0000-0100-000004000000}" name="Amount" dataDxfId="30"/>
    <tableColumn id="5" xr3:uid="{00000000-0010-0000-0100-000005000000}" name="Units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45342-6C40-480D-8A3D-3F555AE4822A}" name="Table2" displayName="Table2" ref="D6:F10" totalsRowShown="0">
  <autoFilter ref="D6:F10" xr:uid="{90845342-6C40-480D-8A3D-3F555AE4822A}"/>
  <tableColumns count="3">
    <tableColumn id="1" xr3:uid="{C4306072-E63A-4C85-AA0B-F6A97B03751B}" name="Column1"/>
    <tableColumn id="2" xr3:uid="{1A1B05A4-F17A-4998-B059-44A932BCFD74}" name="amount"/>
    <tableColumn id="3" xr3:uid="{EC47C047-D3C4-43DB-9CA1-7D1828012AC5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4DCFC6-4F28-4320-BFC4-41EC06E4CB6B}" name="Table4" displayName="Table4" ref="F4:I26" totalsRowShown="0" headerRowDxfId="18">
  <autoFilter ref="F4:I26" xr:uid="{8C4DCFC6-4F28-4320-BFC4-41EC06E4CB6B}"/>
  <sortState xmlns:xlrd2="http://schemas.microsoft.com/office/spreadsheetml/2017/richdata2" ref="F5:I26">
    <sortCondition descending="1" ref="I4:I26"/>
  </sortState>
  <tableColumns count="4">
    <tableColumn id="1" xr3:uid="{724BEF61-BAB8-4E4E-ACDA-7C3A3A3AF880}" name="Products" dataDxfId="20"/>
    <tableColumn id="2" xr3:uid="{FBAE6595-BAE5-4367-BA44-FE2D1E2F2DB2}" name="Amount">
      <calculatedColumnFormula>SUMIFS(Table3[Amount],Table3[Product],$F5)</calculatedColumnFormula>
    </tableColumn>
    <tableColumn id="3" xr3:uid="{C6A5521D-72E7-41CA-A409-F1DB2BA4DF05}" name="Units">
      <calculatedColumnFormula>SUMIFS(Table3[Units],Table3[Product],$F5)</calculatedColumnFormula>
    </tableColumn>
    <tableColumn id="4" xr3:uid="{93F03089-9066-4CAB-8235-92209EDEEA21}" name="Amount Per unit" dataDxfId="19" dataCellStyle="Currency">
      <calculatedColumnFormula>G5/H5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B2:F302" totalsRowShown="0" headerRowDxfId="28" tableBorderDxfId="27">
  <autoFilter ref="B2:F302" xr:uid="{00000000-0009-0000-0100-000006000000}"/>
  <tableColumns count="5">
    <tableColumn id="1" xr3:uid="{00000000-0010-0000-0200-000001000000}" name="Product" dataDxfId="26"/>
    <tableColumn id="2" xr3:uid="{00000000-0010-0000-0200-000002000000}" name="Amount" dataDxfId="25"/>
    <tableColumn id="5" xr3:uid="{00000000-0010-0000-0200-000005000000}" name="Z score amount" dataDxfId="24" dataCellStyle="Currency">
      <calculatedColumnFormula>(Table6[[#This Row],[Amount]]-$M$3)/ $M$4</calculatedColumnFormula>
    </tableColumn>
    <tableColumn id="3" xr3:uid="{00000000-0010-0000-0200-000003000000}" name="Unit" dataDxfId="23"/>
    <tableColumn id="6" xr3:uid="{00000000-0010-0000-0200-000006000000}" name="Z score unit" dataDxfId="22">
      <calculatedColumnFormula xml:space="preserve"> (Table6[[#This Row],[Unit]]-$N$3)/$N$4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B18:D28" totalsRowShown="0">
  <autoFilter ref="B18:D28" xr:uid="{00000000-0009-0000-0100-000007000000}"/>
  <tableColumns count="3">
    <tableColumn id="1" xr3:uid="{00000000-0010-0000-0300-000001000000}" name="Name" dataDxfId="21"/>
    <tableColumn id="2" xr3:uid="{00000000-0010-0000-0300-000002000000}" name="Amount">
      <calculatedColumnFormula>SUMIFS(Table3[Amount],Table3[Sales Person],B19,Table3[Geography],$C$3)</calculatedColumnFormula>
    </tableColumn>
    <tableColumn id="3" xr3:uid="{00000000-0010-0000-0300-000003000000}" name="Unit">
      <calculatedColumnFormula>SUMIFS(Table3[Units],Table3[Sales Person],B19,Table3[Geography],$C$3)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B7:D9" totalsRowShown="0">
  <autoFilter ref="B7:D9" xr:uid="{00000000-0009-0000-0100-000008000000}"/>
  <tableColumns count="3">
    <tableColumn id="1" xr3:uid="{00000000-0010-0000-0400-000001000000}" name="Column1"/>
    <tableColumn id="2" xr3:uid="{00000000-0010-0000-0400-000002000000}" name="Amount">
      <calculatedColumnFormula>AVERAGEIFS(Table3[Amount],Table3[Geography],$C$3)</calculatedColumnFormula>
    </tableColumn>
    <tableColumn id="3" xr3:uid="{00000000-0010-0000-0400-000003000000}" name="Unit">
      <calculatedColumnFormula>AVERAGEIFS(Table3[Units],Table3[Geography],$C$3)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8"/>
  <sheetViews>
    <sheetView showGridLines="0" zoomScale="115" zoomScaleNormal="115" workbookViewId="0">
      <selection activeCell="G11" sqref="G11"/>
    </sheetView>
  </sheetViews>
  <sheetFormatPr defaultRowHeight="14.5" x14ac:dyDescent="0.35"/>
  <cols>
    <col min="1" max="1" width="1.6328125" customWidth="1"/>
    <col min="2" max="2" width="3.6328125" customWidth="1"/>
    <col min="3" max="3" width="19.54296875" customWidth="1"/>
    <col min="4" max="4" width="14.6328125" customWidth="1"/>
    <col min="5" max="5" width="21.90625" bestFit="1" customWidth="1"/>
    <col min="6" max="6" width="13.54296875" customWidth="1"/>
    <col min="7" max="7" width="11.6328125" customWidth="1"/>
    <col min="10" max="10" width="3.90625" customWidth="1"/>
    <col min="11" max="11" width="53.90625" customWidth="1"/>
    <col min="13" max="13" width="20.36328125" bestFit="1" customWidth="1"/>
    <col min="25" max="25" width="21.90625" bestFit="1" customWidth="1"/>
    <col min="26" max="26" width="14.453125" customWidth="1"/>
    <col min="31" max="31" width="21.90625" customWidth="1"/>
  </cols>
  <sheetData>
    <row r="1" spans="1:14" s="2" customFormat="1" ht="52.5" customHeight="1" x14ac:dyDescent="0.35">
      <c r="A1" s="1"/>
      <c r="C1" s="3" t="s">
        <v>42</v>
      </c>
    </row>
    <row r="11" spans="1:14" x14ac:dyDescent="0.3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M11" t="s">
        <v>0</v>
      </c>
      <c r="N11" t="s">
        <v>51</v>
      </c>
    </row>
    <row r="12" spans="1:14" x14ac:dyDescent="0.3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M12" t="s">
        <v>13</v>
      </c>
      <c r="N12" s="11">
        <v>9.33</v>
      </c>
    </row>
    <row r="13" spans="1:14" x14ac:dyDescent="0.3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M13" t="s">
        <v>14</v>
      </c>
      <c r="N13" s="11">
        <v>11.7</v>
      </c>
    </row>
    <row r="14" spans="1:14" x14ac:dyDescent="0.3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M14" t="s">
        <v>4</v>
      </c>
      <c r="N14" s="11">
        <v>11.88</v>
      </c>
    </row>
    <row r="15" spans="1:14" x14ac:dyDescent="0.3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M15" t="s">
        <v>15</v>
      </c>
      <c r="N15" s="11">
        <v>11.73</v>
      </c>
    </row>
    <row r="16" spans="1:14" x14ac:dyDescent="0.3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M16" t="s">
        <v>16</v>
      </c>
      <c r="N16" s="11">
        <v>8.7899999999999991</v>
      </c>
    </row>
    <row r="17" spans="3:14" x14ac:dyDescent="0.3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M17" t="s">
        <v>17</v>
      </c>
      <c r="N17" s="11">
        <v>3.11</v>
      </c>
    </row>
    <row r="18" spans="3:14" x14ac:dyDescent="0.3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M18" t="s">
        <v>18</v>
      </c>
      <c r="N18" s="11">
        <v>6.47</v>
      </c>
    </row>
    <row r="19" spans="3:14" x14ac:dyDescent="0.3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M19" t="s">
        <v>19</v>
      </c>
      <c r="N19" s="11">
        <v>7.64</v>
      </c>
    </row>
    <row r="20" spans="3:14" x14ac:dyDescent="0.3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M20" t="s">
        <v>20</v>
      </c>
      <c r="N20" s="11">
        <v>10.62</v>
      </c>
    </row>
    <row r="21" spans="3:14" x14ac:dyDescent="0.3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M21" t="s">
        <v>21</v>
      </c>
      <c r="N21" s="11">
        <v>9</v>
      </c>
    </row>
    <row r="22" spans="3:14" x14ac:dyDescent="0.3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M22" t="s">
        <v>22</v>
      </c>
      <c r="N22" s="11">
        <v>9.77</v>
      </c>
    </row>
    <row r="23" spans="3:14" x14ac:dyDescent="0.3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M23" t="s">
        <v>23</v>
      </c>
      <c r="N23" s="11">
        <v>6.49</v>
      </c>
    </row>
    <row r="24" spans="3:14" x14ac:dyDescent="0.3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M24" t="s">
        <v>24</v>
      </c>
      <c r="N24" s="11">
        <v>4.97</v>
      </c>
    </row>
    <row r="25" spans="3:14" x14ac:dyDescent="0.3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M25" t="s">
        <v>25</v>
      </c>
      <c r="N25" s="11">
        <v>13.15</v>
      </c>
    </row>
    <row r="26" spans="3:14" x14ac:dyDescent="0.3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M26" t="s">
        <v>26</v>
      </c>
      <c r="N26" s="11">
        <v>5.6</v>
      </c>
    </row>
    <row r="27" spans="3:14" x14ac:dyDescent="0.3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M27" t="s">
        <v>27</v>
      </c>
      <c r="N27" s="11">
        <v>16.73</v>
      </c>
    </row>
    <row r="28" spans="3:14" x14ac:dyDescent="0.3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M28" t="s">
        <v>28</v>
      </c>
      <c r="N28" s="11">
        <v>10.38</v>
      </c>
    </row>
    <row r="29" spans="3:14" x14ac:dyDescent="0.3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M29" t="s">
        <v>29</v>
      </c>
      <c r="N29" s="11">
        <v>7.16</v>
      </c>
    </row>
    <row r="30" spans="3:14" x14ac:dyDescent="0.3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M30" t="s">
        <v>30</v>
      </c>
      <c r="N30" s="11">
        <v>14.49</v>
      </c>
    </row>
    <row r="31" spans="3:14" x14ac:dyDescent="0.3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M31" t="s">
        <v>31</v>
      </c>
      <c r="N31" s="11">
        <v>5.79</v>
      </c>
    </row>
    <row r="32" spans="3:14" x14ac:dyDescent="0.3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M32" t="s">
        <v>32</v>
      </c>
      <c r="N32" s="11">
        <v>8.65</v>
      </c>
    </row>
    <row r="33" spans="3:14" x14ac:dyDescent="0.3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M33" t="s">
        <v>33</v>
      </c>
      <c r="N33" s="11">
        <v>12.37</v>
      </c>
    </row>
    <row r="34" spans="3:14" x14ac:dyDescent="0.3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14" x14ac:dyDescent="0.3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14" x14ac:dyDescent="0.3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14" x14ac:dyDescent="0.3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14" x14ac:dyDescent="0.3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14" x14ac:dyDescent="0.3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14" x14ac:dyDescent="0.3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14" x14ac:dyDescent="0.3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14" x14ac:dyDescent="0.3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14" x14ac:dyDescent="0.3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14" x14ac:dyDescent="0.3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14" x14ac:dyDescent="0.3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14" x14ac:dyDescent="0.3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14" x14ac:dyDescent="0.3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14" x14ac:dyDescent="0.3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5">
      <c r="F312" s="4"/>
      <c r="G312" s="5"/>
    </row>
    <row r="313" spans="3:7" x14ac:dyDescent="0.35">
      <c r="F313" s="4"/>
      <c r="G313" s="5"/>
    </row>
    <row r="314" spans="3:7" x14ac:dyDescent="0.35">
      <c r="F314" s="4"/>
      <c r="G314" s="5"/>
    </row>
    <row r="315" spans="3:7" x14ac:dyDescent="0.35">
      <c r="F315" s="4"/>
      <c r="G315" s="5"/>
    </row>
    <row r="316" spans="3:7" x14ac:dyDescent="0.35">
      <c r="F316" s="4"/>
      <c r="G316" s="5"/>
    </row>
    <row r="317" spans="3:7" x14ac:dyDescent="0.35">
      <c r="F317" s="4"/>
      <c r="G317" s="5"/>
    </row>
    <row r="318" spans="3:7" x14ac:dyDescent="0.35">
      <c r="F318" s="4"/>
      <c r="G318" s="5"/>
    </row>
    <row r="319" spans="3:7" x14ac:dyDescent="0.35">
      <c r="F319" s="4"/>
      <c r="G319" s="5"/>
    </row>
    <row r="320" spans="3:7" x14ac:dyDescent="0.35">
      <c r="F320" s="4"/>
      <c r="G320" s="5"/>
    </row>
    <row r="321" spans="6:7" x14ac:dyDescent="0.35">
      <c r="F321" s="4"/>
      <c r="G321" s="5"/>
    </row>
    <row r="322" spans="6:7" x14ac:dyDescent="0.35">
      <c r="F322" s="4"/>
      <c r="G322" s="5"/>
    </row>
    <row r="323" spans="6:7" x14ac:dyDescent="0.35">
      <c r="F323" s="4"/>
      <c r="G323" s="5"/>
    </row>
    <row r="324" spans="6:7" x14ac:dyDescent="0.35">
      <c r="F324" s="4"/>
      <c r="G324" s="5"/>
    </row>
    <row r="325" spans="6:7" x14ac:dyDescent="0.35">
      <c r="F325" s="4"/>
      <c r="G325" s="5"/>
    </row>
    <row r="326" spans="6:7" x14ac:dyDescent="0.35">
      <c r="F326" s="4"/>
      <c r="G326" s="5"/>
    </row>
    <row r="327" spans="6:7" x14ac:dyDescent="0.35">
      <c r="F327" s="4"/>
      <c r="G327" s="5"/>
    </row>
    <row r="328" spans="6:7" x14ac:dyDescent="0.35">
      <c r="F328" s="4"/>
      <c r="G328" s="5"/>
    </row>
    <row r="329" spans="6:7" x14ac:dyDescent="0.35">
      <c r="F329" s="4"/>
      <c r="G329" s="5"/>
    </row>
    <row r="330" spans="6:7" x14ac:dyDescent="0.35">
      <c r="F330" s="4"/>
      <c r="G330" s="5"/>
    </row>
    <row r="331" spans="6:7" x14ac:dyDescent="0.35">
      <c r="F331" s="4"/>
      <c r="G331" s="5"/>
    </row>
    <row r="332" spans="6:7" x14ac:dyDescent="0.35">
      <c r="F332" s="4"/>
      <c r="G332" s="5"/>
    </row>
    <row r="333" spans="6:7" x14ac:dyDescent="0.35">
      <c r="F333" s="4"/>
      <c r="G333" s="5"/>
    </row>
    <row r="334" spans="6:7" x14ac:dyDescent="0.35">
      <c r="F334" s="4"/>
      <c r="G334" s="5"/>
    </row>
    <row r="335" spans="6:7" x14ac:dyDescent="0.35">
      <c r="F335" s="4"/>
      <c r="G335" s="5"/>
    </row>
    <row r="336" spans="6:7" x14ac:dyDescent="0.35">
      <c r="F336" s="4"/>
      <c r="G336" s="5"/>
    </row>
    <row r="337" spans="6:7" x14ac:dyDescent="0.35">
      <c r="F337" s="4"/>
      <c r="G337" s="5"/>
    </row>
    <row r="338" spans="6:7" x14ac:dyDescent="0.35">
      <c r="F338" s="4"/>
      <c r="G338" s="5"/>
    </row>
    <row r="339" spans="6:7" x14ac:dyDescent="0.35">
      <c r="F339" s="4"/>
      <c r="G339" s="5"/>
    </row>
    <row r="340" spans="6:7" x14ac:dyDescent="0.35">
      <c r="F340" s="4"/>
      <c r="G340" s="5"/>
    </row>
    <row r="341" spans="6:7" x14ac:dyDescent="0.35">
      <c r="F341" s="4"/>
      <c r="G341" s="5"/>
    </row>
    <row r="342" spans="6:7" x14ac:dyDescent="0.35">
      <c r="F342" s="4"/>
      <c r="G342" s="5"/>
    </row>
    <row r="343" spans="6:7" x14ac:dyDescent="0.35">
      <c r="F343" s="4"/>
      <c r="G343" s="5"/>
    </row>
    <row r="344" spans="6:7" x14ac:dyDescent="0.35">
      <c r="F344" s="4"/>
      <c r="G344" s="5"/>
    </row>
    <row r="345" spans="6:7" x14ac:dyDescent="0.35">
      <c r="F345" s="4"/>
      <c r="G345" s="5"/>
    </row>
    <row r="346" spans="6:7" x14ac:dyDescent="0.35">
      <c r="F346" s="4"/>
      <c r="G346" s="5"/>
    </row>
    <row r="347" spans="6:7" x14ac:dyDescent="0.35">
      <c r="F347" s="4"/>
      <c r="G347" s="5"/>
    </row>
    <row r="348" spans="6:7" x14ac:dyDescent="0.35">
      <c r="F348" s="4"/>
      <c r="G348" s="5"/>
    </row>
    <row r="349" spans="6:7" x14ac:dyDescent="0.35">
      <c r="F349" s="4"/>
      <c r="G349" s="5"/>
    </row>
    <row r="350" spans="6:7" x14ac:dyDescent="0.35">
      <c r="F350" s="4"/>
      <c r="G350" s="5"/>
    </row>
    <row r="351" spans="6:7" x14ac:dyDescent="0.35">
      <c r="F351" s="4"/>
      <c r="G351" s="5"/>
    </row>
    <row r="352" spans="6:7" x14ac:dyDescent="0.35">
      <c r="F352" s="4"/>
      <c r="G352" s="5"/>
    </row>
    <row r="353" spans="6:7" x14ac:dyDescent="0.35">
      <c r="F353" s="4"/>
      <c r="G353" s="5"/>
    </row>
    <row r="354" spans="6:7" x14ac:dyDescent="0.35">
      <c r="F354" s="4"/>
      <c r="G354" s="5"/>
    </row>
    <row r="355" spans="6:7" x14ac:dyDescent="0.35">
      <c r="F355" s="4"/>
      <c r="G355" s="5"/>
    </row>
    <row r="356" spans="6:7" x14ac:dyDescent="0.35">
      <c r="F356" s="4"/>
      <c r="G356" s="5"/>
    </row>
    <row r="357" spans="6:7" x14ac:dyDescent="0.35">
      <c r="F357" s="4"/>
      <c r="G357" s="5"/>
    </row>
    <row r="358" spans="6:7" x14ac:dyDescent="0.35">
      <c r="F358" s="4"/>
      <c r="G358" s="5"/>
    </row>
    <row r="359" spans="6:7" x14ac:dyDescent="0.35">
      <c r="F359" s="4"/>
      <c r="G359" s="5"/>
    </row>
    <row r="360" spans="6:7" x14ac:dyDescent="0.35">
      <c r="F360" s="4"/>
      <c r="G360" s="5"/>
    </row>
    <row r="361" spans="6:7" x14ac:dyDescent="0.35">
      <c r="F361" s="4"/>
      <c r="G361" s="5"/>
    </row>
    <row r="362" spans="6:7" x14ac:dyDescent="0.35">
      <c r="F362" s="4"/>
      <c r="G362" s="5"/>
    </row>
    <row r="363" spans="6:7" x14ac:dyDescent="0.35">
      <c r="F363" s="4"/>
      <c r="G363" s="5"/>
    </row>
    <row r="364" spans="6:7" x14ac:dyDescent="0.35">
      <c r="F364" s="4"/>
      <c r="G364" s="5"/>
    </row>
    <row r="365" spans="6:7" x14ac:dyDescent="0.35">
      <c r="F365" s="4"/>
      <c r="G365" s="5"/>
    </row>
    <row r="366" spans="6:7" x14ac:dyDescent="0.35">
      <c r="F366" s="4"/>
      <c r="G366" s="5"/>
    </row>
    <row r="367" spans="6:7" x14ac:dyDescent="0.35">
      <c r="F367" s="4"/>
      <c r="G367" s="5"/>
    </row>
    <row r="368" spans="6:7" x14ac:dyDescent="0.35">
      <c r="F368" s="4"/>
      <c r="G368" s="5"/>
    </row>
    <row r="369" spans="6:7" x14ac:dyDescent="0.35">
      <c r="F369" s="4"/>
      <c r="G369" s="5"/>
    </row>
    <row r="370" spans="6:7" x14ac:dyDescent="0.35">
      <c r="F370" s="4"/>
      <c r="G370" s="5"/>
    </row>
    <row r="371" spans="6:7" x14ac:dyDescent="0.35">
      <c r="F371" s="4"/>
      <c r="G371" s="5"/>
    </row>
    <row r="372" spans="6:7" x14ac:dyDescent="0.35">
      <c r="F372" s="4"/>
      <c r="G372" s="5"/>
    </row>
    <row r="373" spans="6:7" x14ac:dyDescent="0.35">
      <c r="F373" s="4"/>
      <c r="G373" s="5"/>
    </row>
    <row r="374" spans="6:7" x14ac:dyDescent="0.35">
      <c r="F374" s="4"/>
      <c r="G374" s="5"/>
    </row>
    <row r="375" spans="6:7" x14ac:dyDescent="0.35">
      <c r="F375" s="4"/>
      <c r="G375" s="5"/>
    </row>
    <row r="376" spans="6:7" x14ac:dyDescent="0.35">
      <c r="F376" s="4"/>
      <c r="G376" s="5"/>
    </row>
    <row r="377" spans="6:7" x14ac:dyDescent="0.35">
      <c r="F377" s="4"/>
      <c r="G377" s="5"/>
    </row>
    <row r="378" spans="6:7" x14ac:dyDescent="0.35">
      <c r="F378" s="4"/>
      <c r="G378" s="5"/>
    </row>
    <row r="379" spans="6:7" x14ac:dyDescent="0.35">
      <c r="F379" s="4"/>
      <c r="G379" s="5"/>
    </row>
    <row r="380" spans="6:7" x14ac:dyDescent="0.35">
      <c r="F380" s="4"/>
      <c r="G380" s="5"/>
    </row>
    <row r="381" spans="6:7" x14ac:dyDescent="0.35">
      <c r="F381" s="4"/>
      <c r="G381" s="5"/>
    </row>
    <row r="382" spans="6:7" x14ac:dyDescent="0.35">
      <c r="F382" s="4"/>
      <c r="G382" s="5"/>
    </row>
    <row r="383" spans="6:7" x14ac:dyDescent="0.35">
      <c r="F383" s="4"/>
      <c r="G383" s="5"/>
    </row>
    <row r="384" spans="6:7" x14ac:dyDescent="0.35">
      <c r="F384" s="4"/>
      <c r="G384" s="5"/>
    </row>
    <row r="385" spans="6:7" x14ac:dyDescent="0.35">
      <c r="F385" s="4"/>
      <c r="G385" s="5"/>
    </row>
    <row r="386" spans="6:7" x14ac:dyDescent="0.35">
      <c r="F386" s="4"/>
      <c r="G386" s="5"/>
    </row>
    <row r="387" spans="6:7" x14ac:dyDescent="0.35">
      <c r="F387" s="4"/>
      <c r="G387" s="5"/>
    </row>
    <row r="388" spans="6:7" x14ac:dyDescent="0.35">
      <c r="F388" s="4"/>
      <c r="G388" s="5"/>
    </row>
    <row r="389" spans="6:7" x14ac:dyDescent="0.35">
      <c r="F389" s="4"/>
      <c r="G389" s="5"/>
    </row>
    <row r="390" spans="6:7" x14ac:dyDescent="0.35">
      <c r="F390" s="4"/>
      <c r="G390" s="5"/>
    </row>
    <row r="391" spans="6:7" x14ac:dyDescent="0.35">
      <c r="F391" s="4"/>
      <c r="G391" s="5"/>
    </row>
    <row r="392" spans="6:7" x14ac:dyDescent="0.35">
      <c r="F392" s="4"/>
      <c r="G392" s="5"/>
    </row>
    <row r="393" spans="6:7" x14ac:dyDescent="0.35">
      <c r="F393" s="4"/>
      <c r="G393" s="5"/>
    </row>
    <row r="394" spans="6:7" x14ac:dyDescent="0.35">
      <c r="F394" s="4"/>
      <c r="G394" s="5"/>
    </row>
    <row r="395" spans="6:7" x14ac:dyDescent="0.35">
      <c r="F395" s="4"/>
      <c r="G395" s="5"/>
    </row>
    <row r="396" spans="6:7" x14ac:dyDescent="0.35">
      <c r="F396" s="4"/>
      <c r="G396" s="5"/>
    </row>
    <row r="397" spans="6:7" x14ac:dyDescent="0.35">
      <c r="F397" s="4"/>
      <c r="G397" s="5"/>
    </row>
    <row r="398" spans="6:7" x14ac:dyDescent="0.35">
      <c r="F398" s="4"/>
      <c r="G398" s="5"/>
    </row>
    <row r="399" spans="6:7" x14ac:dyDescent="0.35">
      <c r="F399" s="4"/>
      <c r="G399" s="5"/>
    </row>
    <row r="400" spans="6:7" x14ac:dyDescent="0.35">
      <c r="F400" s="4"/>
      <c r="G400" s="5"/>
    </row>
    <row r="401" spans="6:7" x14ac:dyDescent="0.35">
      <c r="F401" s="4"/>
      <c r="G401" s="5"/>
    </row>
    <row r="402" spans="6:7" x14ac:dyDescent="0.35">
      <c r="F402" s="4"/>
      <c r="G402" s="5"/>
    </row>
    <row r="403" spans="6:7" x14ac:dyDescent="0.35">
      <c r="F403" s="4"/>
      <c r="G403" s="5"/>
    </row>
    <row r="404" spans="6:7" x14ac:dyDescent="0.35">
      <c r="F404" s="4"/>
      <c r="G404" s="5"/>
    </row>
    <row r="405" spans="6:7" x14ac:dyDescent="0.35">
      <c r="F405" s="4"/>
      <c r="G405" s="5"/>
    </row>
    <row r="406" spans="6:7" x14ac:dyDescent="0.35">
      <c r="F406" s="4"/>
      <c r="G406" s="5"/>
    </row>
    <row r="407" spans="6:7" x14ac:dyDescent="0.35">
      <c r="F407" s="4"/>
      <c r="G407" s="5"/>
    </row>
    <row r="408" spans="6:7" x14ac:dyDescent="0.35">
      <c r="F408" s="4"/>
      <c r="G408" s="5"/>
    </row>
    <row r="409" spans="6:7" x14ac:dyDescent="0.35">
      <c r="F409" s="4"/>
      <c r="G409" s="5"/>
    </row>
    <row r="410" spans="6:7" x14ac:dyDescent="0.35">
      <c r="F410" s="4"/>
      <c r="G410" s="5"/>
    </row>
    <row r="411" spans="6:7" x14ac:dyDescent="0.35">
      <c r="F411" s="4"/>
      <c r="G411" s="5"/>
    </row>
    <row r="412" spans="6:7" x14ac:dyDescent="0.35">
      <c r="F412" s="4"/>
      <c r="G412" s="5"/>
    </row>
    <row r="413" spans="6:7" x14ac:dyDescent="0.35">
      <c r="F413" s="4"/>
      <c r="G413" s="5"/>
    </row>
    <row r="414" spans="6:7" x14ac:dyDescent="0.35">
      <c r="F414" s="4"/>
      <c r="G414" s="5"/>
    </row>
    <row r="415" spans="6:7" x14ac:dyDescent="0.35">
      <c r="F415" s="4"/>
      <c r="G415" s="5"/>
    </row>
    <row r="416" spans="6:7" x14ac:dyDescent="0.35">
      <c r="F416" s="4"/>
      <c r="G416" s="5"/>
    </row>
    <row r="417" spans="6:7" x14ac:dyDescent="0.35">
      <c r="F417" s="4"/>
      <c r="G417" s="5"/>
    </row>
    <row r="418" spans="6:7" x14ac:dyDescent="0.35">
      <c r="F418" s="4"/>
      <c r="G418" s="5"/>
    </row>
    <row r="419" spans="6:7" x14ac:dyDescent="0.35">
      <c r="F419" s="4"/>
      <c r="G419" s="5"/>
    </row>
    <row r="420" spans="6:7" x14ac:dyDescent="0.35">
      <c r="F420" s="4"/>
      <c r="G420" s="5"/>
    </row>
    <row r="421" spans="6:7" x14ac:dyDescent="0.35">
      <c r="F421" s="4"/>
      <c r="G421" s="5"/>
    </row>
    <row r="422" spans="6:7" x14ac:dyDescent="0.35">
      <c r="F422" s="4"/>
      <c r="G422" s="5"/>
    </row>
    <row r="423" spans="6:7" x14ac:dyDescent="0.35">
      <c r="F423" s="4"/>
      <c r="G423" s="5"/>
    </row>
    <row r="424" spans="6:7" x14ac:dyDescent="0.35">
      <c r="F424" s="4"/>
      <c r="G424" s="5"/>
    </row>
    <row r="425" spans="6:7" x14ac:dyDescent="0.35">
      <c r="F425" s="4"/>
      <c r="G425" s="5"/>
    </row>
    <row r="426" spans="6:7" x14ac:dyDescent="0.35">
      <c r="F426" s="4"/>
      <c r="G426" s="5"/>
    </row>
    <row r="427" spans="6:7" x14ac:dyDescent="0.35">
      <c r="F427" s="4"/>
      <c r="G427" s="5"/>
    </row>
    <row r="428" spans="6:7" x14ac:dyDescent="0.35">
      <c r="F428" s="4"/>
      <c r="G428" s="5"/>
    </row>
    <row r="429" spans="6:7" x14ac:dyDescent="0.35">
      <c r="F429" s="4"/>
      <c r="G429" s="5"/>
    </row>
    <row r="430" spans="6:7" x14ac:dyDescent="0.35">
      <c r="F430" s="4"/>
      <c r="G430" s="5"/>
    </row>
    <row r="431" spans="6:7" x14ac:dyDescent="0.35">
      <c r="F431" s="4"/>
      <c r="G431" s="5"/>
    </row>
    <row r="432" spans="6:7" x14ac:dyDescent="0.35">
      <c r="F432" s="4"/>
      <c r="G432" s="5"/>
    </row>
    <row r="433" spans="6:7" x14ac:dyDescent="0.35">
      <c r="F433" s="4"/>
      <c r="G433" s="5"/>
    </row>
    <row r="434" spans="6:7" x14ac:dyDescent="0.35">
      <c r="F434" s="4"/>
      <c r="G434" s="5"/>
    </row>
    <row r="435" spans="6:7" x14ac:dyDescent="0.35">
      <c r="F435" s="4"/>
      <c r="G435" s="5"/>
    </row>
    <row r="436" spans="6:7" x14ac:dyDescent="0.35">
      <c r="F436" s="4"/>
      <c r="G436" s="5"/>
    </row>
    <row r="437" spans="6:7" x14ac:dyDescent="0.35">
      <c r="F437" s="4"/>
      <c r="G437" s="5"/>
    </row>
    <row r="438" spans="6:7" x14ac:dyDescent="0.35">
      <c r="F438" s="4"/>
      <c r="G438" s="5"/>
    </row>
    <row r="439" spans="6:7" x14ac:dyDescent="0.35">
      <c r="F439" s="4"/>
      <c r="G439" s="5"/>
    </row>
    <row r="440" spans="6:7" x14ac:dyDescent="0.35">
      <c r="F440" s="4"/>
      <c r="G440" s="5"/>
    </row>
    <row r="441" spans="6:7" x14ac:dyDescent="0.35">
      <c r="F441" s="4"/>
      <c r="G441" s="5"/>
    </row>
    <row r="442" spans="6:7" x14ac:dyDescent="0.35">
      <c r="F442" s="4"/>
      <c r="G442" s="5"/>
    </row>
    <row r="443" spans="6:7" x14ac:dyDescent="0.35">
      <c r="F443" s="4"/>
      <c r="G443" s="5"/>
    </row>
    <row r="444" spans="6:7" x14ac:dyDescent="0.35">
      <c r="F444" s="4"/>
      <c r="G444" s="5"/>
    </row>
    <row r="445" spans="6:7" x14ac:dyDescent="0.35">
      <c r="F445" s="4"/>
      <c r="G445" s="5"/>
    </row>
    <row r="446" spans="6:7" x14ac:dyDescent="0.35">
      <c r="F446" s="4"/>
      <c r="G446" s="5"/>
    </row>
    <row r="447" spans="6:7" x14ac:dyDescent="0.35">
      <c r="F447" s="4"/>
      <c r="G447" s="5"/>
    </row>
    <row r="448" spans="6:7" x14ac:dyDescent="0.35">
      <c r="F448" s="4"/>
      <c r="G448" s="5"/>
    </row>
    <row r="449" spans="6:7" x14ac:dyDescent="0.35">
      <c r="F449" s="4"/>
      <c r="G449" s="5"/>
    </row>
    <row r="450" spans="6:7" x14ac:dyDescent="0.35">
      <c r="F450" s="4"/>
      <c r="G450" s="5"/>
    </row>
    <row r="451" spans="6:7" x14ac:dyDescent="0.35">
      <c r="F451" s="4"/>
      <c r="G451" s="5"/>
    </row>
    <row r="452" spans="6:7" x14ac:dyDescent="0.35">
      <c r="F452" s="4"/>
      <c r="G452" s="5"/>
    </row>
    <row r="453" spans="6:7" x14ac:dyDescent="0.35">
      <c r="F453" s="4"/>
      <c r="G453" s="5"/>
    </row>
    <row r="454" spans="6:7" x14ac:dyDescent="0.35">
      <c r="F454" s="4"/>
      <c r="G454" s="5"/>
    </row>
    <row r="455" spans="6:7" x14ac:dyDescent="0.35">
      <c r="F455" s="4"/>
      <c r="G455" s="5"/>
    </row>
    <row r="456" spans="6:7" x14ac:dyDescent="0.35">
      <c r="F456" s="4"/>
      <c r="G456" s="5"/>
    </row>
    <row r="457" spans="6:7" x14ac:dyDescent="0.35">
      <c r="F457" s="4"/>
      <c r="G457" s="5"/>
    </row>
    <row r="458" spans="6:7" x14ac:dyDescent="0.35">
      <c r="F458" s="4"/>
      <c r="G458" s="5"/>
    </row>
    <row r="459" spans="6:7" x14ac:dyDescent="0.35">
      <c r="F459" s="4"/>
      <c r="G459" s="5"/>
    </row>
    <row r="460" spans="6:7" x14ac:dyDescent="0.35">
      <c r="F460" s="4"/>
      <c r="G460" s="5"/>
    </row>
    <row r="461" spans="6:7" x14ac:dyDescent="0.35">
      <c r="F461" s="4"/>
      <c r="G461" s="5"/>
    </row>
    <row r="462" spans="6:7" x14ac:dyDescent="0.35">
      <c r="F462" s="4"/>
      <c r="G462" s="5"/>
    </row>
    <row r="463" spans="6:7" x14ac:dyDescent="0.35">
      <c r="F463" s="4"/>
      <c r="G463" s="5"/>
    </row>
    <row r="464" spans="6:7" x14ac:dyDescent="0.35">
      <c r="F464" s="4"/>
      <c r="G464" s="5"/>
    </row>
    <row r="465" spans="6:7" x14ac:dyDescent="0.35">
      <c r="F465" s="4"/>
      <c r="G465" s="5"/>
    </row>
    <row r="466" spans="6:7" x14ac:dyDescent="0.35">
      <c r="F466" s="4"/>
      <c r="G466" s="5"/>
    </row>
    <row r="467" spans="6:7" x14ac:dyDescent="0.35">
      <c r="F467" s="4"/>
      <c r="G467" s="5"/>
    </row>
    <row r="468" spans="6:7" x14ac:dyDescent="0.35">
      <c r="F468" s="4"/>
      <c r="G468" s="5"/>
    </row>
    <row r="469" spans="6:7" x14ac:dyDescent="0.35">
      <c r="F469" s="4"/>
      <c r="G469" s="5"/>
    </row>
    <row r="470" spans="6:7" x14ac:dyDescent="0.35">
      <c r="F470" s="4"/>
      <c r="G470" s="5"/>
    </row>
    <row r="471" spans="6:7" x14ac:dyDescent="0.35">
      <c r="F471" s="4"/>
      <c r="G471" s="5"/>
    </row>
    <row r="472" spans="6:7" x14ac:dyDescent="0.35">
      <c r="F472" s="4"/>
      <c r="G472" s="5"/>
    </row>
    <row r="473" spans="6:7" x14ac:dyDescent="0.35">
      <c r="F473" s="4"/>
      <c r="G473" s="5"/>
    </row>
    <row r="474" spans="6:7" x14ac:dyDescent="0.35">
      <c r="F474" s="4"/>
      <c r="G474" s="5"/>
    </row>
    <row r="475" spans="6:7" x14ac:dyDescent="0.35">
      <c r="F475" s="4"/>
      <c r="G475" s="5"/>
    </row>
    <row r="476" spans="6:7" x14ac:dyDescent="0.35">
      <c r="F476" s="4"/>
      <c r="G476" s="5"/>
    </row>
    <row r="477" spans="6:7" x14ac:dyDescent="0.35">
      <c r="F477" s="4"/>
      <c r="G477" s="5"/>
    </row>
    <row r="478" spans="6:7" x14ac:dyDescent="0.35">
      <c r="F478" s="4"/>
      <c r="G478" s="5"/>
    </row>
    <row r="479" spans="6:7" x14ac:dyDescent="0.35">
      <c r="F479" s="4"/>
      <c r="G479" s="5"/>
    </row>
    <row r="480" spans="6:7" x14ac:dyDescent="0.35">
      <c r="F480" s="4"/>
      <c r="G480" s="5"/>
    </row>
    <row r="481" spans="6:7" x14ac:dyDescent="0.35">
      <c r="F481" s="4"/>
      <c r="G481" s="5"/>
    </row>
    <row r="482" spans="6:7" x14ac:dyDescent="0.35">
      <c r="F482" s="4"/>
      <c r="G482" s="5"/>
    </row>
    <row r="483" spans="6:7" x14ac:dyDescent="0.35">
      <c r="F483" s="4"/>
      <c r="G483" s="5"/>
    </row>
    <row r="484" spans="6:7" x14ac:dyDescent="0.35">
      <c r="F484" s="4"/>
      <c r="G484" s="5"/>
    </row>
    <row r="485" spans="6:7" x14ac:dyDescent="0.35">
      <c r="F485" s="4"/>
      <c r="G485" s="5"/>
    </row>
    <row r="486" spans="6:7" x14ac:dyDescent="0.35">
      <c r="F486" s="4"/>
      <c r="G486" s="5"/>
    </row>
    <row r="487" spans="6:7" x14ac:dyDescent="0.35">
      <c r="F487" s="4"/>
      <c r="G487" s="5"/>
    </row>
    <row r="488" spans="6:7" x14ac:dyDescent="0.35">
      <c r="F488" s="4"/>
      <c r="G488" s="5"/>
    </row>
    <row r="489" spans="6:7" x14ac:dyDescent="0.35">
      <c r="F489" s="4"/>
      <c r="G489" s="5"/>
    </row>
    <row r="490" spans="6:7" x14ac:dyDescent="0.35">
      <c r="F490" s="4"/>
      <c r="G490" s="5"/>
    </row>
    <row r="491" spans="6:7" x14ac:dyDescent="0.35">
      <c r="F491" s="4"/>
      <c r="G491" s="5"/>
    </row>
    <row r="492" spans="6:7" x14ac:dyDescent="0.35">
      <c r="F492" s="4"/>
      <c r="G492" s="5"/>
    </row>
    <row r="493" spans="6:7" x14ac:dyDescent="0.35">
      <c r="F493" s="4"/>
      <c r="G493" s="5"/>
    </row>
    <row r="494" spans="6:7" x14ac:dyDescent="0.35">
      <c r="F494" s="4"/>
      <c r="G494" s="5"/>
    </row>
    <row r="495" spans="6:7" x14ac:dyDescent="0.35">
      <c r="F495" s="4"/>
      <c r="G495" s="5"/>
    </row>
    <row r="496" spans="6:7" x14ac:dyDescent="0.35">
      <c r="F496" s="4"/>
      <c r="G496" s="5"/>
    </row>
    <row r="497" spans="6:7" x14ac:dyDescent="0.35">
      <c r="F497" s="4"/>
      <c r="G497" s="5"/>
    </row>
    <row r="498" spans="6:7" x14ac:dyDescent="0.35">
      <c r="F498" s="4"/>
      <c r="G498" s="5"/>
    </row>
    <row r="499" spans="6:7" x14ac:dyDescent="0.35">
      <c r="F499" s="4"/>
      <c r="G499" s="5"/>
    </row>
    <row r="500" spans="6:7" x14ac:dyDescent="0.35">
      <c r="F500" s="4"/>
      <c r="G500" s="5"/>
    </row>
    <row r="501" spans="6:7" x14ac:dyDescent="0.35">
      <c r="F501" s="4"/>
      <c r="G501" s="5"/>
    </row>
    <row r="502" spans="6:7" x14ac:dyDescent="0.35">
      <c r="F502" s="4"/>
      <c r="G502" s="5"/>
    </row>
    <row r="503" spans="6:7" x14ac:dyDescent="0.35">
      <c r="F503" s="4"/>
      <c r="G503" s="5"/>
    </row>
    <row r="504" spans="6:7" x14ac:dyDescent="0.35">
      <c r="F504" s="4"/>
      <c r="G504" s="5"/>
    </row>
    <row r="505" spans="6:7" x14ac:dyDescent="0.35">
      <c r="F505" s="4"/>
      <c r="G505" s="5"/>
    </row>
    <row r="506" spans="6:7" x14ac:dyDescent="0.35">
      <c r="F506" s="4"/>
      <c r="G506" s="5"/>
    </row>
    <row r="507" spans="6:7" x14ac:dyDescent="0.35">
      <c r="F507" s="4"/>
      <c r="G507" s="5"/>
    </row>
    <row r="508" spans="6:7" x14ac:dyDescent="0.35">
      <c r="F508" s="4"/>
      <c r="G508" s="5"/>
    </row>
    <row r="509" spans="6:7" x14ac:dyDescent="0.35">
      <c r="F509" s="4"/>
      <c r="G509" s="5"/>
    </row>
    <row r="510" spans="6:7" x14ac:dyDescent="0.35">
      <c r="F510" s="4"/>
      <c r="G510" s="5"/>
    </row>
    <row r="511" spans="6:7" x14ac:dyDescent="0.35">
      <c r="F511" s="4"/>
      <c r="G511" s="5"/>
    </row>
    <row r="512" spans="6:7" x14ac:dyDescent="0.35">
      <c r="F512" s="4"/>
      <c r="G512" s="5"/>
    </row>
    <row r="513" spans="6:7" x14ac:dyDescent="0.35">
      <c r="F513" s="4"/>
      <c r="G513" s="5"/>
    </row>
    <row r="514" spans="6:7" x14ac:dyDescent="0.35">
      <c r="F514" s="4"/>
      <c r="G514" s="5"/>
    </row>
    <row r="515" spans="6:7" x14ac:dyDescent="0.35">
      <c r="F515" s="4"/>
      <c r="G515" s="5"/>
    </row>
    <row r="516" spans="6:7" x14ac:dyDescent="0.35">
      <c r="F516" s="4"/>
      <c r="G516" s="5"/>
    </row>
    <row r="517" spans="6:7" x14ac:dyDescent="0.35">
      <c r="F517" s="4"/>
      <c r="G517" s="5"/>
    </row>
    <row r="518" spans="6:7" x14ac:dyDescent="0.35">
      <c r="F518" s="4"/>
      <c r="G518" s="5"/>
    </row>
    <row r="519" spans="6:7" x14ac:dyDescent="0.35">
      <c r="F519" s="4"/>
      <c r="G519" s="5"/>
    </row>
    <row r="520" spans="6:7" x14ac:dyDescent="0.35">
      <c r="F520" s="4"/>
      <c r="G520" s="5"/>
    </row>
    <row r="521" spans="6:7" x14ac:dyDescent="0.35">
      <c r="F521" s="4"/>
      <c r="G521" s="5"/>
    </row>
    <row r="522" spans="6:7" x14ac:dyDescent="0.35">
      <c r="F522" s="4"/>
      <c r="G522" s="5"/>
    </row>
    <row r="523" spans="6:7" x14ac:dyDescent="0.35">
      <c r="F523" s="4"/>
      <c r="G523" s="5"/>
    </row>
    <row r="524" spans="6:7" x14ac:dyDescent="0.35">
      <c r="F524" s="4"/>
      <c r="G524" s="5"/>
    </row>
    <row r="525" spans="6:7" x14ac:dyDescent="0.35">
      <c r="F525" s="4"/>
      <c r="G525" s="5"/>
    </row>
    <row r="526" spans="6:7" x14ac:dyDescent="0.35">
      <c r="F526" s="4"/>
      <c r="G526" s="5"/>
    </row>
    <row r="527" spans="6:7" x14ac:dyDescent="0.35">
      <c r="F527" s="4"/>
      <c r="G527" s="5"/>
    </row>
    <row r="528" spans="6:7" x14ac:dyDescent="0.35">
      <c r="F528" s="4"/>
      <c r="G528" s="5"/>
    </row>
    <row r="529" spans="6:7" x14ac:dyDescent="0.35">
      <c r="F529" s="4"/>
      <c r="G529" s="5"/>
    </row>
    <row r="530" spans="6:7" x14ac:dyDescent="0.35">
      <c r="F530" s="4"/>
      <c r="G530" s="5"/>
    </row>
    <row r="531" spans="6:7" x14ac:dyDescent="0.35">
      <c r="F531" s="4"/>
      <c r="G531" s="5"/>
    </row>
    <row r="532" spans="6:7" x14ac:dyDescent="0.35">
      <c r="F532" s="4"/>
      <c r="G532" s="5"/>
    </row>
    <row r="533" spans="6:7" x14ac:dyDescent="0.35">
      <c r="F533" s="4"/>
      <c r="G533" s="5"/>
    </row>
    <row r="534" spans="6:7" x14ac:dyDescent="0.35">
      <c r="F534" s="4"/>
      <c r="G534" s="5"/>
    </row>
    <row r="535" spans="6:7" x14ac:dyDescent="0.35">
      <c r="F535" s="4"/>
      <c r="G535" s="5"/>
    </row>
    <row r="536" spans="6:7" x14ac:dyDescent="0.35">
      <c r="F536" s="4"/>
      <c r="G536" s="5"/>
    </row>
    <row r="537" spans="6:7" x14ac:dyDescent="0.35">
      <c r="F537" s="4"/>
      <c r="G537" s="5"/>
    </row>
    <row r="538" spans="6:7" x14ac:dyDescent="0.35">
      <c r="F538" s="4"/>
      <c r="G538" s="5"/>
    </row>
    <row r="539" spans="6:7" x14ac:dyDescent="0.35">
      <c r="F539" s="4"/>
      <c r="G539" s="5"/>
    </row>
    <row r="540" spans="6:7" x14ac:dyDescent="0.35">
      <c r="F540" s="4"/>
      <c r="G540" s="5"/>
    </row>
    <row r="541" spans="6:7" x14ac:dyDescent="0.35">
      <c r="F541" s="4"/>
      <c r="G541" s="5"/>
    </row>
    <row r="542" spans="6:7" x14ac:dyDescent="0.35">
      <c r="F542" s="4"/>
      <c r="G542" s="5"/>
    </row>
    <row r="543" spans="6:7" x14ac:dyDescent="0.35">
      <c r="F543" s="4"/>
      <c r="G543" s="5"/>
    </row>
    <row r="544" spans="6:7" x14ac:dyDescent="0.35">
      <c r="F544" s="4"/>
      <c r="G544" s="5"/>
    </row>
    <row r="545" spans="6:7" x14ac:dyDescent="0.35">
      <c r="F545" s="4"/>
      <c r="G545" s="5"/>
    </row>
    <row r="546" spans="6:7" x14ac:dyDescent="0.35">
      <c r="F546" s="4"/>
      <c r="G546" s="5"/>
    </row>
    <row r="547" spans="6:7" x14ac:dyDescent="0.35">
      <c r="F547" s="4"/>
      <c r="G547" s="5"/>
    </row>
    <row r="548" spans="6:7" x14ac:dyDescent="0.35">
      <c r="F548" s="4"/>
      <c r="G548" s="5"/>
    </row>
    <row r="549" spans="6:7" x14ac:dyDescent="0.35">
      <c r="F549" s="4"/>
      <c r="G549" s="5"/>
    </row>
    <row r="550" spans="6:7" x14ac:dyDescent="0.35">
      <c r="F550" s="4"/>
      <c r="G550" s="5"/>
    </row>
    <row r="551" spans="6:7" x14ac:dyDescent="0.35">
      <c r="F551" s="4"/>
      <c r="G551" s="5"/>
    </row>
    <row r="552" spans="6:7" x14ac:dyDescent="0.35">
      <c r="F552" s="4"/>
      <c r="G552" s="5"/>
    </row>
    <row r="553" spans="6:7" x14ac:dyDescent="0.35">
      <c r="F553" s="4"/>
      <c r="G553" s="5"/>
    </row>
    <row r="554" spans="6:7" x14ac:dyDescent="0.35">
      <c r="F554" s="4"/>
      <c r="G554" s="5"/>
    </row>
    <row r="555" spans="6:7" x14ac:dyDescent="0.35">
      <c r="F555" s="4"/>
      <c r="G555" s="5"/>
    </row>
    <row r="556" spans="6:7" x14ac:dyDescent="0.35">
      <c r="F556" s="4"/>
      <c r="G556" s="5"/>
    </row>
    <row r="557" spans="6:7" x14ac:dyDescent="0.35">
      <c r="F557" s="4"/>
      <c r="G557" s="5"/>
    </row>
    <row r="558" spans="6:7" x14ac:dyDescent="0.35">
      <c r="F558" s="4"/>
      <c r="G558" s="5"/>
    </row>
    <row r="559" spans="6:7" x14ac:dyDescent="0.35">
      <c r="F559" s="4"/>
      <c r="G559" s="5"/>
    </row>
    <row r="560" spans="6:7" x14ac:dyDescent="0.35">
      <c r="F560" s="4"/>
      <c r="G560" s="5"/>
    </row>
    <row r="561" spans="6:7" x14ac:dyDescent="0.35">
      <c r="F561" s="4"/>
      <c r="G561" s="5"/>
    </row>
    <row r="562" spans="6:7" x14ac:dyDescent="0.35">
      <c r="F562" s="4"/>
      <c r="G562" s="5"/>
    </row>
    <row r="563" spans="6:7" x14ac:dyDescent="0.35">
      <c r="F563" s="4"/>
      <c r="G563" s="5"/>
    </row>
    <row r="564" spans="6:7" x14ac:dyDescent="0.35">
      <c r="F564" s="4"/>
      <c r="G564" s="5"/>
    </row>
    <row r="565" spans="6:7" x14ac:dyDescent="0.35">
      <c r="F565" s="4"/>
      <c r="G565" s="5"/>
    </row>
    <row r="566" spans="6:7" x14ac:dyDescent="0.35">
      <c r="F566" s="4"/>
      <c r="G566" s="5"/>
    </row>
    <row r="567" spans="6:7" x14ac:dyDescent="0.35">
      <c r="F567" s="4"/>
      <c r="G567" s="5"/>
    </row>
    <row r="568" spans="6:7" x14ac:dyDescent="0.35">
      <c r="F568" s="4"/>
      <c r="G568" s="5"/>
    </row>
    <row r="569" spans="6:7" x14ac:dyDescent="0.35">
      <c r="F569" s="4"/>
      <c r="G569" s="5"/>
    </row>
    <row r="570" spans="6:7" x14ac:dyDescent="0.35">
      <c r="F570" s="4"/>
      <c r="G570" s="5"/>
    </row>
    <row r="571" spans="6:7" x14ac:dyDescent="0.35">
      <c r="F571" s="4"/>
      <c r="G571" s="5"/>
    </row>
    <row r="572" spans="6:7" x14ac:dyDescent="0.35">
      <c r="F572" s="4"/>
      <c r="G572" s="5"/>
    </row>
    <row r="573" spans="6:7" x14ac:dyDescent="0.35">
      <c r="F573" s="4"/>
      <c r="G573" s="5"/>
    </row>
    <row r="574" spans="6:7" x14ac:dyDescent="0.35">
      <c r="F574" s="4"/>
      <c r="G574" s="5"/>
    </row>
    <row r="575" spans="6:7" x14ac:dyDescent="0.35">
      <c r="F575" s="4"/>
      <c r="G575" s="5"/>
    </row>
    <row r="576" spans="6:7" x14ac:dyDescent="0.35">
      <c r="F576" s="4"/>
      <c r="G576" s="5"/>
    </row>
    <row r="577" spans="6:7" x14ac:dyDescent="0.35">
      <c r="F577" s="4"/>
      <c r="G577" s="5"/>
    </row>
    <row r="578" spans="6:7" x14ac:dyDescent="0.35">
      <c r="F578" s="4"/>
      <c r="G578" s="5"/>
    </row>
    <row r="579" spans="6:7" x14ac:dyDescent="0.35">
      <c r="F579" s="4"/>
      <c r="G579" s="5"/>
    </row>
    <row r="580" spans="6:7" x14ac:dyDescent="0.35">
      <c r="F580" s="4"/>
      <c r="G580" s="5"/>
    </row>
    <row r="581" spans="6:7" x14ac:dyDescent="0.35">
      <c r="F581" s="4"/>
      <c r="G581" s="5"/>
    </row>
    <row r="582" spans="6:7" x14ac:dyDescent="0.35">
      <c r="F582" s="4"/>
      <c r="G582" s="5"/>
    </row>
    <row r="583" spans="6:7" x14ac:dyDescent="0.35">
      <c r="F583" s="4"/>
      <c r="G583" s="5"/>
    </row>
    <row r="584" spans="6:7" x14ac:dyDescent="0.35">
      <c r="F584" s="4"/>
      <c r="G584" s="5"/>
    </row>
    <row r="585" spans="6:7" x14ac:dyDescent="0.35">
      <c r="F585" s="4"/>
      <c r="G585" s="5"/>
    </row>
    <row r="586" spans="6:7" x14ac:dyDescent="0.35">
      <c r="F586" s="4"/>
      <c r="G586" s="5"/>
    </row>
    <row r="587" spans="6:7" x14ac:dyDescent="0.35">
      <c r="F587" s="4"/>
      <c r="G587" s="5"/>
    </row>
    <row r="588" spans="6:7" x14ac:dyDescent="0.35">
      <c r="F588" s="4"/>
      <c r="G588" s="5"/>
    </row>
    <row r="589" spans="6:7" x14ac:dyDescent="0.35">
      <c r="F589" s="4"/>
      <c r="G589" s="5"/>
    </row>
    <row r="590" spans="6:7" x14ac:dyDescent="0.35">
      <c r="F590" s="4"/>
      <c r="G590" s="5"/>
    </row>
    <row r="591" spans="6:7" x14ac:dyDescent="0.35">
      <c r="F591" s="4"/>
      <c r="G591" s="5"/>
    </row>
    <row r="592" spans="6:7" x14ac:dyDescent="0.35">
      <c r="F592" s="4"/>
      <c r="G592" s="5"/>
    </row>
    <row r="593" spans="6:7" x14ac:dyDescent="0.35">
      <c r="F593" s="4"/>
      <c r="G593" s="5"/>
    </row>
    <row r="594" spans="6:7" x14ac:dyDescent="0.35">
      <c r="F594" s="4"/>
      <c r="G594" s="5"/>
    </row>
    <row r="595" spans="6:7" x14ac:dyDescent="0.35">
      <c r="F595" s="4"/>
      <c r="G595" s="5"/>
    </row>
    <row r="596" spans="6:7" x14ac:dyDescent="0.35">
      <c r="F596" s="4"/>
      <c r="G596" s="5"/>
    </row>
    <row r="597" spans="6:7" x14ac:dyDescent="0.35">
      <c r="F597" s="4"/>
      <c r="G597" s="5"/>
    </row>
    <row r="598" spans="6:7" x14ac:dyDescent="0.35">
      <c r="F598" s="4"/>
      <c r="G598" s="5"/>
    </row>
    <row r="599" spans="6:7" x14ac:dyDescent="0.35">
      <c r="F599" s="4"/>
      <c r="G599" s="5"/>
    </row>
    <row r="600" spans="6:7" x14ac:dyDescent="0.35">
      <c r="F600" s="4"/>
      <c r="G600" s="5"/>
    </row>
    <row r="601" spans="6:7" x14ac:dyDescent="0.35">
      <c r="F601" s="4"/>
      <c r="G601" s="5"/>
    </row>
    <row r="602" spans="6:7" x14ac:dyDescent="0.35">
      <c r="F602" s="4"/>
      <c r="G602" s="5"/>
    </row>
    <row r="603" spans="6:7" x14ac:dyDescent="0.35">
      <c r="F603" s="4"/>
      <c r="G603" s="5"/>
    </row>
    <row r="604" spans="6:7" x14ac:dyDescent="0.35">
      <c r="F604" s="4"/>
      <c r="G604" s="5"/>
    </row>
    <row r="605" spans="6:7" x14ac:dyDescent="0.35">
      <c r="F605" s="4"/>
      <c r="G605" s="5"/>
    </row>
    <row r="606" spans="6:7" x14ac:dyDescent="0.35">
      <c r="F606" s="4"/>
      <c r="G606" s="5"/>
    </row>
    <row r="607" spans="6:7" x14ac:dyDescent="0.35">
      <c r="F607" s="4"/>
      <c r="G607" s="5"/>
    </row>
    <row r="608" spans="6:7" x14ac:dyDescent="0.35">
      <c r="F608" s="4"/>
      <c r="G608" s="5"/>
    </row>
    <row r="609" spans="6:7" x14ac:dyDescent="0.35">
      <c r="F609" s="4"/>
      <c r="G609" s="5"/>
    </row>
    <row r="610" spans="6:7" x14ac:dyDescent="0.35">
      <c r="F610" s="4"/>
      <c r="G610" s="5"/>
    </row>
    <row r="611" spans="6:7" x14ac:dyDescent="0.35">
      <c r="F611" s="4"/>
      <c r="G611" s="5"/>
    </row>
    <row r="612" spans="6:7" x14ac:dyDescent="0.35">
      <c r="F612" s="4"/>
      <c r="G612" s="5"/>
    </row>
    <row r="613" spans="6:7" x14ac:dyDescent="0.35">
      <c r="F613" s="4"/>
      <c r="G613" s="5"/>
    </row>
    <row r="614" spans="6:7" x14ac:dyDescent="0.35">
      <c r="F614" s="4"/>
      <c r="G614" s="5"/>
    </row>
    <row r="615" spans="6:7" x14ac:dyDescent="0.35">
      <c r="F615" s="4"/>
      <c r="G615" s="5"/>
    </row>
    <row r="616" spans="6:7" x14ac:dyDescent="0.35">
      <c r="F616" s="4"/>
      <c r="G616" s="5"/>
    </row>
    <row r="617" spans="6:7" x14ac:dyDescent="0.35">
      <c r="F617" s="4"/>
      <c r="G617" s="5"/>
    </row>
    <row r="618" spans="6:7" x14ac:dyDescent="0.35">
      <c r="F618" s="4"/>
      <c r="G618" s="5"/>
    </row>
    <row r="619" spans="6:7" x14ac:dyDescent="0.35">
      <c r="F619" s="4"/>
      <c r="G619" s="5"/>
    </row>
    <row r="620" spans="6:7" x14ac:dyDescent="0.35">
      <c r="F620" s="4"/>
      <c r="G620" s="5"/>
    </row>
    <row r="621" spans="6:7" x14ac:dyDescent="0.35">
      <c r="F621" s="4"/>
      <c r="G621" s="5"/>
    </row>
    <row r="622" spans="6:7" x14ac:dyDescent="0.35">
      <c r="F622" s="4"/>
      <c r="G622" s="5"/>
    </row>
    <row r="623" spans="6:7" x14ac:dyDescent="0.35">
      <c r="F623" s="4"/>
      <c r="G623" s="5"/>
    </row>
    <row r="624" spans="6:7" x14ac:dyDescent="0.35">
      <c r="F624" s="4"/>
      <c r="G624" s="5"/>
    </row>
    <row r="625" spans="6:7" x14ac:dyDescent="0.35">
      <c r="F625" s="4"/>
      <c r="G625" s="5"/>
    </row>
    <row r="626" spans="6:7" x14ac:dyDescent="0.35">
      <c r="F626" s="4"/>
      <c r="G626" s="5"/>
    </row>
    <row r="627" spans="6:7" x14ac:dyDescent="0.35">
      <c r="F627" s="4"/>
      <c r="G627" s="5"/>
    </row>
    <row r="628" spans="6:7" x14ac:dyDescent="0.35">
      <c r="F628" s="4"/>
      <c r="G628" s="5"/>
    </row>
    <row r="629" spans="6:7" x14ac:dyDescent="0.35">
      <c r="F629" s="4"/>
      <c r="G629" s="5"/>
    </row>
    <row r="630" spans="6:7" x14ac:dyDescent="0.35">
      <c r="F630" s="4"/>
      <c r="G630" s="5"/>
    </row>
    <row r="631" spans="6:7" x14ac:dyDescent="0.35">
      <c r="F631" s="4"/>
      <c r="G631" s="5"/>
    </row>
    <row r="632" spans="6:7" x14ac:dyDescent="0.35">
      <c r="F632" s="4"/>
      <c r="G632" s="5"/>
    </row>
    <row r="633" spans="6:7" x14ac:dyDescent="0.35">
      <c r="F633" s="4"/>
      <c r="G633" s="5"/>
    </row>
    <row r="634" spans="6:7" x14ac:dyDescent="0.35">
      <c r="F634" s="4"/>
      <c r="G634" s="5"/>
    </row>
    <row r="635" spans="6:7" x14ac:dyDescent="0.35">
      <c r="F635" s="4"/>
      <c r="G635" s="5"/>
    </row>
    <row r="636" spans="6:7" x14ac:dyDescent="0.35">
      <c r="F636" s="4"/>
      <c r="G636" s="5"/>
    </row>
    <row r="637" spans="6:7" x14ac:dyDescent="0.35">
      <c r="F637" s="4"/>
      <c r="G637" s="5"/>
    </row>
    <row r="638" spans="6:7" x14ac:dyDescent="0.35">
      <c r="F638" s="4"/>
      <c r="G638" s="5"/>
    </row>
    <row r="639" spans="6:7" x14ac:dyDescent="0.35">
      <c r="F639" s="4"/>
      <c r="G639" s="5"/>
    </row>
    <row r="640" spans="6:7" x14ac:dyDescent="0.35">
      <c r="F640" s="4"/>
      <c r="G640" s="5"/>
    </row>
    <row r="641" spans="6:7" x14ac:dyDescent="0.35">
      <c r="F641" s="4"/>
      <c r="G641" s="5"/>
    </row>
    <row r="642" spans="6:7" x14ac:dyDescent="0.35">
      <c r="F642" s="4"/>
      <c r="G642" s="5"/>
    </row>
    <row r="643" spans="6:7" x14ac:dyDescent="0.35">
      <c r="F643" s="4"/>
      <c r="G643" s="5"/>
    </row>
    <row r="644" spans="6:7" x14ac:dyDescent="0.35">
      <c r="F644" s="4"/>
      <c r="G644" s="5"/>
    </row>
    <row r="645" spans="6:7" x14ac:dyDescent="0.35">
      <c r="F645" s="4"/>
      <c r="G645" s="5"/>
    </row>
    <row r="646" spans="6:7" x14ac:dyDescent="0.35">
      <c r="F646" s="4"/>
      <c r="G646" s="5"/>
    </row>
    <row r="647" spans="6:7" x14ac:dyDescent="0.35">
      <c r="F647" s="4"/>
      <c r="G647" s="5"/>
    </row>
    <row r="648" spans="6:7" x14ac:dyDescent="0.35">
      <c r="F648" s="4"/>
      <c r="G648" s="5"/>
    </row>
    <row r="649" spans="6:7" x14ac:dyDescent="0.35">
      <c r="F649" s="4"/>
      <c r="G649" s="5"/>
    </row>
    <row r="650" spans="6:7" x14ac:dyDescent="0.35">
      <c r="F650" s="4"/>
      <c r="G650" s="5"/>
    </row>
    <row r="651" spans="6:7" x14ac:dyDescent="0.35">
      <c r="F651" s="4"/>
      <c r="G651" s="5"/>
    </row>
    <row r="652" spans="6:7" x14ac:dyDescent="0.35">
      <c r="F652" s="4"/>
      <c r="G652" s="5"/>
    </row>
    <row r="653" spans="6:7" x14ac:dyDescent="0.35">
      <c r="F653" s="4"/>
      <c r="G653" s="5"/>
    </row>
    <row r="654" spans="6:7" x14ac:dyDescent="0.35">
      <c r="F654" s="4"/>
      <c r="G654" s="5"/>
    </row>
    <row r="655" spans="6:7" x14ac:dyDescent="0.35">
      <c r="F655" s="4"/>
      <c r="G655" s="5"/>
    </row>
    <row r="656" spans="6:7" x14ac:dyDescent="0.35">
      <c r="F656" s="4"/>
      <c r="G656" s="5"/>
    </row>
    <row r="657" spans="6:7" x14ac:dyDescent="0.35">
      <c r="F657" s="4"/>
      <c r="G657" s="5"/>
    </row>
    <row r="658" spans="6:7" x14ac:dyDescent="0.35">
      <c r="F658" s="4"/>
      <c r="G658" s="5"/>
    </row>
  </sheetData>
  <conditionalFormatting sqref="F12:F311">
    <cfRule type="aboveAverage" dxfId="13" priority="1"/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7" sqref="D7:F10"/>
    </sheetView>
  </sheetViews>
  <sheetFormatPr defaultRowHeight="14.5" x14ac:dyDescent="0.35"/>
  <cols>
    <col min="4" max="4" width="12.54296875" customWidth="1"/>
    <col min="5" max="5" width="9.453125" customWidth="1"/>
  </cols>
  <sheetData>
    <row r="1" spans="1:6" x14ac:dyDescent="0.35">
      <c r="A1" s="8"/>
    </row>
    <row r="6" spans="1:6" x14ac:dyDescent="0.35">
      <c r="D6" t="s">
        <v>56</v>
      </c>
      <c r="E6" t="s">
        <v>57</v>
      </c>
      <c r="F6" t="s">
        <v>60</v>
      </c>
    </row>
    <row r="7" spans="1:6" x14ac:dyDescent="0.35">
      <c r="D7" t="s">
        <v>59</v>
      </c>
      <c r="E7">
        <f>AVERAGE(Table3[Amount])</f>
        <v>4136.2299999999996</v>
      </c>
      <c r="F7">
        <f>AVERAGE(Table3[Units])</f>
        <v>152.19999999999999</v>
      </c>
    </row>
    <row r="8" spans="1:6" x14ac:dyDescent="0.35">
      <c r="D8" t="s">
        <v>61</v>
      </c>
      <c r="E8">
        <f>MEDIAN(Table3[Amount])</f>
        <v>3437</v>
      </c>
      <c r="F8">
        <f>MEDIAN(Table3[Units])</f>
        <v>124.5</v>
      </c>
    </row>
    <row r="9" spans="1:6" x14ac:dyDescent="0.35">
      <c r="D9" t="s">
        <v>62</v>
      </c>
      <c r="E9">
        <f>MAX(Table3[Amount])</f>
        <v>16184</v>
      </c>
      <c r="F9">
        <f>MAX(Table3[Units])</f>
        <v>525</v>
      </c>
    </row>
    <row r="10" spans="1:6" x14ac:dyDescent="0.35">
      <c r="D10" t="s">
        <v>63</v>
      </c>
      <c r="E10">
        <f>MIN(Table3[Amount])</f>
        <v>0</v>
      </c>
      <c r="F10">
        <f>MIN(Table3[Units])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33E3-2AFE-4C62-8BC2-C9C39097E851}">
  <dimension ref="A1:P55"/>
  <sheetViews>
    <sheetView workbookViewId="0">
      <selection activeCell="D19" sqref="D19"/>
    </sheetView>
  </sheetViews>
  <sheetFormatPr defaultRowHeight="14.5" x14ac:dyDescent="0.35"/>
  <cols>
    <col min="1" max="1" width="25.36328125" bestFit="1" customWidth="1"/>
    <col min="2" max="2" width="11.08984375" bestFit="1" customWidth="1"/>
    <col min="6" max="6" width="20.36328125" bestFit="1" customWidth="1"/>
    <col min="10" max="10" width="14.26953125" bestFit="1" customWidth="1"/>
    <col min="11" max="11" width="13.6328125" bestFit="1" customWidth="1"/>
    <col min="13" max="13" width="21.453125" bestFit="1" customWidth="1"/>
    <col min="14" max="14" width="13.6328125" bestFit="1" customWidth="1"/>
    <col min="15" max="15" width="20.36328125" bestFit="1" customWidth="1"/>
    <col min="16" max="16" width="14.90625" customWidth="1"/>
    <col min="17" max="17" width="13.6328125" bestFit="1" customWidth="1"/>
  </cols>
  <sheetData>
    <row r="1" spans="1:16" x14ac:dyDescent="0.35">
      <c r="A1" s="8" t="s">
        <v>83</v>
      </c>
    </row>
    <row r="3" spans="1:16" x14ac:dyDescent="0.35">
      <c r="A3" t="s">
        <v>77</v>
      </c>
      <c r="C3" t="s">
        <v>78</v>
      </c>
      <c r="F3" t="s">
        <v>79</v>
      </c>
      <c r="I3" t="s">
        <v>80</v>
      </c>
      <c r="L3" t="s">
        <v>81</v>
      </c>
      <c r="O3" t="s">
        <v>82</v>
      </c>
    </row>
    <row r="4" spans="1:16" x14ac:dyDescent="0.35">
      <c r="A4" t="str" cm="1">
        <f t="array" ref="A4:A9">_xlfn.UNIQUE(Table3[Geography])</f>
        <v>New Zealand</v>
      </c>
      <c r="C4" t="str" cm="1">
        <f t="array" ref="C4:C13">_xlfn.UNIQUE(Table3[Sales Person])</f>
        <v>Ram Mahesh</v>
      </c>
      <c r="F4" t="str" cm="1">
        <f t="array" ref="F4:F25">_xlfn.UNIQUE(Table3[Product])</f>
        <v>70% Dark Bites</v>
      </c>
      <c r="I4" t="str" cm="1">
        <f t="array" ref="I4:I9">_xlfn.UNIQUE(Table3[Geography])</f>
        <v>New Zealand</v>
      </c>
      <c r="J4" s="15">
        <f>SUMIF(Table3[Geography], I4, Table3[Amount])</f>
        <v>218813</v>
      </c>
      <c r="L4" t="str" cm="1">
        <f t="array" ref="L4:L13">_xlfn.UNIQUE(Table3[Sales Person])</f>
        <v>Ram Mahesh</v>
      </c>
      <c r="M4" s="15">
        <f>SUMIF(Table3[Sales Person], L4, Table3[Amount])</f>
        <v>151599</v>
      </c>
      <c r="O4" t="str" cm="1">
        <f t="array" ref="O4:O25">_xlfn.UNIQUE(Table3[Product])</f>
        <v>70% Dark Bites</v>
      </c>
      <c r="P4" s="15">
        <f>SUMIF(Table3[Product], O4, Table3[Amount])</f>
        <v>66500</v>
      </c>
    </row>
    <row r="5" spans="1:16" x14ac:dyDescent="0.35">
      <c r="A5" t="str">
        <v>USA</v>
      </c>
      <c r="C5" t="str">
        <v>Brien Boise</v>
      </c>
      <c r="F5" t="str">
        <v>Choco Coated Almonds</v>
      </c>
      <c r="I5" t="str">
        <v>USA</v>
      </c>
      <c r="J5" s="15">
        <f>SUMIF(Table3[Geography], I5, Table3[Amount])</f>
        <v>189434</v>
      </c>
      <c r="L5" t="str">
        <v>Brien Boise</v>
      </c>
      <c r="M5" s="15">
        <f>SUMIF(Table3[Sales Person], L5, Table3[Amount])</f>
        <v>98084</v>
      </c>
      <c r="O5" t="str">
        <v>Choco Coated Almonds</v>
      </c>
      <c r="P5" s="15">
        <f>SUMIF(Table3[Product], O5, Table3[Amount])</f>
        <v>71967</v>
      </c>
    </row>
    <row r="6" spans="1:16" x14ac:dyDescent="0.35">
      <c r="A6" t="str">
        <v>Canada</v>
      </c>
      <c r="C6" t="str">
        <v>Husein Augar</v>
      </c>
      <c r="F6" t="str">
        <v>Almond Choco</v>
      </c>
      <c r="I6" t="str">
        <v>Canada</v>
      </c>
      <c r="J6" s="15">
        <f>SUMIF(Table3[Geography], I6, Table3[Amount])</f>
        <v>237944</v>
      </c>
      <c r="L6" t="str">
        <v>Husein Augar</v>
      </c>
      <c r="M6" s="15">
        <f>SUMIF(Table3[Sales Person], L6, Table3[Amount])</f>
        <v>132580</v>
      </c>
      <c r="O6" t="str">
        <v>Almond Choco</v>
      </c>
      <c r="P6" s="15">
        <f>SUMIF(Table3[Product], O6, Table3[Amount])</f>
        <v>33551</v>
      </c>
    </row>
    <row r="7" spans="1:16" x14ac:dyDescent="0.35">
      <c r="A7" t="str">
        <v>UK</v>
      </c>
      <c r="C7" t="str">
        <v>Carla Molina</v>
      </c>
      <c r="F7" t="str">
        <v>Drinking Coco</v>
      </c>
      <c r="I7" t="str">
        <v>UK</v>
      </c>
      <c r="J7" s="15">
        <f>SUMIF(Table3[Geography], I7, Table3[Amount])</f>
        <v>173530</v>
      </c>
      <c r="L7" t="str">
        <v>Carla Molina</v>
      </c>
      <c r="M7" s="15">
        <f>SUMIF(Table3[Sales Person], L7, Table3[Amount])</f>
        <v>98210</v>
      </c>
      <c r="O7" t="str">
        <v>Drinking Coco</v>
      </c>
      <c r="P7" s="15">
        <f>SUMIF(Table3[Product], O7, Table3[Amount])</f>
        <v>52150</v>
      </c>
    </row>
    <row r="8" spans="1:16" x14ac:dyDescent="0.35">
      <c r="A8" t="str">
        <v>Australia</v>
      </c>
      <c r="C8" t="str">
        <v>Curtice Advani</v>
      </c>
      <c r="F8" t="str">
        <v>White Choc</v>
      </c>
      <c r="I8" t="str">
        <v>Australia</v>
      </c>
      <c r="J8" s="15">
        <f>SUMIF(Table3[Geography], I8, Table3[Amount])</f>
        <v>168679</v>
      </c>
      <c r="L8" t="str">
        <v>Curtice Advani</v>
      </c>
      <c r="M8" s="15">
        <f>SUMIF(Table3[Sales Person], L8, Table3[Amount])</f>
        <v>130697</v>
      </c>
      <c r="O8" t="str">
        <v>White Choc</v>
      </c>
      <c r="P8" s="15">
        <f>SUMIF(Table3[Product], O8, Table3[Amount])</f>
        <v>57372</v>
      </c>
    </row>
    <row r="9" spans="1:16" x14ac:dyDescent="0.35">
      <c r="A9" t="str">
        <v>India</v>
      </c>
      <c r="C9" t="str">
        <v>Ches Bonnell</v>
      </c>
      <c r="F9" t="str">
        <v>Peanut Butter Cubes</v>
      </c>
      <c r="I9" t="str">
        <v>India</v>
      </c>
      <c r="J9" s="15">
        <f>SUMIF(Table3[Geography], I9, Table3[Amount])</f>
        <v>252469</v>
      </c>
      <c r="L9" t="str">
        <v>Ches Bonnell</v>
      </c>
      <c r="M9" s="15">
        <f>SUMIF(Table3[Sales Person], L9, Table3[Amount])</f>
        <v>149975</v>
      </c>
      <c r="O9" t="str">
        <v>Peanut Butter Cubes</v>
      </c>
      <c r="P9" s="15">
        <f>SUMIF(Table3[Product], O9, Table3[Amount])</f>
        <v>69160</v>
      </c>
    </row>
    <row r="10" spans="1:16" x14ac:dyDescent="0.35">
      <c r="C10" t="str">
        <v>Gigi Bohling</v>
      </c>
      <c r="F10" t="str">
        <v>Smooth Sliky Salty</v>
      </c>
      <c r="I10" s="46" t="s">
        <v>73</v>
      </c>
      <c r="J10" s="53">
        <f>SUM(J4:J9)</f>
        <v>1240869</v>
      </c>
      <c r="L10" t="str">
        <v>Gigi Bohling</v>
      </c>
      <c r="M10" s="15">
        <f>SUMIF(Table3[Sales Person], L10, Table3[Amount])</f>
        <v>165725</v>
      </c>
      <c r="O10" t="str">
        <v>Smooth Sliky Salty</v>
      </c>
      <c r="P10" s="15">
        <f>SUMIF(Table3[Product], O10, Table3[Amount])</f>
        <v>39263</v>
      </c>
    </row>
    <row r="11" spans="1:16" x14ac:dyDescent="0.35">
      <c r="C11" t="str">
        <v>Barr Faughny</v>
      </c>
      <c r="F11" t="str">
        <v>After Nines</v>
      </c>
      <c r="L11" t="str">
        <v>Barr Faughny</v>
      </c>
      <c r="M11" s="15">
        <f>SUMIF(Table3[Sales Person], L11, Table3[Amount])</f>
        <v>123949</v>
      </c>
      <c r="O11" t="str">
        <v>After Nines</v>
      </c>
      <c r="P11" s="15">
        <f>SUMIF(Table3[Product], O11, Table3[Amount])</f>
        <v>66283</v>
      </c>
    </row>
    <row r="12" spans="1:16" x14ac:dyDescent="0.35">
      <c r="C12" t="str">
        <v>Gunar Cockshoot</v>
      </c>
      <c r="F12" t="str">
        <v>50% Dark Bites</v>
      </c>
      <c r="L12" t="str">
        <v>Gunar Cockshoot</v>
      </c>
      <c r="M12" s="15">
        <f>SUMIF(Table3[Sales Person], L12, Table3[Amount])</f>
        <v>106834</v>
      </c>
      <c r="O12" t="str">
        <v>50% Dark Bites</v>
      </c>
      <c r="P12" s="15">
        <f>SUMIF(Table3[Product], O12, Table3[Amount])</f>
        <v>43183</v>
      </c>
    </row>
    <row r="13" spans="1:16" x14ac:dyDescent="0.35">
      <c r="C13" t="str">
        <v>Oby Sorrel</v>
      </c>
      <c r="F13" t="str">
        <v>Eclairs</v>
      </c>
      <c r="L13" t="str">
        <v>Oby Sorrel</v>
      </c>
      <c r="M13" s="15">
        <f>SUMIF(Table3[Sales Person], L13, Table3[Amount])</f>
        <v>83216</v>
      </c>
      <c r="O13" t="str">
        <v>Eclairs</v>
      </c>
      <c r="P13" s="15">
        <f>SUMIF(Table3[Product], O13, Table3[Amount])</f>
        <v>63721</v>
      </c>
    </row>
    <row r="14" spans="1:16" x14ac:dyDescent="0.35">
      <c r="F14" t="str">
        <v>Mint Chip Choco</v>
      </c>
      <c r="L14" s="46" t="s">
        <v>73</v>
      </c>
      <c r="M14" s="53">
        <f>SUM(M4:M13)</f>
        <v>1240869</v>
      </c>
      <c r="O14" t="str">
        <v>Mint Chip Choco</v>
      </c>
      <c r="P14" s="15">
        <f>SUMIF(Table3[Product], O14, Table3[Amount])</f>
        <v>62111</v>
      </c>
    </row>
    <row r="15" spans="1:16" x14ac:dyDescent="0.35">
      <c r="F15" t="str">
        <v>Milk Bars</v>
      </c>
      <c r="O15" t="str">
        <v>Milk Bars</v>
      </c>
      <c r="P15" s="15">
        <f>SUMIF(Table3[Product], O15, Table3[Amount])</f>
        <v>47271</v>
      </c>
    </row>
    <row r="16" spans="1:16" x14ac:dyDescent="0.35">
      <c r="F16" t="str">
        <v>Manuka Honey Choco</v>
      </c>
      <c r="O16" t="str">
        <v>Manuka Honey Choco</v>
      </c>
      <c r="P16" s="15">
        <f>SUMIF(Table3[Product], O16, Table3[Amount])</f>
        <v>58009</v>
      </c>
    </row>
    <row r="17" spans="1:16" x14ac:dyDescent="0.35">
      <c r="F17" t="str">
        <v>Orange Choco</v>
      </c>
      <c r="O17" t="str">
        <v>Orange Choco</v>
      </c>
      <c r="P17" s="15">
        <f>SUMIF(Table3[Product], O17, Table3[Amount])</f>
        <v>54712</v>
      </c>
    </row>
    <row r="18" spans="1:16" x14ac:dyDescent="0.35">
      <c r="F18" t="str">
        <v>Fruit &amp; Nut Bars</v>
      </c>
      <c r="O18" t="str">
        <v>Fruit &amp; Nut Bars</v>
      </c>
      <c r="P18" s="15">
        <f>SUMIF(Table3[Product], O18, Table3[Amount])</f>
        <v>56644</v>
      </c>
    </row>
    <row r="19" spans="1:16" x14ac:dyDescent="0.35">
      <c r="F19" t="str">
        <v>99% Dark &amp; Pure</v>
      </c>
      <c r="O19" t="str">
        <v>99% Dark &amp; Pure</v>
      </c>
      <c r="P19" s="15">
        <f>SUMIF(Table3[Product], O19, Table3[Amount])</f>
        <v>44744</v>
      </c>
    </row>
    <row r="20" spans="1:16" x14ac:dyDescent="0.35">
      <c r="F20" t="str">
        <v>Raspberry Choco</v>
      </c>
      <c r="O20" t="str">
        <v>Raspberry Choco</v>
      </c>
      <c r="P20" s="15">
        <f>SUMIF(Table3[Product], O20, Table3[Amount])</f>
        <v>68971</v>
      </c>
    </row>
    <row r="21" spans="1:16" x14ac:dyDescent="0.35">
      <c r="F21" t="str">
        <v>85% Dark Bars</v>
      </c>
      <c r="O21" t="str">
        <v>85% Dark Bars</v>
      </c>
      <c r="P21" s="15">
        <f>SUMIF(Table3[Product], O21, Table3[Amount])</f>
        <v>35378</v>
      </c>
    </row>
    <row r="22" spans="1:16" x14ac:dyDescent="0.35">
      <c r="F22" t="str">
        <v>Organic Choco Syrup</v>
      </c>
      <c r="O22" t="str">
        <v>Organic Choco Syrup</v>
      </c>
      <c r="P22" s="15">
        <f>SUMIF(Table3[Product], O22, Table3[Amount])</f>
        <v>69461</v>
      </c>
    </row>
    <row r="23" spans="1:16" x14ac:dyDescent="0.35">
      <c r="F23" t="str">
        <v>Caramel Stuffed Bars</v>
      </c>
      <c r="O23" t="str">
        <v>Caramel Stuffed Bars</v>
      </c>
      <c r="P23" s="15">
        <f>SUMIF(Table3[Product], O23, Table3[Amount])</f>
        <v>72373</v>
      </c>
    </row>
    <row r="24" spans="1:16" x14ac:dyDescent="0.35">
      <c r="F24" t="str">
        <v>Spicy Special Slims</v>
      </c>
      <c r="O24" t="str">
        <v>Spicy Special Slims</v>
      </c>
      <c r="P24" s="15">
        <f>SUMIF(Table3[Product], O24, Table3[Amount])</f>
        <v>37772</v>
      </c>
    </row>
    <row r="25" spans="1:16" x14ac:dyDescent="0.35">
      <c r="F25" t="str">
        <v>Baker's Choco Chips</v>
      </c>
      <c r="O25" t="str">
        <v>Baker's Choco Chips</v>
      </c>
      <c r="P25" s="15">
        <f>SUMIF(Table3[Product], O25, Table3[Amount])</f>
        <v>70273</v>
      </c>
    </row>
    <row r="26" spans="1:16" x14ac:dyDescent="0.35">
      <c r="O26" s="46" t="s">
        <v>73</v>
      </c>
      <c r="P26" s="53">
        <f>SUM(P4:P25)</f>
        <v>1240869</v>
      </c>
    </row>
    <row r="32" spans="1:16" x14ac:dyDescent="0.35">
      <c r="A32" t="s">
        <v>85</v>
      </c>
    </row>
    <row r="33" spans="1:4" x14ac:dyDescent="0.35">
      <c r="A33" t="s">
        <v>0</v>
      </c>
      <c r="B33" t="s">
        <v>1</v>
      </c>
      <c r="C33" t="s">
        <v>84</v>
      </c>
      <c r="D33" t="s">
        <v>68</v>
      </c>
    </row>
    <row r="34" spans="1:4" x14ac:dyDescent="0.35">
      <c r="A34" t="str" cm="1">
        <f t="array" ref="A34:A55">_xlfn.UNIQUE(Table3[Product])</f>
        <v>70% Dark Bites</v>
      </c>
      <c r="B34" s="15">
        <f>SUMIF(Table3[Product], A34, Table3[Amount])</f>
        <v>66500</v>
      </c>
      <c r="C34">
        <f>SUMIF(Table3[Product], A34, Table3[Units])</f>
        <v>2802</v>
      </c>
      <c r="D34" s="15">
        <f>B34/C34</f>
        <v>23.733047822983583</v>
      </c>
    </row>
    <row r="35" spans="1:4" x14ac:dyDescent="0.35">
      <c r="A35" t="str">
        <v>Choco Coated Almonds</v>
      </c>
      <c r="B35" s="15">
        <f>SUMIF(Table3[Product], A35, Table3[Amount])</f>
        <v>71967</v>
      </c>
      <c r="C35">
        <f>SUMIF(Table3[Product], A35, Table3[Units])</f>
        <v>2301</v>
      </c>
      <c r="D35" s="15">
        <f t="shared" ref="D35:D55" si="0">B35/C35</f>
        <v>31.276401564537156</v>
      </c>
    </row>
    <row r="36" spans="1:4" x14ac:dyDescent="0.35">
      <c r="A36" t="str">
        <v>Almond Choco</v>
      </c>
      <c r="B36" s="15">
        <f>SUMIF(Table3[Product], A36, Table3[Amount])</f>
        <v>33551</v>
      </c>
      <c r="C36">
        <f>SUMIF(Table3[Product], A36, Table3[Units])</f>
        <v>1566</v>
      </c>
      <c r="D36" s="15">
        <f t="shared" si="0"/>
        <v>21.424648786717754</v>
      </c>
    </row>
    <row r="37" spans="1:4" x14ac:dyDescent="0.35">
      <c r="A37" t="str">
        <v>Drinking Coco</v>
      </c>
      <c r="B37" s="15">
        <f>SUMIF(Table3[Product], A37, Table3[Amount])</f>
        <v>52150</v>
      </c>
      <c r="C37">
        <f>SUMIF(Table3[Product], A37, Table3[Units])</f>
        <v>1752</v>
      </c>
      <c r="D37" s="15">
        <f t="shared" si="0"/>
        <v>29.765981735159816</v>
      </c>
    </row>
    <row r="38" spans="1:4" x14ac:dyDescent="0.35">
      <c r="A38" t="str">
        <v>White Choc</v>
      </c>
      <c r="B38" s="15">
        <f>SUMIF(Table3[Product], A38, Table3[Amount])</f>
        <v>57372</v>
      </c>
      <c r="C38">
        <f>SUMIF(Table3[Product], A38, Table3[Units])</f>
        <v>2106</v>
      </c>
      <c r="D38" s="15">
        <f t="shared" si="0"/>
        <v>27.242165242165242</v>
      </c>
    </row>
    <row r="39" spans="1:4" x14ac:dyDescent="0.35">
      <c r="A39" t="str">
        <v>Peanut Butter Cubes</v>
      </c>
      <c r="B39" s="15">
        <f>SUMIF(Table3[Product], A39, Table3[Amount])</f>
        <v>69160</v>
      </c>
      <c r="C39">
        <f>SUMIF(Table3[Product], A39, Table3[Units])</f>
        <v>1854</v>
      </c>
      <c r="D39" s="15">
        <f t="shared" si="0"/>
        <v>37.303128371089535</v>
      </c>
    </row>
    <row r="40" spans="1:4" x14ac:dyDescent="0.35">
      <c r="A40" t="str">
        <v>Smooth Sliky Salty</v>
      </c>
      <c r="B40" s="15">
        <f>SUMIF(Table3[Product], A40, Table3[Amount])</f>
        <v>39263</v>
      </c>
      <c r="C40">
        <f>SUMIF(Table3[Product], A40, Table3[Units])</f>
        <v>1683</v>
      </c>
      <c r="D40" s="15">
        <f t="shared" si="0"/>
        <v>23.329174093879978</v>
      </c>
    </row>
    <row r="41" spans="1:4" x14ac:dyDescent="0.35">
      <c r="A41" t="str">
        <v>After Nines</v>
      </c>
      <c r="B41" s="15">
        <f>SUMIF(Table3[Product], A41, Table3[Amount])</f>
        <v>66283</v>
      </c>
      <c r="C41">
        <f>SUMIF(Table3[Product], A41, Table3[Units])</f>
        <v>2052</v>
      </c>
      <c r="D41" s="15">
        <f t="shared" si="0"/>
        <v>32.301656920077974</v>
      </c>
    </row>
    <row r="42" spans="1:4" x14ac:dyDescent="0.35">
      <c r="A42" t="str">
        <v>50% Dark Bites</v>
      </c>
      <c r="B42" s="15">
        <f>SUMIF(Table3[Product], A42, Table3[Amount])</f>
        <v>43183</v>
      </c>
      <c r="C42">
        <f>SUMIF(Table3[Product], A42, Table3[Units])</f>
        <v>2022</v>
      </c>
      <c r="D42" s="15">
        <f t="shared" si="0"/>
        <v>21.356577645895154</v>
      </c>
    </row>
    <row r="43" spans="1:4" x14ac:dyDescent="0.35">
      <c r="A43" t="str">
        <v>Eclairs</v>
      </c>
      <c r="B43" s="15">
        <f>SUMIF(Table3[Product], A43, Table3[Amount])</f>
        <v>63721</v>
      </c>
      <c r="C43">
        <f>SUMIF(Table3[Product], A43, Table3[Units])</f>
        <v>2331</v>
      </c>
      <c r="D43" s="15">
        <f t="shared" si="0"/>
        <v>27.336336336336338</v>
      </c>
    </row>
    <row r="44" spans="1:4" x14ac:dyDescent="0.35">
      <c r="A44" t="str">
        <v>Mint Chip Choco</v>
      </c>
      <c r="B44" s="15">
        <f>SUMIF(Table3[Product], A44, Table3[Amount])</f>
        <v>62111</v>
      </c>
      <c r="C44">
        <f>SUMIF(Table3[Product], A44, Table3[Units])</f>
        <v>2154</v>
      </c>
      <c r="D44" s="15">
        <f t="shared" si="0"/>
        <v>28.835190343546891</v>
      </c>
    </row>
    <row r="45" spans="1:4" x14ac:dyDescent="0.35">
      <c r="A45" t="str">
        <v>Milk Bars</v>
      </c>
      <c r="B45" s="15">
        <f>SUMIF(Table3[Product], A45, Table3[Amount])</f>
        <v>47271</v>
      </c>
      <c r="C45">
        <f>SUMIF(Table3[Product], A45, Table3[Units])</f>
        <v>1881</v>
      </c>
      <c r="D45" s="15">
        <f t="shared" si="0"/>
        <v>25.130781499202552</v>
      </c>
    </row>
    <row r="46" spans="1:4" x14ac:dyDescent="0.35">
      <c r="A46" t="str">
        <v>Manuka Honey Choco</v>
      </c>
      <c r="B46" s="15">
        <f>SUMIF(Table3[Product], A46, Table3[Amount])</f>
        <v>58009</v>
      </c>
      <c r="C46">
        <f>SUMIF(Table3[Product], A46, Table3[Units])</f>
        <v>2976</v>
      </c>
      <c r="D46" s="15">
        <f t="shared" si="0"/>
        <v>19.492271505376344</v>
      </c>
    </row>
    <row r="47" spans="1:4" x14ac:dyDescent="0.35">
      <c r="A47" t="str">
        <v>Orange Choco</v>
      </c>
      <c r="B47" s="15">
        <f>SUMIF(Table3[Product], A47, Table3[Amount])</f>
        <v>54712</v>
      </c>
      <c r="C47">
        <f>SUMIF(Table3[Product], A47, Table3[Units])</f>
        <v>2196</v>
      </c>
      <c r="D47" s="15">
        <f t="shared" si="0"/>
        <v>24.9143897996357</v>
      </c>
    </row>
    <row r="48" spans="1:4" x14ac:dyDescent="0.35">
      <c r="A48" t="str">
        <v>Fruit &amp; Nut Bars</v>
      </c>
      <c r="B48" s="15">
        <f>SUMIF(Table3[Product], A48, Table3[Amount])</f>
        <v>56644</v>
      </c>
      <c r="C48">
        <f>SUMIF(Table3[Product], A48, Table3[Units])</f>
        <v>1812</v>
      </c>
      <c r="D48" s="15">
        <f t="shared" si="0"/>
        <v>31.260485651214129</v>
      </c>
    </row>
    <row r="49" spans="1:4" x14ac:dyDescent="0.35">
      <c r="A49" t="str">
        <v>99% Dark &amp; Pure</v>
      </c>
      <c r="B49" s="15">
        <f>SUMIF(Table3[Product], A49, Table3[Amount])</f>
        <v>44744</v>
      </c>
      <c r="C49">
        <f>SUMIF(Table3[Product], A49, Table3[Units])</f>
        <v>1956</v>
      </c>
      <c r="D49" s="15">
        <f t="shared" si="0"/>
        <v>22.87525562372188</v>
      </c>
    </row>
    <row r="50" spans="1:4" x14ac:dyDescent="0.35">
      <c r="A50" t="str">
        <v>Raspberry Choco</v>
      </c>
      <c r="B50" s="15">
        <f>SUMIF(Table3[Product], A50, Table3[Amount])</f>
        <v>68971</v>
      </c>
      <c r="C50">
        <f>SUMIF(Table3[Product], A50, Table3[Units])</f>
        <v>1533</v>
      </c>
      <c r="D50" s="15">
        <f t="shared" si="0"/>
        <v>44.990867579908674</v>
      </c>
    </row>
    <row r="51" spans="1:4" x14ac:dyDescent="0.35">
      <c r="A51" t="str">
        <v>85% Dark Bars</v>
      </c>
      <c r="B51" s="15">
        <f>SUMIF(Table3[Product], A51, Table3[Amount])</f>
        <v>35378</v>
      </c>
      <c r="C51">
        <f>SUMIF(Table3[Product], A51, Table3[Units])</f>
        <v>1044</v>
      </c>
      <c r="D51" s="15">
        <f t="shared" si="0"/>
        <v>33.88697318007663</v>
      </c>
    </row>
    <row r="52" spans="1:4" x14ac:dyDescent="0.35">
      <c r="A52" t="str">
        <v>Organic Choco Syrup</v>
      </c>
      <c r="B52" s="15">
        <f>SUMIF(Table3[Product], A52, Table3[Amount])</f>
        <v>69461</v>
      </c>
      <c r="C52">
        <f>SUMIF(Table3[Product], A52, Table3[Units])</f>
        <v>2982</v>
      </c>
      <c r="D52" s="15">
        <f t="shared" si="0"/>
        <v>23.293427230046948</v>
      </c>
    </row>
    <row r="53" spans="1:4" x14ac:dyDescent="0.35">
      <c r="A53" t="str">
        <v>Caramel Stuffed Bars</v>
      </c>
      <c r="B53" s="15">
        <f>SUMIF(Table3[Product], A53, Table3[Amount])</f>
        <v>72373</v>
      </c>
      <c r="C53">
        <f>SUMIF(Table3[Product], A53, Table3[Units])</f>
        <v>3207</v>
      </c>
      <c r="D53" s="15">
        <f t="shared" si="0"/>
        <v>22.567196757093857</v>
      </c>
    </row>
    <row r="54" spans="1:4" x14ac:dyDescent="0.35">
      <c r="A54" t="str">
        <v>Spicy Special Slims</v>
      </c>
      <c r="B54" s="15">
        <f>SUMIF(Table3[Product], A54, Table3[Amount])</f>
        <v>37772</v>
      </c>
      <c r="C54">
        <f>SUMIF(Table3[Product], A54, Table3[Units])</f>
        <v>1308</v>
      </c>
      <c r="D54" s="15">
        <f t="shared" si="0"/>
        <v>28.877675840978593</v>
      </c>
    </row>
    <row r="55" spans="1:4" x14ac:dyDescent="0.35">
      <c r="A55" t="str">
        <v>Baker's Choco Chips</v>
      </c>
      <c r="B55" s="15">
        <f>SUMIF(Table3[Product], A55, Table3[Amount])</f>
        <v>70273</v>
      </c>
      <c r="C55">
        <f>SUMIF(Table3[Product], A55, Table3[Units])</f>
        <v>2142</v>
      </c>
      <c r="D55" s="15">
        <f t="shared" si="0"/>
        <v>32.807189542483663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K20" sqref="K20"/>
    </sheetView>
  </sheetViews>
  <sheetFormatPr defaultRowHeight="14.5" x14ac:dyDescent="0.35"/>
  <cols>
    <col min="6" max="6" width="18.36328125" customWidth="1"/>
    <col min="7" max="7" width="12.08984375" bestFit="1" customWidth="1"/>
    <col min="8" max="8" width="10.08984375" bestFit="1" customWidth="1"/>
  </cols>
  <sheetData>
    <row r="1" spans="1:8" x14ac:dyDescent="0.35">
      <c r="A1" t="s">
        <v>45</v>
      </c>
    </row>
    <row r="10" spans="1:8" x14ac:dyDescent="0.35">
      <c r="F10" s="19" t="s">
        <v>64</v>
      </c>
      <c r="G10" s="20" t="s">
        <v>57</v>
      </c>
      <c r="H10" s="21" t="s">
        <v>58</v>
      </c>
    </row>
    <row r="11" spans="1:8" x14ac:dyDescent="0.35">
      <c r="F11" s="22" t="s">
        <v>37</v>
      </c>
      <c r="G11" s="23">
        <f>SUMIFS(Table3[Amount],Table3[Geography],F11)</f>
        <v>218813</v>
      </c>
      <c r="H11" s="24">
        <f>SUMIFS(Table3[Units],Table3[Geography],F11)</f>
        <v>7431</v>
      </c>
    </row>
    <row r="12" spans="1:8" x14ac:dyDescent="0.35">
      <c r="F12" s="25" t="s">
        <v>35</v>
      </c>
      <c r="G12" s="23">
        <f>SUMIFS(Table3[Amount],Table3[Geography],F12)</f>
        <v>189434</v>
      </c>
      <c r="H12" s="26">
        <f>SUMIFS(Table3[Units],Table3[Geography],F12)</f>
        <v>10158</v>
      </c>
    </row>
    <row r="13" spans="1:8" x14ac:dyDescent="0.35">
      <c r="F13" s="25" t="s">
        <v>36</v>
      </c>
      <c r="G13" s="23">
        <f>SUMIFS(Table3[Amount],Table3[Geography],F13)</f>
        <v>237944</v>
      </c>
      <c r="H13" s="26">
        <f>SUMIFS(Table3[Units],Table3[Geography],F13)</f>
        <v>7302</v>
      </c>
    </row>
    <row r="14" spans="1:8" x14ac:dyDescent="0.35">
      <c r="F14" s="27" t="s">
        <v>39</v>
      </c>
      <c r="G14" s="23">
        <f>SUMIFS(Table3[Amount],Table3[Geography],F14)</f>
        <v>173530</v>
      </c>
      <c r="H14" s="26">
        <f>SUMIFS(Table3[Units],Table3[Geography],F14)</f>
        <v>5745</v>
      </c>
    </row>
    <row r="15" spans="1:8" x14ac:dyDescent="0.35">
      <c r="F15" s="27" t="s">
        <v>38</v>
      </c>
      <c r="G15" s="23">
        <f>SUMIFS(Table3[Amount],Table3[Geography],F15)</f>
        <v>168679</v>
      </c>
      <c r="H15" s="26">
        <f>SUMIFS(Table3[Units],Table3[Geography],F15)</f>
        <v>6264</v>
      </c>
    </row>
    <row r="16" spans="1:8" x14ac:dyDescent="0.35">
      <c r="F16" s="28" t="s">
        <v>34</v>
      </c>
      <c r="G16" s="29">
        <f>SUMIFS(Table3[Amount],Table3[Geography],F16)</f>
        <v>252469</v>
      </c>
      <c r="H16" s="30">
        <f>SUMIFS(Table3[Units],Table3[Geography],F16)</f>
        <v>8760</v>
      </c>
    </row>
  </sheetData>
  <conditionalFormatting sqref="G11:G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DCF5-AF67-4B5F-BF55-4459966E3328}">
  <dimension ref="A1:C12"/>
  <sheetViews>
    <sheetView workbookViewId="0">
      <selection activeCell="K27" sqref="K27"/>
    </sheetView>
  </sheetViews>
  <sheetFormatPr defaultRowHeight="14.5" x14ac:dyDescent="0.35"/>
  <cols>
    <col min="2" max="2" width="12.36328125" bestFit="1" customWidth="1"/>
    <col min="3" max="3" width="14" bestFit="1" customWidth="1"/>
  </cols>
  <sheetData>
    <row r="1" spans="1:3" x14ac:dyDescent="0.35">
      <c r="A1" s="8" t="s">
        <v>46</v>
      </c>
    </row>
    <row r="5" spans="1:3" x14ac:dyDescent="0.35">
      <c r="B5" s="54" t="s">
        <v>86</v>
      </c>
      <c r="C5" t="s">
        <v>88</v>
      </c>
    </row>
    <row r="6" spans="1:3" x14ac:dyDescent="0.35">
      <c r="B6" s="55" t="s">
        <v>38</v>
      </c>
      <c r="C6" s="56">
        <v>168679</v>
      </c>
    </row>
    <row r="7" spans="1:3" x14ac:dyDescent="0.35">
      <c r="B7" s="55" t="s">
        <v>36</v>
      </c>
      <c r="C7" s="56">
        <v>237944</v>
      </c>
    </row>
    <row r="8" spans="1:3" x14ac:dyDescent="0.35">
      <c r="B8" s="55" t="s">
        <v>34</v>
      </c>
      <c r="C8" s="56">
        <v>252469</v>
      </c>
    </row>
    <row r="9" spans="1:3" x14ac:dyDescent="0.35">
      <c r="B9" s="55" t="s">
        <v>37</v>
      </c>
      <c r="C9" s="56">
        <v>218813</v>
      </c>
    </row>
    <row r="10" spans="1:3" x14ac:dyDescent="0.35">
      <c r="B10" s="55" t="s">
        <v>39</v>
      </c>
      <c r="C10" s="56">
        <v>173530</v>
      </c>
    </row>
    <row r="11" spans="1:3" x14ac:dyDescent="0.35">
      <c r="B11" s="55" t="s">
        <v>35</v>
      </c>
      <c r="C11" s="56">
        <v>189434</v>
      </c>
    </row>
    <row r="12" spans="1:3" x14ac:dyDescent="0.35">
      <c r="B12" s="55" t="s">
        <v>87</v>
      </c>
      <c r="C12" s="56">
        <v>1240869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F33" sqref="F33"/>
    </sheetView>
  </sheetViews>
  <sheetFormatPr defaultRowHeight="14.5" x14ac:dyDescent="0.35"/>
  <cols>
    <col min="6" max="6" width="22.08984375" customWidth="1"/>
    <col min="7" max="7" width="9.6328125" customWidth="1"/>
    <col min="9" max="9" width="16.7265625" customWidth="1"/>
  </cols>
  <sheetData>
    <row r="1" spans="1:9" x14ac:dyDescent="0.35">
      <c r="A1" s="8" t="s">
        <v>54</v>
      </c>
    </row>
    <row r="4" spans="1:9" x14ac:dyDescent="0.35">
      <c r="F4" s="31" t="s">
        <v>65</v>
      </c>
      <c r="G4" s="31" t="s">
        <v>1</v>
      </c>
      <c r="H4" s="31" t="s">
        <v>50</v>
      </c>
      <c r="I4" s="31" t="s">
        <v>66</v>
      </c>
    </row>
    <row r="5" spans="1:9" x14ac:dyDescent="0.35">
      <c r="F5" s="12" t="s">
        <v>15</v>
      </c>
      <c r="G5">
        <f>SUMIFS(Table3[Amount],Table3[Product],$F5)</f>
        <v>68971</v>
      </c>
      <c r="H5">
        <f>SUMIFS(Table3[Units],Table3[Product],$F5)</f>
        <v>1533</v>
      </c>
      <c r="I5" s="15">
        <f>G5/H5</f>
        <v>44.990867579908674</v>
      </c>
    </row>
    <row r="6" spans="1:9" x14ac:dyDescent="0.35">
      <c r="F6" s="13" t="s">
        <v>33</v>
      </c>
      <c r="G6">
        <f>SUMIFS(Table3[Amount],Table3[Product],$F6)</f>
        <v>69160</v>
      </c>
      <c r="H6">
        <f>SUMIFS(Table3[Units],Table3[Product],$F6)</f>
        <v>1854</v>
      </c>
      <c r="I6" s="15">
        <f>G6/H6</f>
        <v>37.303128371089535</v>
      </c>
    </row>
    <row r="7" spans="1:9" x14ac:dyDescent="0.35">
      <c r="F7" s="14" t="s">
        <v>24</v>
      </c>
      <c r="G7">
        <f>SUMIFS(Table3[Amount],Table3[Product],$F7)</f>
        <v>35378</v>
      </c>
      <c r="H7">
        <f>SUMIFS(Table3[Units],Table3[Product],$F7)</f>
        <v>1044</v>
      </c>
      <c r="I7" s="15">
        <f>G7/H7</f>
        <v>33.88697318007663</v>
      </c>
    </row>
    <row r="8" spans="1:9" x14ac:dyDescent="0.35">
      <c r="F8" s="14" t="s">
        <v>26</v>
      </c>
      <c r="G8">
        <f>SUMIFS(Table3[Amount],Table3[Product],$F8)</f>
        <v>70273</v>
      </c>
      <c r="H8">
        <f>SUMIFS(Table3[Units],Table3[Product],$F8)</f>
        <v>2142</v>
      </c>
      <c r="I8" s="15">
        <f>G8/H8</f>
        <v>32.807189542483663</v>
      </c>
    </row>
    <row r="9" spans="1:9" x14ac:dyDescent="0.35">
      <c r="F9" s="13" t="s">
        <v>22</v>
      </c>
      <c r="G9">
        <f>SUMIFS(Table3[Amount],Table3[Product],$F9)</f>
        <v>66283</v>
      </c>
      <c r="H9">
        <f>SUMIFS(Table3[Units],Table3[Product],$F9)</f>
        <v>2052</v>
      </c>
      <c r="I9" s="15">
        <f>G9/H9</f>
        <v>32.301656920077974</v>
      </c>
    </row>
    <row r="10" spans="1:9" x14ac:dyDescent="0.35">
      <c r="F10" s="13" t="s">
        <v>32</v>
      </c>
      <c r="G10">
        <f>SUMIFS(Table3[Amount],Table3[Product],$F10)</f>
        <v>71967</v>
      </c>
      <c r="H10">
        <f>SUMIFS(Table3[Units],Table3[Product],$F10)</f>
        <v>2301</v>
      </c>
      <c r="I10" s="15">
        <f>G10/H10</f>
        <v>31.276401564537156</v>
      </c>
    </row>
    <row r="11" spans="1:9" x14ac:dyDescent="0.35">
      <c r="F11" s="14" t="s">
        <v>23</v>
      </c>
      <c r="G11">
        <f>SUMIFS(Table3[Amount],Table3[Product],$F11)</f>
        <v>56644</v>
      </c>
      <c r="H11">
        <f>SUMIFS(Table3[Units],Table3[Product],$F11)</f>
        <v>1812</v>
      </c>
      <c r="I11" s="15">
        <f>G11/H11</f>
        <v>31.260485651214129</v>
      </c>
    </row>
    <row r="12" spans="1:9" x14ac:dyDescent="0.35">
      <c r="F12" s="13" t="s">
        <v>18</v>
      </c>
      <c r="G12">
        <f>SUMIFS(Table3[Amount],Table3[Product],$F12)</f>
        <v>52150</v>
      </c>
      <c r="H12">
        <f>SUMIFS(Table3[Units],Table3[Product],$F12)</f>
        <v>1752</v>
      </c>
      <c r="I12" s="15">
        <f>G12/H12</f>
        <v>29.765981735159816</v>
      </c>
    </row>
    <row r="13" spans="1:9" x14ac:dyDescent="0.35">
      <c r="F13" s="13" t="s">
        <v>21</v>
      </c>
      <c r="G13">
        <f>SUMIFS(Table3[Amount],Table3[Product],$F13)</f>
        <v>37772</v>
      </c>
      <c r="H13">
        <f>SUMIFS(Table3[Units],Table3[Product],$F13)</f>
        <v>1308</v>
      </c>
      <c r="I13" s="15">
        <f>G13/H13</f>
        <v>28.877675840978593</v>
      </c>
    </row>
    <row r="14" spans="1:9" x14ac:dyDescent="0.35">
      <c r="F14" s="14" t="s">
        <v>16</v>
      </c>
      <c r="G14">
        <f>SUMIFS(Table3[Amount],Table3[Product],$F14)</f>
        <v>62111</v>
      </c>
      <c r="H14">
        <f>SUMIFS(Table3[Units],Table3[Product],$F14)</f>
        <v>2154</v>
      </c>
      <c r="I14" s="15">
        <f>G14/H14</f>
        <v>28.835190343546891</v>
      </c>
    </row>
    <row r="15" spans="1:9" x14ac:dyDescent="0.35">
      <c r="F15" s="13" t="s">
        <v>17</v>
      </c>
      <c r="G15">
        <f>SUMIFS(Table3[Amount],Table3[Product],$F15)</f>
        <v>63721</v>
      </c>
      <c r="H15">
        <f>SUMIFS(Table3[Units],Table3[Product],$F15)</f>
        <v>2331</v>
      </c>
      <c r="I15" s="15">
        <f>G15/H15</f>
        <v>27.336336336336338</v>
      </c>
    </row>
    <row r="16" spans="1:9" x14ac:dyDescent="0.35">
      <c r="F16" s="14" t="s">
        <v>25</v>
      </c>
      <c r="G16">
        <f>SUMIFS(Table3[Amount],Table3[Product],$F16)</f>
        <v>57372</v>
      </c>
      <c r="H16">
        <f>SUMIFS(Table3[Units],Table3[Product],$F16)</f>
        <v>2106</v>
      </c>
      <c r="I16" s="15">
        <f>G16/H16</f>
        <v>27.242165242165242</v>
      </c>
    </row>
    <row r="17" spans="6:9" x14ac:dyDescent="0.35">
      <c r="F17" s="13" t="s">
        <v>13</v>
      </c>
      <c r="G17">
        <f>SUMIFS(Table3[Amount],Table3[Product],$F17)</f>
        <v>47271</v>
      </c>
      <c r="H17">
        <f>SUMIFS(Table3[Units],Table3[Product],$F17)</f>
        <v>1881</v>
      </c>
      <c r="I17" s="15">
        <f>G17/H17</f>
        <v>25.130781499202552</v>
      </c>
    </row>
    <row r="18" spans="6:9" x14ac:dyDescent="0.35">
      <c r="F18" s="13" t="s">
        <v>20</v>
      </c>
      <c r="G18">
        <f>SUMIFS(Table3[Amount],Table3[Product],$F18)</f>
        <v>54712</v>
      </c>
      <c r="H18">
        <f>SUMIFS(Table3[Units],Table3[Product],$F18)</f>
        <v>2196</v>
      </c>
      <c r="I18" s="15">
        <f>G18/H18</f>
        <v>24.9143897996357</v>
      </c>
    </row>
    <row r="19" spans="6:9" x14ac:dyDescent="0.35">
      <c r="F19" s="14" t="s">
        <v>30</v>
      </c>
      <c r="G19">
        <f>SUMIFS(Table3[Amount],Table3[Product],$F19)</f>
        <v>66500</v>
      </c>
      <c r="H19">
        <f>SUMIFS(Table3[Units],Table3[Product],$F19)</f>
        <v>2802</v>
      </c>
      <c r="I19" s="15">
        <f>G19/H19</f>
        <v>23.733047822983583</v>
      </c>
    </row>
    <row r="20" spans="6:9" x14ac:dyDescent="0.35">
      <c r="F20" s="14" t="s">
        <v>31</v>
      </c>
      <c r="G20">
        <f>SUMIFS(Table3[Amount],Table3[Product],$F20)</f>
        <v>39263</v>
      </c>
      <c r="H20">
        <f>SUMIFS(Table3[Units],Table3[Product],$F20)</f>
        <v>1683</v>
      </c>
      <c r="I20" s="15">
        <f>G20/H20</f>
        <v>23.329174093879978</v>
      </c>
    </row>
    <row r="21" spans="6:9" x14ac:dyDescent="0.35">
      <c r="F21" s="13" t="s">
        <v>27</v>
      </c>
      <c r="G21">
        <f>SUMIFS(Table3[Amount],Table3[Product],$F21)</f>
        <v>69461</v>
      </c>
      <c r="H21">
        <f>SUMIFS(Table3[Units],Table3[Product],$F21)</f>
        <v>2982</v>
      </c>
      <c r="I21" s="15">
        <f>G21/H21</f>
        <v>23.293427230046948</v>
      </c>
    </row>
    <row r="22" spans="6:9" x14ac:dyDescent="0.35">
      <c r="F22" s="13" t="s">
        <v>19</v>
      </c>
      <c r="G22">
        <f>SUMIFS(Table3[Amount],Table3[Product],$F22)</f>
        <v>44744</v>
      </c>
      <c r="H22">
        <f>SUMIFS(Table3[Units],Table3[Product],$F22)</f>
        <v>1956</v>
      </c>
      <c r="I22" s="15">
        <f>G22/H22</f>
        <v>22.87525562372188</v>
      </c>
    </row>
    <row r="23" spans="6:9" x14ac:dyDescent="0.35">
      <c r="F23" s="14" t="s">
        <v>28</v>
      </c>
      <c r="G23">
        <f>SUMIFS(Table3[Amount],Table3[Product],$F23)</f>
        <v>72373</v>
      </c>
      <c r="H23">
        <f>SUMIFS(Table3[Units],Table3[Product],$F23)</f>
        <v>3207</v>
      </c>
      <c r="I23" s="15">
        <f>G23/H23</f>
        <v>22.567196757093857</v>
      </c>
    </row>
    <row r="24" spans="6:9" x14ac:dyDescent="0.35">
      <c r="F24" s="14" t="s">
        <v>4</v>
      </c>
      <c r="G24">
        <f>SUMIFS(Table3[Amount],Table3[Product],$F24)</f>
        <v>33551</v>
      </c>
      <c r="H24">
        <f>SUMIFS(Table3[Units],Table3[Product],$F24)</f>
        <v>1566</v>
      </c>
      <c r="I24" s="15">
        <f>G24/H24</f>
        <v>21.424648786717754</v>
      </c>
    </row>
    <row r="25" spans="6:9" x14ac:dyDescent="0.35">
      <c r="F25" s="14" t="s">
        <v>14</v>
      </c>
      <c r="G25">
        <f>SUMIFS(Table3[Amount],Table3[Product],$F25)</f>
        <v>43183</v>
      </c>
      <c r="H25">
        <f>SUMIFS(Table3[Units],Table3[Product],$F25)</f>
        <v>2022</v>
      </c>
      <c r="I25" s="15">
        <f>G25/H25</f>
        <v>21.356577645895154</v>
      </c>
    </row>
    <row r="26" spans="6:9" x14ac:dyDescent="0.35">
      <c r="F26" s="13" t="s">
        <v>29</v>
      </c>
      <c r="G26">
        <f>SUMIFS(Table3[Amount],Table3[Product],$F26)</f>
        <v>58009</v>
      </c>
      <c r="H26">
        <f>SUMIFS(Table3[Units],Table3[Product],$F26)</f>
        <v>2976</v>
      </c>
      <c r="I26" s="15">
        <f>G26/H26</f>
        <v>19.492271505376344</v>
      </c>
    </row>
  </sheetData>
  <sortState xmlns:xlrd2="http://schemas.microsoft.com/office/spreadsheetml/2017/richdata2" ref="F5:I26">
    <sortCondition descending="1" ref="I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02"/>
  <sheetViews>
    <sheetView workbookViewId="0">
      <selection activeCell="I34" sqref="I34"/>
    </sheetView>
  </sheetViews>
  <sheetFormatPr defaultRowHeight="14.5" x14ac:dyDescent="0.35"/>
  <cols>
    <col min="2" max="2" width="19.6328125" customWidth="1"/>
    <col min="3" max="4" width="13.81640625" customWidth="1"/>
    <col min="5" max="6" width="11.08984375" customWidth="1"/>
    <col min="9" max="9" width="15.81640625" customWidth="1"/>
  </cols>
  <sheetData>
    <row r="2" spans="2:14" x14ac:dyDescent="0.35">
      <c r="B2" s="39" t="s">
        <v>0</v>
      </c>
      <c r="C2" s="39" t="s">
        <v>1</v>
      </c>
      <c r="D2" s="39" t="s">
        <v>70</v>
      </c>
      <c r="E2" s="39" t="s">
        <v>67</v>
      </c>
      <c r="F2" s="39" t="s">
        <v>71</v>
      </c>
      <c r="M2" t="s">
        <v>1</v>
      </c>
      <c r="N2" t="s">
        <v>67</v>
      </c>
    </row>
    <row r="3" spans="2:14" x14ac:dyDescent="0.35">
      <c r="B3" s="12" t="s">
        <v>30</v>
      </c>
      <c r="C3" s="33">
        <v>1624</v>
      </c>
      <c r="D3" s="42">
        <f>(Table6[[#This Row],[Amount]]-$M$3)/ $M$4</f>
        <v>-0.80529994576328801</v>
      </c>
      <c r="E3" s="36">
        <v>114</v>
      </c>
      <c r="F3" s="41">
        <f xml:space="preserve"> (Table6[[#This Row],[Unit]]-$N$3)/$N$4</f>
        <v>-0.32399651679639158</v>
      </c>
      <c r="L3" t="s">
        <v>68</v>
      </c>
      <c r="M3">
        <f>AVERAGE(Table6[Amount])</f>
        <v>4136.2299999999996</v>
      </c>
      <c r="N3">
        <f>AVERAGE(Table6[Unit])</f>
        <v>152.19999999999999</v>
      </c>
    </row>
    <row r="4" spans="2:14" x14ac:dyDescent="0.35">
      <c r="B4" s="13" t="s">
        <v>32</v>
      </c>
      <c r="C4" s="34">
        <v>6706</v>
      </c>
      <c r="D4" s="43">
        <f>(Table6[[#This Row],[Amount]]-$M$3)/ $M$4</f>
        <v>0.8237444985626815</v>
      </c>
      <c r="E4" s="37">
        <v>459</v>
      </c>
      <c r="F4" s="5">
        <f xml:space="preserve"> (Table6[[#This Row],[Unit]]-$N$3)/$N$4</f>
        <v>2.602150035422329</v>
      </c>
      <c r="L4" t="s">
        <v>69</v>
      </c>
      <c r="M4">
        <f>STDEVPA(Table6[Amount])</f>
        <v>3119.6202274903058</v>
      </c>
      <c r="N4" s="32">
        <f>STDEVPA(Table6[Unit])</f>
        <v>117.90250209389112</v>
      </c>
    </row>
    <row r="5" spans="2:14" x14ac:dyDescent="0.35">
      <c r="B5" s="14" t="s">
        <v>4</v>
      </c>
      <c r="C5" s="35">
        <v>959</v>
      </c>
      <c r="D5" s="44">
        <f>(Table6[[#This Row],[Amount]]-$M$3)/ $M$4</f>
        <v>-1.018466918505667</v>
      </c>
      <c r="E5" s="38">
        <v>147</v>
      </c>
      <c r="F5" s="41">
        <f xml:space="preserve"> (Table6[[#This Row],[Unit]]-$N$3)/$N$4</f>
        <v>-4.4104237888513954E-2</v>
      </c>
    </row>
    <row r="6" spans="2:14" x14ac:dyDescent="0.35">
      <c r="B6" s="13" t="s">
        <v>18</v>
      </c>
      <c r="C6" s="34">
        <v>9632</v>
      </c>
      <c r="D6" s="43">
        <f>(Table6[[#This Row],[Amount]]-$M$3)/ $M$4</f>
        <v>1.7616791786291488</v>
      </c>
      <c r="E6" s="37">
        <v>288</v>
      </c>
      <c r="F6" s="5">
        <f xml:space="preserve"> (Table6[[#This Row],[Unit]]-$N$3)/$N$4</f>
        <v>1.1517991356269632</v>
      </c>
    </row>
    <row r="7" spans="2:14" x14ac:dyDescent="0.35">
      <c r="B7" s="14" t="s">
        <v>25</v>
      </c>
      <c r="C7" s="35">
        <v>2100</v>
      </c>
      <c r="D7" s="44">
        <f>(Table6[[#This Row],[Amount]]-$M$3)/ $M$4</f>
        <v>-0.65271727053716422</v>
      </c>
      <c r="E7" s="38">
        <v>414</v>
      </c>
      <c r="F7" s="41">
        <f xml:space="preserve"> (Table6[[#This Row],[Unit]]-$N$3)/$N$4</f>
        <v>2.2204787460024962</v>
      </c>
    </row>
    <row r="8" spans="2:14" x14ac:dyDescent="0.35">
      <c r="B8" s="13" t="s">
        <v>33</v>
      </c>
      <c r="C8" s="34">
        <v>8869</v>
      </c>
      <c r="D8" s="43">
        <f>(Table6[[#This Row],[Amount]]-$M$3)/ $M$4</f>
        <v>1.5170981256931562</v>
      </c>
      <c r="E8" s="37">
        <v>432</v>
      </c>
      <c r="F8" s="5">
        <f xml:space="preserve"> (Table6[[#This Row],[Unit]]-$N$3)/$N$4</f>
        <v>2.3731472617704292</v>
      </c>
    </row>
    <row r="9" spans="2:14" x14ac:dyDescent="0.35">
      <c r="B9" s="14" t="s">
        <v>31</v>
      </c>
      <c r="C9" s="35">
        <v>2681</v>
      </c>
      <c r="D9" s="44">
        <f>(Table6[[#This Row],[Amount]]-$M$3)/ $M$4</f>
        <v>-0.46647665224645418</v>
      </c>
      <c r="E9" s="38">
        <v>54</v>
      </c>
      <c r="F9" s="41">
        <f xml:space="preserve"> (Table6[[#This Row],[Unit]]-$N$3)/$N$4</f>
        <v>-0.83289156935616915</v>
      </c>
    </row>
    <row r="10" spans="2:14" x14ac:dyDescent="0.35">
      <c r="B10" s="13" t="s">
        <v>22</v>
      </c>
      <c r="C10" s="34">
        <v>5012</v>
      </c>
      <c r="D10" s="43">
        <f>(Table6[[#This Row],[Amount]]-$M$3)/ $M$4</f>
        <v>0.28072968378735835</v>
      </c>
      <c r="E10" s="37">
        <v>210</v>
      </c>
      <c r="F10" s="5">
        <f xml:space="preserve"> (Table6[[#This Row],[Unit]]-$N$3)/$N$4</f>
        <v>0.49023556729925244</v>
      </c>
    </row>
    <row r="11" spans="2:14" x14ac:dyDescent="0.35">
      <c r="B11" s="14" t="s">
        <v>14</v>
      </c>
      <c r="C11" s="35">
        <v>1281</v>
      </c>
      <c r="D11" s="44">
        <f>(Table6[[#This Row],[Amount]]-$M$3)/ $M$4</f>
        <v>-0.91524922644093609</v>
      </c>
      <c r="E11" s="38">
        <v>75</v>
      </c>
      <c r="F11" s="41">
        <f xml:space="preserve"> (Table6[[#This Row],[Unit]]-$N$3)/$N$4</f>
        <v>-0.65477830096024703</v>
      </c>
    </row>
    <row r="12" spans="2:14" x14ac:dyDescent="0.35">
      <c r="B12" s="13" t="s">
        <v>14</v>
      </c>
      <c r="C12" s="34">
        <v>4991</v>
      </c>
      <c r="D12" s="43">
        <f>(Table6[[#This Row],[Amount]]-$M$3)/ $M$4</f>
        <v>0.27399809517444113</v>
      </c>
      <c r="E12" s="37">
        <v>12</v>
      </c>
      <c r="F12" s="5">
        <f xml:space="preserve"> (Table6[[#This Row],[Unit]]-$N$3)/$N$4</f>
        <v>-1.1891181061480134</v>
      </c>
    </row>
    <row r="13" spans="2:14" x14ac:dyDescent="0.35">
      <c r="B13" s="14" t="s">
        <v>25</v>
      </c>
      <c r="C13" s="35">
        <v>1785</v>
      </c>
      <c r="D13" s="44">
        <f>(Table6[[#This Row],[Amount]]-$M$3)/ $M$4</f>
        <v>-0.75369109973092263</v>
      </c>
      <c r="E13" s="38">
        <v>462</v>
      </c>
      <c r="F13" s="41">
        <f xml:space="preserve"> (Table6[[#This Row],[Unit]]-$N$3)/$N$4</f>
        <v>2.6275947880503181</v>
      </c>
    </row>
    <row r="14" spans="2:14" x14ac:dyDescent="0.35">
      <c r="B14" s="13" t="s">
        <v>17</v>
      </c>
      <c r="C14" s="34">
        <v>3983</v>
      </c>
      <c r="D14" s="43">
        <f>(Table6[[#This Row],[Amount]]-$M$3)/ $M$4</f>
        <v>-4.9118158245585915E-2</v>
      </c>
      <c r="E14" s="37">
        <v>144</v>
      </c>
      <c r="F14" s="5">
        <f xml:space="preserve"> (Table6[[#This Row],[Unit]]-$N$3)/$N$4</f>
        <v>-6.9548990516502832E-2</v>
      </c>
    </row>
    <row r="15" spans="2:14" x14ac:dyDescent="0.35">
      <c r="B15" s="14" t="s">
        <v>16</v>
      </c>
      <c r="C15" s="35">
        <v>2646</v>
      </c>
      <c r="D15" s="44">
        <f>(Table6[[#This Row],[Amount]]-$M$3)/ $M$4</f>
        <v>-0.47769596660131619</v>
      </c>
      <c r="E15" s="38">
        <v>120</v>
      </c>
      <c r="F15" s="41">
        <f xml:space="preserve"> (Table6[[#This Row],[Unit]]-$N$3)/$N$4</f>
        <v>-0.27310701154041384</v>
      </c>
    </row>
    <row r="16" spans="2:14" x14ac:dyDescent="0.35">
      <c r="B16" s="13" t="s">
        <v>13</v>
      </c>
      <c r="C16" s="34">
        <v>252</v>
      </c>
      <c r="D16" s="43">
        <f>(Table6[[#This Row],[Amount]]-$M$3)/ $M$4</f>
        <v>-1.2450970684738805</v>
      </c>
      <c r="E16" s="37">
        <v>54</v>
      </c>
      <c r="F16" s="5">
        <f xml:space="preserve"> (Table6[[#This Row],[Unit]]-$N$3)/$N$4</f>
        <v>-0.83289156935616915</v>
      </c>
    </row>
    <row r="17" spans="2:6" x14ac:dyDescent="0.35">
      <c r="B17" s="14" t="s">
        <v>25</v>
      </c>
      <c r="C17" s="35">
        <v>2464</v>
      </c>
      <c r="D17" s="44">
        <f>(Table6[[#This Row],[Amount]]-$M$3)/ $M$4</f>
        <v>-0.5360364012465989</v>
      </c>
      <c r="E17" s="38">
        <v>234</v>
      </c>
      <c r="F17" s="41">
        <f xml:space="preserve"> (Table6[[#This Row],[Unit]]-$N$3)/$N$4</f>
        <v>0.69379358832316351</v>
      </c>
    </row>
    <row r="18" spans="2:6" x14ac:dyDescent="0.35">
      <c r="B18" s="13" t="s">
        <v>29</v>
      </c>
      <c r="C18" s="34">
        <v>2114</v>
      </c>
      <c r="D18" s="43">
        <f>(Table6[[#This Row],[Amount]]-$M$3)/ $M$4</f>
        <v>-0.64822954479521933</v>
      </c>
      <c r="E18" s="37">
        <v>66</v>
      </c>
      <c r="F18" s="5">
        <f xml:space="preserve"> (Table6[[#This Row],[Unit]]-$N$3)/$N$4</f>
        <v>-0.73111255884421367</v>
      </c>
    </row>
    <row r="19" spans="2:6" x14ac:dyDescent="0.35">
      <c r="B19" s="14" t="s">
        <v>31</v>
      </c>
      <c r="C19" s="35">
        <v>7693</v>
      </c>
      <c r="D19" s="44">
        <f>(Table6[[#This Row],[Amount]]-$M$3)/ $M$4</f>
        <v>1.1401291633697914</v>
      </c>
      <c r="E19" s="38">
        <v>87</v>
      </c>
      <c r="F19" s="41">
        <f xml:space="preserve"> (Table6[[#This Row],[Unit]]-$N$3)/$N$4</f>
        <v>-0.55299929044829144</v>
      </c>
    </row>
    <row r="20" spans="2:6" x14ac:dyDescent="0.35">
      <c r="B20" s="13" t="s">
        <v>20</v>
      </c>
      <c r="C20" s="34">
        <v>15610</v>
      </c>
      <c r="D20" s="43">
        <f>(Table6[[#This Row],[Amount]]-$M$3)/ $M$4</f>
        <v>3.6779380704395868</v>
      </c>
      <c r="E20" s="37">
        <v>339</v>
      </c>
      <c r="F20" s="5">
        <f xml:space="preserve"> (Table6[[#This Row],[Unit]]-$N$3)/$N$4</f>
        <v>1.5843599303027742</v>
      </c>
    </row>
    <row r="21" spans="2:6" x14ac:dyDescent="0.35">
      <c r="B21" s="14" t="s">
        <v>22</v>
      </c>
      <c r="C21" s="35">
        <v>336</v>
      </c>
      <c r="D21" s="44">
        <f>(Table6[[#This Row],[Amount]]-$M$3)/ $M$4</f>
        <v>-1.2181707140222116</v>
      </c>
      <c r="E21" s="38">
        <v>144</v>
      </c>
      <c r="F21" s="41">
        <f xml:space="preserve"> (Table6[[#This Row],[Unit]]-$N$3)/$N$4</f>
        <v>-6.9548990516502832E-2</v>
      </c>
    </row>
    <row r="22" spans="2:6" x14ac:dyDescent="0.35">
      <c r="B22" s="13" t="s">
        <v>20</v>
      </c>
      <c r="C22" s="34">
        <v>9443</v>
      </c>
      <c r="D22" s="43">
        <f>(Table6[[#This Row],[Amount]]-$M$3)/ $M$4</f>
        <v>1.7010948811128939</v>
      </c>
      <c r="E22" s="37">
        <v>162</v>
      </c>
      <c r="F22" s="5">
        <f xml:space="preserve"> (Table6[[#This Row],[Unit]]-$N$3)/$N$4</f>
        <v>8.3119525251430432E-2</v>
      </c>
    </row>
    <row r="23" spans="2:6" x14ac:dyDescent="0.35">
      <c r="B23" s="14" t="s">
        <v>23</v>
      </c>
      <c r="C23" s="35">
        <v>8155</v>
      </c>
      <c r="D23" s="44">
        <f>(Table6[[#This Row],[Amount]]-$M$3)/ $M$4</f>
        <v>1.2882241128539704</v>
      </c>
      <c r="E23" s="38">
        <v>90</v>
      </c>
      <c r="F23" s="41">
        <f xml:space="preserve"> (Table6[[#This Row],[Unit]]-$N$3)/$N$4</f>
        <v>-0.52755453782030259</v>
      </c>
    </row>
    <row r="24" spans="2:6" x14ac:dyDescent="0.35">
      <c r="B24" s="13" t="s">
        <v>23</v>
      </c>
      <c r="C24" s="34">
        <v>1701</v>
      </c>
      <c r="D24" s="43">
        <f>(Table6[[#This Row],[Amount]]-$M$3)/ $M$4</f>
        <v>-0.78061745418259154</v>
      </c>
      <c r="E24" s="37">
        <v>234</v>
      </c>
      <c r="F24" s="5">
        <f xml:space="preserve"> (Table6[[#This Row],[Unit]]-$N$3)/$N$4</f>
        <v>0.69379358832316351</v>
      </c>
    </row>
    <row r="25" spans="2:6" x14ac:dyDescent="0.35">
      <c r="B25" s="14" t="s">
        <v>22</v>
      </c>
      <c r="C25" s="35">
        <v>2205</v>
      </c>
      <c r="D25" s="44">
        <f>(Table6[[#This Row],[Amount]]-$M$3)/ $M$4</f>
        <v>-0.61905932747257808</v>
      </c>
      <c r="E25" s="38">
        <v>141</v>
      </c>
      <c r="F25" s="41">
        <f xml:space="preserve"> (Table6[[#This Row],[Unit]]-$N$3)/$N$4</f>
        <v>-9.4993743144491716E-2</v>
      </c>
    </row>
    <row r="26" spans="2:6" x14ac:dyDescent="0.35">
      <c r="B26" s="13" t="s">
        <v>19</v>
      </c>
      <c r="C26" s="34">
        <v>1771</v>
      </c>
      <c r="D26" s="43">
        <f>(Table6[[#This Row],[Amount]]-$M$3)/ $M$4</f>
        <v>-0.75817882547286741</v>
      </c>
      <c r="E26" s="37">
        <v>204</v>
      </c>
      <c r="F26" s="5">
        <f xml:space="preserve"> (Table6[[#This Row],[Unit]]-$N$3)/$N$4</f>
        <v>0.4393460620432747</v>
      </c>
    </row>
    <row r="27" spans="2:6" x14ac:dyDescent="0.35">
      <c r="B27" s="14" t="s">
        <v>15</v>
      </c>
      <c r="C27" s="35">
        <v>2114</v>
      </c>
      <c r="D27" s="44">
        <f>(Table6[[#This Row],[Amount]]-$M$3)/ $M$4</f>
        <v>-0.64822954479521933</v>
      </c>
      <c r="E27" s="38">
        <v>186</v>
      </c>
      <c r="F27" s="41">
        <f xml:space="preserve"> (Table6[[#This Row],[Unit]]-$N$3)/$N$4</f>
        <v>0.28667754627534142</v>
      </c>
    </row>
    <row r="28" spans="2:6" x14ac:dyDescent="0.35">
      <c r="B28" s="13" t="s">
        <v>13</v>
      </c>
      <c r="C28" s="34">
        <v>10311</v>
      </c>
      <c r="D28" s="43">
        <f>(Table6[[#This Row],[Amount]]-$M$3)/ $M$4</f>
        <v>1.9793338771134728</v>
      </c>
      <c r="E28" s="37">
        <v>231</v>
      </c>
      <c r="F28" s="5">
        <f xml:space="preserve"> (Table6[[#This Row],[Unit]]-$N$3)/$N$4</f>
        <v>0.66834883569517456</v>
      </c>
    </row>
    <row r="29" spans="2:6" x14ac:dyDescent="0.35">
      <c r="B29" s="14" t="s">
        <v>16</v>
      </c>
      <c r="C29" s="35">
        <v>21</v>
      </c>
      <c r="D29" s="44">
        <f>(Table6[[#This Row],[Amount]]-$M$3)/ $M$4</f>
        <v>-1.3191445432159699</v>
      </c>
      <c r="E29" s="38">
        <v>168</v>
      </c>
      <c r="F29" s="41">
        <f xml:space="preserve"> (Table6[[#This Row],[Unit]]-$N$3)/$N$4</f>
        <v>0.13400903050740817</v>
      </c>
    </row>
    <row r="30" spans="2:6" x14ac:dyDescent="0.35">
      <c r="B30" s="13" t="s">
        <v>20</v>
      </c>
      <c r="C30" s="34">
        <v>1974</v>
      </c>
      <c r="D30" s="43">
        <f>(Table6[[#This Row],[Amount]]-$M$3)/ $M$4</f>
        <v>-0.69310680221466758</v>
      </c>
      <c r="E30" s="37">
        <v>195</v>
      </c>
      <c r="F30" s="5">
        <f xml:space="preserve"> (Table6[[#This Row],[Unit]]-$N$3)/$N$4</f>
        <v>0.36301180415930806</v>
      </c>
    </row>
    <row r="31" spans="2:6" x14ac:dyDescent="0.35">
      <c r="B31" s="14" t="s">
        <v>23</v>
      </c>
      <c r="C31" s="35">
        <v>6314</v>
      </c>
      <c r="D31" s="44">
        <f>(Table6[[#This Row],[Amount]]-$M$3)/ $M$4</f>
        <v>0.69808817778822663</v>
      </c>
      <c r="E31" s="38">
        <v>15</v>
      </c>
      <c r="F31" s="41">
        <f xml:space="preserve"> (Table6[[#This Row],[Unit]]-$N$3)/$N$4</f>
        <v>-1.1636733535200245</v>
      </c>
    </row>
    <row r="32" spans="2:6" x14ac:dyDescent="0.35">
      <c r="B32" s="13" t="s">
        <v>23</v>
      </c>
      <c r="C32" s="34">
        <v>4683</v>
      </c>
      <c r="D32" s="43">
        <f>(Table6[[#This Row],[Amount]]-$M$3)/ $M$4</f>
        <v>0.17526812885165508</v>
      </c>
      <c r="E32" s="37">
        <v>30</v>
      </c>
      <c r="F32" s="5">
        <f xml:space="preserve"> (Table6[[#This Row],[Unit]]-$N$3)/$N$4</f>
        <v>-1.0364495903800801</v>
      </c>
    </row>
    <row r="33" spans="2:16" x14ac:dyDescent="0.35">
      <c r="B33" s="14" t="s">
        <v>24</v>
      </c>
      <c r="C33" s="35">
        <v>6398</v>
      </c>
      <c r="D33" s="44">
        <f>(Table6[[#This Row],[Amount]]-$M$3)/ $M$4</f>
        <v>0.72501453223989554</v>
      </c>
      <c r="E33" s="38">
        <v>102</v>
      </c>
      <c r="F33" s="41">
        <f xml:space="preserve"> (Table6[[#This Row],[Unit]]-$N$3)/$N$4</f>
        <v>-0.42577552730834711</v>
      </c>
    </row>
    <row r="34" spans="2:16" x14ac:dyDescent="0.35">
      <c r="B34" s="13" t="s">
        <v>19</v>
      </c>
      <c r="C34" s="34">
        <v>553</v>
      </c>
      <c r="D34" s="43">
        <f>(Table6[[#This Row],[Amount]]-$M$3)/ $M$4</f>
        <v>-1.1486109650220668</v>
      </c>
      <c r="E34" s="37">
        <v>15</v>
      </c>
      <c r="F34" s="5">
        <f xml:space="preserve"> (Table6[[#This Row],[Unit]]-$N$3)/$N$4</f>
        <v>-1.1636733535200245</v>
      </c>
    </row>
    <row r="35" spans="2:16" x14ac:dyDescent="0.35">
      <c r="B35" s="14" t="s">
        <v>30</v>
      </c>
      <c r="C35" s="35">
        <v>7021</v>
      </c>
      <c r="D35" s="44">
        <f>(Table6[[#This Row],[Amount]]-$M$3)/ $M$4</f>
        <v>0.92471832775644003</v>
      </c>
      <c r="E35" s="38">
        <v>183</v>
      </c>
      <c r="F35" s="41">
        <f xml:space="preserve"> (Table6[[#This Row],[Unit]]-$N$3)/$N$4</f>
        <v>0.26123279364735258</v>
      </c>
    </row>
    <row r="36" spans="2:16" x14ac:dyDescent="0.35">
      <c r="B36" s="13" t="s">
        <v>22</v>
      </c>
      <c r="C36" s="34">
        <v>5817</v>
      </c>
      <c r="D36" s="43">
        <f>(Table6[[#This Row],[Amount]]-$M$3)/ $M$4</f>
        <v>0.5387739139491855</v>
      </c>
      <c r="E36" s="37">
        <v>12</v>
      </c>
      <c r="F36" s="5">
        <f xml:space="preserve"> (Table6[[#This Row],[Unit]]-$N$3)/$N$4</f>
        <v>-1.1891181061480134</v>
      </c>
    </row>
    <row r="37" spans="2:16" x14ac:dyDescent="0.35">
      <c r="B37" s="14" t="s">
        <v>14</v>
      </c>
      <c r="C37" s="35">
        <v>3976</v>
      </c>
      <c r="D37" s="44">
        <f>(Table6[[#This Row],[Amount]]-$M$3)/ $M$4</f>
        <v>-5.1362021116558326E-2</v>
      </c>
      <c r="E37" s="38">
        <v>72</v>
      </c>
      <c r="F37" s="41">
        <f xml:space="preserve"> (Table6[[#This Row],[Unit]]-$N$3)/$N$4</f>
        <v>-0.68022305358823587</v>
      </c>
    </row>
    <row r="38" spans="2:16" x14ac:dyDescent="0.35">
      <c r="B38" s="13" t="s">
        <v>27</v>
      </c>
      <c r="C38" s="34">
        <v>1134</v>
      </c>
      <c r="D38" s="43">
        <f>(Table6[[#This Row],[Amount]]-$M$3)/ $M$4</f>
        <v>-0.9623703467313568</v>
      </c>
      <c r="E38" s="37">
        <v>282</v>
      </c>
      <c r="F38" s="5">
        <f xml:space="preserve"> (Table6[[#This Row],[Unit]]-$N$3)/$N$4</f>
        <v>1.1009096303709855</v>
      </c>
      <c r="P38" s="59"/>
    </row>
    <row r="39" spans="2:16" x14ac:dyDescent="0.35">
      <c r="B39" s="14" t="s">
        <v>28</v>
      </c>
      <c r="C39" s="35">
        <v>6027</v>
      </c>
      <c r="D39" s="44">
        <f>(Table6[[#This Row],[Amount]]-$M$3)/ $M$4</f>
        <v>0.60608980007835778</v>
      </c>
      <c r="E39" s="38">
        <v>144</v>
      </c>
      <c r="F39" s="41">
        <f xml:space="preserve"> (Table6[[#This Row],[Unit]]-$N$3)/$N$4</f>
        <v>-6.9548990516502832E-2</v>
      </c>
      <c r="P39" s="22"/>
    </row>
    <row r="40" spans="2:16" x14ac:dyDescent="0.35">
      <c r="B40" s="13" t="s">
        <v>16</v>
      </c>
      <c r="C40" s="34">
        <v>1904</v>
      </c>
      <c r="D40" s="43">
        <f>(Table6[[#This Row],[Amount]]-$M$3)/ $M$4</f>
        <v>-0.71554543092439171</v>
      </c>
      <c r="E40" s="37">
        <v>405</v>
      </c>
      <c r="F40" s="5">
        <f xml:space="preserve"> (Table6[[#This Row],[Unit]]-$N$3)/$N$4</f>
        <v>2.1441444881185294</v>
      </c>
      <c r="P40" s="25"/>
    </row>
    <row r="41" spans="2:16" x14ac:dyDescent="0.35">
      <c r="B41" s="14" t="s">
        <v>32</v>
      </c>
      <c r="C41" s="35">
        <v>3262</v>
      </c>
      <c r="D41" s="44">
        <f>(Table6[[#This Row],[Amount]]-$M$3)/ $M$4</f>
        <v>-0.28023603395574415</v>
      </c>
      <c r="E41" s="38">
        <v>75</v>
      </c>
      <c r="F41" s="41">
        <f xml:space="preserve"> (Table6[[#This Row],[Unit]]-$N$3)/$N$4</f>
        <v>-0.65477830096024703</v>
      </c>
      <c r="P41" s="25"/>
    </row>
    <row r="42" spans="2:16" x14ac:dyDescent="0.35">
      <c r="B42" s="13" t="s">
        <v>27</v>
      </c>
      <c r="C42" s="34">
        <v>2289</v>
      </c>
      <c r="D42" s="43">
        <f>(Table6[[#This Row],[Amount]]-$M$3)/ $M$4</f>
        <v>-0.59213297302090906</v>
      </c>
      <c r="E42" s="37">
        <v>135</v>
      </c>
      <c r="F42" s="5">
        <f xml:space="preserve"> (Table6[[#This Row],[Unit]]-$N$3)/$N$4</f>
        <v>-0.14588324840046946</v>
      </c>
      <c r="P42" s="27"/>
    </row>
    <row r="43" spans="2:16" x14ac:dyDescent="0.35">
      <c r="B43" s="14" t="s">
        <v>27</v>
      </c>
      <c r="C43" s="35">
        <v>6986</v>
      </c>
      <c r="D43" s="44">
        <f>(Table6[[#This Row],[Amount]]-$M$3)/ $M$4</f>
        <v>0.91349901340157791</v>
      </c>
      <c r="E43" s="38">
        <v>21</v>
      </c>
      <c r="F43" s="41">
        <f xml:space="preserve"> (Table6[[#This Row],[Unit]]-$N$3)/$N$4</f>
        <v>-1.1127838482640469</v>
      </c>
      <c r="P43" s="27"/>
    </row>
    <row r="44" spans="2:16" x14ac:dyDescent="0.35">
      <c r="B44" s="13" t="s">
        <v>23</v>
      </c>
      <c r="C44" s="34">
        <v>4417</v>
      </c>
      <c r="D44" s="43">
        <f>(Table6[[#This Row],[Amount]]-$M$3)/ $M$4</f>
        <v>9.0001339754703508E-2</v>
      </c>
      <c r="E44" s="37">
        <v>153</v>
      </c>
      <c r="F44" s="5">
        <f xml:space="preserve"> (Table6[[#This Row],[Unit]]-$N$3)/$N$4</f>
        <v>6.7852673674637966E-3</v>
      </c>
      <c r="P44" s="28"/>
    </row>
    <row r="45" spans="2:16" x14ac:dyDescent="0.35">
      <c r="B45" s="14" t="s">
        <v>15</v>
      </c>
      <c r="C45" s="35">
        <v>1442</v>
      </c>
      <c r="D45" s="44">
        <f>(Table6[[#This Row],[Amount]]-$M$3)/ $M$4</f>
        <v>-0.86364038040857072</v>
      </c>
      <c r="E45" s="38">
        <v>15</v>
      </c>
      <c r="F45" s="41">
        <f xml:space="preserve"> (Table6[[#This Row],[Unit]]-$N$3)/$N$4</f>
        <v>-1.1636733535200245</v>
      </c>
    </row>
    <row r="46" spans="2:16" x14ac:dyDescent="0.35">
      <c r="B46" s="13" t="s">
        <v>14</v>
      </c>
      <c r="C46" s="34">
        <v>2415</v>
      </c>
      <c r="D46" s="43">
        <f>(Table6[[#This Row],[Amount]]-$M$3)/ $M$4</f>
        <v>-0.55174344134340569</v>
      </c>
      <c r="E46" s="37">
        <v>255</v>
      </c>
      <c r="F46" s="5">
        <f xml:space="preserve"> (Table6[[#This Row],[Unit]]-$N$3)/$N$4</f>
        <v>0.87190685671908563</v>
      </c>
    </row>
    <row r="47" spans="2:16" x14ac:dyDescent="0.35">
      <c r="B47" s="14" t="s">
        <v>19</v>
      </c>
      <c r="C47" s="35">
        <v>238</v>
      </c>
      <c r="D47" s="44">
        <f>(Table6[[#This Row],[Amount]]-$M$3)/ $M$4</f>
        <v>-1.2495847942158251</v>
      </c>
      <c r="E47" s="38">
        <v>18</v>
      </c>
      <c r="F47" s="41">
        <f xml:space="preserve"> (Table6[[#This Row],[Unit]]-$N$3)/$N$4</f>
        <v>-1.1382286008920357</v>
      </c>
    </row>
    <row r="48" spans="2:16" x14ac:dyDescent="0.35">
      <c r="B48" s="13" t="s">
        <v>23</v>
      </c>
      <c r="C48" s="34">
        <v>4949</v>
      </c>
      <c r="D48" s="43">
        <f>(Table6[[#This Row],[Amount]]-$M$3)/ $M$4</f>
        <v>0.26053491794860667</v>
      </c>
      <c r="E48" s="37">
        <v>189</v>
      </c>
      <c r="F48" s="5">
        <f xml:space="preserve"> (Table6[[#This Row],[Unit]]-$N$3)/$N$4</f>
        <v>0.31212229890333032</v>
      </c>
    </row>
    <row r="49" spans="2:6" x14ac:dyDescent="0.35">
      <c r="B49" s="14" t="s">
        <v>32</v>
      </c>
      <c r="C49" s="35">
        <v>5075</v>
      </c>
      <c r="D49" s="44">
        <f>(Table6[[#This Row],[Amount]]-$M$3)/ $M$4</f>
        <v>0.30092444962611004</v>
      </c>
      <c r="E49" s="38">
        <v>21</v>
      </c>
      <c r="F49" s="41">
        <f xml:space="preserve"> (Table6[[#This Row],[Unit]]-$N$3)/$N$4</f>
        <v>-1.1127838482640469</v>
      </c>
    </row>
    <row r="50" spans="2:6" x14ac:dyDescent="0.35">
      <c r="B50" s="13" t="s">
        <v>16</v>
      </c>
      <c r="C50" s="34">
        <v>9198</v>
      </c>
      <c r="D50" s="43">
        <f>(Table6[[#This Row],[Amount]]-$M$3)/ $M$4</f>
        <v>1.6225596806288596</v>
      </c>
      <c r="E50" s="37">
        <v>36</v>
      </c>
      <c r="F50" s="5">
        <f xml:space="preserve"> (Table6[[#This Row],[Unit]]-$N$3)/$N$4</f>
        <v>-0.98556008512410243</v>
      </c>
    </row>
    <row r="51" spans="2:6" x14ac:dyDescent="0.35">
      <c r="B51" s="14" t="s">
        <v>29</v>
      </c>
      <c r="C51" s="35">
        <v>3339</v>
      </c>
      <c r="D51" s="44">
        <f>(Table6[[#This Row],[Amount]]-$M$3)/ $M$4</f>
        <v>-0.25555354237504763</v>
      </c>
      <c r="E51" s="38">
        <v>75</v>
      </c>
      <c r="F51" s="41">
        <f xml:space="preserve"> (Table6[[#This Row],[Unit]]-$N$3)/$N$4</f>
        <v>-0.65477830096024703</v>
      </c>
    </row>
    <row r="52" spans="2:6" x14ac:dyDescent="0.35">
      <c r="B52" s="13" t="s">
        <v>17</v>
      </c>
      <c r="C52" s="34">
        <v>5019</v>
      </c>
      <c r="D52" s="43">
        <f>(Table6[[#This Row],[Amount]]-$M$3)/ $M$4</f>
        <v>0.28297354665833074</v>
      </c>
      <c r="E52" s="37">
        <v>156</v>
      </c>
      <c r="F52" s="5">
        <f xml:space="preserve"> (Table6[[#This Row],[Unit]]-$N$3)/$N$4</f>
        <v>3.223001999545267E-2</v>
      </c>
    </row>
    <row r="53" spans="2:6" x14ac:dyDescent="0.35">
      <c r="B53" s="14" t="s">
        <v>16</v>
      </c>
      <c r="C53" s="35">
        <v>16184</v>
      </c>
      <c r="D53" s="44">
        <f>(Table6[[#This Row],[Amount]]-$M$3)/ $M$4</f>
        <v>3.8619348258593247</v>
      </c>
      <c r="E53" s="38">
        <v>39</v>
      </c>
      <c r="F53" s="41">
        <f xml:space="preserve"> (Table6[[#This Row],[Unit]]-$N$3)/$N$4</f>
        <v>-0.96011533249611347</v>
      </c>
    </row>
    <row r="54" spans="2:6" x14ac:dyDescent="0.35">
      <c r="B54" s="13" t="s">
        <v>21</v>
      </c>
      <c r="C54" s="34">
        <v>497</v>
      </c>
      <c r="D54" s="43">
        <f>(Table6[[#This Row],[Amount]]-$M$3)/ $M$4</f>
        <v>-1.166561867989846</v>
      </c>
      <c r="E54" s="37">
        <v>63</v>
      </c>
      <c r="F54" s="5">
        <f xml:space="preserve"> (Table6[[#This Row],[Unit]]-$N$3)/$N$4</f>
        <v>-0.75655731147220251</v>
      </c>
    </row>
    <row r="55" spans="2:6" x14ac:dyDescent="0.35">
      <c r="B55" s="14" t="s">
        <v>29</v>
      </c>
      <c r="C55" s="35">
        <v>8211</v>
      </c>
      <c r="D55" s="44">
        <f>(Table6[[#This Row],[Amount]]-$M$3)/ $M$4</f>
        <v>1.3061750158217498</v>
      </c>
      <c r="E55" s="38">
        <v>75</v>
      </c>
      <c r="F55" s="41">
        <f xml:space="preserve"> (Table6[[#This Row],[Unit]]-$N$3)/$N$4</f>
        <v>-0.65477830096024703</v>
      </c>
    </row>
    <row r="56" spans="2:6" x14ac:dyDescent="0.35">
      <c r="B56" s="13" t="s">
        <v>28</v>
      </c>
      <c r="C56" s="34">
        <v>6580</v>
      </c>
      <c r="D56" s="43">
        <f>(Table6[[#This Row],[Amount]]-$M$3)/ $M$4</f>
        <v>0.78335496688517814</v>
      </c>
      <c r="E56" s="37">
        <v>183</v>
      </c>
      <c r="F56" s="5">
        <f xml:space="preserve"> (Table6[[#This Row],[Unit]]-$N$3)/$N$4</f>
        <v>0.26123279364735258</v>
      </c>
    </row>
    <row r="57" spans="2:6" x14ac:dyDescent="0.35">
      <c r="B57" s="14" t="s">
        <v>13</v>
      </c>
      <c r="C57" s="35">
        <v>4760</v>
      </c>
      <c r="D57" s="44">
        <f>(Table6[[#This Row],[Amount]]-$M$3)/ $M$4</f>
        <v>0.19995062043235159</v>
      </c>
      <c r="E57" s="38">
        <v>69</v>
      </c>
      <c r="F57" s="41">
        <f xml:space="preserve"> (Table6[[#This Row],[Unit]]-$N$3)/$N$4</f>
        <v>-0.70566780621622471</v>
      </c>
    </row>
    <row r="58" spans="2:6" x14ac:dyDescent="0.35">
      <c r="B58" s="13" t="s">
        <v>25</v>
      </c>
      <c r="C58" s="34">
        <v>5439</v>
      </c>
      <c r="D58" s="43">
        <f>(Table6[[#This Row],[Amount]]-$M$3)/ $M$4</f>
        <v>0.41760531891667535</v>
      </c>
      <c r="E58" s="37">
        <v>30</v>
      </c>
      <c r="F58" s="5">
        <f xml:space="preserve"> (Table6[[#This Row],[Unit]]-$N$3)/$N$4</f>
        <v>-1.0364495903800801</v>
      </c>
    </row>
    <row r="59" spans="2:6" x14ac:dyDescent="0.35">
      <c r="B59" s="14" t="s">
        <v>17</v>
      </c>
      <c r="C59" s="35">
        <v>1463</v>
      </c>
      <c r="D59" s="44">
        <f>(Table6[[#This Row],[Amount]]-$M$3)/ $M$4</f>
        <v>-0.85690879179565349</v>
      </c>
      <c r="E59" s="38">
        <v>39</v>
      </c>
      <c r="F59" s="41">
        <f xml:space="preserve"> (Table6[[#This Row],[Unit]]-$N$3)/$N$4</f>
        <v>-0.96011533249611347</v>
      </c>
    </row>
    <row r="60" spans="2:6" x14ac:dyDescent="0.35">
      <c r="B60" s="13" t="s">
        <v>32</v>
      </c>
      <c r="C60" s="34">
        <v>7777</v>
      </c>
      <c r="D60" s="43">
        <f>(Table6[[#This Row],[Amount]]-$M$3)/ $M$4</f>
        <v>1.1670555178214603</v>
      </c>
      <c r="E60" s="37">
        <v>504</v>
      </c>
      <c r="F60" s="5">
        <f xml:space="preserve"> (Table6[[#This Row],[Unit]]-$N$3)/$N$4</f>
        <v>2.9838213248421623</v>
      </c>
    </row>
    <row r="61" spans="2:6" x14ac:dyDescent="0.35">
      <c r="B61" s="14" t="s">
        <v>29</v>
      </c>
      <c r="C61" s="35">
        <v>1085</v>
      </c>
      <c r="D61" s="44">
        <f>(Table6[[#This Row],[Amount]]-$M$3)/ $M$4</f>
        <v>-0.97807738682816359</v>
      </c>
      <c r="E61" s="38">
        <v>273</v>
      </c>
      <c r="F61" s="41">
        <f xml:space="preserve"> (Table6[[#This Row],[Unit]]-$N$3)/$N$4</f>
        <v>1.0245753724870188</v>
      </c>
    </row>
    <row r="62" spans="2:6" x14ac:dyDescent="0.35">
      <c r="B62" s="13" t="s">
        <v>31</v>
      </c>
      <c r="C62" s="34">
        <v>182</v>
      </c>
      <c r="D62" s="43">
        <f>(Table6[[#This Row],[Amount]]-$M$3)/ $M$4</f>
        <v>-1.2675356971836045</v>
      </c>
      <c r="E62" s="37">
        <v>48</v>
      </c>
      <c r="F62" s="5">
        <f xml:space="preserve"> (Table6[[#This Row],[Unit]]-$N$3)/$N$4</f>
        <v>-0.88378107461214683</v>
      </c>
    </row>
    <row r="63" spans="2:6" x14ac:dyDescent="0.35">
      <c r="B63" s="14" t="s">
        <v>27</v>
      </c>
      <c r="C63" s="35">
        <v>4242</v>
      </c>
      <c r="D63" s="44">
        <f>(Table6[[#This Row],[Amount]]-$M$3)/ $M$4</f>
        <v>3.3904767980393255E-2</v>
      </c>
      <c r="E63" s="38">
        <v>207</v>
      </c>
      <c r="F63" s="41">
        <f xml:space="preserve"> (Table6[[#This Row],[Unit]]-$N$3)/$N$4</f>
        <v>0.4647908146712636</v>
      </c>
    </row>
    <row r="64" spans="2:6" x14ac:dyDescent="0.35">
      <c r="B64" s="13" t="s">
        <v>32</v>
      </c>
      <c r="C64" s="34">
        <v>6118</v>
      </c>
      <c r="D64" s="43">
        <f>(Table6[[#This Row],[Amount]]-$M$3)/ $M$4</f>
        <v>0.63526001740099913</v>
      </c>
      <c r="E64" s="37">
        <v>9</v>
      </c>
      <c r="F64" s="5">
        <f xml:space="preserve"> (Table6[[#This Row],[Unit]]-$N$3)/$N$4</f>
        <v>-1.2145628587760022</v>
      </c>
    </row>
    <row r="65" spans="2:6" x14ac:dyDescent="0.35">
      <c r="B65" s="14" t="s">
        <v>23</v>
      </c>
      <c r="C65" s="35">
        <v>2317</v>
      </c>
      <c r="D65" s="44">
        <f>(Table6[[#This Row],[Amount]]-$M$3)/ $M$4</f>
        <v>-0.5831575215370195</v>
      </c>
      <c r="E65" s="38">
        <v>261</v>
      </c>
      <c r="F65" s="41">
        <f xml:space="preserve"> (Table6[[#This Row],[Unit]]-$N$3)/$N$4</f>
        <v>0.92279636197506332</v>
      </c>
    </row>
    <row r="66" spans="2:6" x14ac:dyDescent="0.35">
      <c r="B66" s="13" t="s">
        <v>16</v>
      </c>
      <c r="C66" s="34">
        <v>938</v>
      </c>
      <c r="D66" s="43">
        <f>(Table6[[#This Row],[Amount]]-$M$3)/ $M$4</f>
        <v>-1.0251985071185843</v>
      </c>
      <c r="E66" s="37">
        <v>6</v>
      </c>
      <c r="F66" s="5">
        <f xml:space="preserve"> (Table6[[#This Row],[Unit]]-$N$3)/$N$4</f>
        <v>-1.2400076114039911</v>
      </c>
    </row>
    <row r="67" spans="2:6" x14ac:dyDescent="0.35">
      <c r="B67" s="14" t="s">
        <v>15</v>
      </c>
      <c r="C67" s="35">
        <v>9709</v>
      </c>
      <c r="D67" s="44">
        <f>(Table6[[#This Row],[Amount]]-$M$3)/ $M$4</f>
        <v>1.7863616702098455</v>
      </c>
      <c r="E67" s="38">
        <v>30</v>
      </c>
      <c r="F67" s="41">
        <f xml:space="preserve"> (Table6[[#This Row],[Unit]]-$N$3)/$N$4</f>
        <v>-1.0364495903800801</v>
      </c>
    </row>
    <row r="68" spans="2:6" x14ac:dyDescent="0.35">
      <c r="B68" s="13" t="s">
        <v>20</v>
      </c>
      <c r="C68" s="34">
        <v>2205</v>
      </c>
      <c r="D68" s="43">
        <f>(Table6[[#This Row],[Amount]]-$M$3)/ $M$4</f>
        <v>-0.61905932747257808</v>
      </c>
      <c r="E68" s="37">
        <v>138</v>
      </c>
      <c r="F68" s="5">
        <f xml:space="preserve"> (Table6[[#This Row],[Unit]]-$N$3)/$N$4</f>
        <v>-0.12043849577248059</v>
      </c>
    </row>
    <row r="69" spans="2:6" x14ac:dyDescent="0.35">
      <c r="B69" s="14" t="s">
        <v>17</v>
      </c>
      <c r="C69" s="35">
        <v>4487</v>
      </c>
      <c r="D69" s="44">
        <f>(Table6[[#This Row],[Amount]]-$M$3)/ $M$4</f>
        <v>0.11243996846442759</v>
      </c>
      <c r="E69" s="38">
        <v>111</v>
      </c>
      <c r="F69" s="41">
        <f xml:space="preserve"> (Table6[[#This Row],[Unit]]-$N$3)/$N$4</f>
        <v>-0.34944126942438047</v>
      </c>
    </row>
    <row r="70" spans="2:6" x14ac:dyDescent="0.35">
      <c r="B70" s="13" t="s">
        <v>18</v>
      </c>
      <c r="C70" s="34">
        <v>2415</v>
      </c>
      <c r="D70" s="43">
        <f>(Table6[[#This Row],[Amount]]-$M$3)/ $M$4</f>
        <v>-0.55174344134340569</v>
      </c>
      <c r="E70" s="37">
        <v>15</v>
      </c>
      <c r="F70" s="5">
        <f xml:space="preserve"> (Table6[[#This Row],[Unit]]-$N$3)/$N$4</f>
        <v>-1.1636733535200245</v>
      </c>
    </row>
    <row r="71" spans="2:6" x14ac:dyDescent="0.35">
      <c r="B71" s="14" t="s">
        <v>19</v>
      </c>
      <c r="C71" s="35">
        <v>4018</v>
      </c>
      <c r="D71" s="44">
        <f>(Table6[[#This Row],[Amount]]-$M$3)/ $M$4</f>
        <v>-3.7898843890723864E-2</v>
      </c>
      <c r="E71" s="38">
        <v>162</v>
      </c>
      <c r="F71" s="41">
        <f xml:space="preserve"> (Table6[[#This Row],[Unit]]-$N$3)/$N$4</f>
        <v>8.3119525251430432E-2</v>
      </c>
    </row>
    <row r="72" spans="2:6" x14ac:dyDescent="0.35">
      <c r="B72" s="13" t="s">
        <v>19</v>
      </c>
      <c r="C72" s="34">
        <v>861</v>
      </c>
      <c r="D72" s="43">
        <f>(Table6[[#This Row],[Amount]]-$M$3)/ $M$4</f>
        <v>-1.0498809986992808</v>
      </c>
      <c r="E72" s="37">
        <v>195</v>
      </c>
      <c r="F72" s="5">
        <f xml:space="preserve"> (Table6[[#This Row],[Unit]]-$N$3)/$N$4</f>
        <v>0.36301180415930806</v>
      </c>
    </row>
    <row r="73" spans="2:6" x14ac:dyDescent="0.35">
      <c r="B73" s="14" t="s">
        <v>14</v>
      </c>
      <c r="C73" s="35">
        <v>5586</v>
      </c>
      <c r="D73" s="44">
        <f>(Table6[[#This Row],[Amount]]-$M$3)/ $M$4</f>
        <v>0.46472643920709594</v>
      </c>
      <c r="E73" s="38">
        <v>525</v>
      </c>
      <c r="F73" s="41">
        <f xml:space="preserve"> (Table6[[#This Row],[Unit]]-$N$3)/$N$4</f>
        <v>3.1619345932380845</v>
      </c>
    </row>
    <row r="74" spans="2:6" x14ac:dyDescent="0.35">
      <c r="B74" s="13" t="s">
        <v>33</v>
      </c>
      <c r="C74" s="34">
        <v>2226</v>
      </c>
      <c r="D74" s="43">
        <f>(Table6[[#This Row],[Amount]]-$M$3)/ $M$4</f>
        <v>-0.61232773885966085</v>
      </c>
      <c r="E74" s="37">
        <v>48</v>
      </c>
      <c r="F74" s="5">
        <f xml:space="preserve"> (Table6[[#This Row],[Unit]]-$N$3)/$N$4</f>
        <v>-0.88378107461214683</v>
      </c>
    </row>
    <row r="75" spans="2:6" x14ac:dyDescent="0.35">
      <c r="B75" s="14" t="s">
        <v>28</v>
      </c>
      <c r="C75" s="35">
        <v>14329</v>
      </c>
      <c r="D75" s="44">
        <f>(Table6[[#This Row],[Amount]]-$M$3)/ $M$4</f>
        <v>3.2673111650516358</v>
      </c>
      <c r="E75" s="38">
        <v>150</v>
      </c>
      <c r="F75" s="41">
        <f xml:space="preserve"> (Table6[[#This Row],[Unit]]-$N$3)/$N$4</f>
        <v>-1.8659485260525081E-2</v>
      </c>
    </row>
    <row r="76" spans="2:6" x14ac:dyDescent="0.35">
      <c r="B76" s="13" t="s">
        <v>20</v>
      </c>
      <c r="C76" s="34">
        <v>8463</v>
      </c>
      <c r="D76" s="43">
        <f>(Table6[[#This Row],[Amount]]-$M$3)/ $M$4</f>
        <v>1.3869540791767565</v>
      </c>
      <c r="E76" s="37">
        <v>492</v>
      </c>
      <c r="F76" s="5">
        <f xml:space="preserve"> (Table6[[#This Row],[Unit]]-$N$3)/$N$4</f>
        <v>2.882042314330207</v>
      </c>
    </row>
    <row r="77" spans="2:6" x14ac:dyDescent="0.35">
      <c r="B77" s="14" t="s">
        <v>29</v>
      </c>
      <c r="C77" s="35">
        <v>2891</v>
      </c>
      <c r="D77" s="44">
        <f>(Table6[[#This Row],[Amount]]-$M$3)/ $M$4</f>
        <v>-0.39916076611728185</v>
      </c>
      <c r="E77" s="38">
        <v>102</v>
      </c>
      <c r="F77" s="41">
        <f xml:space="preserve"> (Table6[[#This Row],[Unit]]-$N$3)/$N$4</f>
        <v>-0.42577552730834711</v>
      </c>
    </row>
    <row r="78" spans="2:6" x14ac:dyDescent="0.35">
      <c r="B78" s="13" t="s">
        <v>23</v>
      </c>
      <c r="C78" s="34">
        <v>3773</v>
      </c>
      <c r="D78" s="43">
        <f>(Table6[[#This Row],[Amount]]-$M$3)/ $M$4</f>
        <v>-0.11643404437475821</v>
      </c>
      <c r="E78" s="37">
        <v>165</v>
      </c>
      <c r="F78" s="5">
        <f xml:space="preserve"> (Table6[[#This Row],[Unit]]-$N$3)/$N$4</f>
        <v>0.1085642778794193</v>
      </c>
    </row>
    <row r="79" spans="2:6" x14ac:dyDescent="0.35">
      <c r="B79" s="14" t="s">
        <v>28</v>
      </c>
      <c r="C79" s="35">
        <v>854</v>
      </c>
      <c r="D79" s="44">
        <f>(Table6[[#This Row],[Amount]]-$M$3)/ $M$4</f>
        <v>-1.0521248615702532</v>
      </c>
      <c r="E79" s="38">
        <v>309</v>
      </c>
      <c r="F79" s="41">
        <f xml:space="preserve"> (Table6[[#This Row],[Unit]]-$N$3)/$N$4</f>
        <v>1.3299124040228854</v>
      </c>
    </row>
    <row r="80" spans="2:6" x14ac:dyDescent="0.35">
      <c r="B80" s="13" t="s">
        <v>17</v>
      </c>
      <c r="C80" s="34">
        <v>4970</v>
      </c>
      <c r="D80" s="43">
        <f>(Table6[[#This Row],[Amount]]-$M$3)/ $M$4</f>
        <v>0.2672665065615239</v>
      </c>
      <c r="E80" s="37">
        <v>156</v>
      </c>
      <c r="F80" s="5">
        <f xml:space="preserve"> (Table6[[#This Row],[Unit]]-$N$3)/$N$4</f>
        <v>3.223001999545267E-2</v>
      </c>
    </row>
    <row r="81" spans="2:6" x14ac:dyDescent="0.35">
      <c r="B81" s="14" t="s">
        <v>26</v>
      </c>
      <c r="C81" s="35">
        <v>98</v>
      </c>
      <c r="D81" s="44">
        <f>(Table6[[#This Row],[Amount]]-$M$3)/ $M$4</f>
        <v>-1.2944620516352734</v>
      </c>
      <c r="E81" s="38">
        <v>159</v>
      </c>
      <c r="F81" s="41">
        <f xml:space="preserve"> (Table6[[#This Row],[Unit]]-$N$3)/$N$4</f>
        <v>5.7674772623441548E-2</v>
      </c>
    </row>
    <row r="82" spans="2:6" x14ac:dyDescent="0.35">
      <c r="B82" s="13" t="s">
        <v>15</v>
      </c>
      <c r="C82" s="34">
        <v>13391</v>
      </c>
      <c r="D82" s="43">
        <f>(Table6[[#This Row],[Amount]]-$M$3)/ $M$4</f>
        <v>2.9666335403413329</v>
      </c>
      <c r="E82" s="37">
        <v>201</v>
      </c>
      <c r="F82" s="5">
        <f xml:space="preserve"> (Table6[[#This Row],[Unit]]-$N$3)/$N$4</f>
        <v>0.4139013094152858</v>
      </c>
    </row>
    <row r="83" spans="2:6" x14ac:dyDescent="0.35">
      <c r="B83" s="14" t="s">
        <v>31</v>
      </c>
      <c r="C83" s="35">
        <v>8890</v>
      </c>
      <c r="D83" s="44">
        <f>(Table6[[#This Row],[Amount]]-$M$3)/ $M$4</f>
        <v>1.5238297143060735</v>
      </c>
      <c r="E83" s="38">
        <v>210</v>
      </c>
      <c r="F83" s="41">
        <f xml:space="preserve"> (Table6[[#This Row],[Unit]]-$N$3)/$N$4</f>
        <v>0.49023556729925244</v>
      </c>
    </row>
    <row r="84" spans="2:6" x14ac:dyDescent="0.35">
      <c r="B84" s="13" t="s">
        <v>13</v>
      </c>
      <c r="C84" s="34">
        <v>56</v>
      </c>
      <c r="D84" s="43">
        <f>(Table6[[#This Row],[Amount]]-$M$3)/ $M$4</f>
        <v>-1.3079252288611078</v>
      </c>
      <c r="E84" s="37">
        <v>51</v>
      </c>
      <c r="F84" s="5">
        <f xml:space="preserve"> (Table6[[#This Row],[Unit]]-$N$3)/$N$4</f>
        <v>-0.85833632198415799</v>
      </c>
    </row>
    <row r="85" spans="2:6" x14ac:dyDescent="0.35">
      <c r="B85" s="14" t="s">
        <v>25</v>
      </c>
      <c r="C85" s="35">
        <v>3339</v>
      </c>
      <c r="D85" s="44">
        <f>(Table6[[#This Row],[Amount]]-$M$3)/ $M$4</f>
        <v>-0.25555354237504763</v>
      </c>
      <c r="E85" s="38">
        <v>39</v>
      </c>
      <c r="F85" s="41">
        <f xml:space="preserve"> (Table6[[#This Row],[Unit]]-$N$3)/$N$4</f>
        <v>-0.96011533249611347</v>
      </c>
    </row>
    <row r="86" spans="2:6" x14ac:dyDescent="0.35">
      <c r="B86" s="13" t="s">
        <v>18</v>
      </c>
      <c r="C86" s="34">
        <v>3808</v>
      </c>
      <c r="D86" s="43">
        <f>(Table6[[#This Row],[Amount]]-$M$3)/ $M$4</f>
        <v>-0.10521473001989616</v>
      </c>
      <c r="E86" s="37">
        <v>279</v>
      </c>
      <c r="F86" s="5">
        <f xml:space="preserve"> (Table6[[#This Row],[Unit]]-$N$3)/$N$4</f>
        <v>1.0754648777429967</v>
      </c>
    </row>
    <row r="87" spans="2:6" x14ac:dyDescent="0.35">
      <c r="B87" s="14" t="s">
        <v>13</v>
      </c>
      <c r="C87" s="35">
        <v>63</v>
      </c>
      <c r="D87" s="44">
        <f>(Table6[[#This Row],[Amount]]-$M$3)/ $M$4</f>
        <v>-1.3056813659901354</v>
      </c>
      <c r="E87" s="38">
        <v>123</v>
      </c>
      <c r="F87" s="41">
        <f xml:space="preserve"> (Table6[[#This Row],[Unit]]-$N$3)/$N$4</f>
        <v>-0.24766225891242497</v>
      </c>
    </row>
    <row r="88" spans="2:6" x14ac:dyDescent="0.35">
      <c r="B88" s="13" t="s">
        <v>27</v>
      </c>
      <c r="C88" s="34">
        <v>7812</v>
      </c>
      <c r="D88" s="43">
        <f>(Table6[[#This Row],[Amount]]-$M$3)/ $M$4</f>
        <v>1.1782748321763223</v>
      </c>
      <c r="E88" s="37">
        <v>81</v>
      </c>
      <c r="F88" s="5">
        <f xml:space="preserve"> (Table6[[#This Row],[Unit]]-$N$3)/$N$4</f>
        <v>-0.60388879570426923</v>
      </c>
    </row>
    <row r="89" spans="2:6" x14ac:dyDescent="0.35">
      <c r="B89" s="14" t="s">
        <v>19</v>
      </c>
      <c r="C89" s="35">
        <v>7693</v>
      </c>
      <c r="D89" s="44">
        <f>(Table6[[#This Row],[Amount]]-$M$3)/ $M$4</f>
        <v>1.1401291633697914</v>
      </c>
      <c r="E89" s="38">
        <v>21</v>
      </c>
      <c r="F89" s="41">
        <f xml:space="preserve"> (Table6[[#This Row],[Unit]]-$N$3)/$N$4</f>
        <v>-1.1127838482640469</v>
      </c>
    </row>
    <row r="90" spans="2:6" x14ac:dyDescent="0.35">
      <c r="B90" s="13" t="s">
        <v>28</v>
      </c>
      <c r="C90" s="34">
        <v>973</v>
      </c>
      <c r="D90" s="43">
        <f>(Table6[[#This Row],[Amount]]-$M$3)/ $M$4</f>
        <v>-1.0139791927637223</v>
      </c>
      <c r="E90" s="37">
        <v>162</v>
      </c>
      <c r="F90" s="5">
        <f xml:space="preserve"> (Table6[[#This Row],[Unit]]-$N$3)/$N$4</f>
        <v>8.3119525251430432E-2</v>
      </c>
    </row>
    <row r="91" spans="2:6" x14ac:dyDescent="0.35">
      <c r="B91" s="14" t="s">
        <v>21</v>
      </c>
      <c r="C91" s="35">
        <v>567</v>
      </c>
      <c r="D91" s="44">
        <f>(Table6[[#This Row],[Amount]]-$M$3)/ $M$4</f>
        <v>-1.1441232392801219</v>
      </c>
      <c r="E91" s="38">
        <v>228</v>
      </c>
      <c r="F91" s="41">
        <f xml:space="preserve"> (Table6[[#This Row],[Unit]]-$N$3)/$N$4</f>
        <v>0.64290408306718572</v>
      </c>
    </row>
    <row r="92" spans="2:6" x14ac:dyDescent="0.35">
      <c r="B92" s="13" t="s">
        <v>29</v>
      </c>
      <c r="C92" s="34">
        <v>2471</v>
      </c>
      <c r="D92" s="43">
        <f>(Table6[[#This Row],[Amount]]-$M$3)/ $M$4</f>
        <v>-0.53379253837562646</v>
      </c>
      <c r="E92" s="37">
        <v>342</v>
      </c>
      <c r="F92" s="5">
        <f xml:space="preserve"> (Table6[[#This Row],[Unit]]-$N$3)/$N$4</f>
        <v>1.6098046829307631</v>
      </c>
    </row>
    <row r="93" spans="2:6" x14ac:dyDescent="0.35">
      <c r="B93" s="14" t="s">
        <v>13</v>
      </c>
      <c r="C93" s="35">
        <v>7189</v>
      </c>
      <c r="D93" s="44">
        <f>(Table6[[#This Row],[Amount]]-$M$3)/ $M$4</f>
        <v>0.97857103665977785</v>
      </c>
      <c r="E93" s="38">
        <v>54</v>
      </c>
      <c r="F93" s="41">
        <f xml:space="preserve"> (Table6[[#This Row],[Unit]]-$N$3)/$N$4</f>
        <v>-0.83289156935616915</v>
      </c>
    </row>
    <row r="94" spans="2:6" x14ac:dyDescent="0.35">
      <c r="B94" s="13" t="s">
        <v>28</v>
      </c>
      <c r="C94" s="34">
        <v>7455</v>
      </c>
      <c r="D94" s="43">
        <f>(Table6[[#This Row],[Amount]]-$M$3)/ $M$4</f>
        <v>1.0638378257567294</v>
      </c>
      <c r="E94" s="37">
        <v>216</v>
      </c>
      <c r="F94" s="5">
        <f xml:space="preserve"> (Table6[[#This Row],[Unit]]-$N$3)/$N$4</f>
        <v>0.54112507255523024</v>
      </c>
    </row>
    <row r="95" spans="2:6" x14ac:dyDescent="0.35">
      <c r="B95" s="14" t="s">
        <v>26</v>
      </c>
      <c r="C95" s="35">
        <v>3108</v>
      </c>
      <c r="D95" s="44">
        <f>(Table6[[#This Row],[Amount]]-$M$3)/ $M$4</f>
        <v>-0.32960101711713713</v>
      </c>
      <c r="E95" s="38">
        <v>54</v>
      </c>
      <c r="F95" s="41">
        <f xml:space="preserve"> (Table6[[#This Row],[Unit]]-$N$3)/$N$4</f>
        <v>-0.83289156935616915</v>
      </c>
    </row>
    <row r="96" spans="2:6" x14ac:dyDescent="0.35">
      <c r="B96" s="13" t="s">
        <v>25</v>
      </c>
      <c r="C96" s="34">
        <v>469</v>
      </c>
      <c r="D96" s="43">
        <f>(Table6[[#This Row],[Amount]]-$M$3)/ $M$4</f>
        <v>-1.1755373194737357</v>
      </c>
      <c r="E96" s="37">
        <v>75</v>
      </c>
      <c r="F96" s="5">
        <f xml:space="preserve"> (Table6[[#This Row],[Unit]]-$N$3)/$N$4</f>
        <v>-0.65477830096024703</v>
      </c>
    </row>
    <row r="97" spans="2:6" x14ac:dyDescent="0.35">
      <c r="B97" s="14" t="s">
        <v>23</v>
      </c>
      <c r="C97" s="35">
        <v>2737</v>
      </c>
      <c r="D97" s="44">
        <f>(Table6[[#This Row],[Amount]]-$M$3)/ $M$4</f>
        <v>-0.44852574927867489</v>
      </c>
      <c r="E97" s="38">
        <v>93</v>
      </c>
      <c r="F97" s="41">
        <f xml:space="preserve"> (Table6[[#This Row],[Unit]]-$N$3)/$N$4</f>
        <v>-0.50210978519231375</v>
      </c>
    </row>
    <row r="98" spans="2:6" x14ac:dyDescent="0.35">
      <c r="B98" s="13" t="s">
        <v>25</v>
      </c>
      <c r="C98" s="34">
        <v>4305</v>
      </c>
      <c r="D98" s="43">
        <f>(Table6[[#This Row],[Amount]]-$M$3)/ $M$4</f>
        <v>5.4099533819144945E-2</v>
      </c>
      <c r="E98" s="37">
        <v>156</v>
      </c>
      <c r="F98" s="5">
        <f xml:space="preserve"> (Table6[[#This Row],[Unit]]-$N$3)/$N$4</f>
        <v>3.223001999545267E-2</v>
      </c>
    </row>
    <row r="99" spans="2:6" x14ac:dyDescent="0.35">
      <c r="B99" s="14" t="s">
        <v>17</v>
      </c>
      <c r="C99" s="35">
        <v>2408</v>
      </c>
      <c r="D99" s="44">
        <f>(Table6[[#This Row],[Amount]]-$M$3)/ $M$4</f>
        <v>-0.55398730421437814</v>
      </c>
      <c r="E99" s="38">
        <v>9</v>
      </c>
      <c r="F99" s="41">
        <f xml:space="preserve"> (Table6[[#This Row],[Unit]]-$N$3)/$N$4</f>
        <v>-1.2145628587760022</v>
      </c>
    </row>
    <row r="100" spans="2:6" x14ac:dyDescent="0.35">
      <c r="B100" s="13" t="s">
        <v>19</v>
      </c>
      <c r="C100" s="34">
        <v>1281</v>
      </c>
      <c r="D100" s="43">
        <f>(Table6[[#This Row],[Amount]]-$M$3)/ $M$4</f>
        <v>-0.91524922644093609</v>
      </c>
      <c r="E100" s="37">
        <v>18</v>
      </c>
      <c r="F100" s="5">
        <f xml:space="preserve"> (Table6[[#This Row],[Unit]]-$N$3)/$N$4</f>
        <v>-1.1382286008920357</v>
      </c>
    </row>
    <row r="101" spans="2:6" x14ac:dyDescent="0.35">
      <c r="B101" s="14" t="s">
        <v>32</v>
      </c>
      <c r="C101" s="35">
        <v>12348</v>
      </c>
      <c r="D101" s="44">
        <f>(Table6[[#This Row],[Amount]]-$M$3)/ $M$4</f>
        <v>2.6322979725664442</v>
      </c>
      <c r="E101" s="38">
        <v>234</v>
      </c>
      <c r="F101" s="41">
        <f xml:space="preserve"> (Table6[[#This Row],[Unit]]-$N$3)/$N$4</f>
        <v>0.69379358832316351</v>
      </c>
    </row>
    <row r="102" spans="2:6" x14ac:dyDescent="0.35">
      <c r="B102" s="13" t="s">
        <v>28</v>
      </c>
      <c r="C102" s="34">
        <v>3689</v>
      </c>
      <c r="D102" s="43">
        <f>(Table6[[#This Row],[Amount]]-$M$3)/ $M$4</f>
        <v>-0.14336039882642712</v>
      </c>
      <c r="E102" s="37">
        <v>312</v>
      </c>
      <c r="F102" s="5">
        <f xml:space="preserve"> (Table6[[#This Row],[Unit]]-$N$3)/$N$4</f>
        <v>1.3553571566508742</v>
      </c>
    </row>
    <row r="103" spans="2:6" x14ac:dyDescent="0.35">
      <c r="B103" s="14" t="s">
        <v>19</v>
      </c>
      <c r="C103" s="35">
        <v>2870</v>
      </c>
      <c r="D103" s="44">
        <f>(Table6[[#This Row],[Amount]]-$M$3)/ $M$4</f>
        <v>-0.40589235473019908</v>
      </c>
      <c r="E103" s="38">
        <v>300</v>
      </c>
      <c r="F103" s="41">
        <f xml:space="preserve"> (Table6[[#This Row],[Unit]]-$N$3)/$N$4</f>
        <v>1.2535781461389188</v>
      </c>
    </row>
    <row r="104" spans="2:6" x14ac:dyDescent="0.35">
      <c r="B104" s="13" t="s">
        <v>27</v>
      </c>
      <c r="C104" s="34">
        <v>798</v>
      </c>
      <c r="D104" s="43">
        <f>(Table6[[#This Row],[Amount]]-$M$3)/ $M$4</f>
        <v>-1.0700757645380323</v>
      </c>
      <c r="E104" s="37">
        <v>519</v>
      </c>
      <c r="F104" s="5">
        <f xml:space="preserve"> (Table6[[#This Row],[Unit]]-$N$3)/$N$4</f>
        <v>3.1110450879821068</v>
      </c>
    </row>
    <row r="105" spans="2:6" x14ac:dyDescent="0.35">
      <c r="B105" s="14" t="s">
        <v>21</v>
      </c>
      <c r="C105" s="35">
        <v>2933</v>
      </c>
      <c r="D105" s="44">
        <f>(Table6[[#This Row],[Amount]]-$M$3)/ $M$4</f>
        <v>-0.3856975888914474</v>
      </c>
      <c r="E105" s="38">
        <v>9</v>
      </c>
      <c r="F105" s="41">
        <f xml:space="preserve"> (Table6[[#This Row],[Unit]]-$N$3)/$N$4</f>
        <v>-1.2145628587760022</v>
      </c>
    </row>
    <row r="106" spans="2:6" x14ac:dyDescent="0.35">
      <c r="B106" s="13" t="s">
        <v>4</v>
      </c>
      <c r="C106" s="34">
        <v>2744</v>
      </c>
      <c r="D106" s="43">
        <f>(Table6[[#This Row],[Amount]]-$M$3)/ $M$4</f>
        <v>-0.44628188640770244</v>
      </c>
      <c r="E106" s="37">
        <v>9</v>
      </c>
      <c r="F106" s="5">
        <f xml:space="preserve"> (Table6[[#This Row],[Unit]]-$N$3)/$N$4</f>
        <v>-1.2145628587760022</v>
      </c>
    </row>
    <row r="107" spans="2:6" x14ac:dyDescent="0.35">
      <c r="B107" s="14" t="s">
        <v>33</v>
      </c>
      <c r="C107" s="35">
        <v>9772</v>
      </c>
      <c r="D107" s="44">
        <f>(Table6[[#This Row],[Amount]]-$M$3)/ $M$4</f>
        <v>1.8065564360485971</v>
      </c>
      <c r="E107" s="38">
        <v>90</v>
      </c>
      <c r="F107" s="41">
        <f xml:space="preserve"> (Table6[[#This Row],[Unit]]-$N$3)/$N$4</f>
        <v>-0.52755453782030259</v>
      </c>
    </row>
    <row r="108" spans="2:6" x14ac:dyDescent="0.35">
      <c r="B108" s="13" t="s">
        <v>25</v>
      </c>
      <c r="C108" s="34">
        <v>1568</v>
      </c>
      <c r="D108" s="43">
        <f>(Table6[[#This Row],[Amount]]-$M$3)/ $M$4</f>
        <v>-0.82325084873106735</v>
      </c>
      <c r="E108" s="37">
        <v>96</v>
      </c>
      <c r="F108" s="5">
        <f xml:space="preserve"> (Table6[[#This Row],[Unit]]-$N$3)/$N$4</f>
        <v>-0.47666503256432485</v>
      </c>
    </row>
    <row r="109" spans="2:6" x14ac:dyDescent="0.35">
      <c r="B109" s="14" t="s">
        <v>16</v>
      </c>
      <c r="C109" s="35">
        <v>11417</v>
      </c>
      <c r="D109" s="44">
        <f>(Table6[[#This Row],[Amount]]-$M$3)/ $M$4</f>
        <v>2.3338642107271133</v>
      </c>
      <c r="E109" s="38">
        <v>21</v>
      </c>
      <c r="F109" s="41">
        <f xml:space="preserve"> (Table6[[#This Row],[Unit]]-$N$3)/$N$4</f>
        <v>-1.1127838482640469</v>
      </c>
    </row>
    <row r="110" spans="2:6" x14ac:dyDescent="0.35">
      <c r="B110" s="13" t="s">
        <v>26</v>
      </c>
      <c r="C110" s="34">
        <v>6748</v>
      </c>
      <c r="D110" s="43">
        <f>(Table6[[#This Row],[Amount]]-$M$3)/ $M$4</f>
        <v>0.83720767578851596</v>
      </c>
      <c r="E110" s="37">
        <v>48</v>
      </c>
      <c r="F110" s="5">
        <f xml:space="preserve"> (Table6[[#This Row],[Unit]]-$N$3)/$N$4</f>
        <v>-0.88378107461214683</v>
      </c>
    </row>
    <row r="111" spans="2:6" x14ac:dyDescent="0.35">
      <c r="B111" s="14" t="s">
        <v>27</v>
      </c>
      <c r="C111" s="35">
        <v>1407</v>
      </c>
      <c r="D111" s="44">
        <f>(Table6[[#This Row],[Amount]]-$M$3)/ $M$4</f>
        <v>-0.87485969476343273</v>
      </c>
      <c r="E111" s="38">
        <v>72</v>
      </c>
      <c r="F111" s="41">
        <f xml:space="preserve"> (Table6[[#This Row],[Unit]]-$N$3)/$N$4</f>
        <v>-0.68022305358823587</v>
      </c>
    </row>
    <row r="112" spans="2:6" x14ac:dyDescent="0.35">
      <c r="B112" s="13" t="s">
        <v>29</v>
      </c>
      <c r="C112" s="34">
        <v>2023</v>
      </c>
      <c r="D112" s="43">
        <f>(Table6[[#This Row],[Amount]]-$M$3)/ $M$4</f>
        <v>-0.67739976211786068</v>
      </c>
      <c r="E112" s="37">
        <v>168</v>
      </c>
      <c r="F112" s="5">
        <f xml:space="preserve"> (Table6[[#This Row],[Unit]]-$N$3)/$N$4</f>
        <v>0.13400903050740817</v>
      </c>
    </row>
    <row r="113" spans="2:6" x14ac:dyDescent="0.35">
      <c r="B113" s="14" t="s">
        <v>26</v>
      </c>
      <c r="C113" s="35">
        <v>5236</v>
      </c>
      <c r="D113" s="44">
        <f>(Table6[[#This Row],[Amount]]-$M$3)/ $M$4</f>
        <v>0.35253329565847547</v>
      </c>
      <c r="E113" s="38">
        <v>51</v>
      </c>
      <c r="F113" s="41">
        <f xml:space="preserve"> (Table6[[#This Row],[Unit]]-$N$3)/$N$4</f>
        <v>-0.85833632198415799</v>
      </c>
    </row>
    <row r="114" spans="2:6" x14ac:dyDescent="0.35">
      <c r="B114" s="13" t="s">
        <v>19</v>
      </c>
      <c r="C114" s="34">
        <v>1925</v>
      </c>
      <c r="D114" s="43">
        <f>(Table6[[#This Row],[Amount]]-$M$3)/ $M$4</f>
        <v>-0.70881384231147437</v>
      </c>
      <c r="E114" s="37">
        <v>192</v>
      </c>
      <c r="F114" s="5">
        <f xml:space="preserve"> (Table6[[#This Row],[Unit]]-$N$3)/$N$4</f>
        <v>0.33756705153131922</v>
      </c>
    </row>
    <row r="115" spans="2:6" x14ac:dyDescent="0.35">
      <c r="B115" s="14" t="s">
        <v>14</v>
      </c>
      <c r="C115" s="35">
        <v>6608</v>
      </c>
      <c r="D115" s="44">
        <f>(Table6[[#This Row],[Amount]]-$M$3)/ $M$4</f>
        <v>0.79233041836906781</v>
      </c>
      <c r="E115" s="38">
        <v>225</v>
      </c>
      <c r="F115" s="41">
        <f xml:space="preserve"> (Table6[[#This Row],[Unit]]-$N$3)/$N$4</f>
        <v>0.61745933043919687</v>
      </c>
    </row>
    <row r="116" spans="2:6" x14ac:dyDescent="0.35">
      <c r="B116" s="13" t="s">
        <v>26</v>
      </c>
      <c r="C116" s="34">
        <v>8008</v>
      </c>
      <c r="D116" s="43">
        <f>(Table6[[#This Row],[Amount]]-$M$3)/ $M$4</f>
        <v>1.2411029925635497</v>
      </c>
      <c r="E116" s="37">
        <v>456</v>
      </c>
      <c r="F116" s="5">
        <f xml:space="preserve"> (Table6[[#This Row],[Unit]]-$N$3)/$N$4</f>
        <v>2.5767052827943404</v>
      </c>
    </row>
    <row r="117" spans="2:6" x14ac:dyDescent="0.35">
      <c r="B117" s="14" t="s">
        <v>25</v>
      </c>
      <c r="C117" s="35">
        <v>1428</v>
      </c>
      <c r="D117" s="44">
        <f>(Table6[[#This Row],[Amount]]-$M$3)/ $M$4</f>
        <v>-0.8681281061505155</v>
      </c>
      <c r="E117" s="38">
        <v>93</v>
      </c>
      <c r="F117" s="41">
        <f xml:space="preserve"> (Table6[[#This Row],[Unit]]-$N$3)/$N$4</f>
        <v>-0.50210978519231375</v>
      </c>
    </row>
    <row r="118" spans="2:6" x14ac:dyDescent="0.35">
      <c r="B118" s="13" t="s">
        <v>4</v>
      </c>
      <c r="C118" s="34">
        <v>525</v>
      </c>
      <c r="D118" s="43">
        <f>(Table6[[#This Row],[Amount]]-$M$3)/ $M$4</f>
        <v>-1.1575864165059564</v>
      </c>
      <c r="E118" s="37">
        <v>48</v>
      </c>
      <c r="F118" s="5">
        <f xml:space="preserve"> (Table6[[#This Row],[Unit]]-$N$3)/$N$4</f>
        <v>-0.88378107461214683</v>
      </c>
    </row>
    <row r="119" spans="2:6" x14ac:dyDescent="0.35">
      <c r="B119" s="14" t="s">
        <v>18</v>
      </c>
      <c r="C119" s="35">
        <v>1505</v>
      </c>
      <c r="D119" s="44">
        <f>(Table6[[#This Row],[Amount]]-$M$3)/ $M$4</f>
        <v>-0.84344561456981904</v>
      </c>
      <c r="E119" s="38">
        <v>102</v>
      </c>
      <c r="F119" s="41">
        <f xml:space="preserve"> (Table6[[#This Row],[Unit]]-$N$3)/$N$4</f>
        <v>-0.42577552730834711</v>
      </c>
    </row>
    <row r="120" spans="2:6" x14ac:dyDescent="0.35">
      <c r="B120" s="13" t="s">
        <v>30</v>
      </c>
      <c r="C120" s="34">
        <v>6755</v>
      </c>
      <c r="D120" s="43">
        <f>(Table6[[#This Row],[Amount]]-$M$3)/ $M$4</f>
        <v>0.83945153865948841</v>
      </c>
      <c r="E120" s="37">
        <v>252</v>
      </c>
      <c r="F120" s="5">
        <f xml:space="preserve"> (Table6[[#This Row],[Unit]]-$N$3)/$N$4</f>
        <v>0.84646210409109668</v>
      </c>
    </row>
    <row r="121" spans="2:6" x14ac:dyDescent="0.35">
      <c r="B121" s="14" t="s">
        <v>18</v>
      </c>
      <c r="C121" s="35">
        <v>11571</v>
      </c>
      <c r="D121" s="44">
        <f>(Table6[[#This Row],[Amount]]-$M$3)/ $M$4</f>
        <v>2.3832291938885066</v>
      </c>
      <c r="E121" s="38">
        <v>138</v>
      </c>
      <c r="F121" s="41">
        <f xml:space="preserve"> (Table6[[#This Row],[Unit]]-$N$3)/$N$4</f>
        <v>-0.12043849577248059</v>
      </c>
    </row>
    <row r="122" spans="2:6" x14ac:dyDescent="0.35">
      <c r="B122" s="13" t="s">
        <v>25</v>
      </c>
      <c r="C122" s="34">
        <v>2541</v>
      </c>
      <c r="D122" s="43">
        <f>(Table6[[#This Row],[Amount]]-$M$3)/ $M$4</f>
        <v>-0.51135390966590233</v>
      </c>
      <c r="E122" s="37">
        <v>90</v>
      </c>
      <c r="F122" s="5">
        <f xml:space="preserve"> (Table6[[#This Row],[Unit]]-$N$3)/$N$4</f>
        <v>-0.52755453782030259</v>
      </c>
    </row>
    <row r="123" spans="2:6" x14ac:dyDescent="0.35">
      <c r="B123" s="14" t="s">
        <v>30</v>
      </c>
      <c r="C123" s="35">
        <v>1526</v>
      </c>
      <c r="D123" s="44">
        <f>(Table6[[#This Row],[Amount]]-$M$3)/ $M$4</f>
        <v>-0.83671402595690181</v>
      </c>
      <c r="E123" s="38">
        <v>240</v>
      </c>
      <c r="F123" s="41">
        <f xml:space="preserve"> (Table6[[#This Row],[Unit]]-$N$3)/$N$4</f>
        <v>0.7446830935791412</v>
      </c>
    </row>
    <row r="124" spans="2:6" x14ac:dyDescent="0.35">
      <c r="B124" s="13" t="s">
        <v>4</v>
      </c>
      <c r="C124" s="34">
        <v>6125</v>
      </c>
      <c r="D124" s="43">
        <f>(Table6[[#This Row],[Amount]]-$M$3)/ $M$4</f>
        <v>0.63750388027197147</v>
      </c>
      <c r="E124" s="37">
        <v>102</v>
      </c>
      <c r="F124" s="5">
        <f xml:space="preserve"> (Table6[[#This Row],[Unit]]-$N$3)/$N$4</f>
        <v>-0.42577552730834711</v>
      </c>
    </row>
    <row r="125" spans="2:6" x14ac:dyDescent="0.35">
      <c r="B125" s="14" t="s">
        <v>27</v>
      </c>
      <c r="C125" s="35">
        <v>847</v>
      </c>
      <c r="D125" s="44">
        <f>(Table6[[#This Row],[Amount]]-$M$3)/ $M$4</f>
        <v>-1.0543687244412256</v>
      </c>
      <c r="E125" s="38">
        <v>129</v>
      </c>
      <c r="F125" s="41">
        <f xml:space="preserve"> (Table6[[#This Row],[Unit]]-$N$3)/$N$4</f>
        <v>-0.19677275365644722</v>
      </c>
    </row>
    <row r="126" spans="2:6" x14ac:dyDescent="0.35">
      <c r="B126" s="13" t="s">
        <v>27</v>
      </c>
      <c r="C126" s="34">
        <v>4753</v>
      </c>
      <c r="D126" s="43">
        <f>(Table6[[#This Row],[Amount]]-$M$3)/ $M$4</f>
        <v>0.19770675756137918</v>
      </c>
      <c r="E126" s="37">
        <v>300</v>
      </c>
      <c r="F126" s="5">
        <f xml:space="preserve"> (Table6[[#This Row],[Unit]]-$N$3)/$N$4</f>
        <v>1.2535781461389188</v>
      </c>
    </row>
    <row r="127" spans="2:6" x14ac:dyDescent="0.35">
      <c r="B127" s="14" t="s">
        <v>33</v>
      </c>
      <c r="C127" s="35">
        <v>959</v>
      </c>
      <c r="D127" s="44">
        <f>(Table6[[#This Row],[Amount]]-$M$3)/ $M$4</f>
        <v>-1.018466918505667</v>
      </c>
      <c r="E127" s="38">
        <v>135</v>
      </c>
      <c r="F127" s="41">
        <f xml:space="preserve"> (Table6[[#This Row],[Unit]]-$N$3)/$N$4</f>
        <v>-0.14588324840046946</v>
      </c>
    </row>
    <row r="128" spans="2:6" x14ac:dyDescent="0.35">
      <c r="B128" s="13" t="s">
        <v>24</v>
      </c>
      <c r="C128" s="34">
        <v>2793</v>
      </c>
      <c r="D128" s="43">
        <f>(Table6[[#This Row],[Amount]]-$M$3)/ $M$4</f>
        <v>-0.4305748463108956</v>
      </c>
      <c r="E128" s="37">
        <v>114</v>
      </c>
      <c r="F128" s="5">
        <f xml:space="preserve"> (Table6[[#This Row],[Unit]]-$N$3)/$N$4</f>
        <v>-0.32399651679639158</v>
      </c>
    </row>
    <row r="129" spans="2:6" x14ac:dyDescent="0.35">
      <c r="B129" s="14" t="s">
        <v>14</v>
      </c>
      <c r="C129" s="35">
        <v>4606</v>
      </c>
      <c r="D129" s="44">
        <f>(Table6[[#This Row],[Amount]]-$M$3)/ $M$4</f>
        <v>0.15058563727095856</v>
      </c>
      <c r="E129" s="38">
        <v>63</v>
      </c>
      <c r="F129" s="41">
        <f xml:space="preserve"> (Table6[[#This Row],[Unit]]-$N$3)/$N$4</f>
        <v>-0.75655731147220251</v>
      </c>
    </row>
    <row r="130" spans="2:6" x14ac:dyDescent="0.35">
      <c r="B130" s="13" t="s">
        <v>29</v>
      </c>
      <c r="C130" s="34">
        <v>5551</v>
      </c>
      <c r="D130" s="43">
        <f>(Table6[[#This Row],[Amount]]-$M$3)/ $M$4</f>
        <v>0.45350712485223393</v>
      </c>
      <c r="E130" s="37">
        <v>252</v>
      </c>
      <c r="F130" s="5">
        <f xml:space="preserve"> (Table6[[#This Row],[Unit]]-$N$3)/$N$4</f>
        <v>0.84646210409109668</v>
      </c>
    </row>
    <row r="131" spans="2:6" x14ac:dyDescent="0.35">
      <c r="B131" s="14" t="s">
        <v>32</v>
      </c>
      <c r="C131" s="35">
        <v>6657</v>
      </c>
      <c r="D131" s="44">
        <f>(Table6[[#This Row],[Amount]]-$M$3)/ $M$4</f>
        <v>0.80803745846587471</v>
      </c>
      <c r="E131" s="38">
        <v>303</v>
      </c>
      <c r="F131" s="41">
        <f xml:space="preserve"> (Table6[[#This Row],[Unit]]-$N$3)/$N$4</f>
        <v>1.2790228987669077</v>
      </c>
    </row>
    <row r="132" spans="2:6" x14ac:dyDescent="0.35">
      <c r="B132" s="13" t="s">
        <v>17</v>
      </c>
      <c r="C132" s="34">
        <v>4438</v>
      </c>
      <c r="D132" s="43">
        <f>(Table6[[#This Row],[Amount]]-$M$3)/ $M$4</f>
        <v>9.6732928367620735E-2</v>
      </c>
      <c r="E132" s="37">
        <v>246</v>
      </c>
      <c r="F132" s="5">
        <f xml:space="preserve"> (Table6[[#This Row],[Unit]]-$N$3)/$N$4</f>
        <v>0.79557259883511899</v>
      </c>
    </row>
    <row r="133" spans="2:6" x14ac:dyDescent="0.35">
      <c r="B133" s="14" t="s">
        <v>22</v>
      </c>
      <c r="C133" s="35">
        <v>168</v>
      </c>
      <c r="D133" s="44">
        <f>(Table6[[#This Row],[Amount]]-$M$3)/ $M$4</f>
        <v>-1.2720234229255494</v>
      </c>
      <c r="E133" s="38">
        <v>84</v>
      </c>
      <c r="F133" s="41">
        <f xml:space="preserve"> (Table6[[#This Row],[Unit]]-$N$3)/$N$4</f>
        <v>-0.57844404307628039</v>
      </c>
    </row>
    <row r="134" spans="2:6" x14ac:dyDescent="0.35">
      <c r="B134" s="13" t="s">
        <v>17</v>
      </c>
      <c r="C134" s="34">
        <v>7777</v>
      </c>
      <c r="D134" s="43">
        <f>(Table6[[#This Row],[Amount]]-$M$3)/ $M$4</f>
        <v>1.1670555178214603</v>
      </c>
      <c r="E134" s="37">
        <v>39</v>
      </c>
      <c r="F134" s="5">
        <f xml:space="preserve"> (Table6[[#This Row],[Unit]]-$N$3)/$N$4</f>
        <v>-0.96011533249611347</v>
      </c>
    </row>
    <row r="135" spans="2:6" x14ac:dyDescent="0.35">
      <c r="B135" s="14" t="s">
        <v>17</v>
      </c>
      <c r="C135" s="35">
        <v>3339</v>
      </c>
      <c r="D135" s="44">
        <f>(Table6[[#This Row],[Amount]]-$M$3)/ $M$4</f>
        <v>-0.25555354237504763</v>
      </c>
      <c r="E135" s="38">
        <v>348</v>
      </c>
      <c r="F135" s="41">
        <f xml:space="preserve"> (Table6[[#This Row],[Unit]]-$N$3)/$N$4</f>
        <v>1.6606941881867407</v>
      </c>
    </row>
    <row r="136" spans="2:6" x14ac:dyDescent="0.35">
      <c r="B136" s="13" t="s">
        <v>33</v>
      </c>
      <c r="C136" s="34">
        <v>6391</v>
      </c>
      <c r="D136" s="43">
        <f>(Table6[[#This Row],[Amount]]-$M$3)/ $M$4</f>
        <v>0.72277066936892309</v>
      </c>
      <c r="E136" s="37">
        <v>48</v>
      </c>
      <c r="F136" s="5">
        <f xml:space="preserve"> (Table6[[#This Row],[Unit]]-$N$3)/$N$4</f>
        <v>-0.88378107461214683</v>
      </c>
    </row>
    <row r="137" spans="2:6" x14ac:dyDescent="0.35">
      <c r="B137" s="14" t="s">
        <v>22</v>
      </c>
      <c r="C137" s="35">
        <v>518</v>
      </c>
      <c r="D137" s="44">
        <f>(Table6[[#This Row],[Amount]]-$M$3)/ $M$4</f>
        <v>-1.1598302793769288</v>
      </c>
      <c r="E137" s="38">
        <v>75</v>
      </c>
      <c r="F137" s="41">
        <f xml:space="preserve"> (Table6[[#This Row],[Unit]]-$N$3)/$N$4</f>
        <v>-0.65477830096024703</v>
      </c>
    </row>
    <row r="138" spans="2:6" x14ac:dyDescent="0.35">
      <c r="B138" s="13" t="s">
        <v>28</v>
      </c>
      <c r="C138" s="34">
        <v>5677</v>
      </c>
      <c r="D138" s="43">
        <f>(Table6[[#This Row],[Amount]]-$M$3)/ $M$4</f>
        <v>0.4938966565297373</v>
      </c>
      <c r="E138" s="37">
        <v>258</v>
      </c>
      <c r="F138" s="5">
        <f xml:space="preserve"> (Table6[[#This Row],[Unit]]-$N$3)/$N$4</f>
        <v>0.89735160934707447</v>
      </c>
    </row>
    <row r="139" spans="2:6" x14ac:dyDescent="0.35">
      <c r="B139" s="14" t="s">
        <v>17</v>
      </c>
      <c r="C139" s="35">
        <v>6048</v>
      </c>
      <c r="D139" s="44">
        <f>(Table6[[#This Row],[Amount]]-$M$3)/ $M$4</f>
        <v>0.612821388691275</v>
      </c>
      <c r="E139" s="38">
        <v>27</v>
      </c>
      <c r="F139" s="41">
        <f xml:space="preserve"> (Table6[[#This Row],[Unit]]-$N$3)/$N$4</f>
        <v>-1.061894343008069</v>
      </c>
    </row>
    <row r="140" spans="2:6" x14ac:dyDescent="0.35">
      <c r="B140" s="13" t="s">
        <v>32</v>
      </c>
      <c r="C140" s="34">
        <v>3752</v>
      </c>
      <c r="D140" s="43">
        <f>(Table6[[#This Row],[Amount]]-$M$3)/ $M$4</f>
        <v>-0.12316563298767544</v>
      </c>
      <c r="E140" s="37">
        <v>213</v>
      </c>
      <c r="F140" s="5">
        <f xml:space="preserve"> (Table6[[#This Row],[Unit]]-$N$3)/$N$4</f>
        <v>0.51568031992724128</v>
      </c>
    </row>
    <row r="141" spans="2:6" x14ac:dyDescent="0.35">
      <c r="B141" s="14" t="s">
        <v>29</v>
      </c>
      <c r="C141" s="35">
        <v>4480</v>
      </c>
      <c r="D141" s="44">
        <f>(Table6[[#This Row],[Amount]]-$M$3)/ $M$4</f>
        <v>0.11019610559345519</v>
      </c>
      <c r="E141" s="38">
        <v>357</v>
      </c>
      <c r="F141" s="41">
        <f xml:space="preserve"> (Table6[[#This Row],[Unit]]-$N$3)/$N$4</f>
        <v>1.7370284460707075</v>
      </c>
    </row>
    <row r="142" spans="2:6" x14ac:dyDescent="0.35">
      <c r="B142" s="13" t="s">
        <v>4</v>
      </c>
      <c r="C142" s="34">
        <v>259</v>
      </c>
      <c r="D142" s="43">
        <f>(Table6[[#This Row],[Amount]]-$M$3)/ $M$4</f>
        <v>-1.242853205602908</v>
      </c>
      <c r="E142" s="37">
        <v>207</v>
      </c>
      <c r="F142" s="5">
        <f xml:space="preserve"> (Table6[[#This Row],[Unit]]-$N$3)/$N$4</f>
        <v>0.4647908146712636</v>
      </c>
    </row>
    <row r="143" spans="2:6" x14ac:dyDescent="0.35">
      <c r="B143" s="14" t="s">
        <v>30</v>
      </c>
      <c r="C143" s="35">
        <v>42</v>
      </c>
      <c r="D143" s="44">
        <f>(Table6[[#This Row],[Amount]]-$M$3)/ $M$4</f>
        <v>-1.3124129546030527</v>
      </c>
      <c r="E143" s="38">
        <v>150</v>
      </c>
      <c r="F143" s="41">
        <f xml:space="preserve"> (Table6[[#This Row],[Unit]]-$N$3)/$N$4</f>
        <v>-1.8659485260525081E-2</v>
      </c>
    </row>
    <row r="144" spans="2:6" x14ac:dyDescent="0.35">
      <c r="B144" s="13" t="s">
        <v>26</v>
      </c>
      <c r="C144" s="34">
        <v>98</v>
      </c>
      <c r="D144" s="43">
        <f>(Table6[[#This Row],[Amount]]-$M$3)/ $M$4</f>
        <v>-1.2944620516352734</v>
      </c>
      <c r="E144" s="37">
        <v>204</v>
      </c>
      <c r="F144" s="5">
        <f xml:space="preserve"> (Table6[[#This Row],[Unit]]-$N$3)/$N$4</f>
        <v>0.4393460620432747</v>
      </c>
    </row>
    <row r="145" spans="2:6" x14ac:dyDescent="0.35">
      <c r="B145" s="14" t="s">
        <v>27</v>
      </c>
      <c r="C145" s="35">
        <v>2478</v>
      </c>
      <c r="D145" s="44">
        <f>(Table6[[#This Row],[Amount]]-$M$3)/ $M$4</f>
        <v>-0.53154867550465401</v>
      </c>
      <c r="E145" s="38">
        <v>21</v>
      </c>
      <c r="F145" s="41">
        <f xml:space="preserve"> (Table6[[#This Row],[Unit]]-$N$3)/$N$4</f>
        <v>-1.1127838482640469</v>
      </c>
    </row>
    <row r="146" spans="2:6" x14ac:dyDescent="0.35">
      <c r="B146" s="13" t="s">
        <v>33</v>
      </c>
      <c r="C146" s="34">
        <v>7847</v>
      </c>
      <c r="D146" s="43">
        <f>(Table6[[#This Row],[Amount]]-$M$3)/ $M$4</f>
        <v>1.1894941465311843</v>
      </c>
      <c r="E146" s="37">
        <v>174</v>
      </c>
      <c r="F146" s="5">
        <f xml:space="preserve"> (Table6[[#This Row],[Unit]]-$N$3)/$N$4</f>
        <v>0.18489853576338594</v>
      </c>
    </row>
    <row r="147" spans="2:6" x14ac:dyDescent="0.35">
      <c r="B147" s="14" t="s">
        <v>17</v>
      </c>
      <c r="C147" s="35">
        <v>9926</v>
      </c>
      <c r="D147" s="44">
        <f>(Table6[[#This Row],[Amount]]-$M$3)/ $M$4</f>
        <v>1.8559214192099902</v>
      </c>
      <c r="E147" s="38">
        <v>201</v>
      </c>
      <c r="F147" s="41">
        <f xml:space="preserve"> (Table6[[#This Row],[Unit]]-$N$3)/$N$4</f>
        <v>0.4139013094152858</v>
      </c>
    </row>
    <row r="148" spans="2:6" x14ac:dyDescent="0.35">
      <c r="B148" s="13" t="s">
        <v>13</v>
      </c>
      <c r="C148" s="34">
        <v>819</v>
      </c>
      <c r="D148" s="43">
        <f>(Table6[[#This Row],[Amount]]-$M$3)/ $M$4</f>
        <v>-1.0633441759251152</v>
      </c>
      <c r="E148" s="37">
        <v>510</v>
      </c>
      <c r="F148" s="5">
        <f xml:space="preserve"> (Table6[[#This Row],[Unit]]-$N$3)/$N$4</f>
        <v>3.03471083009814</v>
      </c>
    </row>
    <row r="149" spans="2:6" x14ac:dyDescent="0.35">
      <c r="B149" s="14" t="s">
        <v>29</v>
      </c>
      <c r="C149" s="35">
        <v>3052</v>
      </c>
      <c r="D149" s="44">
        <f>(Table6[[#This Row],[Amount]]-$M$3)/ $M$4</f>
        <v>-0.34755192008491642</v>
      </c>
      <c r="E149" s="38">
        <v>378</v>
      </c>
      <c r="F149" s="41">
        <f xml:space="preserve"> (Table6[[#This Row],[Unit]]-$N$3)/$N$4</f>
        <v>1.9151417144666296</v>
      </c>
    </row>
    <row r="150" spans="2:6" x14ac:dyDescent="0.35">
      <c r="B150" s="13" t="s">
        <v>21</v>
      </c>
      <c r="C150" s="34">
        <v>6832</v>
      </c>
      <c r="D150" s="43">
        <f>(Table6[[#This Row],[Amount]]-$M$3)/ $M$4</f>
        <v>0.86413403024018487</v>
      </c>
      <c r="E150" s="37">
        <v>27</v>
      </c>
      <c r="F150" s="5">
        <f xml:space="preserve"> (Table6[[#This Row],[Unit]]-$N$3)/$N$4</f>
        <v>-1.061894343008069</v>
      </c>
    </row>
    <row r="151" spans="2:6" x14ac:dyDescent="0.35">
      <c r="B151" s="14" t="s">
        <v>16</v>
      </c>
      <c r="C151" s="35">
        <v>2016</v>
      </c>
      <c r="D151" s="44">
        <f>(Table6[[#This Row],[Amount]]-$M$3)/ $M$4</f>
        <v>-0.67964362498883313</v>
      </c>
      <c r="E151" s="38">
        <v>117</v>
      </c>
      <c r="F151" s="41">
        <f xml:space="preserve"> (Table6[[#This Row],[Unit]]-$N$3)/$N$4</f>
        <v>-0.29855176416840273</v>
      </c>
    </row>
    <row r="152" spans="2:6" x14ac:dyDescent="0.35">
      <c r="B152" s="13" t="s">
        <v>21</v>
      </c>
      <c r="C152" s="34">
        <v>7322</v>
      </c>
      <c r="D152" s="43">
        <f>(Table6[[#This Row],[Amount]]-$M$3)/ $M$4</f>
        <v>1.0212044312082535</v>
      </c>
      <c r="E152" s="37">
        <v>36</v>
      </c>
      <c r="F152" s="5">
        <f xml:space="preserve"> (Table6[[#This Row],[Unit]]-$N$3)/$N$4</f>
        <v>-0.98556008512410243</v>
      </c>
    </row>
    <row r="153" spans="2:6" x14ac:dyDescent="0.35">
      <c r="B153" s="14" t="s">
        <v>33</v>
      </c>
      <c r="C153" s="35">
        <v>357</v>
      </c>
      <c r="D153" s="44">
        <f>(Table6[[#This Row],[Amount]]-$M$3)/ $M$4</f>
        <v>-1.2114391254092942</v>
      </c>
      <c r="E153" s="38">
        <v>126</v>
      </c>
      <c r="F153" s="41">
        <f xml:space="preserve"> (Table6[[#This Row],[Unit]]-$N$3)/$N$4</f>
        <v>-0.22221750628443609</v>
      </c>
    </row>
    <row r="154" spans="2:6" x14ac:dyDescent="0.35">
      <c r="B154" s="13" t="s">
        <v>25</v>
      </c>
      <c r="C154" s="34">
        <v>3192</v>
      </c>
      <c r="D154" s="43">
        <f>(Table6[[#This Row],[Amount]]-$M$3)/ $M$4</f>
        <v>-0.30267466266546822</v>
      </c>
      <c r="E154" s="37">
        <v>72</v>
      </c>
      <c r="F154" s="5">
        <f xml:space="preserve"> (Table6[[#This Row],[Unit]]-$N$3)/$N$4</f>
        <v>-0.68022305358823587</v>
      </c>
    </row>
    <row r="155" spans="2:6" x14ac:dyDescent="0.35">
      <c r="B155" s="14" t="s">
        <v>22</v>
      </c>
      <c r="C155" s="35">
        <v>8435</v>
      </c>
      <c r="D155" s="44">
        <f>(Table6[[#This Row],[Amount]]-$M$3)/ $M$4</f>
        <v>1.3779786276928667</v>
      </c>
      <c r="E155" s="38">
        <v>42</v>
      </c>
      <c r="F155" s="41">
        <f xml:space="preserve"> (Table6[[#This Row],[Unit]]-$N$3)/$N$4</f>
        <v>-0.93467057986812463</v>
      </c>
    </row>
    <row r="156" spans="2:6" x14ac:dyDescent="0.35">
      <c r="B156" s="13" t="s">
        <v>29</v>
      </c>
      <c r="C156" s="34">
        <v>0</v>
      </c>
      <c r="D156" s="43">
        <f>(Table6[[#This Row],[Amount]]-$M$3)/ $M$4</f>
        <v>-1.3258761318288872</v>
      </c>
      <c r="E156" s="37">
        <v>135</v>
      </c>
      <c r="F156" s="5">
        <f xml:space="preserve"> (Table6[[#This Row],[Unit]]-$N$3)/$N$4</f>
        <v>-0.14588324840046946</v>
      </c>
    </row>
    <row r="157" spans="2:6" x14ac:dyDescent="0.35">
      <c r="B157" s="14" t="s">
        <v>24</v>
      </c>
      <c r="C157" s="35">
        <v>8862</v>
      </c>
      <c r="D157" s="44">
        <f>(Table6[[#This Row],[Amount]]-$M$3)/ $M$4</f>
        <v>1.5148542628221837</v>
      </c>
      <c r="E157" s="38">
        <v>189</v>
      </c>
      <c r="F157" s="41">
        <f xml:space="preserve"> (Table6[[#This Row],[Unit]]-$N$3)/$N$4</f>
        <v>0.31212229890333032</v>
      </c>
    </row>
    <row r="158" spans="2:6" x14ac:dyDescent="0.35">
      <c r="B158" s="13" t="s">
        <v>28</v>
      </c>
      <c r="C158" s="34">
        <v>3556</v>
      </c>
      <c r="D158" s="43">
        <f>(Table6[[#This Row],[Amount]]-$M$3)/ $M$4</f>
        <v>-0.1859937933749029</v>
      </c>
      <c r="E158" s="37">
        <v>459</v>
      </c>
      <c r="F158" s="5">
        <f xml:space="preserve"> (Table6[[#This Row],[Unit]]-$N$3)/$N$4</f>
        <v>2.602150035422329</v>
      </c>
    </row>
    <row r="159" spans="2:6" x14ac:dyDescent="0.35">
      <c r="B159" s="14" t="s">
        <v>15</v>
      </c>
      <c r="C159" s="35">
        <v>7280</v>
      </c>
      <c r="D159" s="44">
        <f>(Table6[[#This Row],[Amount]]-$M$3)/ $M$4</f>
        <v>1.0077412539824191</v>
      </c>
      <c r="E159" s="38">
        <v>201</v>
      </c>
      <c r="F159" s="41">
        <f xml:space="preserve"> (Table6[[#This Row],[Unit]]-$N$3)/$N$4</f>
        <v>0.4139013094152858</v>
      </c>
    </row>
    <row r="160" spans="2:6" x14ac:dyDescent="0.35">
      <c r="B160" s="13" t="s">
        <v>30</v>
      </c>
      <c r="C160" s="34">
        <v>3402</v>
      </c>
      <c r="D160" s="43">
        <f>(Table6[[#This Row],[Amount]]-$M$3)/ $M$4</f>
        <v>-0.23535877653629594</v>
      </c>
      <c r="E160" s="37">
        <v>366</v>
      </c>
      <c r="F160" s="5">
        <f xml:space="preserve"> (Table6[[#This Row],[Unit]]-$N$3)/$N$4</f>
        <v>1.813362703954674</v>
      </c>
    </row>
    <row r="161" spans="2:6" x14ac:dyDescent="0.35">
      <c r="B161" s="14" t="s">
        <v>29</v>
      </c>
      <c r="C161" s="35">
        <v>4592</v>
      </c>
      <c r="D161" s="44">
        <f>(Table6[[#This Row],[Amount]]-$M$3)/ $M$4</f>
        <v>0.14609791152901375</v>
      </c>
      <c r="E161" s="38">
        <v>324</v>
      </c>
      <c r="F161" s="41">
        <f xml:space="preserve"> (Table6[[#This Row],[Unit]]-$N$3)/$N$4</f>
        <v>1.4571361671628298</v>
      </c>
    </row>
    <row r="162" spans="2:6" x14ac:dyDescent="0.35">
      <c r="B162" s="13" t="s">
        <v>15</v>
      </c>
      <c r="C162" s="34">
        <v>7833</v>
      </c>
      <c r="D162" s="43">
        <f>(Table6[[#This Row],[Amount]]-$M$3)/ $M$4</f>
        <v>1.1850064207892395</v>
      </c>
      <c r="E162" s="37">
        <v>243</v>
      </c>
      <c r="F162" s="5">
        <f xml:space="preserve"> (Table6[[#This Row],[Unit]]-$N$3)/$N$4</f>
        <v>0.77012784620713015</v>
      </c>
    </row>
    <row r="163" spans="2:6" x14ac:dyDescent="0.35">
      <c r="B163" s="14" t="s">
        <v>21</v>
      </c>
      <c r="C163" s="35">
        <v>7651</v>
      </c>
      <c r="D163" s="44">
        <f>(Table6[[#This Row],[Amount]]-$M$3)/ $M$4</f>
        <v>1.126665986143957</v>
      </c>
      <c r="E163" s="38">
        <v>213</v>
      </c>
      <c r="F163" s="41">
        <f xml:space="preserve"> (Table6[[#This Row],[Unit]]-$N$3)/$N$4</f>
        <v>0.51568031992724128</v>
      </c>
    </row>
    <row r="164" spans="2:6" x14ac:dyDescent="0.35">
      <c r="B164" s="13" t="s">
        <v>30</v>
      </c>
      <c r="C164" s="34">
        <v>2275</v>
      </c>
      <c r="D164" s="43">
        <f>(Table6[[#This Row],[Amount]]-$M$3)/ $M$4</f>
        <v>-0.59662069876285395</v>
      </c>
      <c r="E164" s="37">
        <v>447</v>
      </c>
      <c r="F164" s="5">
        <f xml:space="preserve"> (Table6[[#This Row],[Unit]]-$N$3)/$N$4</f>
        <v>2.5003710249103737</v>
      </c>
    </row>
    <row r="165" spans="2:6" x14ac:dyDescent="0.35">
      <c r="B165" s="14" t="s">
        <v>13</v>
      </c>
      <c r="C165" s="35">
        <v>5670</v>
      </c>
      <c r="D165" s="44">
        <f>(Table6[[#This Row],[Amount]]-$M$3)/ $M$4</f>
        <v>0.49165279365876485</v>
      </c>
      <c r="E165" s="38">
        <v>297</v>
      </c>
      <c r="F165" s="41">
        <f xml:space="preserve"> (Table6[[#This Row],[Unit]]-$N$3)/$N$4</f>
        <v>1.22813339351093</v>
      </c>
    </row>
    <row r="166" spans="2:6" x14ac:dyDescent="0.35">
      <c r="B166" s="13" t="s">
        <v>16</v>
      </c>
      <c r="C166" s="34">
        <v>2135</v>
      </c>
      <c r="D166" s="43">
        <f>(Table6[[#This Row],[Amount]]-$M$3)/ $M$4</f>
        <v>-0.6414979561823021</v>
      </c>
      <c r="E166" s="37">
        <v>27</v>
      </c>
      <c r="F166" s="5">
        <f xml:space="preserve"> (Table6[[#This Row],[Unit]]-$N$3)/$N$4</f>
        <v>-1.061894343008069</v>
      </c>
    </row>
    <row r="167" spans="2:6" x14ac:dyDescent="0.35">
      <c r="B167" s="14" t="s">
        <v>23</v>
      </c>
      <c r="C167" s="35">
        <v>2779</v>
      </c>
      <c r="D167" s="44">
        <f>(Table6[[#This Row],[Amount]]-$M$3)/ $M$4</f>
        <v>-0.43506257205284043</v>
      </c>
      <c r="E167" s="38">
        <v>75</v>
      </c>
      <c r="F167" s="41">
        <f xml:space="preserve"> (Table6[[#This Row],[Unit]]-$N$3)/$N$4</f>
        <v>-0.65477830096024703</v>
      </c>
    </row>
    <row r="168" spans="2:6" x14ac:dyDescent="0.35">
      <c r="B168" s="13" t="s">
        <v>33</v>
      </c>
      <c r="C168" s="34">
        <v>12950</v>
      </c>
      <c r="D168" s="43">
        <f>(Table6[[#This Row],[Amount]]-$M$3)/ $M$4</f>
        <v>2.825270179470071</v>
      </c>
      <c r="E168" s="37">
        <v>30</v>
      </c>
      <c r="F168" s="5">
        <f xml:space="preserve"> (Table6[[#This Row],[Unit]]-$N$3)/$N$4</f>
        <v>-1.0364495903800801</v>
      </c>
    </row>
    <row r="169" spans="2:6" x14ac:dyDescent="0.35">
      <c r="B169" s="14" t="s">
        <v>18</v>
      </c>
      <c r="C169" s="35">
        <v>2646</v>
      </c>
      <c r="D169" s="44">
        <f>(Table6[[#This Row],[Amount]]-$M$3)/ $M$4</f>
        <v>-0.47769596660131619</v>
      </c>
      <c r="E169" s="38">
        <v>177</v>
      </c>
      <c r="F169" s="41">
        <f xml:space="preserve"> (Table6[[#This Row],[Unit]]-$N$3)/$N$4</f>
        <v>0.21034328839137481</v>
      </c>
    </row>
    <row r="170" spans="2:6" x14ac:dyDescent="0.35">
      <c r="B170" s="13" t="s">
        <v>33</v>
      </c>
      <c r="C170" s="34">
        <v>3794</v>
      </c>
      <c r="D170" s="43">
        <f>(Table6[[#This Row],[Amount]]-$M$3)/ $M$4</f>
        <v>-0.10970245576184098</v>
      </c>
      <c r="E170" s="37">
        <v>159</v>
      </c>
      <c r="F170" s="5">
        <f xml:space="preserve"> (Table6[[#This Row],[Unit]]-$N$3)/$N$4</f>
        <v>5.7674772623441548E-2</v>
      </c>
    </row>
    <row r="171" spans="2:6" x14ac:dyDescent="0.35">
      <c r="B171" s="14" t="s">
        <v>33</v>
      </c>
      <c r="C171" s="35">
        <v>819</v>
      </c>
      <c r="D171" s="44">
        <f>(Table6[[#This Row],[Amount]]-$M$3)/ $M$4</f>
        <v>-1.0633441759251152</v>
      </c>
      <c r="E171" s="38">
        <v>306</v>
      </c>
      <c r="F171" s="41">
        <f xml:space="preserve"> (Table6[[#This Row],[Unit]]-$N$3)/$N$4</f>
        <v>1.3044676513948965</v>
      </c>
    </row>
    <row r="172" spans="2:6" x14ac:dyDescent="0.35">
      <c r="B172" s="13" t="s">
        <v>20</v>
      </c>
      <c r="C172" s="34">
        <v>2583</v>
      </c>
      <c r="D172" s="43">
        <f>(Table6[[#This Row],[Amount]]-$M$3)/ $M$4</f>
        <v>-0.49789073244006787</v>
      </c>
      <c r="E172" s="37">
        <v>18</v>
      </c>
      <c r="F172" s="5">
        <f xml:space="preserve"> (Table6[[#This Row],[Unit]]-$N$3)/$N$4</f>
        <v>-1.1382286008920357</v>
      </c>
    </row>
    <row r="173" spans="2:6" x14ac:dyDescent="0.35">
      <c r="B173" s="14" t="s">
        <v>19</v>
      </c>
      <c r="C173" s="35">
        <v>4585</v>
      </c>
      <c r="D173" s="44">
        <f>(Table6[[#This Row],[Amount]]-$M$3)/ $M$4</f>
        <v>0.14385404865804133</v>
      </c>
      <c r="E173" s="38">
        <v>240</v>
      </c>
      <c r="F173" s="41">
        <f xml:space="preserve"> (Table6[[#This Row],[Unit]]-$N$3)/$N$4</f>
        <v>0.7446830935791412</v>
      </c>
    </row>
    <row r="174" spans="2:6" x14ac:dyDescent="0.35">
      <c r="B174" s="13" t="s">
        <v>33</v>
      </c>
      <c r="C174" s="34">
        <v>1652</v>
      </c>
      <c r="D174" s="43">
        <f>(Table6[[#This Row],[Amount]]-$M$3)/ $M$4</f>
        <v>-0.79632449427939844</v>
      </c>
      <c r="E174" s="37">
        <v>93</v>
      </c>
      <c r="F174" s="5">
        <f xml:space="preserve"> (Table6[[#This Row],[Unit]]-$N$3)/$N$4</f>
        <v>-0.50210978519231375</v>
      </c>
    </row>
    <row r="175" spans="2:6" x14ac:dyDescent="0.35">
      <c r="B175" s="14" t="s">
        <v>26</v>
      </c>
      <c r="C175" s="35">
        <v>4991</v>
      </c>
      <c r="D175" s="44">
        <f>(Table6[[#This Row],[Amount]]-$M$3)/ $M$4</f>
        <v>0.27399809517444113</v>
      </c>
      <c r="E175" s="38">
        <v>9</v>
      </c>
      <c r="F175" s="41">
        <f xml:space="preserve"> (Table6[[#This Row],[Unit]]-$N$3)/$N$4</f>
        <v>-1.2145628587760022</v>
      </c>
    </row>
    <row r="176" spans="2:6" x14ac:dyDescent="0.35">
      <c r="B176" s="13" t="s">
        <v>16</v>
      </c>
      <c r="C176" s="34">
        <v>2009</v>
      </c>
      <c r="D176" s="43">
        <f>(Table6[[#This Row],[Amount]]-$M$3)/ $M$4</f>
        <v>-0.68188748785980546</v>
      </c>
      <c r="E176" s="37">
        <v>219</v>
      </c>
      <c r="F176" s="5">
        <f xml:space="preserve"> (Table6[[#This Row],[Unit]]-$N$3)/$N$4</f>
        <v>0.56656982518321908</v>
      </c>
    </row>
    <row r="177" spans="2:6" x14ac:dyDescent="0.35">
      <c r="B177" s="14" t="s">
        <v>22</v>
      </c>
      <c r="C177" s="35">
        <v>1568</v>
      </c>
      <c r="D177" s="44">
        <f>(Table6[[#This Row],[Amount]]-$M$3)/ $M$4</f>
        <v>-0.82325084873106735</v>
      </c>
      <c r="E177" s="38">
        <v>141</v>
      </c>
      <c r="F177" s="41">
        <f xml:space="preserve"> (Table6[[#This Row],[Unit]]-$N$3)/$N$4</f>
        <v>-9.4993743144491716E-2</v>
      </c>
    </row>
    <row r="178" spans="2:6" x14ac:dyDescent="0.35">
      <c r="B178" s="13" t="s">
        <v>20</v>
      </c>
      <c r="C178" s="34">
        <v>3388</v>
      </c>
      <c r="D178" s="43">
        <f>(Table6[[#This Row],[Amount]]-$M$3)/ $M$4</f>
        <v>-0.23984650227824075</v>
      </c>
      <c r="E178" s="37">
        <v>123</v>
      </c>
      <c r="F178" s="5">
        <f xml:space="preserve"> (Table6[[#This Row],[Unit]]-$N$3)/$N$4</f>
        <v>-0.24766225891242497</v>
      </c>
    </row>
    <row r="179" spans="2:6" x14ac:dyDescent="0.35">
      <c r="B179" s="14" t="s">
        <v>24</v>
      </c>
      <c r="C179" s="35">
        <v>623</v>
      </c>
      <c r="D179" s="44">
        <f>(Table6[[#This Row],[Amount]]-$M$3)/ $M$4</f>
        <v>-1.1261723363123426</v>
      </c>
      <c r="E179" s="38">
        <v>51</v>
      </c>
      <c r="F179" s="41">
        <f xml:space="preserve"> (Table6[[#This Row],[Unit]]-$N$3)/$N$4</f>
        <v>-0.85833632198415799</v>
      </c>
    </row>
    <row r="180" spans="2:6" x14ac:dyDescent="0.35">
      <c r="B180" s="13" t="s">
        <v>4</v>
      </c>
      <c r="C180" s="34">
        <v>10073</v>
      </c>
      <c r="D180" s="43">
        <f>(Table6[[#This Row],[Amount]]-$M$3)/ $M$4</f>
        <v>1.9030425395004107</v>
      </c>
      <c r="E180" s="37">
        <v>120</v>
      </c>
      <c r="F180" s="5">
        <f xml:space="preserve"> (Table6[[#This Row],[Unit]]-$N$3)/$N$4</f>
        <v>-0.27310701154041384</v>
      </c>
    </row>
    <row r="181" spans="2:6" x14ac:dyDescent="0.35">
      <c r="B181" s="14" t="s">
        <v>26</v>
      </c>
      <c r="C181" s="35">
        <v>1561</v>
      </c>
      <c r="D181" s="44">
        <f>(Table6[[#This Row],[Amount]]-$M$3)/ $M$4</f>
        <v>-0.8254947116020398</v>
      </c>
      <c r="E181" s="38">
        <v>27</v>
      </c>
      <c r="F181" s="41">
        <f xml:space="preserve"> (Table6[[#This Row],[Unit]]-$N$3)/$N$4</f>
        <v>-1.061894343008069</v>
      </c>
    </row>
    <row r="182" spans="2:6" x14ac:dyDescent="0.35">
      <c r="B182" s="13" t="s">
        <v>27</v>
      </c>
      <c r="C182" s="34">
        <v>11522</v>
      </c>
      <c r="D182" s="43">
        <f>(Table6[[#This Row],[Amount]]-$M$3)/ $M$4</f>
        <v>2.3675221537916995</v>
      </c>
      <c r="E182" s="37">
        <v>204</v>
      </c>
      <c r="F182" s="5">
        <f xml:space="preserve"> (Table6[[#This Row],[Unit]]-$N$3)/$N$4</f>
        <v>0.4393460620432747</v>
      </c>
    </row>
    <row r="183" spans="2:6" x14ac:dyDescent="0.35">
      <c r="B183" s="14" t="s">
        <v>13</v>
      </c>
      <c r="C183" s="35">
        <v>2317</v>
      </c>
      <c r="D183" s="44">
        <f>(Table6[[#This Row],[Amount]]-$M$3)/ $M$4</f>
        <v>-0.5831575215370195</v>
      </c>
      <c r="E183" s="38">
        <v>123</v>
      </c>
      <c r="F183" s="41">
        <f xml:space="preserve"> (Table6[[#This Row],[Unit]]-$N$3)/$N$4</f>
        <v>-0.24766225891242497</v>
      </c>
    </row>
    <row r="184" spans="2:6" x14ac:dyDescent="0.35">
      <c r="B184" s="13" t="s">
        <v>28</v>
      </c>
      <c r="C184" s="34">
        <v>3059</v>
      </c>
      <c r="D184" s="43">
        <f>(Table6[[#This Row],[Amount]]-$M$3)/ $M$4</f>
        <v>-0.34530805721394403</v>
      </c>
      <c r="E184" s="37">
        <v>27</v>
      </c>
      <c r="F184" s="5">
        <f xml:space="preserve"> (Table6[[#This Row],[Unit]]-$N$3)/$N$4</f>
        <v>-1.061894343008069</v>
      </c>
    </row>
    <row r="185" spans="2:6" x14ac:dyDescent="0.35">
      <c r="B185" s="14" t="s">
        <v>26</v>
      </c>
      <c r="C185" s="35">
        <v>2324</v>
      </c>
      <c r="D185" s="44">
        <f>(Table6[[#This Row],[Amount]]-$M$3)/ $M$4</f>
        <v>-0.58091365866604705</v>
      </c>
      <c r="E185" s="38">
        <v>177</v>
      </c>
      <c r="F185" s="41">
        <f xml:space="preserve"> (Table6[[#This Row],[Unit]]-$N$3)/$N$4</f>
        <v>0.21034328839137481</v>
      </c>
    </row>
    <row r="186" spans="2:6" x14ac:dyDescent="0.35">
      <c r="B186" s="13" t="s">
        <v>26</v>
      </c>
      <c r="C186" s="34">
        <v>4956</v>
      </c>
      <c r="D186" s="43">
        <f>(Table6[[#This Row],[Amount]]-$M$3)/ $M$4</f>
        <v>0.26277878081957906</v>
      </c>
      <c r="E186" s="37">
        <v>171</v>
      </c>
      <c r="F186" s="5">
        <f xml:space="preserve"> (Table6[[#This Row],[Unit]]-$N$3)/$N$4</f>
        <v>0.15945378313539707</v>
      </c>
    </row>
    <row r="187" spans="2:6" x14ac:dyDescent="0.35">
      <c r="B187" s="14" t="s">
        <v>19</v>
      </c>
      <c r="C187" s="35">
        <v>5355</v>
      </c>
      <c r="D187" s="44">
        <f>(Table6[[#This Row],[Amount]]-$M$3)/ $M$4</f>
        <v>0.39067896446500644</v>
      </c>
      <c r="E187" s="38">
        <v>204</v>
      </c>
      <c r="F187" s="41">
        <f xml:space="preserve"> (Table6[[#This Row],[Unit]]-$N$3)/$N$4</f>
        <v>0.4393460620432747</v>
      </c>
    </row>
    <row r="188" spans="2:6" x14ac:dyDescent="0.35">
      <c r="B188" s="13" t="s">
        <v>14</v>
      </c>
      <c r="C188" s="34">
        <v>7259</v>
      </c>
      <c r="D188" s="43">
        <f>(Table6[[#This Row],[Amount]]-$M$3)/ $M$4</f>
        <v>1.001009665369502</v>
      </c>
      <c r="E188" s="37">
        <v>276</v>
      </c>
      <c r="F188" s="5">
        <f xml:space="preserve"> (Table6[[#This Row],[Unit]]-$N$3)/$N$4</f>
        <v>1.0500201251150076</v>
      </c>
    </row>
    <row r="189" spans="2:6" x14ac:dyDescent="0.35">
      <c r="B189" s="14" t="s">
        <v>26</v>
      </c>
      <c r="C189" s="35">
        <v>6279</v>
      </c>
      <c r="D189" s="44">
        <f>(Table6[[#This Row],[Amount]]-$M$3)/ $M$4</f>
        <v>0.68686886343336451</v>
      </c>
      <c r="E189" s="38">
        <v>45</v>
      </c>
      <c r="F189" s="41">
        <f xml:space="preserve"> (Table6[[#This Row],[Unit]]-$N$3)/$N$4</f>
        <v>-0.90922582724013579</v>
      </c>
    </row>
    <row r="190" spans="2:6" x14ac:dyDescent="0.35">
      <c r="B190" s="13" t="s">
        <v>29</v>
      </c>
      <c r="C190" s="34">
        <v>2541</v>
      </c>
      <c r="D190" s="43">
        <f>(Table6[[#This Row],[Amount]]-$M$3)/ $M$4</f>
        <v>-0.51135390966590233</v>
      </c>
      <c r="E190" s="37">
        <v>45</v>
      </c>
      <c r="F190" s="5">
        <f xml:space="preserve"> (Table6[[#This Row],[Unit]]-$N$3)/$N$4</f>
        <v>-0.90922582724013579</v>
      </c>
    </row>
    <row r="191" spans="2:6" x14ac:dyDescent="0.35">
      <c r="B191" s="14" t="s">
        <v>27</v>
      </c>
      <c r="C191" s="35">
        <v>3864</v>
      </c>
      <c r="D191" s="44">
        <f>(Table6[[#This Row],[Amount]]-$M$3)/ $M$4</f>
        <v>-8.7263827052116882E-2</v>
      </c>
      <c r="E191" s="38">
        <v>177</v>
      </c>
      <c r="F191" s="41">
        <f xml:space="preserve"> (Table6[[#This Row],[Unit]]-$N$3)/$N$4</f>
        <v>0.21034328839137481</v>
      </c>
    </row>
    <row r="192" spans="2:6" x14ac:dyDescent="0.35">
      <c r="B192" s="13" t="s">
        <v>13</v>
      </c>
      <c r="C192" s="34">
        <v>6146</v>
      </c>
      <c r="D192" s="43">
        <f>(Table6[[#This Row],[Amount]]-$M$3)/ $M$4</f>
        <v>0.6442354688848887</v>
      </c>
      <c r="E192" s="37">
        <v>63</v>
      </c>
      <c r="F192" s="5">
        <f xml:space="preserve"> (Table6[[#This Row],[Unit]]-$N$3)/$N$4</f>
        <v>-0.75655731147220251</v>
      </c>
    </row>
    <row r="193" spans="2:6" x14ac:dyDescent="0.35">
      <c r="B193" s="14" t="s">
        <v>18</v>
      </c>
      <c r="C193" s="35">
        <v>2639</v>
      </c>
      <c r="D193" s="44">
        <f>(Table6[[#This Row],[Amount]]-$M$3)/ $M$4</f>
        <v>-0.47993982947228864</v>
      </c>
      <c r="E193" s="38">
        <v>204</v>
      </c>
      <c r="F193" s="41">
        <f xml:space="preserve"> (Table6[[#This Row],[Unit]]-$N$3)/$N$4</f>
        <v>0.4393460620432747</v>
      </c>
    </row>
    <row r="194" spans="2:6" x14ac:dyDescent="0.35">
      <c r="B194" s="13" t="s">
        <v>22</v>
      </c>
      <c r="C194" s="34">
        <v>1890</v>
      </c>
      <c r="D194" s="43">
        <f>(Table6[[#This Row],[Amount]]-$M$3)/ $M$4</f>
        <v>-0.72003315666633649</v>
      </c>
      <c r="E194" s="37">
        <v>195</v>
      </c>
      <c r="F194" s="5">
        <f xml:space="preserve"> (Table6[[#This Row],[Unit]]-$N$3)/$N$4</f>
        <v>0.36301180415930806</v>
      </c>
    </row>
    <row r="195" spans="2:6" x14ac:dyDescent="0.35">
      <c r="B195" s="14" t="s">
        <v>14</v>
      </c>
      <c r="C195" s="35">
        <v>1932</v>
      </c>
      <c r="D195" s="44">
        <f>(Table6[[#This Row],[Amount]]-$M$3)/ $M$4</f>
        <v>-0.70656997944050204</v>
      </c>
      <c r="E195" s="38">
        <v>369</v>
      </c>
      <c r="F195" s="41">
        <f xml:space="preserve"> (Table6[[#This Row],[Unit]]-$N$3)/$N$4</f>
        <v>1.8388074565826629</v>
      </c>
    </row>
    <row r="196" spans="2:6" x14ac:dyDescent="0.35">
      <c r="B196" s="13" t="s">
        <v>25</v>
      </c>
      <c r="C196" s="34">
        <v>6300</v>
      </c>
      <c r="D196" s="43">
        <f>(Table6[[#This Row],[Amount]]-$M$3)/ $M$4</f>
        <v>0.69360045204628173</v>
      </c>
      <c r="E196" s="37">
        <v>42</v>
      </c>
      <c r="F196" s="5">
        <f xml:space="preserve"> (Table6[[#This Row],[Unit]]-$N$3)/$N$4</f>
        <v>-0.93467057986812463</v>
      </c>
    </row>
    <row r="197" spans="2:6" x14ac:dyDescent="0.35">
      <c r="B197" s="14" t="s">
        <v>30</v>
      </c>
      <c r="C197" s="35">
        <v>560</v>
      </c>
      <c r="D197" s="44">
        <f>(Table6[[#This Row],[Amount]]-$M$3)/ $M$4</f>
        <v>-1.1463671021510944</v>
      </c>
      <c r="E197" s="38">
        <v>81</v>
      </c>
      <c r="F197" s="41">
        <f xml:space="preserve"> (Table6[[#This Row],[Unit]]-$N$3)/$N$4</f>
        <v>-0.60388879570426923</v>
      </c>
    </row>
    <row r="198" spans="2:6" x14ac:dyDescent="0.35">
      <c r="B198" s="13" t="s">
        <v>26</v>
      </c>
      <c r="C198" s="34">
        <v>2856</v>
      </c>
      <c r="D198" s="43">
        <f>(Table6[[#This Row],[Amount]]-$M$3)/ $M$4</f>
        <v>-0.41038008047214392</v>
      </c>
      <c r="E198" s="37">
        <v>246</v>
      </c>
      <c r="F198" s="5">
        <f xml:space="preserve"> (Table6[[#This Row],[Unit]]-$N$3)/$N$4</f>
        <v>0.79557259883511899</v>
      </c>
    </row>
    <row r="199" spans="2:6" x14ac:dyDescent="0.35">
      <c r="B199" s="14" t="s">
        <v>17</v>
      </c>
      <c r="C199" s="35">
        <v>707</v>
      </c>
      <c r="D199" s="44">
        <f>(Table6[[#This Row],[Amount]]-$M$3)/ $M$4</f>
        <v>-1.0992459818606737</v>
      </c>
      <c r="E199" s="38">
        <v>174</v>
      </c>
      <c r="F199" s="41">
        <f xml:space="preserve"> (Table6[[#This Row],[Unit]]-$N$3)/$N$4</f>
        <v>0.18489853576338594</v>
      </c>
    </row>
    <row r="200" spans="2:6" x14ac:dyDescent="0.35">
      <c r="B200" s="13" t="s">
        <v>30</v>
      </c>
      <c r="C200" s="34">
        <v>3598</v>
      </c>
      <c r="D200" s="43">
        <f>(Table6[[#This Row],[Amount]]-$M$3)/ $M$4</f>
        <v>-0.17253061614906845</v>
      </c>
      <c r="E200" s="37">
        <v>81</v>
      </c>
      <c r="F200" s="5">
        <f xml:space="preserve"> (Table6[[#This Row],[Unit]]-$N$3)/$N$4</f>
        <v>-0.60388879570426923</v>
      </c>
    </row>
    <row r="201" spans="2:6" x14ac:dyDescent="0.35">
      <c r="B201" s="14" t="s">
        <v>22</v>
      </c>
      <c r="C201" s="35">
        <v>6853</v>
      </c>
      <c r="D201" s="44">
        <f>(Table6[[#This Row],[Amount]]-$M$3)/ $M$4</f>
        <v>0.8708656188531021</v>
      </c>
      <c r="E201" s="38">
        <v>372</v>
      </c>
      <c r="F201" s="41">
        <f xml:space="preserve"> (Table6[[#This Row],[Unit]]-$N$3)/$N$4</f>
        <v>1.8642522092106517</v>
      </c>
    </row>
    <row r="202" spans="2:6" x14ac:dyDescent="0.35">
      <c r="B202" s="13" t="s">
        <v>16</v>
      </c>
      <c r="C202" s="34">
        <v>4725</v>
      </c>
      <c r="D202" s="43">
        <f>(Table6[[#This Row],[Amount]]-$M$3)/ $M$4</f>
        <v>0.18873130607748953</v>
      </c>
      <c r="E202" s="37">
        <v>174</v>
      </c>
      <c r="F202" s="5">
        <f xml:space="preserve"> (Table6[[#This Row],[Unit]]-$N$3)/$N$4</f>
        <v>0.18489853576338594</v>
      </c>
    </row>
    <row r="203" spans="2:6" x14ac:dyDescent="0.35">
      <c r="B203" s="14" t="s">
        <v>32</v>
      </c>
      <c r="C203" s="35">
        <v>10304</v>
      </c>
      <c r="D203" s="44">
        <f>(Table6[[#This Row],[Amount]]-$M$3)/ $M$4</f>
        <v>1.9770900142425003</v>
      </c>
      <c r="E203" s="38">
        <v>84</v>
      </c>
      <c r="F203" s="41">
        <f xml:space="preserve"> (Table6[[#This Row],[Unit]]-$N$3)/$N$4</f>
        <v>-0.57844404307628039</v>
      </c>
    </row>
    <row r="204" spans="2:6" x14ac:dyDescent="0.35">
      <c r="B204" s="13" t="s">
        <v>16</v>
      </c>
      <c r="C204" s="34">
        <v>1274</v>
      </c>
      <c r="D204" s="43">
        <f>(Table6[[#This Row],[Amount]]-$M$3)/ $M$4</f>
        <v>-0.91749308931190854</v>
      </c>
      <c r="E204" s="37">
        <v>225</v>
      </c>
      <c r="F204" s="5">
        <f xml:space="preserve"> (Table6[[#This Row],[Unit]]-$N$3)/$N$4</f>
        <v>0.61745933043919687</v>
      </c>
    </row>
    <row r="205" spans="2:6" x14ac:dyDescent="0.35">
      <c r="B205" s="14" t="s">
        <v>30</v>
      </c>
      <c r="C205" s="35">
        <v>1526</v>
      </c>
      <c r="D205" s="44">
        <f>(Table6[[#This Row],[Amount]]-$M$3)/ $M$4</f>
        <v>-0.83671402595690181</v>
      </c>
      <c r="E205" s="38">
        <v>105</v>
      </c>
      <c r="F205" s="41">
        <f xml:space="preserve"> (Table6[[#This Row],[Unit]]-$N$3)/$N$4</f>
        <v>-0.40033077468035821</v>
      </c>
    </row>
    <row r="206" spans="2:6" x14ac:dyDescent="0.35">
      <c r="B206" s="13" t="s">
        <v>28</v>
      </c>
      <c r="C206" s="34">
        <v>3101</v>
      </c>
      <c r="D206" s="43">
        <f>(Table6[[#This Row],[Amount]]-$M$3)/ $M$4</f>
        <v>-0.33184487998810958</v>
      </c>
      <c r="E206" s="37">
        <v>225</v>
      </c>
      <c r="F206" s="5">
        <f xml:space="preserve"> (Table6[[#This Row],[Unit]]-$N$3)/$N$4</f>
        <v>0.61745933043919687</v>
      </c>
    </row>
    <row r="207" spans="2:6" x14ac:dyDescent="0.35">
      <c r="B207" s="14" t="s">
        <v>14</v>
      </c>
      <c r="C207" s="35">
        <v>1057</v>
      </c>
      <c r="D207" s="44">
        <f>(Table6[[#This Row],[Amount]]-$M$3)/ $M$4</f>
        <v>-0.98705283831205326</v>
      </c>
      <c r="E207" s="38">
        <v>54</v>
      </c>
      <c r="F207" s="41">
        <f xml:space="preserve"> (Table6[[#This Row],[Unit]]-$N$3)/$N$4</f>
        <v>-0.83289156935616915</v>
      </c>
    </row>
    <row r="208" spans="2:6" x14ac:dyDescent="0.35">
      <c r="B208" s="13" t="s">
        <v>26</v>
      </c>
      <c r="C208" s="34">
        <v>5306</v>
      </c>
      <c r="D208" s="43">
        <f>(Table6[[#This Row],[Amount]]-$M$3)/ $M$4</f>
        <v>0.37497192436819954</v>
      </c>
      <c r="E208" s="37">
        <v>0</v>
      </c>
      <c r="F208" s="5">
        <f xml:space="preserve"> (Table6[[#This Row],[Unit]]-$N$3)/$N$4</f>
        <v>-1.290897116659969</v>
      </c>
    </row>
    <row r="209" spans="2:6" x14ac:dyDescent="0.35">
      <c r="B209" s="14" t="s">
        <v>24</v>
      </c>
      <c r="C209" s="35">
        <v>4018</v>
      </c>
      <c r="D209" s="44">
        <f>(Table6[[#This Row],[Amount]]-$M$3)/ $M$4</f>
        <v>-3.7898843890723864E-2</v>
      </c>
      <c r="E209" s="38">
        <v>171</v>
      </c>
      <c r="F209" s="41">
        <f xml:space="preserve"> (Table6[[#This Row],[Unit]]-$N$3)/$N$4</f>
        <v>0.15945378313539707</v>
      </c>
    </row>
    <row r="210" spans="2:6" x14ac:dyDescent="0.35">
      <c r="B210" s="13" t="s">
        <v>16</v>
      </c>
      <c r="C210" s="34">
        <v>938</v>
      </c>
      <c r="D210" s="43">
        <f>(Table6[[#This Row],[Amount]]-$M$3)/ $M$4</f>
        <v>-1.0251985071185843</v>
      </c>
      <c r="E210" s="37">
        <v>189</v>
      </c>
      <c r="F210" s="5">
        <f xml:space="preserve"> (Table6[[#This Row],[Unit]]-$N$3)/$N$4</f>
        <v>0.31212229890333032</v>
      </c>
    </row>
    <row r="211" spans="2:6" x14ac:dyDescent="0.35">
      <c r="B211" s="14" t="s">
        <v>18</v>
      </c>
      <c r="C211" s="35">
        <v>1778</v>
      </c>
      <c r="D211" s="44">
        <f>(Table6[[#This Row],[Amount]]-$M$3)/ $M$4</f>
        <v>-0.75593496260189508</v>
      </c>
      <c r="E211" s="38">
        <v>270</v>
      </c>
      <c r="F211" s="41">
        <f xml:space="preserve"> (Table6[[#This Row],[Unit]]-$N$3)/$N$4</f>
        <v>0.99913061985902996</v>
      </c>
    </row>
    <row r="212" spans="2:6" x14ac:dyDescent="0.35">
      <c r="B212" s="13" t="s">
        <v>30</v>
      </c>
      <c r="C212" s="34">
        <v>1638</v>
      </c>
      <c r="D212" s="43">
        <f>(Table6[[#This Row],[Amount]]-$M$3)/ $M$4</f>
        <v>-0.80081222002134322</v>
      </c>
      <c r="E212" s="37">
        <v>63</v>
      </c>
      <c r="F212" s="5">
        <f xml:space="preserve"> (Table6[[#This Row],[Unit]]-$N$3)/$N$4</f>
        <v>-0.75655731147220251</v>
      </c>
    </row>
    <row r="213" spans="2:6" x14ac:dyDescent="0.35">
      <c r="B213" s="14" t="s">
        <v>25</v>
      </c>
      <c r="C213" s="35">
        <v>154</v>
      </c>
      <c r="D213" s="44">
        <f>(Table6[[#This Row],[Amount]]-$M$3)/ $M$4</f>
        <v>-1.276511148667494</v>
      </c>
      <c r="E213" s="38">
        <v>21</v>
      </c>
      <c r="F213" s="41">
        <f xml:space="preserve"> (Table6[[#This Row],[Unit]]-$N$3)/$N$4</f>
        <v>-1.1127838482640469</v>
      </c>
    </row>
    <row r="214" spans="2:6" x14ac:dyDescent="0.35">
      <c r="B214" s="13" t="s">
        <v>22</v>
      </c>
      <c r="C214" s="34">
        <v>9835</v>
      </c>
      <c r="D214" s="43">
        <f>(Table6[[#This Row],[Amount]]-$M$3)/ $M$4</f>
        <v>1.8267512018873489</v>
      </c>
      <c r="E214" s="37">
        <v>207</v>
      </c>
      <c r="F214" s="5">
        <f xml:space="preserve"> (Table6[[#This Row],[Unit]]-$N$3)/$N$4</f>
        <v>0.4647908146712636</v>
      </c>
    </row>
    <row r="215" spans="2:6" x14ac:dyDescent="0.35">
      <c r="B215" s="14" t="s">
        <v>20</v>
      </c>
      <c r="C215" s="35">
        <v>7273</v>
      </c>
      <c r="D215" s="44">
        <f>(Table6[[#This Row],[Amount]]-$M$3)/ $M$4</f>
        <v>1.0054973911114466</v>
      </c>
      <c r="E215" s="38">
        <v>96</v>
      </c>
      <c r="F215" s="41">
        <f xml:space="preserve"> (Table6[[#This Row],[Unit]]-$N$3)/$N$4</f>
        <v>-0.47666503256432485</v>
      </c>
    </row>
    <row r="216" spans="2:6" x14ac:dyDescent="0.35">
      <c r="B216" s="13" t="s">
        <v>22</v>
      </c>
      <c r="C216" s="34">
        <v>6909</v>
      </c>
      <c r="D216" s="43">
        <f>(Table6[[#This Row],[Amount]]-$M$3)/ $M$4</f>
        <v>0.88881652182088144</v>
      </c>
      <c r="E216" s="37">
        <v>81</v>
      </c>
      <c r="F216" s="5">
        <f xml:space="preserve"> (Table6[[#This Row],[Unit]]-$N$3)/$N$4</f>
        <v>-0.60388879570426923</v>
      </c>
    </row>
    <row r="217" spans="2:6" x14ac:dyDescent="0.35">
      <c r="B217" s="14" t="s">
        <v>24</v>
      </c>
      <c r="C217" s="35">
        <v>3920</v>
      </c>
      <c r="D217" s="44">
        <f>(Table6[[#This Row],[Amount]]-$M$3)/ $M$4</f>
        <v>-6.9312924084337604E-2</v>
      </c>
      <c r="E217" s="38">
        <v>306</v>
      </c>
      <c r="F217" s="41">
        <f xml:space="preserve"> (Table6[[#This Row],[Unit]]-$N$3)/$N$4</f>
        <v>1.3044676513948965</v>
      </c>
    </row>
    <row r="218" spans="2:6" x14ac:dyDescent="0.35">
      <c r="B218" s="13" t="s">
        <v>21</v>
      </c>
      <c r="C218" s="34">
        <v>4858</v>
      </c>
      <c r="D218" s="43">
        <f>(Table6[[#This Row],[Amount]]-$M$3)/ $M$4</f>
        <v>0.23136470062596531</v>
      </c>
      <c r="E218" s="37">
        <v>279</v>
      </c>
      <c r="F218" s="5">
        <f xml:space="preserve"> (Table6[[#This Row],[Unit]]-$N$3)/$N$4</f>
        <v>1.0754648777429967</v>
      </c>
    </row>
    <row r="219" spans="2:6" x14ac:dyDescent="0.35">
      <c r="B219" s="14" t="s">
        <v>4</v>
      </c>
      <c r="C219" s="35">
        <v>3549</v>
      </c>
      <c r="D219" s="44">
        <f>(Table6[[#This Row],[Amount]]-$M$3)/ $M$4</f>
        <v>-0.18823765624587532</v>
      </c>
      <c r="E219" s="38">
        <v>3</v>
      </c>
      <c r="F219" s="41">
        <f xml:space="preserve"> (Table6[[#This Row],[Unit]]-$N$3)/$N$4</f>
        <v>-1.2654523640319801</v>
      </c>
    </row>
    <row r="220" spans="2:6" x14ac:dyDescent="0.35">
      <c r="B220" s="13" t="s">
        <v>27</v>
      </c>
      <c r="C220" s="34">
        <v>966</v>
      </c>
      <c r="D220" s="43">
        <f>(Table6[[#This Row],[Amount]]-$M$3)/ $M$4</f>
        <v>-1.0162230556346945</v>
      </c>
      <c r="E220" s="37">
        <v>198</v>
      </c>
      <c r="F220" s="5">
        <f xml:space="preserve"> (Table6[[#This Row],[Unit]]-$N$3)/$N$4</f>
        <v>0.38845655678729696</v>
      </c>
    </row>
    <row r="221" spans="2:6" x14ac:dyDescent="0.35">
      <c r="B221" s="14" t="s">
        <v>18</v>
      </c>
      <c r="C221" s="35">
        <v>385</v>
      </c>
      <c r="D221" s="44">
        <f>(Table6[[#This Row],[Amount]]-$M$3)/ $M$4</f>
        <v>-1.2024636739254047</v>
      </c>
      <c r="E221" s="38">
        <v>249</v>
      </c>
      <c r="F221" s="41">
        <f xml:space="preserve"> (Table6[[#This Row],[Unit]]-$N$3)/$N$4</f>
        <v>0.82101735146310784</v>
      </c>
    </row>
    <row r="222" spans="2:6" x14ac:dyDescent="0.35">
      <c r="B222" s="13" t="s">
        <v>16</v>
      </c>
      <c r="C222" s="34">
        <v>2219</v>
      </c>
      <c r="D222" s="43">
        <f>(Table6[[#This Row],[Amount]]-$M$3)/ $M$4</f>
        <v>-0.61457160173063319</v>
      </c>
      <c r="E222" s="37">
        <v>75</v>
      </c>
      <c r="F222" s="5">
        <f xml:space="preserve"> (Table6[[#This Row],[Unit]]-$N$3)/$N$4</f>
        <v>-0.65477830096024703</v>
      </c>
    </row>
    <row r="223" spans="2:6" x14ac:dyDescent="0.35">
      <c r="B223" s="14" t="s">
        <v>32</v>
      </c>
      <c r="C223" s="35">
        <v>2954</v>
      </c>
      <c r="D223" s="44">
        <f>(Table6[[#This Row],[Amount]]-$M$3)/ $M$4</f>
        <v>-0.37896600027853017</v>
      </c>
      <c r="E223" s="38">
        <v>189</v>
      </c>
      <c r="F223" s="41">
        <f xml:space="preserve"> (Table6[[#This Row],[Unit]]-$N$3)/$N$4</f>
        <v>0.31212229890333032</v>
      </c>
    </row>
    <row r="224" spans="2:6" x14ac:dyDescent="0.35">
      <c r="B224" s="13" t="s">
        <v>32</v>
      </c>
      <c r="C224" s="34">
        <v>280</v>
      </c>
      <c r="D224" s="43">
        <f>(Table6[[#This Row],[Amount]]-$M$3)/ $M$4</f>
        <v>-1.2361216169899907</v>
      </c>
      <c r="E224" s="37">
        <v>87</v>
      </c>
      <c r="F224" s="5">
        <f xml:space="preserve"> (Table6[[#This Row],[Unit]]-$N$3)/$N$4</f>
        <v>-0.55299929044829144</v>
      </c>
    </row>
    <row r="225" spans="2:6" x14ac:dyDescent="0.35">
      <c r="B225" s="14" t="s">
        <v>30</v>
      </c>
      <c r="C225" s="35">
        <v>6118</v>
      </c>
      <c r="D225" s="44">
        <f>(Table6[[#This Row],[Amount]]-$M$3)/ $M$4</f>
        <v>0.63526001740099913</v>
      </c>
      <c r="E225" s="38">
        <v>174</v>
      </c>
      <c r="F225" s="41">
        <f xml:space="preserve"> (Table6[[#This Row],[Unit]]-$N$3)/$N$4</f>
        <v>0.18489853576338594</v>
      </c>
    </row>
    <row r="226" spans="2:6" x14ac:dyDescent="0.35">
      <c r="B226" s="13" t="s">
        <v>15</v>
      </c>
      <c r="C226" s="34">
        <v>4802</v>
      </c>
      <c r="D226" s="43">
        <f>(Table6[[#This Row],[Amount]]-$M$3)/ $M$4</f>
        <v>0.21341379765818605</v>
      </c>
      <c r="E226" s="37">
        <v>36</v>
      </c>
      <c r="F226" s="5">
        <f xml:space="preserve"> (Table6[[#This Row],[Unit]]-$N$3)/$N$4</f>
        <v>-0.98556008512410243</v>
      </c>
    </row>
    <row r="227" spans="2:6" x14ac:dyDescent="0.35">
      <c r="B227" s="14" t="s">
        <v>24</v>
      </c>
      <c r="C227" s="35">
        <v>4137</v>
      </c>
      <c r="D227" s="44">
        <f>(Table6[[#This Row],[Amount]]-$M$3)/ $M$4</f>
        <v>2.4682491580710504E-4</v>
      </c>
      <c r="E227" s="38">
        <v>60</v>
      </c>
      <c r="F227" s="41">
        <f xml:space="preserve"> (Table6[[#This Row],[Unit]]-$N$3)/$N$4</f>
        <v>-0.78200206410019135</v>
      </c>
    </row>
    <row r="228" spans="2:6" x14ac:dyDescent="0.35">
      <c r="B228" s="13" t="s">
        <v>23</v>
      </c>
      <c r="C228" s="34">
        <v>2023</v>
      </c>
      <c r="D228" s="43">
        <f>(Table6[[#This Row],[Amount]]-$M$3)/ $M$4</f>
        <v>-0.67739976211786068</v>
      </c>
      <c r="E228" s="37">
        <v>78</v>
      </c>
      <c r="F228" s="5">
        <f xml:space="preserve"> (Table6[[#This Row],[Unit]]-$N$3)/$N$4</f>
        <v>-0.62933354833225807</v>
      </c>
    </row>
    <row r="229" spans="2:6" x14ac:dyDescent="0.35">
      <c r="B229" s="14" t="s">
        <v>30</v>
      </c>
      <c r="C229" s="35">
        <v>9051</v>
      </c>
      <c r="D229" s="44">
        <f>(Table6[[#This Row],[Amount]]-$M$3)/ $M$4</f>
        <v>1.5754385603384389</v>
      </c>
      <c r="E229" s="38">
        <v>57</v>
      </c>
      <c r="F229" s="41">
        <f xml:space="preserve"> (Table6[[#This Row],[Unit]]-$N$3)/$N$4</f>
        <v>-0.80744681672818031</v>
      </c>
    </row>
    <row r="230" spans="2:6" x14ac:dyDescent="0.35">
      <c r="B230" s="13" t="s">
        <v>28</v>
      </c>
      <c r="C230" s="34">
        <v>2919</v>
      </c>
      <c r="D230" s="43">
        <f>(Table6[[#This Row],[Amount]]-$M$3)/ $M$4</f>
        <v>-0.39018531463339223</v>
      </c>
      <c r="E230" s="37">
        <v>45</v>
      </c>
      <c r="F230" s="5">
        <f xml:space="preserve"> (Table6[[#This Row],[Unit]]-$N$3)/$N$4</f>
        <v>-0.90922582724013579</v>
      </c>
    </row>
    <row r="231" spans="2:6" x14ac:dyDescent="0.35">
      <c r="B231" s="14" t="s">
        <v>22</v>
      </c>
      <c r="C231" s="35">
        <v>5915</v>
      </c>
      <c r="D231" s="44">
        <f>(Table6[[#This Row],[Amount]]-$M$3)/ $M$4</f>
        <v>0.57018799414279919</v>
      </c>
      <c r="E231" s="38">
        <v>3</v>
      </c>
      <c r="F231" s="41">
        <f xml:space="preserve"> (Table6[[#This Row],[Unit]]-$N$3)/$N$4</f>
        <v>-1.2654523640319801</v>
      </c>
    </row>
    <row r="232" spans="2:6" x14ac:dyDescent="0.35">
      <c r="B232" s="13" t="s">
        <v>15</v>
      </c>
      <c r="C232" s="34">
        <v>2562</v>
      </c>
      <c r="D232" s="43">
        <f>(Table6[[#This Row],[Amount]]-$M$3)/ $M$4</f>
        <v>-0.5046223210529851</v>
      </c>
      <c r="E232" s="37">
        <v>6</v>
      </c>
      <c r="F232" s="5">
        <f xml:space="preserve"> (Table6[[#This Row],[Unit]]-$N$3)/$N$4</f>
        <v>-1.2400076114039911</v>
      </c>
    </row>
    <row r="233" spans="2:6" x14ac:dyDescent="0.35">
      <c r="B233" s="14" t="s">
        <v>25</v>
      </c>
      <c r="C233" s="35">
        <v>8813</v>
      </c>
      <c r="D233" s="44">
        <f>(Table6[[#This Row],[Amount]]-$M$3)/ $M$4</f>
        <v>1.499147222725377</v>
      </c>
      <c r="E233" s="38">
        <v>21</v>
      </c>
      <c r="F233" s="41">
        <f xml:space="preserve"> (Table6[[#This Row],[Unit]]-$N$3)/$N$4</f>
        <v>-1.1127838482640469</v>
      </c>
    </row>
    <row r="234" spans="2:6" x14ac:dyDescent="0.35">
      <c r="B234" s="13" t="s">
        <v>18</v>
      </c>
      <c r="C234" s="34">
        <v>6111</v>
      </c>
      <c r="D234" s="43">
        <f>(Table6[[#This Row],[Amount]]-$M$3)/ $M$4</f>
        <v>0.63301615453002669</v>
      </c>
      <c r="E234" s="37">
        <v>3</v>
      </c>
      <c r="F234" s="5">
        <f xml:space="preserve"> (Table6[[#This Row],[Unit]]-$N$3)/$N$4</f>
        <v>-1.2654523640319801</v>
      </c>
    </row>
    <row r="235" spans="2:6" x14ac:dyDescent="0.35">
      <c r="B235" s="14" t="s">
        <v>31</v>
      </c>
      <c r="C235" s="35">
        <v>3507</v>
      </c>
      <c r="D235" s="44">
        <f>(Table6[[#This Row],[Amount]]-$M$3)/ $M$4</f>
        <v>-0.20170083347170978</v>
      </c>
      <c r="E235" s="38">
        <v>288</v>
      </c>
      <c r="F235" s="41">
        <f xml:space="preserve"> (Table6[[#This Row],[Unit]]-$N$3)/$N$4</f>
        <v>1.1517991356269632</v>
      </c>
    </row>
    <row r="236" spans="2:6" x14ac:dyDescent="0.35">
      <c r="B236" s="13" t="s">
        <v>13</v>
      </c>
      <c r="C236" s="34">
        <v>4319</v>
      </c>
      <c r="D236" s="43">
        <f>(Table6[[#This Row],[Amount]]-$M$3)/ $M$4</f>
        <v>5.8587259561089761E-2</v>
      </c>
      <c r="E236" s="37">
        <v>30</v>
      </c>
      <c r="F236" s="5">
        <f xml:space="preserve"> (Table6[[#This Row],[Unit]]-$N$3)/$N$4</f>
        <v>-1.0364495903800801</v>
      </c>
    </row>
    <row r="237" spans="2:6" x14ac:dyDescent="0.35">
      <c r="B237" s="14" t="s">
        <v>26</v>
      </c>
      <c r="C237" s="35">
        <v>609</v>
      </c>
      <c r="D237" s="44">
        <f>(Table6[[#This Row],[Amount]]-$M$3)/ $M$4</f>
        <v>-1.1306600620542875</v>
      </c>
      <c r="E237" s="38">
        <v>87</v>
      </c>
      <c r="F237" s="41">
        <f xml:space="preserve"> (Table6[[#This Row],[Unit]]-$N$3)/$N$4</f>
        <v>-0.55299929044829144</v>
      </c>
    </row>
    <row r="238" spans="2:6" x14ac:dyDescent="0.35">
      <c r="B238" s="13" t="s">
        <v>27</v>
      </c>
      <c r="C238" s="34">
        <v>6370</v>
      </c>
      <c r="D238" s="43">
        <f>(Table6[[#This Row],[Amount]]-$M$3)/ $M$4</f>
        <v>0.71603908075600586</v>
      </c>
      <c r="E238" s="37">
        <v>30</v>
      </c>
      <c r="F238" s="5">
        <f xml:space="preserve"> (Table6[[#This Row],[Unit]]-$N$3)/$N$4</f>
        <v>-1.0364495903800801</v>
      </c>
    </row>
    <row r="239" spans="2:6" x14ac:dyDescent="0.35">
      <c r="B239" s="14" t="s">
        <v>19</v>
      </c>
      <c r="C239" s="35">
        <v>5474</v>
      </c>
      <c r="D239" s="44">
        <f>(Table6[[#This Row],[Amount]]-$M$3)/ $M$4</f>
        <v>0.42882463327153741</v>
      </c>
      <c r="E239" s="38">
        <v>168</v>
      </c>
      <c r="F239" s="41">
        <f xml:space="preserve"> (Table6[[#This Row],[Unit]]-$N$3)/$N$4</f>
        <v>0.13400903050740817</v>
      </c>
    </row>
    <row r="240" spans="2:6" x14ac:dyDescent="0.35">
      <c r="B240" s="13" t="s">
        <v>27</v>
      </c>
      <c r="C240" s="34">
        <v>3164</v>
      </c>
      <c r="D240" s="43">
        <f>(Table6[[#This Row],[Amount]]-$M$3)/ $M$4</f>
        <v>-0.31165011414935789</v>
      </c>
      <c r="E240" s="37">
        <v>306</v>
      </c>
      <c r="F240" s="5">
        <f xml:space="preserve"> (Table6[[#This Row],[Unit]]-$N$3)/$N$4</f>
        <v>1.3044676513948965</v>
      </c>
    </row>
    <row r="241" spans="2:6" x14ac:dyDescent="0.35">
      <c r="B241" s="14" t="s">
        <v>4</v>
      </c>
      <c r="C241" s="35">
        <v>1302</v>
      </c>
      <c r="D241" s="44">
        <f>(Table6[[#This Row],[Amount]]-$M$3)/ $M$4</f>
        <v>-0.90851763782801886</v>
      </c>
      <c r="E241" s="38">
        <v>402</v>
      </c>
      <c r="F241" s="41">
        <f xml:space="preserve"> (Table6[[#This Row],[Unit]]-$N$3)/$N$4</f>
        <v>2.1186997354905404</v>
      </c>
    </row>
    <row r="242" spans="2:6" x14ac:dyDescent="0.35">
      <c r="B242" s="13" t="s">
        <v>28</v>
      </c>
      <c r="C242" s="34">
        <v>7308</v>
      </c>
      <c r="D242" s="43">
        <f>(Table6[[#This Row],[Amount]]-$M$3)/ $M$4</f>
        <v>1.0167167054663089</v>
      </c>
      <c r="E242" s="37">
        <v>327</v>
      </c>
      <c r="F242" s="5">
        <f xml:space="preserve"> (Table6[[#This Row],[Unit]]-$N$3)/$N$4</f>
        <v>1.4825809197908186</v>
      </c>
    </row>
    <row r="243" spans="2:6" x14ac:dyDescent="0.35">
      <c r="B243" s="14" t="s">
        <v>27</v>
      </c>
      <c r="C243" s="35">
        <v>6132</v>
      </c>
      <c r="D243" s="44">
        <f>(Table6[[#This Row],[Amount]]-$M$3)/ $M$4</f>
        <v>0.63974774314294391</v>
      </c>
      <c r="E243" s="38">
        <v>93</v>
      </c>
      <c r="F243" s="41">
        <f xml:space="preserve"> (Table6[[#This Row],[Unit]]-$N$3)/$N$4</f>
        <v>-0.50210978519231375</v>
      </c>
    </row>
    <row r="244" spans="2:6" x14ac:dyDescent="0.35">
      <c r="B244" s="13" t="s">
        <v>14</v>
      </c>
      <c r="C244" s="34">
        <v>3472</v>
      </c>
      <c r="D244" s="43">
        <f>(Table6[[#This Row],[Amount]]-$M$3)/ $M$4</f>
        <v>-0.21292014782657184</v>
      </c>
      <c r="E244" s="37">
        <v>96</v>
      </c>
      <c r="F244" s="5">
        <f xml:space="preserve"> (Table6[[#This Row],[Unit]]-$N$3)/$N$4</f>
        <v>-0.47666503256432485</v>
      </c>
    </row>
    <row r="245" spans="2:6" x14ac:dyDescent="0.35">
      <c r="B245" s="14" t="s">
        <v>18</v>
      </c>
      <c r="C245" s="35">
        <v>9660</v>
      </c>
      <c r="D245" s="44">
        <f>(Table6[[#This Row],[Amount]]-$M$3)/ $M$4</f>
        <v>1.7706546301130386</v>
      </c>
      <c r="E245" s="38">
        <v>27</v>
      </c>
      <c r="F245" s="41">
        <f xml:space="preserve"> (Table6[[#This Row],[Unit]]-$N$3)/$N$4</f>
        <v>-1.061894343008069</v>
      </c>
    </row>
    <row r="246" spans="2:6" x14ac:dyDescent="0.35">
      <c r="B246" s="13" t="s">
        <v>26</v>
      </c>
      <c r="C246" s="34">
        <v>2436</v>
      </c>
      <c r="D246" s="43">
        <f>(Table6[[#This Row],[Amount]]-$M$3)/ $M$4</f>
        <v>-0.54501185273048847</v>
      </c>
      <c r="E246" s="37">
        <v>99</v>
      </c>
      <c r="F246" s="5">
        <f xml:space="preserve"> (Table6[[#This Row],[Unit]]-$N$3)/$N$4</f>
        <v>-0.45122027993633601</v>
      </c>
    </row>
    <row r="247" spans="2:6" x14ac:dyDescent="0.35">
      <c r="B247" s="14" t="s">
        <v>33</v>
      </c>
      <c r="C247" s="35">
        <v>9506</v>
      </c>
      <c r="D247" s="44">
        <f>(Table6[[#This Row],[Amount]]-$M$3)/ $M$4</f>
        <v>1.7212896469516454</v>
      </c>
      <c r="E247" s="38">
        <v>87</v>
      </c>
      <c r="F247" s="41">
        <f xml:space="preserve"> (Table6[[#This Row],[Unit]]-$N$3)/$N$4</f>
        <v>-0.55299929044829144</v>
      </c>
    </row>
    <row r="248" spans="2:6" x14ac:dyDescent="0.35">
      <c r="B248" s="13" t="s">
        <v>21</v>
      </c>
      <c r="C248" s="34">
        <v>245</v>
      </c>
      <c r="D248" s="43">
        <f>(Table6[[#This Row],[Amount]]-$M$3)/ $M$4</f>
        <v>-1.2473409313448529</v>
      </c>
      <c r="E248" s="37">
        <v>288</v>
      </c>
      <c r="F248" s="5">
        <f xml:space="preserve"> (Table6[[#This Row],[Unit]]-$N$3)/$N$4</f>
        <v>1.1517991356269632</v>
      </c>
    </row>
    <row r="249" spans="2:6" x14ac:dyDescent="0.35">
      <c r="B249" s="14" t="s">
        <v>20</v>
      </c>
      <c r="C249" s="35">
        <v>2702</v>
      </c>
      <c r="D249" s="44">
        <f>(Table6[[#This Row],[Amount]]-$M$3)/ $M$4</f>
        <v>-0.45974506363353695</v>
      </c>
      <c r="E249" s="38">
        <v>363</v>
      </c>
      <c r="F249" s="41">
        <f xml:space="preserve"> (Table6[[#This Row],[Unit]]-$N$3)/$N$4</f>
        <v>1.7879179513266852</v>
      </c>
    </row>
    <row r="250" spans="2:6" x14ac:dyDescent="0.35">
      <c r="B250" s="13" t="s">
        <v>17</v>
      </c>
      <c r="C250" s="34">
        <v>700</v>
      </c>
      <c r="D250" s="43">
        <f>(Table6[[#This Row],[Amount]]-$M$3)/ $M$4</f>
        <v>-1.1014898447316461</v>
      </c>
      <c r="E250" s="37">
        <v>87</v>
      </c>
      <c r="F250" s="5">
        <f xml:space="preserve"> (Table6[[#This Row],[Unit]]-$N$3)/$N$4</f>
        <v>-0.55299929044829144</v>
      </c>
    </row>
    <row r="251" spans="2:6" x14ac:dyDescent="0.35">
      <c r="B251" s="14" t="s">
        <v>17</v>
      </c>
      <c r="C251" s="35">
        <v>3759</v>
      </c>
      <c r="D251" s="44">
        <f>(Table6[[#This Row],[Amount]]-$M$3)/ $M$4</f>
        <v>-0.12092177011670303</v>
      </c>
      <c r="E251" s="38">
        <v>150</v>
      </c>
      <c r="F251" s="41">
        <f xml:space="preserve"> (Table6[[#This Row],[Unit]]-$N$3)/$N$4</f>
        <v>-1.8659485260525081E-2</v>
      </c>
    </row>
    <row r="252" spans="2:6" x14ac:dyDescent="0.35">
      <c r="B252" s="13" t="s">
        <v>17</v>
      </c>
      <c r="C252" s="34">
        <v>1589</v>
      </c>
      <c r="D252" s="43">
        <f>(Table6[[#This Row],[Amount]]-$M$3)/ $M$4</f>
        <v>-0.81651926011815013</v>
      </c>
      <c r="E252" s="37">
        <v>303</v>
      </c>
      <c r="F252" s="5">
        <f xml:space="preserve"> (Table6[[#This Row],[Unit]]-$N$3)/$N$4</f>
        <v>1.2790228987669077</v>
      </c>
    </row>
    <row r="253" spans="2:6" x14ac:dyDescent="0.35">
      <c r="B253" s="14" t="s">
        <v>28</v>
      </c>
      <c r="C253" s="35">
        <v>5194</v>
      </c>
      <c r="D253" s="44">
        <f>(Table6[[#This Row],[Amount]]-$M$3)/ $M$4</f>
        <v>0.33907011843264101</v>
      </c>
      <c r="E253" s="38">
        <v>288</v>
      </c>
      <c r="F253" s="41">
        <f xml:space="preserve"> (Table6[[#This Row],[Unit]]-$N$3)/$N$4</f>
        <v>1.1517991356269632</v>
      </c>
    </row>
    <row r="254" spans="2:6" x14ac:dyDescent="0.35">
      <c r="B254" s="13" t="s">
        <v>13</v>
      </c>
      <c r="C254" s="34">
        <v>945</v>
      </c>
      <c r="D254" s="43">
        <f>(Table6[[#This Row],[Amount]]-$M$3)/ $M$4</f>
        <v>-1.0229546442476118</v>
      </c>
      <c r="E254" s="37">
        <v>75</v>
      </c>
      <c r="F254" s="5">
        <f xml:space="preserve"> (Table6[[#This Row],[Unit]]-$N$3)/$N$4</f>
        <v>-0.65477830096024703</v>
      </c>
    </row>
    <row r="255" spans="2:6" x14ac:dyDescent="0.35">
      <c r="B255" s="14" t="s">
        <v>31</v>
      </c>
      <c r="C255" s="35">
        <v>1988</v>
      </c>
      <c r="D255" s="44">
        <f>(Table6[[#This Row],[Amount]]-$M$3)/ $M$4</f>
        <v>-0.68861907647272269</v>
      </c>
      <c r="E255" s="38">
        <v>39</v>
      </c>
      <c r="F255" s="41">
        <f xml:space="preserve"> (Table6[[#This Row],[Unit]]-$N$3)/$N$4</f>
        <v>-0.96011533249611347</v>
      </c>
    </row>
    <row r="256" spans="2:6" x14ac:dyDescent="0.35">
      <c r="B256" s="13" t="s">
        <v>32</v>
      </c>
      <c r="C256" s="34">
        <v>6734</v>
      </c>
      <c r="D256" s="43">
        <f>(Table6[[#This Row],[Amount]]-$M$3)/ $M$4</f>
        <v>0.83271995004657118</v>
      </c>
      <c r="E256" s="37">
        <v>123</v>
      </c>
      <c r="F256" s="5">
        <f xml:space="preserve"> (Table6[[#This Row],[Unit]]-$N$3)/$N$4</f>
        <v>-0.24766225891242497</v>
      </c>
    </row>
    <row r="257" spans="2:6" x14ac:dyDescent="0.35">
      <c r="B257" s="14" t="s">
        <v>4</v>
      </c>
      <c r="C257" s="35">
        <v>217</v>
      </c>
      <c r="D257" s="44">
        <f>(Table6[[#This Row],[Amount]]-$M$3)/ $M$4</f>
        <v>-1.2563163828287425</v>
      </c>
      <c r="E257" s="38">
        <v>36</v>
      </c>
      <c r="F257" s="41">
        <f xml:space="preserve"> (Table6[[#This Row],[Unit]]-$N$3)/$N$4</f>
        <v>-0.98556008512410243</v>
      </c>
    </row>
    <row r="258" spans="2:6" x14ac:dyDescent="0.35">
      <c r="B258" s="13" t="s">
        <v>22</v>
      </c>
      <c r="C258" s="34">
        <v>6279</v>
      </c>
      <c r="D258" s="43">
        <f>(Table6[[#This Row],[Amount]]-$M$3)/ $M$4</f>
        <v>0.68686886343336451</v>
      </c>
      <c r="E258" s="37">
        <v>237</v>
      </c>
      <c r="F258" s="5">
        <f xml:space="preserve"> (Table6[[#This Row],[Unit]]-$N$3)/$N$4</f>
        <v>0.71923834095115236</v>
      </c>
    </row>
    <row r="259" spans="2:6" x14ac:dyDescent="0.35">
      <c r="B259" s="14" t="s">
        <v>13</v>
      </c>
      <c r="C259" s="35">
        <v>4424</v>
      </c>
      <c r="D259" s="44">
        <f>(Table6[[#This Row],[Amount]]-$M$3)/ $M$4</f>
        <v>9.2245202625675912E-2</v>
      </c>
      <c r="E259" s="38">
        <v>201</v>
      </c>
      <c r="F259" s="41">
        <f xml:space="preserve"> (Table6[[#This Row],[Unit]]-$N$3)/$N$4</f>
        <v>0.4139013094152858</v>
      </c>
    </row>
    <row r="260" spans="2:6" x14ac:dyDescent="0.35">
      <c r="B260" s="13" t="s">
        <v>17</v>
      </c>
      <c r="C260" s="34">
        <v>189</v>
      </c>
      <c r="D260" s="43">
        <f>(Table6[[#This Row],[Amount]]-$M$3)/ $M$4</f>
        <v>-1.265291834312632</v>
      </c>
      <c r="E260" s="37">
        <v>48</v>
      </c>
      <c r="F260" s="5">
        <f xml:space="preserve"> (Table6[[#This Row],[Unit]]-$N$3)/$N$4</f>
        <v>-0.88378107461214683</v>
      </c>
    </row>
    <row r="261" spans="2:6" x14ac:dyDescent="0.35">
      <c r="B261" s="14" t="s">
        <v>22</v>
      </c>
      <c r="C261" s="35">
        <v>490</v>
      </c>
      <c r="D261" s="44">
        <f>(Table6[[#This Row],[Amount]]-$M$3)/ $M$4</f>
        <v>-1.1688057308608184</v>
      </c>
      <c r="E261" s="38">
        <v>84</v>
      </c>
      <c r="F261" s="41">
        <f xml:space="preserve"> (Table6[[#This Row],[Unit]]-$N$3)/$N$4</f>
        <v>-0.57844404307628039</v>
      </c>
    </row>
    <row r="262" spans="2:6" x14ac:dyDescent="0.35">
      <c r="B262" s="13" t="s">
        <v>21</v>
      </c>
      <c r="C262" s="34">
        <v>434</v>
      </c>
      <c r="D262" s="43">
        <f>(Table6[[#This Row],[Amount]]-$M$3)/ $M$4</f>
        <v>-1.1867566338285978</v>
      </c>
      <c r="E262" s="37">
        <v>87</v>
      </c>
      <c r="F262" s="5">
        <f xml:space="preserve"> (Table6[[#This Row],[Unit]]-$N$3)/$N$4</f>
        <v>-0.55299929044829144</v>
      </c>
    </row>
    <row r="263" spans="2:6" x14ac:dyDescent="0.35">
      <c r="B263" s="14" t="s">
        <v>30</v>
      </c>
      <c r="C263" s="35">
        <v>10129</v>
      </c>
      <c r="D263" s="44">
        <f>(Table6[[#This Row],[Amount]]-$M$3)/ $M$4</f>
        <v>1.92099344246819</v>
      </c>
      <c r="E263" s="38">
        <v>312</v>
      </c>
      <c r="F263" s="41">
        <f xml:space="preserve"> (Table6[[#This Row],[Unit]]-$N$3)/$N$4</f>
        <v>1.3553571566508742</v>
      </c>
    </row>
    <row r="264" spans="2:6" x14ac:dyDescent="0.35">
      <c r="B264" s="13" t="s">
        <v>28</v>
      </c>
      <c r="C264" s="34">
        <v>1652</v>
      </c>
      <c r="D264" s="43">
        <f>(Table6[[#This Row],[Amount]]-$M$3)/ $M$4</f>
        <v>-0.79632449427939844</v>
      </c>
      <c r="E264" s="37">
        <v>102</v>
      </c>
      <c r="F264" s="5">
        <f xml:space="preserve"> (Table6[[#This Row],[Unit]]-$N$3)/$N$4</f>
        <v>-0.42577552730834711</v>
      </c>
    </row>
    <row r="265" spans="2:6" x14ac:dyDescent="0.35">
      <c r="B265" s="14" t="s">
        <v>21</v>
      </c>
      <c r="C265" s="35">
        <v>6433</v>
      </c>
      <c r="D265" s="44">
        <f>(Table6[[#This Row],[Amount]]-$M$3)/ $M$4</f>
        <v>0.73623384659475755</v>
      </c>
      <c r="E265" s="38">
        <v>78</v>
      </c>
      <c r="F265" s="41">
        <f xml:space="preserve"> (Table6[[#This Row],[Unit]]-$N$3)/$N$4</f>
        <v>-0.62933354833225807</v>
      </c>
    </row>
    <row r="266" spans="2:6" x14ac:dyDescent="0.35">
      <c r="B266" s="13" t="s">
        <v>23</v>
      </c>
      <c r="C266" s="34">
        <v>2212</v>
      </c>
      <c r="D266" s="43">
        <f>(Table6[[#This Row],[Amount]]-$M$3)/ $M$4</f>
        <v>-0.61681546460160563</v>
      </c>
      <c r="E266" s="37">
        <v>117</v>
      </c>
      <c r="F266" s="5">
        <f xml:space="preserve"> (Table6[[#This Row],[Unit]]-$N$3)/$N$4</f>
        <v>-0.29855176416840273</v>
      </c>
    </row>
    <row r="267" spans="2:6" x14ac:dyDescent="0.35">
      <c r="B267" s="14" t="s">
        <v>19</v>
      </c>
      <c r="C267" s="35">
        <v>609</v>
      </c>
      <c r="D267" s="44">
        <f>(Table6[[#This Row],[Amount]]-$M$3)/ $M$4</f>
        <v>-1.1306600620542875</v>
      </c>
      <c r="E267" s="38">
        <v>99</v>
      </c>
      <c r="F267" s="41">
        <f xml:space="preserve"> (Table6[[#This Row],[Unit]]-$N$3)/$N$4</f>
        <v>-0.45122027993633601</v>
      </c>
    </row>
    <row r="268" spans="2:6" x14ac:dyDescent="0.35">
      <c r="B268" s="13" t="s">
        <v>24</v>
      </c>
      <c r="C268" s="34">
        <v>1638</v>
      </c>
      <c r="D268" s="43">
        <f>(Table6[[#This Row],[Amount]]-$M$3)/ $M$4</f>
        <v>-0.80081222002134322</v>
      </c>
      <c r="E268" s="37">
        <v>48</v>
      </c>
      <c r="F268" s="5">
        <f xml:space="preserve"> (Table6[[#This Row],[Unit]]-$N$3)/$N$4</f>
        <v>-0.88378107461214683</v>
      </c>
    </row>
    <row r="269" spans="2:6" x14ac:dyDescent="0.35">
      <c r="B269" s="14" t="s">
        <v>15</v>
      </c>
      <c r="C269" s="35">
        <v>3829</v>
      </c>
      <c r="D269" s="44">
        <f>(Table6[[#This Row],[Amount]]-$M$3)/ $M$4</f>
        <v>-9.8483141406978933E-2</v>
      </c>
      <c r="E269" s="38">
        <v>24</v>
      </c>
      <c r="F269" s="41">
        <f xml:space="preserve"> (Table6[[#This Row],[Unit]]-$N$3)/$N$4</f>
        <v>-1.0873390956360578</v>
      </c>
    </row>
    <row r="270" spans="2:6" x14ac:dyDescent="0.35">
      <c r="B270" s="13" t="s">
        <v>15</v>
      </c>
      <c r="C270" s="34">
        <v>5775</v>
      </c>
      <c r="D270" s="43">
        <f>(Table6[[#This Row],[Amount]]-$M$3)/ $M$4</f>
        <v>0.52531073672335105</v>
      </c>
      <c r="E270" s="37">
        <v>42</v>
      </c>
      <c r="F270" s="5">
        <f xml:space="preserve"> (Table6[[#This Row],[Unit]]-$N$3)/$N$4</f>
        <v>-0.93467057986812463</v>
      </c>
    </row>
    <row r="271" spans="2:6" x14ac:dyDescent="0.35">
      <c r="B271" s="14" t="s">
        <v>20</v>
      </c>
      <c r="C271" s="35">
        <v>1071</v>
      </c>
      <c r="D271" s="44">
        <f>(Table6[[#This Row],[Amount]]-$M$3)/ $M$4</f>
        <v>-0.98256511257010848</v>
      </c>
      <c r="E271" s="38">
        <v>270</v>
      </c>
      <c r="F271" s="41">
        <f xml:space="preserve"> (Table6[[#This Row],[Unit]]-$N$3)/$N$4</f>
        <v>0.99913061985902996</v>
      </c>
    </row>
    <row r="272" spans="2:6" x14ac:dyDescent="0.35">
      <c r="B272" s="13" t="s">
        <v>23</v>
      </c>
      <c r="C272" s="34">
        <v>5019</v>
      </c>
      <c r="D272" s="43">
        <f>(Table6[[#This Row],[Amount]]-$M$3)/ $M$4</f>
        <v>0.28297354665833074</v>
      </c>
      <c r="E272" s="37">
        <v>150</v>
      </c>
      <c r="F272" s="5">
        <f xml:space="preserve"> (Table6[[#This Row],[Unit]]-$N$3)/$N$4</f>
        <v>-1.8659485260525081E-2</v>
      </c>
    </row>
    <row r="273" spans="2:6" x14ac:dyDescent="0.35">
      <c r="B273" s="14" t="s">
        <v>15</v>
      </c>
      <c r="C273" s="35">
        <v>2863</v>
      </c>
      <c r="D273" s="44">
        <f>(Table6[[#This Row],[Amount]]-$M$3)/ $M$4</f>
        <v>-0.40813621760117152</v>
      </c>
      <c r="E273" s="38">
        <v>42</v>
      </c>
      <c r="F273" s="41">
        <f xml:space="preserve"> (Table6[[#This Row],[Unit]]-$N$3)/$N$4</f>
        <v>-0.93467057986812463</v>
      </c>
    </row>
    <row r="274" spans="2:6" x14ac:dyDescent="0.35">
      <c r="B274" s="13" t="s">
        <v>29</v>
      </c>
      <c r="C274" s="34">
        <v>1617</v>
      </c>
      <c r="D274" s="43">
        <f>(Table6[[#This Row],[Amount]]-$M$3)/ $M$4</f>
        <v>-0.80754380863426045</v>
      </c>
      <c r="E274" s="37">
        <v>126</v>
      </c>
      <c r="F274" s="5">
        <f xml:space="preserve"> (Table6[[#This Row],[Unit]]-$N$3)/$N$4</f>
        <v>-0.22221750628443609</v>
      </c>
    </row>
    <row r="275" spans="2:6" x14ac:dyDescent="0.35">
      <c r="B275" s="14" t="s">
        <v>26</v>
      </c>
      <c r="C275" s="35">
        <v>6818</v>
      </c>
      <c r="D275" s="44">
        <f>(Table6[[#This Row],[Amount]]-$M$3)/ $M$4</f>
        <v>0.85964630449824009</v>
      </c>
      <c r="E275" s="38">
        <v>6</v>
      </c>
      <c r="F275" s="41">
        <f xml:space="preserve"> (Table6[[#This Row],[Unit]]-$N$3)/$N$4</f>
        <v>-1.2400076114039911</v>
      </c>
    </row>
    <row r="276" spans="2:6" x14ac:dyDescent="0.35">
      <c r="B276" s="13" t="s">
        <v>15</v>
      </c>
      <c r="C276" s="34">
        <v>6657</v>
      </c>
      <c r="D276" s="43">
        <f>(Table6[[#This Row],[Amount]]-$M$3)/ $M$4</f>
        <v>0.80803745846587471</v>
      </c>
      <c r="E276" s="37">
        <v>276</v>
      </c>
      <c r="F276" s="5">
        <f xml:space="preserve"> (Table6[[#This Row],[Unit]]-$N$3)/$N$4</f>
        <v>1.0500201251150076</v>
      </c>
    </row>
    <row r="277" spans="2:6" x14ac:dyDescent="0.35">
      <c r="B277" s="14" t="s">
        <v>17</v>
      </c>
      <c r="C277" s="35">
        <v>2919</v>
      </c>
      <c r="D277" s="44">
        <f>(Table6[[#This Row],[Amount]]-$M$3)/ $M$4</f>
        <v>-0.39018531463339223</v>
      </c>
      <c r="E277" s="38">
        <v>93</v>
      </c>
      <c r="F277" s="41">
        <f xml:space="preserve"> (Table6[[#This Row],[Unit]]-$N$3)/$N$4</f>
        <v>-0.50210978519231375</v>
      </c>
    </row>
    <row r="278" spans="2:6" x14ac:dyDescent="0.35">
      <c r="B278" s="13" t="s">
        <v>31</v>
      </c>
      <c r="C278" s="34">
        <v>3094</v>
      </c>
      <c r="D278" s="43">
        <f>(Table6[[#This Row],[Amount]]-$M$3)/ $M$4</f>
        <v>-0.33408874285908197</v>
      </c>
      <c r="E278" s="37">
        <v>246</v>
      </c>
      <c r="F278" s="5">
        <f xml:space="preserve"> (Table6[[#This Row],[Unit]]-$N$3)/$N$4</f>
        <v>0.79557259883511899</v>
      </c>
    </row>
    <row r="279" spans="2:6" x14ac:dyDescent="0.35">
      <c r="B279" s="14" t="s">
        <v>24</v>
      </c>
      <c r="C279" s="35">
        <v>2989</v>
      </c>
      <c r="D279" s="44">
        <f>(Table6[[#This Row],[Amount]]-$M$3)/ $M$4</f>
        <v>-0.3677466859236681</v>
      </c>
      <c r="E279" s="38">
        <v>3</v>
      </c>
      <c r="F279" s="41">
        <f xml:space="preserve"> (Table6[[#This Row],[Unit]]-$N$3)/$N$4</f>
        <v>-1.2654523640319801</v>
      </c>
    </row>
    <row r="280" spans="2:6" x14ac:dyDescent="0.35">
      <c r="B280" s="13" t="s">
        <v>27</v>
      </c>
      <c r="C280" s="34">
        <v>2268</v>
      </c>
      <c r="D280" s="43">
        <f>(Table6[[#This Row],[Amount]]-$M$3)/ $M$4</f>
        <v>-0.5988645616338264</v>
      </c>
      <c r="E280" s="37">
        <v>63</v>
      </c>
      <c r="F280" s="5">
        <f xml:space="preserve"> (Table6[[#This Row],[Unit]]-$N$3)/$N$4</f>
        <v>-0.75655731147220251</v>
      </c>
    </row>
    <row r="281" spans="2:6" x14ac:dyDescent="0.35">
      <c r="B281" s="14" t="s">
        <v>31</v>
      </c>
      <c r="C281" s="35">
        <v>4753</v>
      </c>
      <c r="D281" s="44">
        <f>(Table6[[#This Row],[Amount]]-$M$3)/ $M$4</f>
        <v>0.19770675756137918</v>
      </c>
      <c r="E281" s="38">
        <v>246</v>
      </c>
      <c r="F281" s="41">
        <f xml:space="preserve"> (Table6[[#This Row],[Unit]]-$N$3)/$N$4</f>
        <v>0.79557259883511899</v>
      </c>
    </row>
    <row r="282" spans="2:6" x14ac:dyDescent="0.35">
      <c r="B282" s="13" t="s">
        <v>19</v>
      </c>
      <c r="C282" s="34">
        <v>7511</v>
      </c>
      <c r="D282" s="43">
        <f>(Table6[[#This Row],[Amount]]-$M$3)/ $M$4</f>
        <v>1.0817887287245087</v>
      </c>
      <c r="E282" s="37">
        <v>120</v>
      </c>
      <c r="F282" s="5">
        <f xml:space="preserve"> (Table6[[#This Row],[Unit]]-$N$3)/$N$4</f>
        <v>-0.27310701154041384</v>
      </c>
    </row>
    <row r="283" spans="2:6" x14ac:dyDescent="0.35">
      <c r="B283" s="14" t="s">
        <v>31</v>
      </c>
      <c r="C283" s="35">
        <v>4326</v>
      </c>
      <c r="D283" s="44">
        <f>(Table6[[#This Row],[Amount]]-$M$3)/ $M$4</f>
        <v>6.0831122432062172E-2</v>
      </c>
      <c r="E283" s="38">
        <v>348</v>
      </c>
      <c r="F283" s="41">
        <f xml:space="preserve"> (Table6[[#This Row],[Unit]]-$N$3)/$N$4</f>
        <v>1.6606941881867407</v>
      </c>
    </row>
    <row r="284" spans="2:6" x14ac:dyDescent="0.35">
      <c r="B284" s="13" t="s">
        <v>23</v>
      </c>
      <c r="C284" s="34">
        <v>4935</v>
      </c>
      <c r="D284" s="43">
        <f>(Table6[[#This Row],[Amount]]-$M$3)/ $M$4</f>
        <v>0.25604719220666183</v>
      </c>
      <c r="E284" s="37">
        <v>126</v>
      </c>
      <c r="F284" s="5">
        <f xml:space="preserve"> (Table6[[#This Row],[Unit]]-$N$3)/$N$4</f>
        <v>-0.22221750628443609</v>
      </c>
    </row>
    <row r="285" spans="2:6" x14ac:dyDescent="0.35">
      <c r="B285" s="14" t="s">
        <v>30</v>
      </c>
      <c r="C285" s="35">
        <v>4781</v>
      </c>
      <c r="D285" s="44">
        <f>(Table6[[#This Row],[Amount]]-$M$3)/ $M$4</f>
        <v>0.20668220904526882</v>
      </c>
      <c r="E285" s="38">
        <v>123</v>
      </c>
      <c r="F285" s="41">
        <f xml:space="preserve"> (Table6[[#This Row],[Unit]]-$N$3)/$N$4</f>
        <v>-0.24766225891242497</v>
      </c>
    </row>
    <row r="286" spans="2:6" x14ac:dyDescent="0.35">
      <c r="B286" s="13" t="s">
        <v>25</v>
      </c>
      <c r="C286" s="34">
        <v>7483</v>
      </c>
      <c r="D286" s="43">
        <f>(Table6[[#This Row],[Amount]]-$M$3)/ $M$4</f>
        <v>1.0728132772406191</v>
      </c>
      <c r="E286" s="37">
        <v>45</v>
      </c>
      <c r="F286" s="5">
        <f xml:space="preserve"> (Table6[[#This Row],[Unit]]-$N$3)/$N$4</f>
        <v>-0.90922582724013579</v>
      </c>
    </row>
    <row r="287" spans="2:6" x14ac:dyDescent="0.35">
      <c r="B287" s="14" t="s">
        <v>4</v>
      </c>
      <c r="C287" s="35">
        <v>6860</v>
      </c>
      <c r="D287" s="44">
        <f>(Table6[[#This Row],[Amount]]-$M$3)/ $M$4</f>
        <v>0.87310948172407454</v>
      </c>
      <c r="E287" s="38">
        <v>126</v>
      </c>
      <c r="F287" s="41">
        <f xml:space="preserve"> (Table6[[#This Row],[Unit]]-$N$3)/$N$4</f>
        <v>-0.22221750628443609</v>
      </c>
    </row>
    <row r="288" spans="2:6" x14ac:dyDescent="0.35">
      <c r="B288" s="13" t="s">
        <v>29</v>
      </c>
      <c r="C288" s="34">
        <v>9002</v>
      </c>
      <c r="D288" s="43">
        <f>(Table6[[#This Row],[Amount]]-$M$3)/ $M$4</f>
        <v>1.559731520241632</v>
      </c>
      <c r="E288" s="37">
        <v>72</v>
      </c>
      <c r="F288" s="5">
        <f xml:space="preserve"> (Table6[[#This Row],[Unit]]-$N$3)/$N$4</f>
        <v>-0.68022305358823587</v>
      </c>
    </row>
    <row r="289" spans="2:6" x14ac:dyDescent="0.35">
      <c r="B289" s="14" t="s">
        <v>29</v>
      </c>
      <c r="C289" s="35">
        <v>1400</v>
      </c>
      <c r="D289" s="44">
        <f>(Table6[[#This Row],[Amount]]-$M$3)/ $M$4</f>
        <v>-0.87710355763440517</v>
      </c>
      <c r="E289" s="38">
        <v>135</v>
      </c>
      <c r="F289" s="41">
        <f xml:space="preserve"> (Table6[[#This Row],[Unit]]-$N$3)/$N$4</f>
        <v>-0.14588324840046946</v>
      </c>
    </row>
    <row r="290" spans="2:6" x14ac:dyDescent="0.35">
      <c r="B290" s="13" t="s">
        <v>22</v>
      </c>
      <c r="C290" s="34">
        <v>4053</v>
      </c>
      <c r="D290" s="43">
        <f>(Table6[[#This Row],[Amount]]-$M$3)/ $M$4</f>
        <v>-2.6679529535861814E-2</v>
      </c>
      <c r="E290" s="37">
        <v>24</v>
      </c>
      <c r="F290" s="5">
        <f xml:space="preserve"> (Table6[[#This Row],[Unit]]-$N$3)/$N$4</f>
        <v>-1.0873390956360578</v>
      </c>
    </row>
    <row r="291" spans="2:6" x14ac:dyDescent="0.35">
      <c r="B291" s="14" t="s">
        <v>31</v>
      </c>
      <c r="C291" s="35">
        <v>2149</v>
      </c>
      <c r="D291" s="44">
        <f>(Table6[[#This Row],[Amount]]-$M$3)/ $M$4</f>
        <v>-0.63701023044035732</v>
      </c>
      <c r="E291" s="38">
        <v>117</v>
      </c>
      <c r="F291" s="41">
        <f xml:space="preserve"> (Table6[[#This Row],[Unit]]-$N$3)/$N$4</f>
        <v>-0.29855176416840273</v>
      </c>
    </row>
    <row r="292" spans="2:6" x14ac:dyDescent="0.35">
      <c r="B292" s="13" t="s">
        <v>29</v>
      </c>
      <c r="C292" s="34">
        <v>3640</v>
      </c>
      <c r="D292" s="43">
        <f>(Table6[[#This Row],[Amount]]-$M$3)/ $M$4</f>
        <v>-0.15906743892323399</v>
      </c>
      <c r="E292" s="37">
        <v>51</v>
      </c>
      <c r="F292" s="5">
        <f xml:space="preserve"> (Table6[[#This Row],[Unit]]-$N$3)/$N$4</f>
        <v>-0.85833632198415799</v>
      </c>
    </row>
    <row r="293" spans="2:6" x14ac:dyDescent="0.35">
      <c r="B293" s="14" t="s">
        <v>23</v>
      </c>
      <c r="C293" s="35">
        <v>630</v>
      </c>
      <c r="D293" s="44">
        <f>(Table6[[#This Row],[Amount]]-$M$3)/ $M$4</f>
        <v>-1.1239284734413704</v>
      </c>
      <c r="E293" s="38">
        <v>36</v>
      </c>
      <c r="F293" s="41">
        <f xml:space="preserve"> (Table6[[#This Row],[Unit]]-$N$3)/$N$4</f>
        <v>-0.98556008512410243</v>
      </c>
    </row>
    <row r="294" spans="2:6" x14ac:dyDescent="0.35">
      <c r="B294" s="13" t="s">
        <v>27</v>
      </c>
      <c r="C294" s="34">
        <v>2429</v>
      </c>
      <c r="D294" s="43">
        <f>(Table6[[#This Row],[Amount]]-$M$3)/ $M$4</f>
        <v>-0.54725571560146091</v>
      </c>
      <c r="E294" s="37">
        <v>144</v>
      </c>
      <c r="F294" s="5">
        <f xml:space="preserve"> (Table6[[#This Row],[Unit]]-$N$3)/$N$4</f>
        <v>-6.9548990516502832E-2</v>
      </c>
    </row>
    <row r="295" spans="2:6" x14ac:dyDescent="0.35">
      <c r="B295" s="14" t="s">
        <v>25</v>
      </c>
      <c r="C295" s="35">
        <v>2142</v>
      </c>
      <c r="D295" s="44">
        <f>(Table6[[#This Row],[Amount]]-$M$3)/ $M$4</f>
        <v>-0.63925409331132976</v>
      </c>
      <c r="E295" s="38">
        <v>114</v>
      </c>
      <c r="F295" s="41">
        <f xml:space="preserve"> (Table6[[#This Row],[Unit]]-$N$3)/$N$4</f>
        <v>-0.32399651679639158</v>
      </c>
    </row>
    <row r="296" spans="2:6" x14ac:dyDescent="0.35">
      <c r="B296" s="13" t="s">
        <v>30</v>
      </c>
      <c r="C296" s="34">
        <v>6454</v>
      </c>
      <c r="D296" s="43">
        <f>(Table6[[#This Row],[Amount]]-$M$3)/ $M$4</f>
        <v>0.74296543520767477</v>
      </c>
      <c r="E296" s="37">
        <v>54</v>
      </c>
      <c r="F296" s="5">
        <f xml:space="preserve"> (Table6[[#This Row],[Unit]]-$N$3)/$N$4</f>
        <v>-0.83289156935616915</v>
      </c>
    </row>
    <row r="297" spans="2:6" x14ac:dyDescent="0.35">
      <c r="B297" s="14" t="s">
        <v>16</v>
      </c>
      <c r="C297" s="35">
        <v>4487</v>
      </c>
      <c r="D297" s="44">
        <f>(Table6[[#This Row],[Amount]]-$M$3)/ $M$4</f>
        <v>0.11243996846442759</v>
      </c>
      <c r="E297" s="38">
        <v>333</v>
      </c>
      <c r="F297" s="41">
        <f xml:space="preserve"> (Table6[[#This Row],[Unit]]-$N$3)/$N$4</f>
        <v>1.5334704250467963</v>
      </c>
    </row>
    <row r="298" spans="2:6" x14ac:dyDescent="0.35">
      <c r="B298" s="13" t="s">
        <v>4</v>
      </c>
      <c r="C298" s="34">
        <v>938</v>
      </c>
      <c r="D298" s="43">
        <f>(Table6[[#This Row],[Amount]]-$M$3)/ $M$4</f>
        <v>-1.0251985071185843</v>
      </c>
      <c r="E298" s="37">
        <v>366</v>
      </c>
      <c r="F298" s="5">
        <f xml:space="preserve"> (Table6[[#This Row],[Unit]]-$N$3)/$N$4</f>
        <v>1.813362703954674</v>
      </c>
    </row>
    <row r="299" spans="2:6" x14ac:dyDescent="0.35">
      <c r="B299" s="14" t="s">
        <v>26</v>
      </c>
      <c r="C299" s="35">
        <v>8841</v>
      </c>
      <c r="D299" s="44">
        <f>(Table6[[#This Row],[Amount]]-$M$3)/ $M$4</f>
        <v>1.5081226742092666</v>
      </c>
      <c r="E299" s="38">
        <v>303</v>
      </c>
      <c r="F299" s="41">
        <f xml:space="preserve"> (Table6[[#This Row],[Unit]]-$N$3)/$N$4</f>
        <v>1.2790228987669077</v>
      </c>
    </row>
    <row r="300" spans="2:6" x14ac:dyDescent="0.35">
      <c r="B300" s="13" t="s">
        <v>33</v>
      </c>
      <c r="C300" s="34">
        <v>4018</v>
      </c>
      <c r="D300" s="43">
        <f>(Table6[[#This Row],[Amount]]-$M$3)/ $M$4</f>
        <v>-3.7898843890723864E-2</v>
      </c>
      <c r="E300" s="37">
        <v>126</v>
      </c>
      <c r="F300" s="5">
        <f xml:space="preserve"> (Table6[[#This Row],[Unit]]-$N$3)/$N$4</f>
        <v>-0.22221750628443609</v>
      </c>
    </row>
    <row r="301" spans="2:6" x14ac:dyDescent="0.35">
      <c r="B301" s="14" t="s">
        <v>15</v>
      </c>
      <c r="C301" s="35">
        <v>714</v>
      </c>
      <c r="D301" s="44">
        <f>(Table6[[#This Row],[Amount]]-$M$3)/ $M$4</f>
        <v>-1.0970021189897012</v>
      </c>
      <c r="E301" s="38">
        <v>231</v>
      </c>
      <c r="F301" s="41">
        <f xml:space="preserve"> (Table6[[#This Row],[Unit]]-$N$3)/$N$4</f>
        <v>0.66834883569517456</v>
      </c>
    </row>
    <row r="302" spans="2:6" x14ac:dyDescent="0.35">
      <c r="B302" s="57" t="s">
        <v>25</v>
      </c>
      <c r="C302" s="58">
        <v>3850</v>
      </c>
      <c r="D302" s="45">
        <f>(Table6[[#This Row],[Amount]]-$M$3)/ $M$4</f>
        <v>-9.1751552794061705E-2</v>
      </c>
      <c r="E302" s="40">
        <v>102</v>
      </c>
      <c r="F302" s="5">
        <f xml:space="preserve"> (Table6[[#This Row],[Unit]]-$N$3)/$N$4</f>
        <v>-0.42577552730834711</v>
      </c>
    </row>
  </sheetData>
  <conditionalFormatting sqref="D3:D302">
    <cfRule type="cellIs" dxfId="12" priority="1" operator="lessThan">
      <formula>-3</formula>
    </cfRule>
    <cfRule type="cellIs" dxfId="11" priority="2" operator="greaterThan">
      <formula>3</formula>
    </cfRule>
  </conditionalFormatting>
  <dataValidations count="1">
    <dataValidation type="list" allowBlank="1" showInputMessage="1" showErrorMessage="1" sqref="I41" xr:uid="{00000000-0002-0000-0400-000000000000}">
      <formula1>$P$39:$P$44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7BD-DBDB-4373-9A37-278DF7BAB437}">
  <dimension ref="A1:L13"/>
  <sheetViews>
    <sheetView workbookViewId="0">
      <selection activeCell="C5" sqref="C5"/>
    </sheetView>
  </sheetViews>
  <sheetFormatPr defaultRowHeight="14.5" x14ac:dyDescent="0.35"/>
  <cols>
    <col min="1" max="1" width="14" bestFit="1" customWidth="1"/>
    <col min="2" max="2" width="15.26953125" bestFit="1" customWidth="1"/>
    <col min="3" max="3" width="10.08984375" bestFit="1" customWidth="1"/>
    <col min="4" max="4" width="11.36328125" bestFit="1" customWidth="1"/>
    <col min="5" max="5" width="11.54296875" bestFit="1" customWidth="1"/>
    <col min="6" max="6" width="13" bestFit="1" customWidth="1"/>
    <col min="7" max="7" width="10.54296875" bestFit="1" customWidth="1"/>
    <col min="8" max="8" width="15.36328125" bestFit="1" customWidth="1"/>
    <col min="9" max="9" width="11.90625" bestFit="1" customWidth="1"/>
    <col min="10" max="10" width="9.54296875" bestFit="1" customWidth="1"/>
    <col min="11" max="11" width="11.7265625" bestFit="1" customWidth="1"/>
    <col min="12" max="12" width="10.7265625" bestFit="1" customWidth="1"/>
  </cols>
  <sheetData>
    <row r="1" spans="1:12" x14ac:dyDescent="0.35">
      <c r="A1" s="8" t="s">
        <v>49</v>
      </c>
    </row>
    <row r="5" spans="1:12" x14ac:dyDescent="0.35">
      <c r="A5" s="54" t="s">
        <v>88</v>
      </c>
      <c r="B5" s="54" t="s">
        <v>89</v>
      </c>
    </row>
    <row r="6" spans="1:12" x14ac:dyDescent="0.35">
      <c r="A6" s="54" t="s">
        <v>86</v>
      </c>
      <c r="B6" t="s">
        <v>2</v>
      </c>
      <c r="C6" t="s">
        <v>8</v>
      </c>
      <c r="D6" t="s">
        <v>41</v>
      </c>
      <c r="E6" t="s">
        <v>7</v>
      </c>
      <c r="F6" t="s">
        <v>6</v>
      </c>
      <c r="G6" t="s">
        <v>5</v>
      </c>
      <c r="H6" t="s">
        <v>3</v>
      </c>
      <c r="I6" t="s">
        <v>9</v>
      </c>
      <c r="J6" t="s">
        <v>10</v>
      </c>
      <c r="K6" t="s">
        <v>40</v>
      </c>
      <c r="L6" t="s">
        <v>87</v>
      </c>
    </row>
    <row r="7" spans="1:12" x14ac:dyDescent="0.35">
      <c r="A7" s="55" t="s">
        <v>38</v>
      </c>
      <c r="B7" s="56">
        <v>18928</v>
      </c>
      <c r="C7" s="56">
        <v>15141</v>
      </c>
      <c r="D7" s="56">
        <v>6069</v>
      </c>
      <c r="E7" s="56">
        <v>18865</v>
      </c>
      <c r="F7" s="56">
        <v>15820</v>
      </c>
      <c r="G7" s="56">
        <v>25221</v>
      </c>
      <c r="H7" s="56">
        <v>8841</v>
      </c>
      <c r="I7" s="56">
        <v>24983</v>
      </c>
      <c r="J7" s="56">
        <v>14714</v>
      </c>
      <c r="K7" s="56">
        <v>20097</v>
      </c>
      <c r="L7" s="56">
        <v>168679</v>
      </c>
    </row>
    <row r="8" spans="1:12" x14ac:dyDescent="0.35">
      <c r="A8" s="55" t="s">
        <v>36</v>
      </c>
      <c r="B8" s="56">
        <v>23709</v>
      </c>
      <c r="C8" s="56">
        <v>5019</v>
      </c>
      <c r="D8" s="56">
        <v>39242</v>
      </c>
      <c r="E8" s="56">
        <v>21931</v>
      </c>
      <c r="F8" s="56">
        <v>27377</v>
      </c>
      <c r="G8" s="56">
        <v>39620</v>
      </c>
      <c r="H8" s="56">
        <v>18564</v>
      </c>
      <c r="I8" s="56">
        <v>25669</v>
      </c>
      <c r="J8" s="56">
        <v>13797</v>
      </c>
      <c r="K8" s="56">
        <v>23016</v>
      </c>
      <c r="L8" s="56">
        <v>237944</v>
      </c>
    </row>
    <row r="9" spans="1:12" x14ac:dyDescent="0.35">
      <c r="A9" s="55" t="s">
        <v>34</v>
      </c>
      <c r="B9" s="56">
        <v>7763</v>
      </c>
      <c r="C9" s="56">
        <v>5516</v>
      </c>
      <c r="D9" s="56">
        <v>15855</v>
      </c>
      <c r="E9" s="56">
        <v>31661</v>
      </c>
      <c r="F9" s="56">
        <v>33670</v>
      </c>
      <c r="G9" s="56">
        <v>41559</v>
      </c>
      <c r="H9" s="56">
        <v>35847</v>
      </c>
      <c r="I9" s="56">
        <v>39424</v>
      </c>
      <c r="J9" s="56">
        <v>16527</v>
      </c>
      <c r="K9" s="56">
        <v>24647</v>
      </c>
      <c r="L9" s="56">
        <v>252469</v>
      </c>
    </row>
    <row r="10" spans="1:12" x14ac:dyDescent="0.35">
      <c r="A10" s="55" t="s">
        <v>37</v>
      </c>
      <c r="B10" s="56">
        <v>25655</v>
      </c>
      <c r="C10" s="56">
        <v>20125</v>
      </c>
      <c r="D10" s="56">
        <v>17283</v>
      </c>
      <c r="E10" s="56">
        <v>43568</v>
      </c>
      <c r="F10" s="56">
        <v>26985</v>
      </c>
      <c r="G10" s="56">
        <v>14504</v>
      </c>
      <c r="H10" s="56">
        <v>16821</v>
      </c>
      <c r="I10" s="56">
        <v>21434</v>
      </c>
      <c r="J10" s="56">
        <v>7987</v>
      </c>
      <c r="K10" s="56">
        <v>24451</v>
      </c>
      <c r="L10" s="56">
        <v>218813</v>
      </c>
    </row>
    <row r="11" spans="1:12" x14ac:dyDescent="0.35">
      <c r="A11" s="55" t="s">
        <v>39</v>
      </c>
      <c r="B11" s="56">
        <v>45752</v>
      </c>
      <c r="C11" s="56">
        <v>27132</v>
      </c>
      <c r="D11" s="56">
        <v>3976</v>
      </c>
      <c r="E11" s="56">
        <v>5404</v>
      </c>
      <c r="F11" s="56">
        <v>15827</v>
      </c>
      <c r="G11" s="56">
        <v>16548</v>
      </c>
      <c r="H11" s="56">
        <v>10269</v>
      </c>
      <c r="I11" s="56">
        <v>9751</v>
      </c>
      <c r="J11" s="56">
        <v>17808</v>
      </c>
      <c r="K11" s="56">
        <v>21063</v>
      </c>
      <c r="L11" s="56">
        <v>173530</v>
      </c>
    </row>
    <row r="12" spans="1:12" x14ac:dyDescent="0.35">
      <c r="A12" s="55" t="s">
        <v>35</v>
      </c>
      <c r="B12" s="56">
        <v>2142</v>
      </c>
      <c r="C12" s="56">
        <v>25151</v>
      </c>
      <c r="D12" s="56">
        <v>15785</v>
      </c>
      <c r="E12" s="56">
        <v>28546</v>
      </c>
      <c r="F12" s="56">
        <v>11018</v>
      </c>
      <c r="G12" s="56">
        <v>28273</v>
      </c>
      <c r="H12" s="56">
        <v>16492</v>
      </c>
      <c r="I12" s="56">
        <v>11319</v>
      </c>
      <c r="J12" s="56">
        <v>12383</v>
      </c>
      <c r="K12" s="56">
        <v>38325</v>
      </c>
      <c r="L12" s="56">
        <v>189434</v>
      </c>
    </row>
    <row r="13" spans="1:12" x14ac:dyDescent="0.35">
      <c r="A13" s="55" t="s">
        <v>87</v>
      </c>
      <c r="B13" s="56">
        <v>123949</v>
      </c>
      <c r="C13" s="56">
        <v>98084</v>
      </c>
      <c r="D13" s="56">
        <v>98210</v>
      </c>
      <c r="E13" s="56">
        <v>149975</v>
      </c>
      <c r="F13" s="56">
        <v>130697</v>
      </c>
      <c r="G13" s="56">
        <v>165725</v>
      </c>
      <c r="H13" s="56">
        <v>106834</v>
      </c>
      <c r="I13" s="56">
        <v>132580</v>
      </c>
      <c r="J13" s="56">
        <v>83216</v>
      </c>
      <c r="K13" s="56">
        <v>151599</v>
      </c>
      <c r="L13" s="56">
        <v>1240869</v>
      </c>
    </row>
  </sheetData>
  <conditionalFormatting pivot="1" sqref="B7:K7">
    <cfRule type="top10" dxfId="10" priority="6" rank="1"/>
  </conditionalFormatting>
  <conditionalFormatting pivot="1" sqref="B8:K8">
    <cfRule type="top10" dxfId="9" priority="5" rank="1"/>
  </conditionalFormatting>
  <conditionalFormatting pivot="1" sqref="B9:K9">
    <cfRule type="top10" dxfId="8" priority="4" rank="1"/>
  </conditionalFormatting>
  <conditionalFormatting pivot="1" sqref="B10:K10">
    <cfRule type="top10" dxfId="7" priority="3" rank="1"/>
  </conditionalFormatting>
  <conditionalFormatting pivot="1" sqref="B11:K11">
    <cfRule type="top10" dxfId="6" priority="2" rank="1"/>
  </conditionalFormatting>
  <conditionalFormatting pivot="1" sqref="B12:K12">
    <cfRule type="top10" dxfId="5" priority="1" rank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14A0-553B-490C-A149-57FA9E8E1E00}">
  <dimension ref="A1:I27"/>
  <sheetViews>
    <sheetView workbookViewId="0">
      <selection activeCell="F6" sqref="F6"/>
    </sheetView>
  </sheetViews>
  <sheetFormatPr defaultRowHeight="14.5" x14ac:dyDescent="0.35"/>
  <cols>
    <col min="2" max="2" width="20.36328125" bestFit="1" customWidth="1"/>
    <col min="3" max="3" width="16.6328125" bestFit="1" customWidth="1"/>
    <col min="5" max="5" width="14.6328125" bestFit="1" customWidth="1"/>
    <col min="6" max="6" width="11.6328125" bestFit="1" customWidth="1"/>
    <col min="7" max="7" width="12.36328125" bestFit="1" customWidth="1"/>
    <col min="8" max="8" width="11.08984375" bestFit="1" customWidth="1"/>
  </cols>
  <sheetData>
    <row r="1" spans="1:9" x14ac:dyDescent="0.35">
      <c r="A1" s="8" t="s">
        <v>52</v>
      </c>
    </row>
    <row r="5" spans="1:9" x14ac:dyDescent="0.35">
      <c r="B5" t="s">
        <v>0</v>
      </c>
      <c r="C5" t="s">
        <v>1</v>
      </c>
      <c r="D5" t="s">
        <v>84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</row>
    <row r="6" spans="1:9" x14ac:dyDescent="0.35">
      <c r="B6" t="str" cm="1">
        <f t="array" ref="B6:B27">_xlfn.UNIQUE(Table3[Product])</f>
        <v>70% Dark Bites</v>
      </c>
      <c r="C6" s="15">
        <f>SUMIF(Table3[Product], B6, Table3[Amount])</f>
        <v>66500</v>
      </c>
      <c r="D6">
        <f>SUMIF(Table3[Product], B6, Table3[Units])</f>
        <v>2802</v>
      </c>
      <c r="E6" s="15">
        <f>C6/D6</f>
        <v>23.733047822983583</v>
      </c>
      <c r="F6" s="15">
        <f>VLOOKUP(B6, products[],2,FALSE)</f>
        <v>14.49</v>
      </c>
      <c r="G6" s="60">
        <f>E6-F6</f>
        <v>9.2430478229835824</v>
      </c>
      <c r="H6" s="60">
        <f>G6*D6</f>
        <v>25899.019999999997</v>
      </c>
      <c r="I6" s="61">
        <f>H6/C6</f>
        <v>0.38945894736842102</v>
      </c>
    </row>
    <row r="7" spans="1:9" x14ac:dyDescent="0.35">
      <c r="B7" t="str">
        <v>Choco Coated Almonds</v>
      </c>
      <c r="C7" s="15">
        <f>SUMIF(Table3[Product], B7, Table3[Amount])</f>
        <v>71967</v>
      </c>
      <c r="D7">
        <f>SUMIF(Table3[Product], B7, Table3[Units])</f>
        <v>2301</v>
      </c>
      <c r="E7" s="15">
        <f t="shared" ref="E7:E27" si="0">C7/D7</f>
        <v>31.276401564537156</v>
      </c>
      <c r="F7" s="15">
        <f>VLOOKUP(B7, products[],2,FALSE)</f>
        <v>8.65</v>
      </c>
      <c r="G7" s="60">
        <f t="shared" ref="G7:G27" si="1">E7-F7</f>
        <v>22.626401564537154</v>
      </c>
      <c r="H7" s="60">
        <f t="shared" ref="H7:H27" si="2">G7*D7</f>
        <v>52063.349999999991</v>
      </c>
      <c r="I7" s="61">
        <f t="shared" ref="I7:I27" si="3">H7/C7</f>
        <v>0.72343365709283414</v>
      </c>
    </row>
    <row r="8" spans="1:9" x14ac:dyDescent="0.35">
      <c r="B8" t="str">
        <v>Almond Choco</v>
      </c>
      <c r="C8" s="15">
        <f>SUMIF(Table3[Product], B8, Table3[Amount])</f>
        <v>33551</v>
      </c>
      <c r="D8">
        <f>SUMIF(Table3[Product], B8, Table3[Units])</f>
        <v>1566</v>
      </c>
      <c r="E8" s="15">
        <f t="shared" si="0"/>
        <v>21.424648786717754</v>
      </c>
      <c r="F8" s="15">
        <f>VLOOKUP(B8, products[],2,FALSE)</f>
        <v>11.88</v>
      </c>
      <c r="G8" s="60">
        <f t="shared" si="1"/>
        <v>9.5446487867177527</v>
      </c>
      <c r="H8" s="60">
        <f t="shared" si="2"/>
        <v>14946.92</v>
      </c>
      <c r="I8" s="61">
        <f t="shared" si="3"/>
        <v>0.44549849482876813</v>
      </c>
    </row>
    <row r="9" spans="1:9" x14ac:dyDescent="0.35">
      <c r="B9" t="str">
        <v>Drinking Coco</v>
      </c>
      <c r="C9" s="15">
        <f>SUMIF(Table3[Product], B9, Table3[Amount])</f>
        <v>52150</v>
      </c>
      <c r="D9">
        <f>SUMIF(Table3[Product], B9, Table3[Units])</f>
        <v>1752</v>
      </c>
      <c r="E9" s="15">
        <f t="shared" si="0"/>
        <v>29.765981735159816</v>
      </c>
      <c r="F9" s="15">
        <f>VLOOKUP(B9, products[],2,FALSE)</f>
        <v>6.47</v>
      </c>
      <c r="G9" s="60">
        <f t="shared" si="1"/>
        <v>23.295981735159817</v>
      </c>
      <c r="H9" s="60">
        <f t="shared" si="2"/>
        <v>40814.559999999998</v>
      </c>
      <c r="I9" s="61">
        <f t="shared" si="3"/>
        <v>0.78263777564717163</v>
      </c>
    </row>
    <row r="10" spans="1:9" x14ac:dyDescent="0.35">
      <c r="B10" t="str">
        <v>White Choc</v>
      </c>
      <c r="C10" s="15">
        <f>SUMIF(Table3[Product], B10, Table3[Amount])</f>
        <v>57372</v>
      </c>
      <c r="D10">
        <f>SUMIF(Table3[Product], B10, Table3[Units])</f>
        <v>2106</v>
      </c>
      <c r="E10" s="15">
        <f t="shared" si="0"/>
        <v>27.242165242165242</v>
      </c>
      <c r="F10" s="15">
        <f>VLOOKUP(B10, products[],2,FALSE)</f>
        <v>13.15</v>
      </c>
      <c r="G10" s="60">
        <f t="shared" si="1"/>
        <v>14.092165242165242</v>
      </c>
      <c r="H10" s="60">
        <f t="shared" si="2"/>
        <v>29678.1</v>
      </c>
      <c r="I10" s="61">
        <f t="shared" si="3"/>
        <v>0.51729240744614091</v>
      </c>
    </row>
    <row r="11" spans="1:9" x14ac:dyDescent="0.35">
      <c r="B11" t="str">
        <v>Peanut Butter Cubes</v>
      </c>
      <c r="C11" s="15">
        <f>SUMIF(Table3[Product], B11, Table3[Amount])</f>
        <v>69160</v>
      </c>
      <c r="D11">
        <f>SUMIF(Table3[Product], B11, Table3[Units])</f>
        <v>1854</v>
      </c>
      <c r="E11" s="15">
        <f t="shared" si="0"/>
        <v>37.303128371089535</v>
      </c>
      <c r="F11" s="15">
        <f>VLOOKUP(B11, products[],2,FALSE)</f>
        <v>12.37</v>
      </c>
      <c r="G11" s="60">
        <f t="shared" si="1"/>
        <v>24.933128371089538</v>
      </c>
      <c r="H11" s="60">
        <f t="shared" si="2"/>
        <v>46226.020000000004</v>
      </c>
      <c r="I11" s="61">
        <f t="shared" si="3"/>
        <v>0.6683924233661076</v>
      </c>
    </row>
    <row r="12" spans="1:9" x14ac:dyDescent="0.35">
      <c r="B12" t="str">
        <v>Smooth Sliky Salty</v>
      </c>
      <c r="C12" s="15">
        <f>SUMIF(Table3[Product], B12, Table3[Amount])</f>
        <v>39263</v>
      </c>
      <c r="D12">
        <f>SUMIF(Table3[Product], B12, Table3[Units])</f>
        <v>1683</v>
      </c>
      <c r="E12" s="15">
        <f t="shared" si="0"/>
        <v>23.329174093879978</v>
      </c>
      <c r="F12" s="15">
        <f>VLOOKUP(B12, products[],2,FALSE)</f>
        <v>5.79</v>
      </c>
      <c r="G12" s="60">
        <f t="shared" si="1"/>
        <v>17.539174093879978</v>
      </c>
      <c r="H12" s="60">
        <f t="shared" si="2"/>
        <v>29518.430000000004</v>
      </c>
      <c r="I12" s="61">
        <f t="shared" si="3"/>
        <v>0.75181290273285295</v>
      </c>
    </row>
    <row r="13" spans="1:9" x14ac:dyDescent="0.35">
      <c r="B13" t="str">
        <v>After Nines</v>
      </c>
      <c r="C13" s="15">
        <f>SUMIF(Table3[Product], B13, Table3[Amount])</f>
        <v>66283</v>
      </c>
      <c r="D13">
        <f>SUMIF(Table3[Product], B13, Table3[Units])</f>
        <v>2052</v>
      </c>
      <c r="E13" s="15">
        <f t="shared" si="0"/>
        <v>32.301656920077974</v>
      </c>
      <c r="F13" s="15">
        <f>VLOOKUP(B13, products[],2,FALSE)</f>
        <v>9.77</v>
      </c>
      <c r="G13" s="60">
        <f t="shared" si="1"/>
        <v>22.531656920077975</v>
      </c>
      <c r="H13" s="60">
        <f t="shared" si="2"/>
        <v>46234.960000000006</v>
      </c>
      <c r="I13" s="61">
        <f t="shared" si="3"/>
        <v>0.69753873542235578</v>
      </c>
    </row>
    <row r="14" spans="1:9" x14ac:dyDescent="0.35">
      <c r="B14" t="str">
        <v>50% Dark Bites</v>
      </c>
      <c r="C14" s="15">
        <f>SUMIF(Table3[Product], B14, Table3[Amount])</f>
        <v>43183</v>
      </c>
      <c r="D14">
        <f>SUMIF(Table3[Product], B14, Table3[Units])</f>
        <v>2022</v>
      </c>
      <c r="E14" s="15">
        <f t="shared" si="0"/>
        <v>21.356577645895154</v>
      </c>
      <c r="F14" s="15">
        <f>VLOOKUP(B14, products[],2,FALSE)</f>
        <v>11.7</v>
      </c>
      <c r="G14" s="60">
        <f t="shared" si="1"/>
        <v>9.6565776458951547</v>
      </c>
      <c r="H14" s="60">
        <f t="shared" si="2"/>
        <v>19525.600000000002</v>
      </c>
      <c r="I14" s="61">
        <f t="shared" si="3"/>
        <v>0.45215941458444298</v>
      </c>
    </row>
    <row r="15" spans="1:9" x14ac:dyDescent="0.35">
      <c r="B15" t="str">
        <v>Eclairs</v>
      </c>
      <c r="C15" s="15">
        <f>SUMIF(Table3[Product], B15, Table3[Amount])</f>
        <v>63721</v>
      </c>
      <c r="D15">
        <f>SUMIF(Table3[Product], B15, Table3[Units])</f>
        <v>2331</v>
      </c>
      <c r="E15" s="15">
        <f t="shared" si="0"/>
        <v>27.336336336336338</v>
      </c>
      <c r="F15" s="15">
        <f>VLOOKUP(B15, products[],2,FALSE)</f>
        <v>3.11</v>
      </c>
      <c r="G15" s="60">
        <f t="shared" si="1"/>
        <v>24.226336336336338</v>
      </c>
      <c r="H15" s="60">
        <f t="shared" si="2"/>
        <v>56471.590000000004</v>
      </c>
      <c r="I15" s="61">
        <f t="shared" si="3"/>
        <v>0.88623201142480512</v>
      </c>
    </row>
    <row r="16" spans="1:9" x14ac:dyDescent="0.35">
      <c r="B16" t="str">
        <v>Mint Chip Choco</v>
      </c>
      <c r="C16" s="15">
        <f>SUMIF(Table3[Product], B16, Table3[Amount])</f>
        <v>62111</v>
      </c>
      <c r="D16">
        <f>SUMIF(Table3[Product], B16, Table3[Units])</f>
        <v>2154</v>
      </c>
      <c r="E16" s="15">
        <f t="shared" si="0"/>
        <v>28.835190343546891</v>
      </c>
      <c r="F16" s="15">
        <f>VLOOKUP(B16, products[],2,FALSE)</f>
        <v>8.7899999999999991</v>
      </c>
      <c r="G16" s="60">
        <f t="shared" si="1"/>
        <v>20.045190343546892</v>
      </c>
      <c r="H16" s="60">
        <f t="shared" si="2"/>
        <v>43177.340000000004</v>
      </c>
      <c r="I16" s="61">
        <f t="shared" si="3"/>
        <v>0.6951641416174269</v>
      </c>
    </row>
    <row r="17" spans="2:9" x14ac:dyDescent="0.35">
      <c r="B17" t="str">
        <v>Milk Bars</v>
      </c>
      <c r="C17" s="15">
        <f>SUMIF(Table3[Product], B17, Table3[Amount])</f>
        <v>47271</v>
      </c>
      <c r="D17">
        <f>SUMIF(Table3[Product], B17, Table3[Units])</f>
        <v>1881</v>
      </c>
      <c r="E17" s="15">
        <f t="shared" si="0"/>
        <v>25.130781499202552</v>
      </c>
      <c r="F17" s="15">
        <f>VLOOKUP(B17, products[],2,FALSE)</f>
        <v>9.33</v>
      </c>
      <c r="G17" s="60">
        <f t="shared" si="1"/>
        <v>15.800781499202552</v>
      </c>
      <c r="H17" s="60">
        <f t="shared" si="2"/>
        <v>29721.27</v>
      </c>
      <c r="I17" s="61">
        <f t="shared" si="3"/>
        <v>0.62874214634765502</v>
      </c>
    </row>
    <row r="18" spans="2:9" x14ac:dyDescent="0.35">
      <c r="B18" t="str">
        <v>Manuka Honey Choco</v>
      </c>
      <c r="C18" s="15">
        <f>SUMIF(Table3[Product], B18, Table3[Amount])</f>
        <v>58009</v>
      </c>
      <c r="D18">
        <f>SUMIF(Table3[Product], B18, Table3[Units])</f>
        <v>2976</v>
      </c>
      <c r="E18" s="15">
        <f t="shared" si="0"/>
        <v>19.492271505376344</v>
      </c>
      <c r="F18" s="15">
        <f>VLOOKUP(B18, products[],2,FALSE)</f>
        <v>7.16</v>
      </c>
      <c r="G18" s="60">
        <f t="shared" si="1"/>
        <v>12.332271505376344</v>
      </c>
      <c r="H18" s="60">
        <f t="shared" si="2"/>
        <v>36700.839999999997</v>
      </c>
      <c r="I18" s="61">
        <f t="shared" si="3"/>
        <v>0.63267492975227979</v>
      </c>
    </row>
    <row r="19" spans="2:9" x14ac:dyDescent="0.35">
      <c r="B19" t="str">
        <v>Orange Choco</v>
      </c>
      <c r="C19" s="15">
        <f>SUMIF(Table3[Product], B19, Table3[Amount])</f>
        <v>54712</v>
      </c>
      <c r="D19">
        <f>SUMIF(Table3[Product], B19, Table3[Units])</f>
        <v>2196</v>
      </c>
      <c r="E19" s="15">
        <f t="shared" si="0"/>
        <v>24.9143897996357</v>
      </c>
      <c r="F19" s="15">
        <f>VLOOKUP(B19, products[],2,FALSE)</f>
        <v>10.62</v>
      </c>
      <c r="G19" s="60">
        <f t="shared" si="1"/>
        <v>14.294389799635701</v>
      </c>
      <c r="H19" s="60">
        <f t="shared" si="2"/>
        <v>31390.48</v>
      </c>
      <c r="I19" s="61">
        <f t="shared" si="3"/>
        <v>0.57374031291124428</v>
      </c>
    </row>
    <row r="20" spans="2:9" x14ac:dyDescent="0.35">
      <c r="B20" t="str">
        <v>Fruit &amp; Nut Bars</v>
      </c>
      <c r="C20" s="15">
        <f>SUMIF(Table3[Product], B20, Table3[Amount])</f>
        <v>56644</v>
      </c>
      <c r="D20">
        <f>SUMIF(Table3[Product], B20, Table3[Units])</f>
        <v>1812</v>
      </c>
      <c r="E20" s="15">
        <f t="shared" si="0"/>
        <v>31.260485651214129</v>
      </c>
      <c r="F20" s="15">
        <f>VLOOKUP(B20, products[],2,FALSE)</f>
        <v>6.49</v>
      </c>
      <c r="G20" s="60">
        <f t="shared" si="1"/>
        <v>24.77048565121413</v>
      </c>
      <c r="H20" s="60">
        <f t="shared" si="2"/>
        <v>44884.12</v>
      </c>
      <c r="I20" s="61">
        <f t="shared" si="3"/>
        <v>0.79238966174705183</v>
      </c>
    </row>
    <row r="21" spans="2:9" x14ac:dyDescent="0.35">
      <c r="B21" t="str">
        <v>99% Dark &amp; Pure</v>
      </c>
      <c r="C21" s="15">
        <f>SUMIF(Table3[Product], B21, Table3[Amount])</f>
        <v>44744</v>
      </c>
      <c r="D21">
        <f>SUMIF(Table3[Product], B21, Table3[Units])</f>
        <v>1956</v>
      </c>
      <c r="E21" s="15">
        <f t="shared" si="0"/>
        <v>22.87525562372188</v>
      </c>
      <c r="F21" s="15">
        <f>VLOOKUP(B21, products[],2,FALSE)</f>
        <v>7.64</v>
      </c>
      <c r="G21" s="60">
        <f t="shared" si="1"/>
        <v>15.23525562372188</v>
      </c>
      <c r="H21" s="60">
        <f t="shared" si="2"/>
        <v>29800.159999999996</v>
      </c>
      <c r="I21" s="61">
        <f t="shared" si="3"/>
        <v>0.66601466118362229</v>
      </c>
    </row>
    <row r="22" spans="2:9" x14ac:dyDescent="0.35">
      <c r="B22" t="str">
        <v>Raspberry Choco</v>
      </c>
      <c r="C22" s="15">
        <f>SUMIF(Table3[Product], B22, Table3[Amount])</f>
        <v>68971</v>
      </c>
      <c r="D22">
        <f>SUMIF(Table3[Product], B22, Table3[Units])</f>
        <v>1533</v>
      </c>
      <c r="E22" s="15">
        <f t="shared" si="0"/>
        <v>44.990867579908674</v>
      </c>
      <c r="F22" s="15">
        <f>VLOOKUP(B22, products[],2,FALSE)</f>
        <v>11.73</v>
      </c>
      <c r="G22" s="60">
        <f t="shared" si="1"/>
        <v>33.260867579908677</v>
      </c>
      <c r="H22" s="60">
        <f t="shared" si="2"/>
        <v>50988.91</v>
      </c>
      <c r="I22" s="61">
        <f t="shared" si="3"/>
        <v>0.73928042220643464</v>
      </c>
    </row>
    <row r="23" spans="2:9" x14ac:dyDescent="0.35">
      <c r="B23" t="str">
        <v>85% Dark Bars</v>
      </c>
      <c r="C23" s="15">
        <f>SUMIF(Table3[Product], B23, Table3[Amount])</f>
        <v>35378</v>
      </c>
      <c r="D23">
        <f>SUMIF(Table3[Product], B23, Table3[Units])</f>
        <v>1044</v>
      </c>
      <c r="E23" s="15">
        <f t="shared" si="0"/>
        <v>33.88697318007663</v>
      </c>
      <c r="F23" s="15">
        <f>VLOOKUP(B23, products[],2,FALSE)</f>
        <v>4.97</v>
      </c>
      <c r="G23" s="60">
        <f t="shared" si="1"/>
        <v>28.916973180076631</v>
      </c>
      <c r="H23" s="60">
        <f t="shared" si="2"/>
        <v>30189.320000000003</v>
      </c>
      <c r="I23" s="61">
        <f t="shared" si="3"/>
        <v>0.85333597150771678</v>
      </c>
    </row>
    <row r="24" spans="2:9" x14ac:dyDescent="0.35">
      <c r="B24" t="str">
        <v>Organic Choco Syrup</v>
      </c>
      <c r="C24" s="15">
        <f>SUMIF(Table3[Product], B24, Table3[Amount])</f>
        <v>69461</v>
      </c>
      <c r="D24">
        <f>SUMIF(Table3[Product], B24, Table3[Units])</f>
        <v>2982</v>
      </c>
      <c r="E24" s="15">
        <f t="shared" si="0"/>
        <v>23.293427230046948</v>
      </c>
      <c r="F24" s="15">
        <f>VLOOKUP(B24, products[],2,FALSE)</f>
        <v>16.73</v>
      </c>
      <c r="G24" s="60">
        <f t="shared" si="1"/>
        <v>6.5634272300469476</v>
      </c>
      <c r="H24" s="60">
        <f t="shared" si="2"/>
        <v>19572.14</v>
      </c>
      <c r="I24" s="61">
        <f t="shared" si="3"/>
        <v>0.28177164164063284</v>
      </c>
    </row>
    <row r="25" spans="2:9" x14ac:dyDescent="0.35">
      <c r="B25" t="str">
        <v>Caramel Stuffed Bars</v>
      </c>
      <c r="C25" s="15">
        <f>SUMIF(Table3[Product], B25, Table3[Amount])</f>
        <v>72373</v>
      </c>
      <c r="D25">
        <f>SUMIF(Table3[Product], B25, Table3[Units])</f>
        <v>3207</v>
      </c>
      <c r="E25" s="15">
        <f t="shared" si="0"/>
        <v>22.567196757093857</v>
      </c>
      <c r="F25" s="15">
        <f>VLOOKUP(B25, products[],2,FALSE)</f>
        <v>10.38</v>
      </c>
      <c r="G25" s="60">
        <f t="shared" si="1"/>
        <v>12.187196757093856</v>
      </c>
      <c r="H25" s="60">
        <f t="shared" si="2"/>
        <v>39084.339999999997</v>
      </c>
      <c r="I25" s="61">
        <f t="shared" si="3"/>
        <v>0.54004034653807353</v>
      </c>
    </row>
    <row r="26" spans="2:9" x14ac:dyDescent="0.35">
      <c r="B26" t="str">
        <v>Spicy Special Slims</v>
      </c>
      <c r="C26" s="15">
        <f>SUMIF(Table3[Product], B26, Table3[Amount])</f>
        <v>37772</v>
      </c>
      <c r="D26">
        <f>SUMIF(Table3[Product], B26, Table3[Units])</f>
        <v>1308</v>
      </c>
      <c r="E26" s="15">
        <f t="shared" si="0"/>
        <v>28.877675840978593</v>
      </c>
      <c r="F26" s="15">
        <f>VLOOKUP(B26, products[],2,FALSE)</f>
        <v>9</v>
      </c>
      <c r="G26" s="60">
        <f t="shared" si="1"/>
        <v>19.877675840978593</v>
      </c>
      <c r="H26" s="60">
        <f t="shared" si="2"/>
        <v>26000</v>
      </c>
      <c r="I26" s="61">
        <f t="shared" si="3"/>
        <v>0.68834056973419466</v>
      </c>
    </row>
    <row r="27" spans="2:9" x14ac:dyDescent="0.35">
      <c r="B27" t="str">
        <v>Baker's Choco Chips</v>
      </c>
      <c r="C27" s="15">
        <f>SUMIF(Table3[Product], B27, Table3[Amount])</f>
        <v>70273</v>
      </c>
      <c r="D27">
        <f>SUMIF(Table3[Product], B27, Table3[Units])</f>
        <v>2142</v>
      </c>
      <c r="E27" s="15">
        <f t="shared" si="0"/>
        <v>32.807189542483663</v>
      </c>
      <c r="F27" s="15">
        <f>VLOOKUP(B27, products[],2,FALSE)</f>
        <v>5.6</v>
      </c>
      <c r="G27" s="60">
        <f t="shared" si="1"/>
        <v>27.207189542483661</v>
      </c>
      <c r="H27" s="60">
        <f t="shared" si="2"/>
        <v>58277.8</v>
      </c>
      <c r="I27" s="61">
        <f t="shared" si="3"/>
        <v>0.82930570773981471</v>
      </c>
    </row>
  </sheetData>
  <conditionalFormatting sqref="I6:I2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28"/>
  <sheetViews>
    <sheetView showGridLines="0" workbookViewId="0">
      <selection activeCell="A3" sqref="A3"/>
    </sheetView>
  </sheetViews>
  <sheetFormatPr defaultRowHeight="14.5" x14ac:dyDescent="0.35"/>
  <cols>
    <col min="2" max="2" width="16.6328125" customWidth="1"/>
    <col min="3" max="3" width="13.1796875" customWidth="1"/>
    <col min="4" max="4" width="11.08984375" bestFit="1" customWidth="1"/>
    <col min="8" max="8" width="8.90625" customWidth="1"/>
    <col min="9" max="9" width="0.1796875" customWidth="1"/>
    <col min="10" max="10" width="17.453125" customWidth="1"/>
    <col min="18" max="18" width="12.08984375" customWidth="1"/>
  </cols>
  <sheetData>
    <row r="2" spans="1:18" x14ac:dyDescent="0.35">
      <c r="A2" t="s">
        <v>107</v>
      </c>
    </row>
    <row r="3" spans="1:18" x14ac:dyDescent="0.35">
      <c r="B3" s="47" t="s">
        <v>72</v>
      </c>
      <c r="C3" s="46" t="s">
        <v>37</v>
      </c>
    </row>
    <row r="4" spans="1:18" x14ac:dyDescent="0.35">
      <c r="R4" s="19" t="s">
        <v>64</v>
      </c>
    </row>
    <row r="5" spans="1:18" x14ac:dyDescent="0.35">
      <c r="R5" s="22" t="s">
        <v>37</v>
      </c>
    </row>
    <row r="6" spans="1:18" x14ac:dyDescent="0.35">
      <c r="B6" s="51" t="s">
        <v>74</v>
      </c>
      <c r="C6" s="51"/>
      <c r="D6" s="46"/>
      <c r="R6" s="25" t="s">
        <v>35</v>
      </c>
    </row>
    <row r="7" spans="1:18" x14ac:dyDescent="0.35">
      <c r="B7" t="s">
        <v>56</v>
      </c>
      <c r="C7" t="s">
        <v>1</v>
      </c>
      <c r="D7" t="s">
        <v>67</v>
      </c>
      <c r="R7" s="25" t="s">
        <v>36</v>
      </c>
    </row>
    <row r="8" spans="1:18" x14ac:dyDescent="0.35">
      <c r="B8" t="s">
        <v>73</v>
      </c>
      <c r="C8" s="16">
        <f>SUMIFS(Table3[Amount],Table3[Geography],$C$3)</f>
        <v>218813</v>
      </c>
      <c r="D8" s="18">
        <f>SUMIFS(Table3[Units],Table3[Geography],$C$3)</f>
        <v>7431</v>
      </c>
      <c r="R8" s="27" t="s">
        <v>39</v>
      </c>
    </row>
    <row r="9" spans="1:18" x14ac:dyDescent="0.35">
      <c r="B9" t="s">
        <v>68</v>
      </c>
      <c r="C9" s="15">
        <f>AVERAGEIFS(Table3[Amount],Table3[Geography],$C$3)</f>
        <v>4128.5471698113206</v>
      </c>
      <c r="D9" s="17">
        <f>AVERAGEIFS(Table3[Units],Table3[Geography],$C$3)</f>
        <v>140.20754716981133</v>
      </c>
      <c r="R9" s="27" t="s">
        <v>38</v>
      </c>
    </row>
    <row r="10" spans="1:18" x14ac:dyDescent="0.35">
      <c r="R10" s="28" t="s">
        <v>34</v>
      </c>
    </row>
    <row r="17" spans="2:4" x14ac:dyDescent="0.35">
      <c r="B17" s="52" t="s">
        <v>75</v>
      </c>
      <c r="C17" s="52"/>
      <c r="D17" s="52"/>
    </row>
    <row r="18" spans="2:4" x14ac:dyDescent="0.35">
      <c r="B18" t="s">
        <v>76</v>
      </c>
      <c r="C18" t="s">
        <v>1</v>
      </c>
      <c r="D18" t="s">
        <v>67</v>
      </c>
    </row>
    <row r="19" spans="2:4" x14ac:dyDescent="0.35">
      <c r="B19" s="48" t="s">
        <v>40</v>
      </c>
      <c r="C19">
        <f>SUMIFS(Table3[Amount],Table3[Sales Person],B19,Table3[Geography],$C$3)</f>
        <v>24451</v>
      </c>
      <c r="D19">
        <f>SUMIFS(Table3[Units],Table3[Sales Person],B19,Table3[Geography],$C$3)</f>
        <v>300</v>
      </c>
    </row>
    <row r="20" spans="2:4" x14ac:dyDescent="0.35">
      <c r="B20" s="49" t="s">
        <v>8</v>
      </c>
      <c r="C20">
        <f>SUMIFS(Table3[Amount],Table3[Sales Person],B20,Table3[Geography],$C$3)</f>
        <v>20125</v>
      </c>
      <c r="D20">
        <f>SUMIFS(Table3[Units],Table3[Sales Person],B20,Table3[Geography],$C$3)</f>
        <v>711</v>
      </c>
    </row>
    <row r="21" spans="2:4" x14ac:dyDescent="0.35">
      <c r="B21" s="50" t="s">
        <v>9</v>
      </c>
      <c r="C21">
        <f>SUMIFS(Table3[Amount],Table3[Sales Person],B21,Table3[Geography],$C$3)</f>
        <v>21434</v>
      </c>
      <c r="D21">
        <f>SUMIFS(Table3[Units],Table3[Sales Person],B21,Table3[Geography],$C$3)</f>
        <v>1116</v>
      </c>
    </row>
    <row r="22" spans="2:4" x14ac:dyDescent="0.35">
      <c r="B22" s="49" t="s">
        <v>41</v>
      </c>
      <c r="C22">
        <f>SUMIFS(Table3[Amount],Table3[Sales Person],B22,Table3[Geography],$C$3)</f>
        <v>17283</v>
      </c>
      <c r="D22">
        <f>SUMIFS(Table3[Units],Table3[Sales Person],B22,Table3[Geography],$C$3)</f>
        <v>882</v>
      </c>
    </row>
    <row r="23" spans="2:4" x14ac:dyDescent="0.35">
      <c r="B23" s="50" t="s">
        <v>6</v>
      </c>
      <c r="C23">
        <f>SUMIFS(Table3[Amount],Table3[Sales Person],B23,Table3[Geography],$C$3)</f>
        <v>26985</v>
      </c>
      <c r="D23">
        <f>SUMIFS(Table3[Units],Table3[Sales Person],B23,Table3[Geography],$C$3)</f>
        <v>1329</v>
      </c>
    </row>
    <row r="24" spans="2:4" x14ac:dyDescent="0.35">
      <c r="B24" s="50" t="s">
        <v>7</v>
      </c>
      <c r="C24">
        <f>SUMIFS(Table3[Amount],Table3[Sales Person],B24,Table3[Geography],$C$3)</f>
        <v>43568</v>
      </c>
      <c r="D24">
        <f>SUMIFS(Table3[Units],Table3[Sales Person],B24,Table3[Geography],$C$3)</f>
        <v>978</v>
      </c>
    </row>
    <row r="25" spans="2:4" x14ac:dyDescent="0.35">
      <c r="B25" s="49" t="s">
        <v>5</v>
      </c>
      <c r="C25">
        <f>SUMIFS(Table3[Amount],Table3[Sales Person],B25,Table3[Geography],$C$3)</f>
        <v>14504</v>
      </c>
      <c r="D25">
        <f>SUMIFS(Table3[Units],Table3[Sales Person],B25,Table3[Geography],$C$3)</f>
        <v>156</v>
      </c>
    </row>
    <row r="26" spans="2:4" x14ac:dyDescent="0.35">
      <c r="B26" s="50" t="s">
        <v>2</v>
      </c>
      <c r="C26">
        <f>SUMIFS(Table3[Amount],Table3[Sales Person],B26,Table3[Geography],$C$3)</f>
        <v>25655</v>
      </c>
      <c r="D26">
        <f>SUMIFS(Table3[Units],Table3[Sales Person],B26,Table3[Geography],$C$3)</f>
        <v>453</v>
      </c>
    </row>
    <row r="27" spans="2:4" x14ac:dyDescent="0.35">
      <c r="B27" s="49" t="s">
        <v>3</v>
      </c>
      <c r="C27">
        <f>SUMIFS(Table3[Amount],Table3[Sales Person],B27,Table3[Geography],$C$3)</f>
        <v>16821</v>
      </c>
      <c r="D27">
        <f>SUMIFS(Table3[Units],Table3[Sales Person],B27,Table3[Geography],$C$3)</f>
        <v>1161</v>
      </c>
    </row>
    <row r="28" spans="2:4" x14ac:dyDescent="0.35">
      <c r="B28" s="50" t="s">
        <v>10</v>
      </c>
      <c r="C28">
        <f>SUMIFS(Table3[Amount],Table3[Sales Person],B28,Table3[Geography],$C$3)</f>
        <v>7987</v>
      </c>
      <c r="D28">
        <f>SUMIFS(Table3[Units],Table3[Sales Person],B28,Table3[Geography],$C$3)</f>
        <v>345</v>
      </c>
    </row>
  </sheetData>
  <mergeCells count="2">
    <mergeCell ref="B6:C6"/>
    <mergeCell ref="B17:D17"/>
  </mergeCells>
  <dataValidations count="1">
    <dataValidation type="list" allowBlank="1" showInputMessage="1" showErrorMessage="1" sqref="C3 G5" xr:uid="{00000000-0002-0000-0500-000000000000}">
      <formula1>$R$5:$R$10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38A-BFAB-433A-98AB-E33EA2311931}">
  <dimension ref="A1:H28"/>
  <sheetViews>
    <sheetView workbookViewId="0">
      <selection activeCell="F12" sqref="F12"/>
    </sheetView>
  </sheetViews>
  <sheetFormatPr defaultRowHeight="14.5" x14ac:dyDescent="0.35"/>
  <cols>
    <col min="2" max="2" width="20.36328125" bestFit="1" customWidth="1"/>
    <col min="3" max="3" width="16.6328125" bestFit="1" customWidth="1"/>
    <col min="4" max="4" width="21.90625" bestFit="1" customWidth="1"/>
    <col min="5" max="5" width="11.6328125" customWidth="1"/>
  </cols>
  <sheetData>
    <row r="1" spans="1:8" x14ac:dyDescent="0.35">
      <c r="A1" s="8" t="s">
        <v>48</v>
      </c>
    </row>
    <row r="5" spans="1:8" x14ac:dyDescent="0.35">
      <c r="B5" s="54" t="s">
        <v>86</v>
      </c>
      <c r="C5" t="s">
        <v>96</v>
      </c>
      <c r="D5" t="s">
        <v>95</v>
      </c>
    </row>
    <row r="6" spans="1:8" x14ac:dyDescent="0.35">
      <c r="B6" s="55" t="s">
        <v>14</v>
      </c>
      <c r="C6" s="56">
        <v>19525.600000000002</v>
      </c>
      <c r="D6" s="63">
        <v>0.45215941458444298</v>
      </c>
      <c r="F6" t="s">
        <v>97</v>
      </c>
    </row>
    <row r="7" spans="1:8" x14ac:dyDescent="0.35">
      <c r="B7" s="55" t="s">
        <v>30</v>
      </c>
      <c r="C7" s="56">
        <v>25899.019999999997</v>
      </c>
      <c r="D7" s="63">
        <v>0.38945894736842102</v>
      </c>
      <c r="F7" t="s">
        <v>98</v>
      </c>
    </row>
    <row r="8" spans="1:8" x14ac:dyDescent="0.35">
      <c r="B8" s="55" t="s">
        <v>24</v>
      </c>
      <c r="C8" s="56">
        <v>30189.320000000003</v>
      </c>
      <c r="D8" s="63">
        <v>0.85333597150771678</v>
      </c>
      <c r="F8" s="64" t="s">
        <v>27</v>
      </c>
      <c r="G8" s="46"/>
      <c r="H8" t="s">
        <v>99</v>
      </c>
    </row>
    <row r="9" spans="1:8" x14ac:dyDescent="0.35">
      <c r="B9" s="55" t="s">
        <v>19</v>
      </c>
      <c r="C9" s="56">
        <v>29800.159999999996</v>
      </c>
      <c r="D9" s="63">
        <v>0.66601466118362229</v>
      </c>
    </row>
    <row r="10" spans="1:8" x14ac:dyDescent="0.35">
      <c r="B10" s="55" t="s">
        <v>22</v>
      </c>
      <c r="C10" s="56">
        <v>46234.960000000006</v>
      </c>
      <c r="D10" s="63">
        <v>0.69753873542235578</v>
      </c>
    </row>
    <row r="11" spans="1:8" x14ac:dyDescent="0.35">
      <c r="B11" s="55" t="s">
        <v>4</v>
      </c>
      <c r="C11" s="56">
        <v>14946.92</v>
      </c>
      <c r="D11" s="63">
        <v>0.44549849482876813</v>
      </c>
    </row>
    <row r="12" spans="1:8" x14ac:dyDescent="0.35">
      <c r="B12" s="55" t="s">
        <v>26</v>
      </c>
      <c r="C12" s="56">
        <v>58277.8</v>
      </c>
      <c r="D12" s="63">
        <v>0.82930570773981471</v>
      </c>
    </row>
    <row r="13" spans="1:8" x14ac:dyDescent="0.35">
      <c r="B13" s="55" t="s">
        <v>28</v>
      </c>
      <c r="C13" s="56">
        <v>39084.339999999997</v>
      </c>
      <c r="D13" s="63">
        <v>0.54004034653807353</v>
      </c>
    </row>
    <row r="14" spans="1:8" x14ac:dyDescent="0.35">
      <c r="B14" s="55" t="s">
        <v>32</v>
      </c>
      <c r="C14" s="56">
        <v>52063.349999999991</v>
      </c>
      <c r="D14" s="63">
        <v>0.72343365709283414</v>
      </c>
    </row>
    <row r="15" spans="1:8" x14ac:dyDescent="0.35">
      <c r="B15" s="55" t="s">
        <v>18</v>
      </c>
      <c r="C15" s="56">
        <v>40814.559999999998</v>
      </c>
      <c r="D15" s="63">
        <v>0.78263777564717163</v>
      </c>
    </row>
    <row r="16" spans="1:8" x14ac:dyDescent="0.35">
      <c r="B16" s="55" t="s">
        <v>17</v>
      </c>
      <c r="C16" s="56">
        <v>56471.590000000004</v>
      </c>
      <c r="D16" s="63">
        <v>0.88623201142480512</v>
      </c>
    </row>
    <row r="17" spans="2:4" x14ac:dyDescent="0.35">
      <c r="B17" s="55" t="s">
        <v>23</v>
      </c>
      <c r="C17" s="56">
        <v>44884.12</v>
      </c>
      <c r="D17" s="63">
        <v>0.79238966174705183</v>
      </c>
    </row>
    <row r="18" spans="2:4" x14ac:dyDescent="0.35">
      <c r="B18" s="55" t="s">
        <v>29</v>
      </c>
      <c r="C18" s="56">
        <v>36700.839999999997</v>
      </c>
      <c r="D18" s="63">
        <v>0.63267492975227979</v>
      </c>
    </row>
    <row r="19" spans="2:4" x14ac:dyDescent="0.35">
      <c r="B19" s="55" t="s">
        <v>13</v>
      </c>
      <c r="C19" s="56">
        <v>29721.27</v>
      </c>
      <c r="D19" s="63">
        <v>0.62874214634765502</v>
      </c>
    </row>
    <row r="20" spans="2:4" x14ac:dyDescent="0.35">
      <c r="B20" s="55" t="s">
        <v>16</v>
      </c>
      <c r="C20" s="56">
        <v>43177.340000000004</v>
      </c>
      <c r="D20" s="63">
        <v>0.6951641416174269</v>
      </c>
    </row>
    <row r="21" spans="2:4" x14ac:dyDescent="0.35">
      <c r="B21" s="55" t="s">
        <v>20</v>
      </c>
      <c r="C21" s="56">
        <v>31390.48</v>
      </c>
      <c r="D21" s="63">
        <v>0.57374031291124428</v>
      </c>
    </row>
    <row r="22" spans="2:4" x14ac:dyDescent="0.35">
      <c r="B22" s="55" t="s">
        <v>27</v>
      </c>
      <c r="C22" s="56">
        <v>19572.14</v>
      </c>
      <c r="D22" s="63">
        <v>0.28177164164063284</v>
      </c>
    </row>
    <row r="23" spans="2:4" x14ac:dyDescent="0.35">
      <c r="B23" s="55" t="s">
        <v>33</v>
      </c>
      <c r="C23" s="56">
        <v>46226.020000000004</v>
      </c>
      <c r="D23" s="63">
        <v>0.6683924233661076</v>
      </c>
    </row>
    <row r="24" spans="2:4" x14ac:dyDescent="0.35">
      <c r="B24" s="55" t="s">
        <v>15</v>
      </c>
      <c r="C24" s="56">
        <v>50988.91</v>
      </c>
      <c r="D24" s="63">
        <v>0.73928042220643464</v>
      </c>
    </row>
    <row r="25" spans="2:4" x14ac:dyDescent="0.35">
      <c r="B25" s="55" t="s">
        <v>31</v>
      </c>
      <c r="C25" s="56">
        <v>29518.430000000004</v>
      </c>
      <c r="D25" s="63">
        <v>0.75181290273285295</v>
      </c>
    </row>
    <row r="26" spans="2:4" x14ac:dyDescent="0.35">
      <c r="B26" s="55" t="s">
        <v>21</v>
      </c>
      <c r="C26" s="56">
        <v>26000</v>
      </c>
      <c r="D26" s="63">
        <v>0.68834056973419466</v>
      </c>
    </row>
    <row r="27" spans="2:4" x14ac:dyDescent="0.35">
      <c r="B27" s="55" t="s">
        <v>25</v>
      </c>
      <c r="C27" s="56">
        <v>29678.1</v>
      </c>
      <c r="D27" s="63">
        <v>0.51729240744614091</v>
      </c>
    </row>
    <row r="28" spans="2:4" x14ac:dyDescent="0.35">
      <c r="B28" s="55" t="s">
        <v>87</v>
      </c>
      <c r="C28" s="56">
        <v>801165.27</v>
      </c>
      <c r="D28" s="56">
        <v>14.235257282840045</v>
      </c>
    </row>
  </sheetData>
  <conditionalFormatting pivot="1" sqref="D6:D27">
    <cfRule type="top10" dxfId="4" priority="2" percent="1" bottom="1" rank="10"/>
  </conditionalFormatting>
  <conditionalFormatting pivot="1" sqref="C6:C27">
    <cfRule type="top10" dxfId="3" priority="1" percent="1" bottom="1" rank="1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B63D-3D44-46CA-86F7-E98529C27033}">
  <dimension ref="A1:H13"/>
  <sheetViews>
    <sheetView tabSelected="1" workbookViewId="0">
      <selection activeCell="T21" sqref="T21"/>
    </sheetView>
  </sheetViews>
  <sheetFormatPr defaultRowHeight="14.5" x14ac:dyDescent="0.35"/>
  <cols>
    <col min="2" max="2" width="11.26953125" customWidth="1"/>
    <col min="3" max="3" width="18" bestFit="1" customWidth="1"/>
    <col min="4" max="4" width="9.7265625" bestFit="1" customWidth="1"/>
    <col min="5" max="5" width="11" bestFit="1" customWidth="1"/>
    <col min="6" max="6" width="12.36328125" bestFit="1" customWidth="1"/>
    <col min="7" max="7" width="11.08984375" bestFit="1" customWidth="1"/>
    <col min="8" max="8" width="15.1796875" bestFit="1" customWidth="1"/>
  </cols>
  <sheetData>
    <row r="1" spans="1:8" x14ac:dyDescent="0.35">
      <c r="A1" t="s">
        <v>100</v>
      </c>
    </row>
    <row r="3" spans="1:8" x14ac:dyDescent="0.35">
      <c r="A3" t="s">
        <v>106</v>
      </c>
    </row>
    <row r="4" spans="1:8" x14ac:dyDescent="0.35">
      <c r="B4" s="46" t="s">
        <v>0</v>
      </c>
      <c r="C4" t="s">
        <v>24</v>
      </c>
    </row>
    <row r="5" spans="1:8" x14ac:dyDescent="0.35">
      <c r="B5" s="47" t="s">
        <v>102</v>
      </c>
      <c r="C5">
        <f>VLOOKUP(C4, products[],2,FALSE)</f>
        <v>4.97</v>
      </c>
    </row>
    <row r="7" spans="1:8" x14ac:dyDescent="0.35">
      <c r="B7" t="s">
        <v>72</v>
      </c>
      <c r="C7" t="s">
        <v>101</v>
      </c>
      <c r="D7" t="s">
        <v>103</v>
      </c>
      <c r="E7" t="s">
        <v>104</v>
      </c>
      <c r="F7" t="s">
        <v>92</v>
      </c>
      <c r="G7" t="s">
        <v>93</v>
      </c>
      <c r="H7" t="s">
        <v>105</v>
      </c>
    </row>
    <row r="8" spans="1:8" x14ac:dyDescent="0.35">
      <c r="B8" t="str" cm="1">
        <f t="array" ref="B8:B13">_xlfn.UNIQUE(Table3[Geography])</f>
        <v>New Zealand</v>
      </c>
      <c r="C8" s="15">
        <f>SUMIFS(Table3[Amount],Table3[Geography],B8,Table3[Product],$C$4)</f>
        <v>6398</v>
      </c>
      <c r="D8">
        <f>SUMIFS(Table3[Units],Table3[Geography],B8,Table3[Product],$C$4)</f>
        <v>102</v>
      </c>
      <c r="E8" s="15">
        <f>C8/D8</f>
        <v>62.725490196078432</v>
      </c>
      <c r="F8" s="60">
        <f>E8-$C$5</f>
        <v>57.755490196078433</v>
      </c>
      <c r="G8" s="60">
        <f>F8*D8</f>
        <v>5891.06</v>
      </c>
      <c r="H8" s="62">
        <f>G8/C8</f>
        <v>0.92076586433260399</v>
      </c>
    </row>
    <row r="9" spans="1:8" x14ac:dyDescent="0.35">
      <c r="B9" t="str">
        <v>USA</v>
      </c>
      <c r="C9" s="15">
        <f>SUMIFS(Table3[Amount],Table3[Geography],B9,Table3[Product],$C$4)</f>
        <v>4431</v>
      </c>
      <c r="D9">
        <f>SUMIFS(Table3[Units],Table3[Geography],B9,Table3[Product],$C$4)</f>
        <v>162</v>
      </c>
      <c r="E9" s="15">
        <f t="shared" ref="E9:E13" si="0">C9/D9</f>
        <v>27.351851851851851</v>
      </c>
      <c r="F9" s="60">
        <f t="shared" ref="F9:F13" si="1">E9-$C$5</f>
        <v>22.381851851851852</v>
      </c>
      <c r="G9" s="60">
        <f t="shared" ref="G9:G13" si="2">F9*D9</f>
        <v>3625.86</v>
      </c>
      <c r="H9" s="62">
        <f t="shared" ref="H9:H13" si="3">G9/C9</f>
        <v>0.81829383886255924</v>
      </c>
    </row>
    <row r="10" spans="1:8" x14ac:dyDescent="0.35">
      <c r="B10" t="str">
        <v>Canada</v>
      </c>
      <c r="C10" s="15">
        <f>SUMIFS(Table3[Amount],Table3[Geography],B10,Table3[Product],$C$4)</f>
        <v>0</v>
      </c>
      <c r="D10">
        <f>SUMIFS(Table3[Units],Table3[Geography],B10,Table3[Product],$C$4)</f>
        <v>0</v>
      </c>
      <c r="E10" s="15" t="e">
        <f t="shared" si="0"/>
        <v>#DIV/0!</v>
      </c>
      <c r="F10" s="60" t="e">
        <f t="shared" si="1"/>
        <v>#DIV/0!</v>
      </c>
      <c r="G10" s="60" t="e">
        <f t="shared" si="2"/>
        <v>#DIV/0!</v>
      </c>
      <c r="H10" s="62" t="e">
        <f t="shared" si="3"/>
        <v>#DIV/0!</v>
      </c>
    </row>
    <row r="11" spans="1:8" x14ac:dyDescent="0.35">
      <c r="B11" t="str">
        <v>UK</v>
      </c>
      <c r="C11" s="15">
        <f>SUMIFS(Table3[Amount],Table3[Geography],B11,Table3[Product],$C$4)</f>
        <v>10927</v>
      </c>
      <c r="D11">
        <f>SUMIFS(Table3[Units],Table3[Geography],B11,Table3[Product],$C$4)</f>
        <v>480</v>
      </c>
      <c r="E11" s="15">
        <f t="shared" si="0"/>
        <v>22.764583333333334</v>
      </c>
      <c r="F11" s="60">
        <f t="shared" si="1"/>
        <v>17.794583333333335</v>
      </c>
      <c r="G11" s="60">
        <f t="shared" si="2"/>
        <v>8541.4000000000015</v>
      </c>
      <c r="H11" s="62">
        <f t="shared" si="3"/>
        <v>0.78167841127482396</v>
      </c>
    </row>
    <row r="12" spans="1:8" x14ac:dyDescent="0.35">
      <c r="B12" t="str">
        <v>Australia</v>
      </c>
      <c r="C12" s="15">
        <f>SUMIFS(Table3[Amount],Table3[Geography],B12,Table3[Product],$C$4)</f>
        <v>4760</v>
      </c>
      <c r="D12">
        <f>SUMIFS(Table3[Units],Table3[Geography],B12,Table3[Product],$C$4)</f>
        <v>111</v>
      </c>
      <c r="E12" s="15">
        <f t="shared" si="0"/>
        <v>42.882882882882882</v>
      </c>
      <c r="F12" s="60">
        <f t="shared" si="1"/>
        <v>37.912882882882883</v>
      </c>
      <c r="G12" s="60">
        <f t="shared" si="2"/>
        <v>4208.33</v>
      </c>
      <c r="H12" s="62">
        <f t="shared" si="3"/>
        <v>0.88410294117647059</v>
      </c>
    </row>
    <row r="13" spans="1:8" x14ac:dyDescent="0.35">
      <c r="B13" t="str">
        <v>India</v>
      </c>
      <c r="C13" s="15">
        <f>SUMIFS(Table3[Amount],Table3[Geography],B13,Table3[Product],$C$4)</f>
        <v>8862</v>
      </c>
      <c r="D13">
        <f>SUMIFS(Table3[Units],Table3[Geography],B13,Table3[Product],$C$4)</f>
        <v>189</v>
      </c>
      <c r="E13" s="15">
        <f t="shared" si="0"/>
        <v>46.888888888888886</v>
      </c>
      <c r="F13" s="60">
        <f t="shared" si="1"/>
        <v>41.918888888888887</v>
      </c>
      <c r="G13" s="60">
        <f t="shared" si="2"/>
        <v>7922.67</v>
      </c>
      <c r="H13" s="62">
        <f t="shared" si="3"/>
        <v>0.89400473933649294</v>
      </c>
    </row>
  </sheetData>
  <conditionalFormatting sqref="F8:F13">
    <cfRule type="cellIs" dxfId="2" priority="3" operator="lessThan">
      <formula>0</formula>
    </cfRule>
  </conditionalFormatting>
  <conditionalFormatting sqref="H8:H13">
    <cfRule type="top10" dxfId="1" priority="1" percent="1" bottom="1" rank="10"/>
    <cfRule type="top10" dxfId="0" priority="2" percent="1" rank="10"/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564B9C-472A-48B1-B9A2-17607E7D9E2E}">
          <x14:formula1>
            <xm:f>'5'!$F$5:$F$26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Deeper Analysis on products</vt:lpstr>
      <vt:lpstr>data</vt:lpstr>
      <vt:lpstr>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Neeraj Talla</cp:lastModifiedBy>
  <dcterms:created xsi:type="dcterms:W3CDTF">2021-03-14T20:21:32Z</dcterms:created>
  <dcterms:modified xsi:type="dcterms:W3CDTF">2024-01-29T20:12:42Z</dcterms:modified>
</cp:coreProperties>
</file>