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qts/Dropbox/!WQTS Projects/Mathematical Models/"/>
    </mc:Choice>
  </mc:AlternateContent>
  <xr:revisionPtr revIDLastSave="0" documentId="10_ncr:8100000_{A6B109C1-2809-BD44-B0BD-1A4E87603FB5}" xr6:coauthVersionLast="33" xr6:coauthVersionMax="33" xr10:uidLastSave="{00000000-0000-0000-0000-000000000000}"/>
  <bookViews>
    <workbookView xWindow="31380" yWindow="460" windowWidth="10100" windowHeight="13920" tabRatio="698" xr2:uid="{00000000-000D-0000-FFFF-FFFF00000000}"/>
  </bookViews>
  <sheets>
    <sheet name="Portal" sheetId="1" r:id="rId1"/>
    <sheet name="Calculations" sheetId="3" r:id="rId2"/>
  </sheets>
  <externalReferences>
    <externalReference r:id="rId3"/>
  </externalReferences>
  <definedNames>
    <definedName name="Alk_Blend">'[1]pH After Chem Addition'!#REF!</definedName>
    <definedName name="Ca_1">Calculations!#REF!</definedName>
    <definedName name="Error">'[1]pH After Chem Addition'!#REF!</definedName>
    <definedName name="Gamma1_blend">Calculations!$H$55</definedName>
    <definedName name="Gamma2_blend">Calculations!$H$56</definedName>
    <definedName name="K1_blend">Calculations!$H$49</definedName>
    <definedName name="K2_blend">Calculations!$H$50</definedName>
    <definedName name="Kso_blend">Calculations!$H$51</definedName>
    <definedName name="Kw_blend">Calculations!$H$52</definedName>
    <definedName name="Tot_Acidity">Calculations!$H$64</definedName>
    <definedName name="Tot_alk_2Ca">Calculations!$H$65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9" i="3"/>
  <c r="C12" i="3"/>
  <c r="C10" i="3"/>
  <c r="C20" i="3" s="1"/>
  <c r="C24" i="3" s="1"/>
  <c r="C7" i="3"/>
  <c r="C8" i="3"/>
  <c r="C49" i="3"/>
  <c r="C17" i="1"/>
  <c r="J12" i="3"/>
  <c r="C37" i="3"/>
  <c r="C22" i="3" l="1"/>
  <c r="C26" i="3" s="1"/>
  <c r="C23" i="3"/>
  <c r="C13" i="3"/>
  <c r="C14" i="3" s="1"/>
  <c r="C21" i="3"/>
  <c r="C25" i="3" s="1"/>
  <c r="C27" i="3"/>
  <c r="C16" i="3" l="1"/>
  <c r="C19" i="3" s="1"/>
  <c r="C15" i="3"/>
  <c r="C18" i="3" s="1"/>
  <c r="C28" i="3" l="1"/>
  <c r="K12" i="3"/>
  <c r="O12" i="3" s="1"/>
  <c r="C34" i="3"/>
  <c r="C33" i="3"/>
  <c r="C36" i="3"/>
  <c r="C35" i="3" l="1"/>
  <c r="C39" i="3"/>
  <c r="C40" i="3" s="1"/>
  <c r="C41" i="3"/>
  <c r="C29" i="3"/>
  <c r="C43" i="3" s="1"/>
  <c r="T12" i="3"/>
  <c r="L12" i="3"/>
  <c r="M12" i="3" s="1"/>
  <c r="Q12" i="3"/>
  <c r="R12" i="3" s="1"/>
  <c r="C44" i="3" l="1"/>
  <c r="C46" i="3" s="1"/>
  <c r="C32" i="3"/>
  <c r="C19" i="1" s="1"/>
  <c r="S12" i="3"/>
  <c r="U12" i="3" s="1"/>
  <c r="N12" i="3"/>
  <c r="P12" i="3" s="1"/>
  <c r="V12" i="3" s="1"/>
  <c r="J13" i="3" s="1"/>
  <c r="C15" i="1" l="1"/>
  <c r="C47" i="3"/>
  <c r="C50" i="3" s="1"/>
  <c r="C18" i="1" s="1"/>
  <c r="I13" i="3"/>
  <c r="K13" i="3"/>
  <c r="T13" i="3" l="1"/>
  <c r="Q13" i="3"/>
  <c r="O13" i="3"/>
  <c r="L13" i="3"/>
  <c r="M13" i="3" s="1"/>
  <c r="N13" i="3" l="1"/>
  <c r="P13" i="3" s="1"/>
  <c r="R13" i="3"/>
  <c r="S13" i="3" l="1"/>
  <c r="U13" i="3" s="1"/>
  <c r="V13" i="3" s="1"/>
  <c r="J14" i="3" s="1"/>
  <c r="K14" i="3" l="1"/>
  <c r="I14" i="3"/>
  <c r="T14" i="3" l="1"/>
  <c r="O14" i="3"/>
  <c r="Q14" i="3"/>
  <c r="L14" i="3"/>
  <c r="M14" i="3" s="1"/>
  <c r="N14" i="3" l="1"/>
  <c r="P14" i="3" s="1"/>
  <c r="R14" i="3"/>
  <c r="S14" i="3" l="1"/>
  <c r="U14" i="3" s="1"/>
  <c r="V14" i="3" s="1"/>
  <c r="J15" i="3" s="1"/>
  <c r="I15" i="3" l="1"/>
  <c r="K15" i="3"/>
  <c r="O15" i="3" l="1"/>
  <c r="T15" i="3"/>
  <c r="Q15" i="3"/>
  <c r="L15" i="3"/>
  <c r="M15" i="3" s="1"/>
  <c r="N15" i="3" l="1"/>
  <c r="P15" i="3" s="1"/>
  <c r="R15" i="3"/>
  <c r="S15" i="3" l="1"/>
  <c r="U15" i="3" s="1"/>
  <c r="V15" i="3" s="1"/>
  <c r="J16" i="3" s="1"/>
  <c r="K16" i="3" l="1"/>
  <c r="I16" i="3"/>
  <c r="O16" i="3" l="1"/>
  <c r="T16" i="3"/>
  <c r="Q16" i="3"/>
  <c r="L16" i="3"/>
  <c r="M16" i="3" s="1"/>
  <c r="N16" i="3" l="1"/>
  <c r="P16" i="3" s="1"/>
  <c r="R16" i="3"/>
  <c r="S16" i="3" l="1"/>
  <c r="U16" i="3" s="1"/>
  <c r="V16" i="3" s="1"/>
  <c r="J17" i="3" s="1"/>
  <c r="I17" i="3" l="1"/>
  <c r="K17" i="3"/>
  <c r="T17" i="3" l="1"/>
  <c r="O17" i="3"/>
  <c r="Q17" i="3"/>
  <c r="L17" i="3"/>
  <c r="M17" i="3" s="1"/>
  <c r="N17" i="3" l="1"/>
  <c r="P17" i="3" s="1"/>
  <c r="R17" i="3"/>
  <c r="S17" i="3" l="1"/>
  <c r="U17" i="3" s="1"/>
  <c r="V17" i="3" s="1"/>
  <c r="J18" i="3" s="1"/>
  <c r="K18" i="3" l="1"/>
  <c r="I18" i="3"/>
  <c r="T18" i="3" l="1"/>
  <c r="O18" i="3"/>
  <c r="Q18" i="3"/>
  <c r="L18" i="3"/>
  <c r="M18" i="3" s="1"/>
  <c r="N18" i="3" l="1"/>
  <c r="P18" i="3" s="1"/>
  <c r="R18" i="3"/>
  <c r="S18" i="3" l="1"/>
  <c r="U18" i="3" s="1"/>
  <c r="V18" i="3" s="1"/>
  <c r="J19" i="3" s="1"/>
  <c r="I19" i="3" l="1"/>
  <c r="K19" i="3"/>
  <c r="O19" i="3" l="1"/>
  <c r="T19" i="3"/>
  <c r="Q19" i="3"/>
  <c r="L19" i="3"/>
  <c r="M19" i="3" s="1"/>
  <c r="N19" i="3" l="1"/>
  <c r="P19" i="3" s="1"/>
  <c r="R19" i="3"/>
  <c r="S19" i="3" l="1"/>
  <c r="U19" i="3" s="1"/>
  <c r="V19" i="3" s="1"/>
  <c r="J20" i="3" s="1"/>
  <c r="K20" i="3" l="1"/>
  <c r="I20" i="3"/>
  <c r="Q20" i="3" l="1"/>
  <c r="O20" i="3"/>
  <c r="T20" i="3"/>
  <c r="L20" i="3"/>
  <c r="M20" i="3" s="1"/>
  <c r="N20" i="3" l="1"/>
  <c r="P20" i="3" s="1"/>
  <c r="R20" i="3"/>
  <c r="S20" i="3" l="1"/>
  <c r="U20" i="3" s="1"/>
  <c r="V20" i="3" s="1"/>
  <c r="J21" i="3" s="1"/>
  <c r="I21" i="3" l="1"/>
  <c r="K21" i="3"/>
  <c r="T21" i="3" l="1"/>
  <c r="O21" i="3"/>
  <c r="Q21" i="3"/>
  <c r="L21" i="3"/>
  <c r="M21" i="3" s="1"/>
  <c r="N21" i="3" l="1"/>
  <c r="P21" i="3" s="1"/>
  <c r="R21" i="3"/>
  <c r="S21" i="3" l="1"/>
  <c r="U21" i="3" s="1"/>
  <c r="V21" i="3" s="1"/>
  <c r="J22" i="3" s="1"/>
  <c r="I22" i="3" l="1"/>
  <c r="K22" i="3"/>
  <c r="T22" i="3" l="1"/>
  <c r="Q22" i="3"/>
  <c r="O22" i="3"/>
  <c r="L22" i="3"/>
  <c r="M22" i="3" s="1"/>
  <c r="N22" i="3" l="1"/>
  <c r="P22" i="3" s="1"/>
  <c r="R22" i="3"/>
  <c r="S22" i="3" l="1"/>
  <c r="U22" i="3" s="1"/>
  <c r="V22" i="3" s="1"/>
  <c r="J23" i="3" s="1"/>
  <c r="K23" i="3" l="1"/>
  <c r="I23" i="3"/>
  <c r="O23" i="3" l="1"/>
  <c r="T23" i="3"/>
  <c r="Q23" i="3"/>
  <c r="L23" i="3"/>
  <c r="M23" i="3" s="1"/>
  <c r="N23" i="3" l="1"/>
  <c r="P23" i="3" s="1"/>
  <c r="R23" i="3"/>
  <c r="S23" i="3" l="1"/>
  <c r="U23" i="3" s="1"/>
  <c r="V23" i="3" s="1"/>
  <c r="J24" i="3" s="1"/>
  <c r="K24" i="3" l="1"/>
  <c r="I24" i="3"/>
  <c r="O24" i="3" l="1"/>
  <c r="Q24" i="3"/>
  <c r="T24" i="3"/>
  <c r="L24" i="3"/>
  <c r="M24" i="3" s="1"/>
  <c r="N24" i="3" l="1"/>
  <c r="P24" i="3" s="1"/>
  <c r="R24" i="3"/>
  <c r="S24" i="3" l="1"/>
  <c r="U24" i="3" s="1"/>
  <c r="V24" i="3" s="1"/>
  <c r="J25" i="3" s="1"/>
  <c r="I25" i="3" l="1"/>
  <c r="K25" i="3"/>
  <c r="Q25" i="3" l="1"/>
  <c r="T25" i="3"/>
  <c r="O25" i="3"/>
  <c r="L25" i="3"/>
  <c r="M25" i="3" s="1"/>
  <c r="N25" i="3" l="1"/>
  <c r="P25" i="3" s="1"/>
  <c r="R25" i="3"/>
  <c r="S25" i="3" l="1"/>
  <c r="U25" i="3" s="1"/>
  <c r="V25" i="3" s="1"/>
  <c r="J26" i="3" s="1"/>
  <c r="K26" i="3" l="1"/>
  <c r="I26" i="3"/>
  <c r="T26" i="3" l="1"/>
  <c r="Q26" i="3"/>
  <c r="O26" i="3"/>
  <c r="L26" i="3"/>
  <c r="M26" i="3" s="1"/>
  <c r="N26" i="3" l="1"/>
  <c r="P26" i="3" s="1"/>
  <c r="R26" i="3"/>
  <c r="S26" i="3" l="1"/>
  <c r="U26" i="3" s="1"/>
  <c r="V26" i="3" s="1"/>
  <c r="J27" i="3" s="1"/>
  <c r="K27" i="3" l="1"/>
  <c r="I27" i="3"/>
  <c r="Q27" i="3" l="1"/>
  <c r="O27" i="3"/>
  <c r="T27" i="3"/>
  <c r="L27" i="3"/>
  <c r="M27" i="3" s="1"/>
  <c r="N27" i="3" l="1"/>
  <c r="P27" i="3" s="1"/>
  <c r="R27" i="3"/>
  <c r="S27" i="3" l="1"/>
  <c r="U27" i="3" s="1"/>
  <c r="V27" i="3" s="1"/>
  <c r="J28" i="3" s="1"/>
  <c r="K28" i="3" l="1"/>
  <c r="I28" i="3"/>
  <c r="T28" i="3" l="1"/>
  <c r="O28" i="3"/>
  <c r="Q28" i="3"/>
  <c r="L28" i="3"/>
  <c r="M28" i="3" s="1"/>
  <c r="N28" i="3" l="1"/>
  <c r="P28" i="3" s="1"/>
  <c r="R28" i="3"/>
  <c r="S28" i="3" l="1"/>
  <c r="U28" i="3" s="1"/>
  <c r="V28" i="3" s="1"/>
  <c r="J29" i="3" s="1"/>
  <c r="I29" i="3" l="1"/>
  <c r="K29" i="3"/>
  <c r="O29" i="3" l="1"/>
  <c r="T29" i="3"/>
  <c r="Q29" i="3"/>
  <c r="L29" i="3"/>
  <c r="M29" i="3" s="1"/>
  <c r="R29" i="3" l="1"/>
  <c r="S29" i="3"/>
  <c r="U29" i="3" s="1"/>
  <c r="N29" i="3"/>
  <c r="P29" i="3" s="1"/>
  <c r="V29" i="3" s="1"/>
  <c r="J30" i="3" s="1"/>
  <c r="I30" i="3" l="1"/>
  <c r="K30" i="3"/>
  <c r="T30" i="3" l="1"/>
  <c r="O30" i="3"/>
  <c r="Q30" i="3"/>
  <c r="L30" i="3"/>
  <c r="M30" i="3" s="1"/>
  <c r="N30" i="3" l="1"/>
  <c r="P30" i="3" s="1"/>
  <c r="R30" i="3"/>
  <c r="S30" i="3" l="1"/>
  <c r="U30" i="3" s="1"/>
  <c r="V30" i="3" s="1"/>
  <c r="J31" i="3" s="1"/>
  <c r="I31" i="3" l="1"/>
  <c r="K31" i="3"/>
  <c r="T31" i="3" l="1"/>
  <c r="Q31" i="3"/>
  <c r="O31" i="3"/>
  <c r="L31" i="3"/>
  <c r="M31" i="3" s="1"/>
  <c r="N31" i="3" l="1"/>
  <c r="P31" i="3" s="1"/>
  <c r="R31" i="3"/>
  <c r="S31" i="3" l="1"/>
  <c r="U31" i="3" s="1"/>
  <c r="V31" i="3" s="1"/>
  <c r="J32" i="3" s="1"/>
  <c r="K32" i="3" l="1"/>
  <c r="I32" i="3"/>
  <c r="T32" i="3" l="1"/>
  <c r="Q32" i="3"/>
  <c r="O32" i="3"/>
  <c r="L32" i="3"/>
  <c r="M32" i="3" s="1"/>
  <c r="N32" i="3" l="1"/>
  <c r="P32" i="3" s="1"/>
  <c r="R32" i="3"/>
  <c r="S32" i="3" l="1"/>
  <c r="U32" i="3" s="1"/>
  <c r="V32" i="3" s="1"/>
  <c r="J33" i="3" s="1"/>
  <c r="I33" i="3" l="1"/>
  <c r="K33" i="3"/>
  <c r="O33" i="3" l="1"/>
  <c r="T33" i="3"/>
  <c r="Q33" i="3"/>
  <c r="L33" i="3"/>
  <c r="M33" i="3" s="1"/>
  <c r="N33" i="3" l="1"/>
  <c r="P33" i="3" s="1"/>
  <c r="R33" i="3"/>
  <c r="S33" i="3" l="1"/>
  <c r="U33" i="3" s="1"/>
  <c r="V33" i="3" s="1"/>
  <c r="J34" i="3" s="1"/>
  <c r="I34" i="3" l="1"/>
  <c r="K34" i="3"/>
  <c r="Q34" i="3" l="1"/>
  <c r="T34" i="3"/>
  <c r="O34" i="3"/>
  <c r="L34" i="3"/>
  <c r="M34" i="3" s="1"/>
  <c r="N34" i="3" l="1"/>
  <c r="P34" i="3" s="1"/>
  <c r="R34" i="3"/>
  <c r="S34" i="3" l="1"/>
  <c r="U34" i="3" s="1"/>
  <c r="V34" i="3" s="1"/>
  <c r="J35" i="3" s="1"/>
  <c r="I35" i="3" l="1"/>
  <c r="K35" i="3"/>
  <c r="T35" i="3" l="1"/>
  <c r="O35" i="3"/>
  <c r="Q35" i="3"/>
  <c r="L35" i="3"/>
  <c r="M35" i="3" s="1"/>
  <c r="N35" i="3" l="1"/>
  <c r="P35" i="3" s="1"/>
  <c r="R35" i="3"/>
  <c r="S35" i="3" l="1"/>
  <c r="U35" i="3" s="1"/>
  <c r="V35" i="3" s="1"/>
  <c r="J36" i="3" s="1"/>
  <c r="K36" i="3" l="1"/>
  <c r="I36" i="3"/>
  <c r="O36" i="3" l="1"/>
  <c r="Q36" i="3"/>
  <c r="T36" i="3"/>
  <c r="L36" i="3"/>
  <c r="M36" i="3" s="1"/>
  <c r="N36" i="3" l="1"/>
  <c r="P36" i="3" s="1"/>
  <c r="R36" i="3"/>
  <c r="S36" i="3" l="1"/>
  <c r="U36" i="3" s="1"/>
  <c r="V36" i="3" s="1"/>
  <c r="J37" i="3" s="1"/>
  <c r="I37" i="3" l="1"/>
  <c r="K37" i="3"/>
  <c r="T37" i="3" l="1"/>
  <c r="O37" i="3"/>
  <c r="Q37" i="3"/>
  <c r="L37" i="3"/>
  <c r="M37" i="3" s="1"/>
  <c r="N37" i="3" l="1"/>
  <c r="P37" i="3" s="1"/>
  <c r="R37" i="3"/>
  <c r="S37" i="3" l="1"/>
  <c r="U37" i="3" s="1"/>
  <c r="V37" i="3" s="1"/>
  <c r="J38" i="3" s="1"/>
  <c r="I38" i="3" l="1"/>
  <c r="K38" i="3"/>
  <c r="T38" i="3" l="1"/>
  <c r="Q38" i="3"/>
  <c r="O38" i="3"/>
  <c r="L38" i="3"/>
  <c r="M38" i="3" s="1"/>
  <c r="N38" i="3" l="1"/>
  <c r="P38" i="3" s="1"/>
  <c r="R38" i="3"/>
  <c r="S38" i="3" l="1"/>
  <c r="U38" i="3" s="1"/>
  <c r="V38" i="3" s="1"/>
  <c r="J39" i="3" s="1"/>
  <c r="K39" i="3" l="1"/>
  <c r="I39" i="3"/>
  <c r="T39" i="3" l="1"/>
  <c r="O39" i="3"/>
  <c r="Q39" i="3"/>
  <c r="L39" i="3"/>
  <c r="M39" i="3" s="1"/>
  <c r="N39" i="3" l="1"/>
  <c r="P39" i="3" s="1"/>
  <c r="R39" i="3"/>
  <c r="S39" i="3" l="1"/>
  <c r="U39" i="3" s="1"/>
  <c r="V39" i="3" s="1"/>
  <c r="J40" i="3" s="1"/>
  <c r="I40" i="3" l="1"/>
  <c r="K40" i="3"/>
  <c r="Q40" i="3" l="1"/>
  <c r="T40" i="3"/>
  <c r="O40" i="3"/>
  <c r="L40" i="3"/>
  <c r="M40" i="3" s="1"/>
  <c r="N40" i="3" l="1"/>
  <c r="P40" i="3" s="1"/>
  <c r="R40" i="3"/>
  <c r="S40" i="3" l="1"/>
  <c r="U40" i="3" s="1"/>
  <c r="V40" i="3" s="1"/>
  <c r="J41" i="3" s="1"/>
  <c r="I41" i="3" l="1"/>
  <c r="K41" i="3"/>
  <c r="T41" i="3" l="1"/>
  <c r="Q41" i="3"/>
  <c r="O41" i="3"/>
  <c r="L41" i="3"/>
  <c r="M41" i="3" s="1"/>
  <c r="N41" i="3" l="1"/>
  <c r="P41" i="3" s="1"/>
  <c r="R41" i="3"/>
  <c r="S41" i="3" l="1"/>
  <c r="U41" i="3" s="1"/>
  <c r="V41" i="3" s="1"/>
  <c r="J42" i="3" s="1"/>
  <c r="K42" i="3" l="1"/>
  <c r="I42" i="3"/>
  <c r="T42" i="3" l="1"/>
  <c r="Q42" i="3"/>
  <c r="O42" i="3"/>
  <c r="L42" i="3"/>
  <c r="M42" i="3" s="1"/>
  <c r="N42" i="3" l="1"/>
  <c r="P42" i="3" s="1"/>
  <c r="R42" i="3"/>
  <c r="S42" i="3" l="1"/>
  <c r="U42" i="3" s="1"/>
  <c r="V42" i="3" s="1"/>
  <c r="J43" i="3" s="1"/>
  <c r="K43" i="3" l="1"/>
  <c r="I43" i="3"/>
  <c r="Q43" i="3" l="1"/>
  <c r="T43" i="3"/>
  <c r="O43" i="3"/>
  <c r="L43" i="3"/>
  <c r="M43" i="3" s="1"/>
  <c r="N43" i="3" l="1"/>
  <c r="P43" i="3" s="1"/>
  <c r="R43" i="3"/>
  <c r="S43" i="3" l="1"/>
  <c r="U43" i="3" s="1"/>
  <c r="V43" i="3" s="1"/>
  <c r="J44" i="3" s="1"/>
  <c r="K44" i="3" l="1"/>
  <c r="I44" i="3"/>
  <c r="O44" i="3" l="1"/>
  <c r="Q44" i="3"/>
  <c r="T44" i="3"/>
  <c r="L44" i="3"/>
  <c r="M44" i="3" s="1"/>
  <c r="N44" i="3" l="1"/>
  <c r="P44" i="3" s="1"/>
  <c r="R44" i="3"/>
  <c r="S44" i="3" l="1"/>
  <c r="U44" i="3" s="1"/>
  <c r="V44" i="3" s="1"/>
  <c r="J45" i="3" s="1"/>
  <c r="I45" i="3" l="1"/>
  <c r="K45" i="3"/>
  <c r="O45" i="3" l="1"/>
  <c r="Q45" i="3"/>
  <c r="T45" i="3"/>
  <c r="L45" i="3"/>
  <c r="M45" i="3" s="1"/>
  <c r="N45" i="3" l="1"/>
  <c r="P45" i="3" s="1"/>
  <c r="R45" i="3"/>
  <c r="S45" i="3" l="1"/>
  <c r="U45" i="3" s="1"/>
  <c r="V45" i="3" s="1"/>
  <c r="J46" i="3" s="1"/>
  <c r="K46" i="3" l="1"/>
  <c r="I46" i="3"/>
  <c r="T46" i="3" l="1"/>
  <c r="O46" i="3"/>
  <c r="Q46" i="3"/>
  <c r="L46" i="3"/>
  <c r="M46" i="3" s="1"/>
  <c r="R46" i="3" l="1"/>
  <c r="N46" i="3"/>
  <c r="P46" i="3" s="1"/>
  <c r="S46" i="3" l="1"/>
  <c r="U46" i="3" s="1"/>
  <c r="V46" i="3" s="1"/>
  <c r="J47" i="3" s="1"/>
  <c r="I47" i="3" l="1"/>
  <c r="K47" i="3"/>
  <c r="O47" i="3" l="1"/>
  <c r="T47" i="3"/>
  <c r="Q47" i="3"/>
  <c r="L47" i="3"/>
  <c r="M47" i="3" s="1"/>
  <c r="N47" i="3" l="1"/>
  <c r="P47" i="3" s="1"/>
  <c r="R47" i="3"/>
  <c r="S47" i="3" l="1"/>
  <c r="U47" i="3"/>
  <c r="V47" i="3" s="1"/>
  <c r="J48" i="3" s="1"/>
  <c r="I48" i="3" l="1"/>
  <c r="K48" i="3"/>
  <c r="T48" i="3" l="1"/>
  <c r="O48" i="3"/>
  <c r="Q48" i="3"/>
  <c r="L48" i="3"/>
  <c r="M48" i="3" s="1"/>
  <c r="N48" i="3" l="1"/>
  <c r="C48" i="3" s="1"/>
  <c r="C16" i="1" s="1"/>
  <c r="R48" i="3"/>
  <c r="S48" i="3" l="1"/>
  <c r="U48" i="3" s="1"/>
  <c r="P48" i="3"/>
  <c r="V48" i="3" l="1"/>
</calcChain>
</file>

<file path=xl/sharedStrings.xml><?xml version="1.0" encoding="utf-8"?>
<sst xmlns="http://schemas.openxmlformats.org/spreadsheetml/2006/main" count="92" uniqueCount="78">
  <si>
    <t>Known Information:</t>
  </si>
  <si>
    <t>pH =</t>
  </si>
  <si>
    <t>Alkalinity =</t>
  </si>
  <si>
    <t>Calcium =</t>
  </si>
  <si>
    <t xml:space="preserve">TDS = </t>
  </si>
  <si>
    <t xml:space="preserve">Temperature = </t>
  </si>
  <si>
    <t>mg/L</t>
  </si>
  <si>
    <t xml:space="preserve">Saturation Ratio = </t>
  </si>
  <si>
    <t>M</t>
  </si>
  <si>
    <t>Alkalinity Check =</t>
  </si>
  <si>
    <t>THIS SHEET CALCULATES THE DETAILED CHEMISTRY OF THE INITIAL WATER BEFORE CHEMICAL ADDITION:</t>
  </si>
  <si>
    <t>--</t>
  </si>
  <si>
    <t>CCPP Calculations</t>
  </si>
  <si>
    <t>Alk =</t>
  </si>
  <si>
    <t>Temp =</t>
  </si>
  <si>
    <t>Tolerable Error =</t>
  </si>
  <si>
    <t>TDS =</t>
  </si>
  <si>
    <t>Flag</t>
  </si>
  <si>
    <t>[H]old</t>
  </si>
  <si>
    <t>[HCO3]</t>
  </si>
  <si>
    <t>[CO3]</t>
  </si>
  <si>
    <t>[Ca]</t>
  </si>
  <si>
    <t>[OH]</t>
  </si>
  <si>
    <t>F([H])</t>
  </si>
  <si>
    <t>d[HCO3]/d[H]</t>
  </si>
  <si>
    <t>d[CO3]/d[H]</t>
  </si>
  <si>
    <t>d[Ca]/d[H]</t>
  </si>
  <si>
    <t>d[OH]/d[H]</t>
  </si>
  <si>
    <t>dF/d[H]</t>
  </si>
  <si>
    <t>[H]new</t>
  </si>
  <si>
    <t>Total Acidity =</t>
  </si>
  <si>
    <t>eq/L</t>
  </si>
  <si>
    <t>Tot. Alk - 2 Ca =</t>
  </si>
  <si>
    <t>E =</t>
  </si>
  <si>
    <t>A =</t>
  </si>
  <si>
    <t>LSI =</t>
  </si>
  <si>
    <t>CCPP =</t>
  </si>
  <si>
    <t>AI =</t>
  </si>
  <si>
    <t>RI =</t>
  </si>
  <si>
    <t>pH</t>
  </si>
  <si>
    <r>
      <t>mg/L as CaCO</t>
    </r>
    <r>
      <rPr>
        <i/>
        <vertAlign val="subscript"/>
        <sz val="16"/>
        <rFont val="Calibri"/>
        <family val="2"/>
      </rPr>
      <t>3</t>
    </r>
  </si>
  <si>
    <r>
      <t>o</t>
    </r>
    <r>
      <rPr>
        <i/>
        <sz val="16"/>
        <rFont val="Calibri"/>
        <family val="2"/>
      </rPr>
      <t>C</t>
    </r>
  </si>
  <si>
    <r>
      <t>g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</si>
  <si>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g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</si>
  <si>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</si>
  <si>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</si>
  <si>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</si>
  <si>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</si>
  <si>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</si>
  <si>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</si>
  <si>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w</t>
    </r>
    <r>
      <rPr>
        <sz val="16"/>
        <rFont val="Calibri"/>
        <family val="2"/>
      </rPr>
      <t xml:space="preserve"> =</t>
    </r>
  </si>
  <si>
    <r>
      <t>pK</t>
    </r>
    <r>
      <rPr>
        <vertAlign val="subscript"/>
        <sz val="16"/>
        <rFont val="Calibri"/>
        <family val="2"/>
      </rPr>
      <t>so</t>
    </r>
    <r>
      <rPr>
        <sz val="16"/>
        <rFont val="Calibri"/>
        <family val="2"/>
      </rPr>
      <t xml:space="preserve"> =</t>
    </r>
  </si>
  <si>
    <r>
      <t>H</t>
    </r>
    <r>
      <rPr>
        <vertAlign val="superscript"/>
        <sz val="16"/>
        <rFont val="Calibri"/>
        <family val="2"/>
      </rPr>
      <t>+</t>
    </r>
    <r>
      <rPr>
        <sz val="16"/>
        <rFont val="Calibri"/>
        <family val="2"/>
      </rPr>
      <t xml:space="preserve"> =</t>
    </r>
  </si>
  <si>
    <r>
      <t>OH</t>
    </r>
    <r>
      <rPr>
        <vertAlign val="superscript"/>
        <sz val="16"/>
        <rFont val="Calibri"/>
        <family val="2"/>
      </rPr>
      <t>–</t>
    </r>
    <r>
      <rPr>
        <sz val="16"/>
        <rFont val="Calibri"/>
        <family val="2"/>
      </rPr>
      <t xml:space="preserve"> =</t>
    </r>
  </si>
  <si>
    <r>
      <t>C</t>
    </r>
    <r>
      <rPr>
        <vertAlign val="subscript"/>
        <sz val="16"/>
        <rFont val="Calibri"/>
        <family val="2"/>
      </rPr>
      <t>T,CO3</t>
    </r>
    <r>
      <rPr>
        <sz val="16"/>
        <rFont val="Calibri"/>
        <family val="2"/>
      </rPr>
      <t xml:space="preserve"> =</t>
    </r>
  </si>
  <si>
    <r>
      <t>[H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CO</t>
    </r>
    <r>
      <rPr>
        <vertAlign val="subscript"/>
        <sz val="16"/>
        <rFont val="Calibri"/>
        <family val="2"/>
      </rPr>
      <t>3</t>
    </r>
    <r>
      <rPr>
        <sz val="16"/>
        <rFont val="Calibri"/>
        <family val="2"/>
      </rPr>
      <t>] =</t>
    </r>
  </si>
  <si>
    <r>
      <t>[HCO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-</t>
    </r>
    <r>
      <rPr>
        <sz val="16"/>
        <rFont val="Calibri"/>
        <family val="2"/>
      </rPr>
      <t>] =</t>
    </r>
  </si>
  <si>
    <r>
      <t>a</t>
    </r>
    <r>
      <rPr>
        <vertAlign val="subscript"/>
        <sz val="16"/>
        <rFont val="Symbol"/>
        <family val="1"/>
      </rPr>
      <t>1</t>
    </r>
    <r>
      <rPr>
        <sz val="16"/>
        <rFont val="Symbol"/>
        <family val="1"/>
      </rPr>
      <t xml:space="preserve"> =</t>
    </r>
  </si>
  <si>
    <r>
      <t>a</t>
    </r>
    <r>
      <rPr>
        <vertAlign val="subscript"/>
        <sz val="16"/>
        <rFont val="Symbol"/>
        <family val="1"/>
      </rPr>
      <t>2</t>
    </r>
    <r>
      <rPr>
        <sz val="16"/>
        <rFont val="Symbol"/>
        <family val="1"/>
      </rPr>
      <t xml:space="preserve"> =</t>
    </r>
  </si>
  <si>
    <r>
      <t>pH</t>
    </r>
    <r>
      <rPr>
        <vertAlign val="subscript"/>
        <sz val="16"/>
        <rFont val="Calibri"/>
        <family val="2"/>
      </rPr>
      <t>s</t>
    </r>
    <r>
      <rPr>
        <sz val="16"/>
        <rFont val="Calibri"/>
        <family val="2"/>
      </rPr>
      <t xml:space="preserve"> =</t>
    </r>
  </si>
  <si>
    <r>
      <t>[CO</t>
    </r>
    <r>
      <rPr>
        <vertAlign val="subscript"/>
        <sz val="16"/>
        <rFont val="Calibri"/>
        <family val="2"/>
      </rPr>
      <t>3</t>
    </r>
    <r>
      <rPr>
        <vertAlign val="superscript"/>
        <sz val="16"/>
        <rFont val="Calibri"/>
        <family val="2"/>
      </rPr>
      <t>2-</t>
    </r>
    <r>
      <rPr>
        <sz val="16"/>
        <rFont val="Calibri"/>
        <family val="2"/>
      </rPr>
      <t xml:space="preserve">] = </t>
    </r>
  </si>
  <si>
    <t>I =</t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</si>
  <si>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1</t>
    </r>
    <r>
      <rPr>
        <sz val="16"/>
        <rFont val="Calibri"/>
        <family val="2"/>
      </rPr>
      <t>) =</t>
    </r>
  </si>
  <si>
    <r>
      <t>Log(</t>
    </r>
    <r>
      <rPr>
        <sz val="16"/>
        <rFont val="Symbol"/>
        <family val="1"/>
      </rPr>
      <t>g</t>
    </r>
    <r>
      <rPr>
        <vertAlign val="subscript"/>
        <sz val="16"/>
        <rFont val="Calibri"/>
        <family val="2"/>
      </rPr>
      <t>2</t>
    </r>
    <r>
      <rPr>
        <sz val="16"/>
        <rFont val="Calibri"/>
        <family val="2"/>
      </rPr>
      <t>) =</t>
    </r>
  </si>
  <si>
    <r>
      <rPr>
        <vertAlign val="superscript"/>
        <sz val="18"/>
        <color theme="1"/>
        <rFont val="Calibri (Body)"/>
      </rPr>
      <t>o</t>
    </r>
    <r>
      <rPr>
        <sz val="18"/>
        <color theme="1"/>
        <rFont val="Calibri"/>
        <family val="2"/>
        <scheme val="minor"/>
      </rPr>
      <t>C</t>
    </r>
  </si>
  <si>
    <r>
      <t>a</t>
    </r>
    <r>
      <rPr>
        <vertAlign val="subscript"/>
        <sz val="16"/>
        <rFont val="Symbol"/>
        <family val="1"/>
      </rPr>
      <t>o</t>
    </r>
    <r>
      <rPr>
        <sz val="16"/>
        <rFont val="Symbol"/>
        <family val="1"/>
      </rPr>
      <t xml:space="preserve"> = </t>
    </r>
  </si>
  <si>
    <r>
      <t>mg/L as CaCO</t>
    </r>
    <r>
      <rPr>
        <vertAlign val="sub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 xml:space="preserve">  </t>
    </r>
  </si>
  <si>
    <t>© WQTS, Inc. 2016</t>
  </si>
  <si>
    <t>LSI &amp; CCPP Calculator</t>
  </si>
  <si>
    <t xml:space="preserve">Aggressive Index (AI) = </t>
  </si>
  <si>
    <t xml:space="preserve">Ryznar Index (RI) = </t>
  </si>
  <si>
    <t>Calculated Values:</t>
  </si>
  <si>
    <t>ENTER VALUES IN YELLOW CELLS ONLY</t>
  </si>
  <si>
    <t xml:space="preserve">CCPP = </t>
  </si>
  <si>
    <t>Ver. 1.0</t>
  </si>
  <si>
    <t>mg C/L</t>
  </si>
  <si>
    <t>Dissolved Inorganic Carbon (DIC) =</t>
  </si>
  <si>
    <t xml:space="preserve">Saturation Index (SI)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</si>
</sst>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%"/>
    <numFmt numFmtId="166" formatCode="0.0"/>
    <numFmt numFmtId="167" formatCode="0.00000"/>
    <numFmt numFmtId="168" formatCode="0.0000E+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name val="Calibri"/>
      <family val="2"/>
    </font>
    <font>
      <i/>
      <sz val="16"/>
      <name val="Calibri"/>
      <family val="2"/>
    </font>
    <font>
      <b/>
      <i/>
      <sz val="16"/>
      <name val="Calibri"/>
      <family val="2"/>
    </font>
    <font>
      <i/>
      <vertAlign val="subscript"/>
      <sz val="16"/>
      <name val="Calibri"/>
      <family val="2"/>
    </font>
    <font>
      <i/>
      <vertAlign val="superscript"/>
      <sz val="16"/>
      <name val="Calibri"/>
      <family val="2"/>
    </font>
    <font>
      <b/>
      <sz val="16"/>
      <name val="Calibri"/>
      <family val="2"/>
    </font>
    <font>
      <sz val="16"/>
      <name val="Symbol"/>
      <family val="1"/>
    </font>
    <font>
      <vertAlign val="subscript"/>
      <sz val="16"/>
      <name val="Symbol"/>
      <family val="1"/>
    </font>
    <font>
      <vertAlign val="subscript"/>
      <sz val="16"/>
      <name val="Calibri"/>
      <family val="2"/>
    </font>
    <font>
      <vertAlign val="superscript"/>
      <sz val="16"/>
      <name val="Calibri"/>
      <family val="2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 (Body)"/>
    </font>
    <font>
      <vertAlign val="subscript"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/>
    <xf numFmtId="168" fontId="2" fillId="0" borderId="0" xfId="0" applyNumberFormat="1" applyFont="1" applyBorder="1"/>
    <xf numFmtId="0" fontId="7" fillId="0" borderId="0" xfId="2" applyFont="1"/>
    <xf numFmtId="0" fontId="7" fillId="0" borderId="0" xfId="2" applyFont="1" applyAlignment="1">
      <alignment horizontal="right"/>
    </xf>
    <xf numFmtId="2" fontId="7" fillId="0" borderId="11" xfId="2" applyNumberFormat="1" applyFont="1" applyBorder="1" applyAlignment="1">
      <alignment horizontal="center"/>
    </xf>
    <xf numFmtId="0" fontId="8" fillId="0" borderId="0" xfId="2" quotePrefix="1" applyFont="1"/>
    <xf numFmtId="0" fontId="9" fillId="0" borderId="2" xfId="2" applyFont="1" applyBorder="1"/>
    <xf numFmtId="0" fontId="9" fillId="0" borderId="3" xfId="2" applyFont="1" applyBorder="1"/>
    <xf numFmtId="0" fontId="7" fillId="0" borderId="3" xfId="2" applyFont="1" applyBorder="1"/>
    <xf numFmtId="0" fontId="7" fillId="0" borderId="4" xfId="2" applyFont="1" applyBorder="1"/>
    <xf numFmtId="1" fontId="7" fillId="0" borderId="11" xfId="2" applyNumberFormat="1" applyFont="1" applyBorder="1" applyAlignment="1">
      <alignment horizontal="center"/>
    </xf>
    <xf numFmtId="0" fontId="8" fillId="0" borderId="0" xfId="2" applyFont="1"/>
    <xf numFmtId="0" fontId="7" fillId="0" borderId="5" xfId="2" applyFont="1" applyBorder="1"/>
    <xf numFmtId="0" fontId="7" fillId="0" borderId="0" xfId="2" applyFont="1" applyBorder="1"/>
    <xf numFmtId="0" fontId="7" fillId="0" borderId="6" xfId="2" applyFont="1" applyBorder="1"/>
    <xf numFmtId="165" fontId="7" fillId="0" borderId="0" xfId="2" applyNumberFormat="1" applyFont="1" applyBorder="1"/>
    <xf numFmtId="0" fontId="7" fillId="0" borderId="11" xfId="2" applyFont="1" applyBorder="1" applyAlignment="1">
      <alignment horizontal="center"/>
    </xf>
    <xf numFmtId="0" fontId="11" fillId="0" borderId="0" xfId="2" applyFont="1"/>
    <xf numFmtId="0" fontId="12" fillId="0" borderId="7" xfId="2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167" fontId="7" fillId="0" borderId="0" xfId="2" applyNumberFormat="1" applyFont="1" applyBorder="1" applyAlignment="1">
      <alignment horizontal="center"/>
    </xf>
    <xf numFmtId="11" fontId="7" fillId="0" borderId="0" xfId="2" applyNumberFormat="1" applyFont="1" applyBorder="1"/>
    <xf numFmtId="0" fontId="7" fillId="0" borderId="0" xfId="2" applyFont="1" applyAlignment="1">
      <alignment horizontal="center"/>
    </xf>
    <xf numFmtId="0" fontId="13" fillId="0" borderId="0" xfId="2" applyFont="1" applyFill="1" applyBorder="1" applyAlignment="1">
      <alignment horizontal="right"/>
    </xf>
    <xf numFmtId="164" fontId="7" fillId="0" borderId="0" xfId="2" applyNumberFormat="1" applyFont="1" applyAlignment="1">
      <alignment horizontal="center"/>
    </xf>
    <xf numFmtId="11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/>
    <xf numFmtId="2" fontId="7" fillId="0" borderId="0" xfId="2" applyNumberFormat="1" applyFont="1"/>
    <xf numFmtId="0" fontId="7" fillId="0" borderId="0" xfId="2" applyFont="1" applyFill="1" applyBorder="1" applyAlignment="1">
      <alignment horizontal="right"/>
    </xf>
    <xf numFmtId="168" fontId="7" fillId="0" borderId="0" xfId="2" applyNumberFormat="1" applyFont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9" fontId="7" fillId="0" borderId="0" xfId="3" applyFont="1"/>
    <xf numFmtId="1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11" fontId="7" fillId="0" borderId="10" xfId="2" applyNumberFormat="1" applyFont="1" applyBorder="1"/>
    <xf numFmtId="0" fontId="7" fillId="0" borderId="8" xfId="2" applyFont="1" applyBorder="1"/>
    <xf numFmtId="11" fontId="7" fillId="0" borderId="0" xfId="2" applyNumberFormat="1" applyFont="1"/>
    <xf numFmtId="2" fontId="2" fillId="0" borderId="0" xfId="0" applyNumberFormat="1" applyFont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  <xf numFmtId="0" fontId="17" fillId="0" borderId="5" xfId="0" applyFont="1" applyBorder="1" applyAlignment="1">
      <alignment horizontal="right"/>
    </xf>
    <xf numFmtId="0" fontId="17" fillId="0" borderId="0" xfId="0" applyFont="1" applyBorder="1"/>
    <xf numFmtId="0" fontId="17" fillId="0" borderId="6" xfId="0" applyFont="1" applyBorder="1"/>
    <xf numFmtId="0" fontId="17" fillId="2" borderId="1" xfId="1" applyFont="1" applyBorder="1"/>
    <xf numFmtId="0" fontId="17" fillId="0" borderId="7" xfId="0" applyFont="1" applyBorder="1" applyAlignment="1">
      <alignment horizontal="right"/>
    </xf>
    <xf numFmtId="0" fontId="17" fillId="2" borderId="12" xfId="1" applyFont="1" applyBorder="1"/>
    <xf numFmtId="0" fontId="17" fillId="0" borderId="10" xfId="0" applyFont="1" applyBorder="1"/>
    <xf numFmtId="0" fontId="17" fillId="0" borderId="8" xfId="0" applyFont="1" applyBorder="1"/>
    <xf numFmtId="0" fontId="17" fillId="0" borderId="0" xfId="0" applyFont="1"/>
    <xf numFmtId="0" fontId="17" fillId="3" borderId="3" xfId="0" applyFont="1" applyFill="1" applyBorder="1"/>
    <xf numFmtId="0" fontId="17" fillId="3" borderId="4" xfId="0" applyFont="1" applyFill="1" applyBorder="1"/>
    <xf numFmtId="0" fontId="17" fillId="3" borderId="2" xfId="0" applyFont="1" applyFill="1" applyBorder="1" applyAlignment="1">
      <alignment horizontal="right" vertical="center"/>
    </xf>
    <xf numFmtId="0" fontId="17" fillId="3" borderId="5" xfId="0" applyFont="1" applyFill="1" applyBorder="1" applyAlignment="1">
      <alignment horizontal="right" vertical="center"/>
    </xf>
    <xf numFmtId="166" fontId="17" fillId="3" borderId="0" xfId="0" applyNumberFormat="1" applyFont="1" applyFill="1" applyBorder="1" applyAlignment="1">
      <alignment horizontal="right" vertical="center"/>
    </xf>
    <xf numFmtId="0" fontId="17" fillId="3" borderId="0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right" vertical="center"/>
    </xf>
    <xf numFmtId="2" fontId="17" fillId="3" borderId="0" xfId="0" applyNumberFormat="1" applyFont="1" applyFill="1" applyBorder="1" applyAlignment="1">
      <alignment horizontal="right" vertical="center"/>
    </xf>
    <xf numFmtId="2" fontId="17" fillId="2" borderId="1" xfId="1" applyNumberFormat="1" applyFont="1"/>
    <xf numFmtId="0" fontId="20" fillId="0" borderId="9" xfId="0" applyFont="1" applyBorder="1" applyAlignment="1">
      <alignment horizontal="left"/>
    </xf>
    <xf numFmtId="0" fontId="20" fillId="3" borderId="2" xfId="0" applyFont="1" applyFill="1" applyBorder="1"/>
    <xf numFmtId="0" fontId="0" fillId="0" borderId="0" xfId="0" applyFont="1" applyAlignment="1">
      <alignment horizontal="right"/>
    </xf>
    <xf numFmtId="166" fontId="0" fillId="0" borderId="0" xfId="0" applyNumberFormat="1" applyFont="1" applyAlignment="1">
      <alignment horizontal="left"/>
    </xf>
    <xf numFmtId="0" fontId="21" fillId="0" borderId="0" xfId="0" applyFont="1" applyAlignment="1">
      <alignment horizontal="right" vertical="center"/>
    </xf>
    <xf numFmtId="0" fontId="2" fillId="3" borderId="8" xfId="0" applyFont="1" applyFill="1" applyBorder="1"/>
    <xf numFmtId="166" fontId="17" fillId="3" borderId="10" xfId="0" applyNumberFormat="1" applyFont="1" applyFill="1" applyBorder="1"/>
    <xf numFmtId="0" fontId="17" fillId="3" borderId="10" xfId="0" applyFont="1" applyFill="1" applyBorder="1"/>
    <xf numFmtId="0" fontId="2" fillId="2" borderId="13" xfId="1" applyFont="1" applyBorder="1" applyAlignment="1">
      <alignment horizontal="left"/>
    </xf>
    <xf numFmtId="0" fontId="2" fillId="2" borderId="14" xfId="1" applyFont="1" applyBorder="1" applyAlignment="1">
      <alignment horizontal="left"/>
    </xf>
  </cellXfs>
  <cellStyles count="2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2" xr:uid="{00000000-0005-0000-0000-000019000000}"/>
    <cellStyle name="Note" xfId="1" builtinId="10"/>
    <cellStyle name="Percent 2" xfId="3" xr:uid="{00000000-0005-0000-0000-00001B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qts/Documents/!!WQTS%20Work%20Files/Mathematical%20Models/Najm%20Models/Lime%20Softening%20Model%20-%20V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atic"/>
      <sheetName val="Raw Water Conditions"/>
      <sheetName val="pH After Chem Addition"/>
      <sheetName val="WQ After Chem Addition"/>
      <sheetName val="pH After Precipitation"/>
      <sheetName val="WQ After Precipitation"/>
      <sheetName val="pH After Acid Addition"/>
      <sheetName val="WQ After Acid Add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tabSelected="1" zoomScale="99" workbookViewId="0">
      <selection activeCell="C12" sqref="C12"/>
    </sheetView>
  </sheetViews>
  <sheetFormatPr baseColWidth="10" defaultColWidth="10.83203125" defaultRowHeight="21"/>
  <cols>
    <col min="1" max="1" width="1.1640625" style="1" customWidth="1"/>
    <col min="2" max="2" width="44.83203125" style="1" bestFit="1" customWidth="1"/>
    <col min="3" max="3" width="9.5" style="1" customWidth="1"/>
    <col min="4" max="4" width="11.83203125" style="1" customWidth="1"/>
    <col min="5" max="5" width="8.6640625" style="1" bestFit="1" customWidth="1"/>
    <col min="6" max="16384" width="10.83203125" style="1"/>
  </cols>
  <sheetData>
    <row r="1" spans="2:5" ht="26">
      <c r="B1" s="4" t="s">
        <v>68</v>
      </c>
    </row>
    <row r="2" spans="2:5">
      <c r="B2" s="1" t="s">
        <v>67</v>
      </c>
      <c r="E2" s="70" t="s">
        <v>74</v>
      </c>
    </row>
    <row r="4" spans="2:5">
      <c r="B4" s="74" t="s">
        <v>72</v>
      </c>
      <c r="C4" s="75"/>
    </row>
    <row r="5" spans="2:5" ht="22" thickBot="1">
      <c r="D5" s="68"/>
      <c r="E5" s="69"/>
    </row>
    <row r="6" spans="2:5" ht="25" thickBot="1">
      <c r="B6" s="66" t="s">
        <v>0</v>
      </c>
      <c r="C6" s="45"/>
      <c r="D6" s="45"/>
      <c r="E6" s="46"/>
    </row>
    <row r="7" spans="2:5" ht="24">
      <c r="B7" s="47" t="s">
        <v>1</v>
      </c>
      <c r="C7" s="65">
        <v>8.08</v>
      </c>
      <c r="D7" s="48"/>
      <c r="E7" s="49"/>
    </row>
    <row r="8" spans="2:5" ht="26">
      <c r="B8" s="47" t="s">
        <v>2</v>
      </c>
      <c r="C8" s="50">
        <v>190</v>
      </c>
      <c r="D8" s="48" t="s">
        <v>66</v>
      </c>
      <c r="E8" s="49"/>
    </row>
    <row r="9" spans="2:5" ht="24">
      <c r="B9" s="47" t="s">
        <v>3</v>
      </c>
      <c r="C9" s="50">
        <v>61.2</v>
      </c>
      <c r="D9" s="48" t="s">
        <v>6</v>
      </c>
      <c r="E9" s="49"/>
    </row>
    <row r="10" spans="2:5" ht="24">
      <c r="B10" s="47" t="s">
        <v>4</v>
      </c>
      <c r="C10" s="50">
        <v>364</v>
      </c>
      <c r="D10" s="48" t="s">
        <v>6</v>
      </c>
      <c r="E10" s="49"/>
    </row>
    <row r="11" spans="2:5" ht="28" thickBot="1">
      <c r="B11" s="51" t="s">
        <v>5</v>
      </c>
      <c r="C11" s="52">
        <v>18</v>
      </c>
      <c r="D11" s="53" t="s">
        <v>64</v>
      </c>
      <c r="E11" s="54"/>
    </row>
    <row r="12" spans="2:5" ht="24">
      <c r="B12" s="55"/>
      <c r="C12" s="55"/>
      <c r="D12" s="55"/>
      <c r="E12" s="55"/>
    </row>
    <row r="13" spans="2:5" ht="25" thickBot="1">
      <c r="B13" s="55"/>
      <c r="C13" s="55"/>
      <c r="D13" s="55"/>
      <c r="E13" s="55"/>
    </row>
    <row r="14" spans="2:5" ht="25" thickBot="1">
      <c r="B14" s="67" t="s">
        <v>71</v>
      </c>
      <c r="C14" s="56"/>
      <c r="D14" s="56"/>
      <c r="E14" s="57"/>
    </row>
    <row r="15" spans="2:5" ht="24">
      <c r="B15" s="58" t="s">
        <v>77</v>
      </c>
      <c r="C15" s="64">
        <f>Calculations!C46</f>
        <v>0.67259263086092791</v>
      </c>
      <c r="D15" s="61"/>
      <c r="E15" s="62"/>
    </row>
    <row r="16" spans="2:5" ht="32" customHeight="1">
      <c r="B16" s="59" t="s">
        <v>73</v>
      </c>
      <c r="C16" s="60">
        <f>Calculations!C48</f>
        <v>18.876687058776412</v>
      </c>
      <c r="D16" s="61" t="s">
        <v>66</v>
      </c>
      <c r="E16" s="62"/>
    </row>
    <row r="17" spans="2:5" ht="32" customHeight="1">
      <c r="B17" s="59" t="s">
        <v>69</v>
      </c>
      <c r="C17" s="60">
        <f>Calculations!C49</f>
        <v>12.543445031770428</v>
      </c>
      <c r="D17" s="61"/>
      <c r="E17" s="62"/>
    </row>
    <row r="18" spans="2:5" ht="32" customHeight="1">
      <c r="B18" s="59" t="s">
        <v>70</v>
      </c>
      <c r="C18" s="60">
        <f>Calculations!C50</f>
        <v>6.7348147382781445</v>
      </c>
      <c r="D18" s="61"/>
      <c r="E18" s="62"/>
    </row>
    <row r="19" spans="2:5" ht="25" thickBot="1">
      <c r="B19" s="63" t="s">
        <v>76</v>
      </c>
      <c r="C19" s="72">
        <f>Calculations!C32*12*1000</f>
        <v>46.144559845184567</v>
      </c>
      <c r="D19" s="73" t="s">
        <v>75</v>
      </c>
      <c r="E19" s="71"/>
    </row>
  </sheetData>
  <mergeCells count="1">
    <mergeCell ref="B4:C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52"/>
  <sheetViews>
    <sheetView workbookViewId="0">
      <selection activeCell="C22" sqref="C22"/>
    </sheetView>
  </sheetViews>
  <sheetFormatPr baseColWidth="10" defaultColWidth="9.1640625" defaultRowHeight="21"/>
  <cols>
    <col min="1" max="1" width="1.6640625" style="6" customWidth="1"/>
    <col min="2" max="2" width="32" style="6" customWidth="1"/>
    <col min="3" max="3" width="22.1640625" style="6" customWidth="1"/>
    <col min="4" max="4" width="12.5" style="6" bestFit="1" customWidth="1"/>
    <col min="5" max="5" width="9.6640625" style="6" bestFit="1" customWidth="1"/>
    <col min="6" max="6" width="16.6640625" style="6" customWidth="1"/>
    <col min="7" max="8" width="9.1640625" style="6"/>
    <col min="9" max="9" width="14.5" style="6" customWidth="1"/>
    <col min="10" max="10" width="20" style="6" customWidth="1"/>
    <col min="11" max="20" width="19.5" style="6" customWidth="1"/>
    <col min="21" max="21" width="11.6640625" style="6" bestFit="1" customWidth="1"/>
    <col min="22" max="22" width="17.6640625" style="6" bestFit="1" customWidth="1"/>
    <col min="23" max="16384" width="9.1640625" style="6"/>
  </cols>
  <sheetData>
    <row r="2" spans="2:22">
      <c r="B2" s="6" t="s">
        <v>10</v>
      </c>
    </row>
    <row r="5" spans="2:22" ht="22" thickBot="1"/>
    <row r="6" spans="2:22">
      <c r="B6" s="7" t="s">
        <v>1</v>
      </c>
      <c r="C6" s="8">
        <f>Portal!C7</f>
        <v>8.08</v>
      </c>
      <c r="D6" s="9" t="s">
        <v>11</v>
      </c>
      <c r="I6" s="10" t="s">
        <v>12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2:22" ht="25">
      <c r="B7" s="7" t="s">
        <v>13</v>
      </c>
      <c r="C7" s="14">
        <f>Portal!C8</f>
        <v>190</v>
      </c>
      <c r="D7" s="15" t="s">
        <v>40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2:22" ht="25">
      <c r="B8" s="7" t="s">
        <v>3</v>
      </c>
      <c r="C8" s="14">
        <f>Portal!C9*2.5</f>
        <v>153</v>
      </c>
      <c r="D8" s="15" t="s">
        <v>40</v>
      </c>
      <c r="I8" s="16" t="s">
        <v>15</v>
      </c>
      <c r="J8" s="19">
        <v>1E-8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8"/>
    </row>
    <row r="9" spans="2:22">
      <c r="B9" s="7" t="s">
        <v>16</v>
      </c>
      <c r="C9" s="14">
        <f>Portal!C10</f>
        <v>364</v>
      </c>
      <c r="D9" s="15" t="s">
        <v>6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8"/>
    </row>
    <row r="10" spans="2:22" ht="24">
      <c r="B10" s="7" t="s">
        <v>14</v>
      </c>
      <c r="C10" s="20">
        <f>Portal!C11</f>
        <v>18</v>
      </c>
      <c r="D10" s="21" t="s">
        <v>41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8"/>
    </row>
    <row r="11" spans="2:22" ht="22" thickBot="1">
      <c r="I11" s="22" t="s">
        <v>17</v>
      </c>
      <c r="J11" s="23" t="s">
        <v>39</v>
      </c>
      <c r="K11" s="23" t="s">
        <v>18</v>
      </c>
      <c r="L11" s="23" t="s">
        <v>19</v>
      </c>
      <c r="M11" s="23" t="s">
        <v>20</v>
      </c>
      <c r="N11" s="23" t="s">
        <v>21</v>
      </c>
      <c r="O11" s="23" t="s">
        <v>22</v>
      </c>
      <c r="P11" s="23" t="s">
        <v>23</v>
      </c>
      <c r="Q11" s="23" t="s">
        <v>24</v>
      </c>
      <c r="R11" s="23" t="s">
        <v>25</v>
      </c>
      <c r="S11" s="23" t="s">
        <v>26</v>
      </c>
      <c r="T11" s="23" t="s">
        <v>27</v>
      </c>
      <c r="U11" s="23" t="s">
        <v>28</v>
      </c>
      <c r="V11" s="24" t="s">
        <v>29</v>
      </c>
    </row>
    <row r="12" spans="2:22">
      <c r="B12" s="7" t="s">
        <v>61</v>
      </c>
      <c r="C12" s="28">
        <f>C9*0.000025</f>
        <v>9.1000000000000004E-3</v>
      </c>
      <c r="I12" s="25">
        <v>1</v>
      </c>
      <c r="J12" s="26">
        <f>C6</f>
        <v>8.08</v>
      </c>
      <c r="K12" s="27">
        <f>10^(-J12)/C18</f>
        <v>9.1742788333889117E-9</v>
      </c>
      <c r="L12" s="27">
        <f t="shared" ref="L12:L48" si="0">($C$36+$C$22/$C$18^2/K12-K12)/(1+2*$C$18^2/$C$20*K12)</f>
        <v>3.7506545272039016E-3</v>
      </c>
      <c r="M12" s="27">
        <f>$C$21/$C$19*L12/K12</f>
        <v>2.42964149433061E-5</v>
      </c>
      <c r="N12" s="27">
        <f>$C$23/$C$19^2/M12</f>
        <v>3.2516126163303156E-4</v>
      </c>
      <c r="O12" s="27">
        <f>$C$22/$C$18^2/K12</f>
        <v>7.6181718831964212E-7</v>
      </c>
      <c r="P12" s="27">
        <f>$C$37-2*M12-L12-O12+K12+2*N12</f>
        <v>-2.4096774767339369E-3</v>
      </c>
      <c r="Q12" s="27">
        <f t="shared" ref="Q12:Q48" si="1">((-$C$22/$C$18^2/K12^2-1)*(1+2*$C$18^2*K12/$C$20)-(2*$C$18^2/$C$20)*($C$36+$C$22/$C$18^2/K12-K12))/(1+2*$C$18^2/$C$20*K12)^2</f>
        <v>-14878.84169356026</v>
      </c>
      <c r="R12" s="27">
        <f>$C$21/$C$19*(Q12*K12-L12)/K12^2</f>
        <v>-2744.7026286149403</v>
      </c>
      <c r="S12" s="27">
        <f>$C$23/$C$19^2*(-R12)/M12^2</f>
        <v>36732.619672920788</v>
      </c>
      <c r="T12" s="27">
        <f>-$C$22/$C$18^2/K12^2</f>
        <v>-83.03837305958929</v>
      </c>
      <c r="U12" s="27">
        <f>-2*R12-Q12-T12+1+2*S12</f>
        <v>93917.524669691309</v>
      </c>
      <c r="V12" s="18">
        <f>IF((K12-P12/U12)&lt;0,K12/10,K12-P12/U12)</f>
        <v>3.4831657317423622E-8</v>
      </c>
    </row>
    <row r="13" spans="2:22">
      <c r="B13" s="7" t="s">
        <v>33</v>
      </c>
      <c r="C13" s="32">
        <f>60954/(C10+273.15+116)-68.937</f>
        <v>80.771952474517988</v>
      </c>
      <c r="D13" s="15"/>
      <c r="I13" s="25">
        <f>IF(ABS((J13-J12)/J12)&gt;$J$8,1,0)</f>
        <v>1</v>
      </c>
      <c r="J13" s="26">
        <f>-LOG(V12*$C$18)</f>
        <v>7.5005977964665496</v>
      </c>
      <c r="K13" s="17">
        <f>10^(-J13)/$C$18</f>
        <v>3.4831657317423629E-8</v>
      </c>
      <c r="L13" s="27">
        <f t="shared" si="0"/>
        <v>3.4053679474277789E-3</v>
      </c>
      <c r="M13" s="27">
        <f>$C$21/$C$19*L13/K13</f>
        <v>5.8102788171999309E-6</v>
      </c>
      <c r="N13" s="27">
        <f>$C$23/$C$19^2/M13</f>
        <v>1.3597028963116635E-3</v>
      </c>
      <c r="O13" s="27">
        <f>$C$22/$C$18^2/K13</f>
        <v>2.0065434274402499E-7</v>
      </c>
      <c r="P13" s="27">
        <f>$C$37-2*M13-L13-O13+K13+2*N13</f>
        <v>4.2251464875721779E-5</v>
      </c>
      <c r="Q13" s="27">
        <f t="shared" si="1"/>
        <v>-12206.425614421967</v>
      </c>
      <c r="R13" s="27">
        <f>$C$21/$C$19*(Q13*K13-L13)/K13^2</f>
        <v>-187.63703567268408</v>
      </c>
      <c r="S13" s="27">
        <f>$C$23/$C$19^2*(-R13)/M13^2</f>
        <v>43910.219954373053</v>
      </c>
      <c r="T13" s="27">
        <f>-$C$22/$C$18^2/K13^2</f>
        <v>-5.7606889306312992</v>
      </c>
      <c r="U13" s="27">
        <f>-2*R13-Q13-T13+1+2*S13</f>
        <v>100408.90028344408</v>
      </c>
      <c r="V13" s="18">
        <f>IF((K13-P13/U13)&lt;0,K13/10,K13-P13/U13)</f>
        <v>3.4410863296610234E-8</v>
      </c>
    </row>
    <row r="14" spans="2:22">
      <c r="B14" s="7" t="s">
        <v>34</v>
      </c>
      <c r="C14" s="28">
        <f>1820000*(C13*(C10+273.15))^(-1.5)</f>
        <v>0.5046674850561782</v>
      </c>
      <c r="I14" s="25">
        <f t="shared" ref="I14:I48" si="2">IF(ABS((J14-J13)/J13)&gt;$J$8,1,0)</f>
        <v>1</v>
      </c>
      <c r="J14" s="26">
        <f t="shared" ref="J14:J48" si="3">-LOG(V13*$C$18)</f>
        <v>7.5058763671885158</v>
      </c>
      <c r="K14" s="17">
        <f t="shared" ref="K14:K48" si="4">10^(-J14)/$C$18</f>
        <v>3.4410863296610195E-8</v>
      </c>
      <c r="L14" s="27">
        <f t="shared" si="0"/>
        <v>3.4105121195915139E-3</v>
      </c>
      <c r="M14" s="27">
        <f t="shared" ref="M14:M48" si="5">$C$21/$C$19*L14/K14</f>
        <v>5.890214320575056E-6</v>
      </c>
      <c r="N14" s="27">
        <f t="shared" ref="N14:N48" si="6">$C$23/$C$19^2/M14</f>
        <v>1.3412505056953103E-3</v>
      </c>
      <c r="O14" s="27">
        <f t="shared" ref="O14:O48" si="7">$C$22/$C$18^2/K14</f>
        <v>2.0310804891667E-7</v>
      </c>
      <c r="P14" s="27">
        <f t="shared" ref="P14:P48" si="8">$C$37-2*M14-L14-O14+K14+2*N14</f>
        <v>3.9765972336194833E-8</v>
      </c>
      <c r="Q14" s="27">
        <f t="shared" si="1"/>
        <v>-12243.437941060347</v>
      </c>
      <c r="R14" s="27">
        <f t="shared" ref="R14:R48" si="9">$C$21/$C$19*(Q14*K14-L14)/K14^2</f>
        <v>-192.31845543336578</v>
      </c>
      <c r="S14" s="27">
        <f t="shared" ref="S14:S48" si="10">$C$23/$C$19^2*(-R14)/M14^2</f>
        <v>43792.502541632428</v>
      </c>
      <c r="T14" s="27">
        <f t="shared" ref="T14:T48" si="11">-$C$22/$C$18^2/K14^2</f>
        <v>-5.9024397954200154</v>
      </c>
      <c r="U14" s="27">
        <f>-2*R14-Q14-T14+1+2*S14</f>
        <v>100219.98237498736</v>
      </c>
      <c r="V14" s="18">
        <f t="shared" ref="V14:V48" si="12">IF((K14-P14/U14)&lt;0,K14/10,K14-P14/U14)</f>
        <v>3.4410466509747993E-8</v>
      </c>
    </row>
    <row r="15" spans="2:22" ht="25">
      <c r="B15" s="7" t="s">
        <v>62</v>
      </c>
      <c r="C15" s="28">
        <f>-1*C14*1^2*(SQRT(C12)/(1+SQRT(C12))-0.3*C12)</f>
        <v>-4.2571935486603658E-2</v>
      </c>
      <c r="I15" s="25">
        <f t="shared" si="2"/>
        <v>1</v>
      </c>
      <c r="J15" s="26">
        <f t="shared" si="3"/>
        <v>7.5058813750064486</v>
      </c>
      <c r="K15" s="17">
        <f t="shared" si="4"/>
        <v>3.4410466509747966E-8</v>
      </c>
      <c r="L15" s="27">
        <f t="shared" si="0"/>
        <v>3.410516977633777E-3</v>
      </c>
      <c r="M15" s="27">
        <f t="shared" si="5"/>
        <v>5.8902906309034448E-6</v>
      </c>
      <c r="N15" s="27">
        <f t="shared" si="6"/>
        <v>1.34123312942766E-3</v>
      </c>
      <c r="O15" s="27">
        <f t="shared" si="7"/>
        <v>2.0311039095424163E-7</v>
      </c>
      <c r="P15" s="27">
        <f t="shared" si="8"/>
        <v>3.5292081757010152E-14</v>
      </c>
      <c r="Q15" s="27">
        <f t="shared" si="1"/>
        <v>-12243.472923051826</v>
      </c>
      <c r="R15" s="27">
        <f t="shared" si="9"/>
        <v>-192.32295112222792</v>
      </c>
      <c r="S15" s="27">
        <f t="shared" si="10"/>
        <v>43792.391540256584</v>
      </c>
      <c r="T15" s="27">
        <f t="shared" si="11"/>
        <v>-5.90257591819348</v>
      </c>
      <c r="U15" s="27">
        <f>-2*R15-Q15-T15+1+2*S15</f>
        <v>100219.80448172764</v>
      </c>
      <c r="V15" s="18">
        <f t="shared" si="12"/>
        <v>3.4410466509395819E-8</v>
      </c>
    </row>
    <row r="16" spans="2:22" ht="25">
      <c r="B16" s="7" t="s">
        <v>63</v>
      </c>
      <c r="C16" s="28">
        <f>-1*C14*2^2*(SQRT(C12)/(1+SQRT(C12))-0.3*C12)</f>
        <v>-0.17028774194641463</v>
      </c>
      <c r="I16" s="25">
        <f t="shared" si="2"/>
        <v>0</v>
      </c>
      <c r="J16" s="26">
        <f t="shared" si="3"/>
        <v>7.505881375010893</v>
      </c>
      <c r="K16" s="17">
        <f t="shared" si="4"/>
        <v>3.4410466509395759E-8</v>
      </c>
      <c r="L16" s="27">
        <f t="shared" si="0"/>
        <v>3.4105169776380896E-3</v>
      </c>
      <c r="M16" s="27">
        <f t="shared" si="5"/>
        <v>5.8902906309711828E-6</v>
      </c>
      <c r="N16" s="27">
        <f t="shared" si="6"/>
        <v>1.3412331294122358E-3</v>
      </c>
      <c r="O16" s="27">
        <f t="shared" si="7"/>
        <v>2.0311039095632054E-7</v>
      </c>
      <c r="P16" s="27">
        <f t="shared" si="8"/>
        <v>-7.3725747729014302E-18</v>
      </c>
      <c r="Q16" s="27">
        <f t="shared" si="1"/>
        <v>-12243.472923082876</v>
      </c>
      <c r="R16" s="27">
        <f t="shared" si="9"/>
        <v>-192.32295112621858</v>
      </c>
      <c r="S16" s="27">
        <f t="shared" si="10"/>
        <v>43792.391540158045</v>
      </c>
      <c r="T16" s="27">
        <f t="shared" si="11"/>
        <v>-5.9025759183143123</v>
      </c>
      <c r="U16" s="27">
        <f t="shared" ref="U16:U48" si="13">-2*R16-Q16-T16+1+2*S16</f>
        <v>100219.80448156972</v>
      </c>
      <c r="V16" s="18">
        <f t="shared" si="12"/>
        <v>3.4410466509395832E-8</v>
      </c>
    </row>
    <row r="17" spans="2:22">
      <c r="B17" s="7"/>
      <c r="I17" s="25">
        <f t="shared" si="2"/>
        <v>0</v>
      </c>
      <c r="J17" s="26">
        <f t="shared" si="3"/>
        <v>7.505881375010893</v>
      </c>
      <c r="K17" s="17">
        <f t="shared" si="4"/>
        <v>3.4410466509395759E-8</v>
      </c>
      <c r="L17" s="27">
        <f t="shared" si="0"/>
        <v>3.4105169776380896E-3</v>
      </c>
      <c r="M17" s="27">
        <f t="shared" si="5"/>
        <v>5.8902906309711828E-6</v>
      </c>
      <c r="N17" s="27">
        <f t="shared" si="6"/>
        <v>1.3412331294122358E-3</v>
      </c>
      <c r="O17" s="27">
        <f t="shared" si="7"/>
        <v>2.0311039095632054E-7</v>
      </c>
      <c r="P17" s="27">
        <f t="shared" si="8"/>
        <v>-7.3725747729014302E-18</v>
      </c>
      <c r="Q17" s="27">
        <f t="shared" si="1"/>
        <v>-12243.472923082876</v>
      </c>
      <c r="R17" s="27">
        <f t="shared" si="9"/>
        <v>-192.32295112621858</v>
      </c>
      <c r="S17" s="27">
        <f t="shared" si="10"/>
        <v>43792.391540158045</v>
      </c>
      <c r="T17" s="27">
        <f t="shared" si="11"/>
        <v>-5.9025759183143123</v>
      </c>
      <c r="U17" s="27">
        <f t="shared" si="13"/>
        <v>100219.80448156972</v>
      </c>
      <c r="V17" s="18">
        <f t="shared" si="12"/>
        <v>3.4410466509395832E-8</v>
      </c>
    </row>
    <row r="18" spans="2:22" ht="23">
      <c r="B18" s="29" t="s">
        <v>42</v>
      </c>
      <c r="C18" s="30">
        <f>10^(C15)</f>
        <v>0.90662578084671397</v>
      </c>
      <c r="D18" s="15"/>
      <c r="I18" s="25">
        <f t="shared" si="2"/>
        <v>0</v>
      </c>
      <c r="J18" s="26">
        <f t="shared" si="3"/>
        <v>7.505881375010893</v>
      </c>
      <c r="K18" s="17">
        <f t="shared" si="4"/>
        <v>3.4410466509395759E-8</v>
      </c>
      <c r="L18" s="27">
        <f t="shared" si="0"/>
        <v>3.4105169776380896E-3</v>
      </c>
      <c r="M18" s="27">
        <f t="shared" si="5"/>
        <v>5.8902906309711828E-6</v>
      </c>
      <c r="N18" s="27">
        <f t="shared" si="6"/>
        <v>1.3412331294122358E-3</v>
      </c>
      <c r="O18" s="27">
        <f t="shared" si="7"/>
        <v>2.0311039095632054E-7</v>
      </c>
      <c r="P18" s="27">
        <f t="shared" si="8"/>
        <v>-7.3725747729014302E-18</v>
      </c>
      <c r="Q18" s="27">
        <f t="shared" si="1"/>
        <v>-12243.472923082876</v>
      </c>
      <c r="R18" s="27">
        <f t="shared" si="9"/>
        <v>-192.32295112621858</v>
      </c>
      <c r="S18" s="27">
        <f t="shared" si="10"/>
        <v>43792.391540158045</v>
      </c>
      <c r="T18" s="27">
        <f t="shared" si="11"/>
        <v>-5.9025759183143123</v>
      </c>
      <c r="U18" s="27">
        <f t="shared" si="13"/>
        <v>100219.80448156972</v>
      </c>
      <c r="V18" s="18">
        <f t="shared" si="12"/>
        <v>3.4410466509395832E-8</v>
      </c>
    </row>
    <row r="19" spans="2:22" ht="23">
      <c r="B19" s="29" t="s">
        <v>43</v>
      </c>
      <c r="C19" s="30">
        <f>10^(C16)</f>
        <v>0.67563518476098661</v>
      </c>
      <c r="D19" s="15"/>
      <c r="I19" s="25">
        <f t="shared" si="2"/>
        <v>0</v>
      </c>
      <c r="J19" s="26">
        <f t="shared" si="3"/>
        <v>7.505881375010893</v>
      </c>
      <c r="K19" s="17">
        <f t="shared" si="4"/>
        <v>3.4410466509395759E-8</v>
      </c>
      <c r="L19" s="27">
        <f t="shared" si="0"/>
        <v>3.4105169776380896E-3</v>
      </c>
      <c r="M19" s="27">
        <f t="shared" si="5"/>
        <v>5.8902906309711828E-6</v>
      </c>
      <c r="N19" s="27">
        <f t="shared" si="6"/>
        <v>1.3412331294122358E-3</v>
      </c>
      <c r="O19" s="27">
        <f t="shared" si="7"/>
        <v>2.0311039095632054E-7</v>
      </c>
      <c r="P19" s="27">
        <f t="shared" si="8"/>
        <v>-7.3725747729014302E-18</v>
      </c>
      <c r="Q19" s="27">
        <f t="shared" si="1"/>
        <v>-12243.472923082876</v>
      </c>
      <c r="R19" s="27">
        <f t="shared" si="9"/>
        <v>-192.32295112621858</v>
      </c>
      <c r="S19" s="27">
        <f t="shared" si="10"/>
        <v>43792.391540158045</v>
      </c>
      <c r="T19" s="27">
        <f t="shared" si="11"/>
        <v>-5.9025759183143123</v>
      </c>
      <c r="U19" s="27">
        <f t="shared" si="13"/>
        <v>100219.80448156972</v>
      </c>
      <c r="V19" s="18">
        <f t="shared" si="12"/>
        <v>3.4410466509395832E-8</v>
      </c>
    </row>
    <row r="20" spans="2:22" ht="25">
      <c r="B20" s="7" t="s">
        <v>44</v>
      </c>
      <c r="C20" s="31">
        <f>10^(-1*(356.309-21834.4/(273+C10)-126.834*LOG(273+C10)+0.06092*(273+C10)+1684915/(273+C10)^2))</f>
        <v>4.0159040551037697E-7</v>
      </c>
      <c r="D20" s="15"/>
      <c r="I20" s="25">
        <f t="shared" si="2"/>
        <v>0</v>
      </c>
      <c r="J20" s="26">
        <f t="shared" si="3"/>
        <v>7.505881375010893</v>
      </c>
      <c r="K20" s="17">
        <f t="shared" si="4"/>
        <v>3.4410466509395759E-8</v>
      </c>
      <c r="L20" s="27">
        <f t="shared" si="0"/>
        <v>3.4105169776380896E-3</v>
      </c>
      <c r="M20" s="27">
        <f t="shared" si="5"/>
        <v>5.8902906309711828E-6</v>
      </c>
      <c r="N20" s="27">
        <f t="shared" si="6"/>
        <v>1.3412331294122358E-3</v>
      </c>
      <c r="O20" s="27">
        <f t="shared" si="7"/>
        <v>2.0311039095632054E-7</v>
      </c>
      <c r="P20" s="27">
        <f t="shared" si="8"/>
        <v>-7.3725747729014302E-18</v>
      </c>
      <c r="Q20" s="27">
        <f t="shared" si="1"/>
        <v>-12243.472923082876</v>
      </c>
      <c r="R20" s="27">
        <f t="shared" si="9"/>
        <v>-192.32295112621858</v>
      </c>
      <c r="S20" s="27">
        <f t="shared" si="10"/>
        <v>43792.391540158045</v>
      </c>
      <c r="T20" s="27">
        <f t="shared" si="11"/>
        <v>-5.9025759183143123</v>
      </c>
      <c r="U20" s="27">
        <f t="shared" si="13"/>
        <v>100219.80448156972</v>
      </c>
      <c r="V20" s="18">
        <f t="shared" si="12"/>
        <v>3.4410466509395832E-8</v>
      </c>
    </row>
    <row r="21" spans="2:22" ht="25">
      <c r="B21" s="7" t="s">
        <v>45</v>
      </c>
      <c r="C21" s="31">
        <f>10^(-1*(107.887-5151.8/(273+C10)-38.926*LOG(273+C10)+0.032528*(273+C10)+563713.9/(273+C10)^2))</f>
        <v>4.0153122747260345E-11</v>
      </c>
      <c r="D21" s="15"/>
      <c r="I21" s="25">
        <f t="shared" si="2"/>
        <v>0</v>
      </c>
      <c r="J21" s="26">
        <f t="shared" si="3"/>
        <v>7.505881375010893</v>
      </c>
      <c r="K21" s="17">
        <f t="shared" si="4"/>
        <v>3.4410466509395759E-8</v>
      </c>
      <c r="L21" s="27">
        <f t="shared" si="0"/>
        <v>3.4105169776380896E-3</v>
      </c>
      <c r="M21" s="27">
        <f t="shared" si="5"/>
        <v>5.8902906309711828E-6</v>
      </c>
      <c r="N21" s="27">
        <f t="shared" si="6"/>
        <v>1.3412331294122358E-3</v>
      </c>
      <c r="O21" s="27">
        <f t="shared" si="7"/>
        <v>2.0311039095632054E-7</v>
      </c>
      <c r="P21" s="27">
        <f t="shared" si="8"/>
        <v>-7.3725747729014302E-18</v>
      </c>
      <c r="Q21" s="27">
        <f t="shared" si="1"/>
        <v>-12243.472923082876</v>
      </c>
      <c r="R21" s="27">
        <f t="shared" si="9"/>
        <v>-192.32295112621858</v>
      </c>
      <c r="S21" s="27">
        <f t="shared" si="10"/>
        <v>43792.391540158045</v>
      </c>
      <c r="T21" s="27">
        <f t="shared" si="11"/>
        <v>-5.9025759183143123</v>
      </c>
      <c r="U21" s="27">
        <f t="shared" si="13"/>
        <v>100219.80448156972</v>
      </c>
      <c r="V21" s="18">
        <f t="shared" si="12"/>
        <v>3.4410466509395832E-8</v>
      </c>
    </row>
    <row r="22" spans="2:22" ht="25">
      <c r="B22" s="7" t="s">
        <v>46</v>
      </c>
      <c r="C22" s="31">
        <f>10^(-1*(-6.088+4471/(273+C10)+0.01706*(273+C10)))</f>
        <v>5.7448518257344413E-15</v>
      </c>
      <c r="D22" s="15"/>
      <c r="I22" s="25">
        <f t="shared" si="2"/>
        <v>0</v>
      </c>
      <c r="J22" s="26">
        <f t="shared" si="3"/>
        <v>7.505881375010893</v>
      </c>
      <c r="K22" s="17">
        <f t="shared" si="4"/>
        <v>3.4410466509395759E-8</v>
      </c>
      <c r="L22" s="27">
        <f t="shared" si="0"/>
        <v>3.4105169776380896E-3</v>
      </c>
      <c r="M22" s="27">
        <f t="shared" si="5"/>
        <v>5.8902906309711828E-6</v>
      </c>
      <c r="N22" s="27">
        <f t="shared" si="6"/>
        <v>1.3412331294122358E-3</v>
      </c>
      <c r="O22" s="27">
        <f t="shared" si="7"/>
        <v>2.0311039095632054E-7</v>
      </c>
      <c r="P22" s="27">
        <f t="shared" si="8"/>
        <v>-7.3725747729014302E-18</v>
      </c>
      <c r="Q22" s="27">
        <f t="shared" si="1"/>
        <v>-12243.472923082876</v>
      </c>
      <c r="R22" s="27">
        <f t="shared" si="9"/>
        <v>-192.32295112621858</v>
      </c>
      <c r="S22" s="27">
        <f t="shared" si="10"/>
        <v>43792.391540158045</v>
      </c>
      <c r="T22" s="27">
        <f t="shared" si="11"/>
        <v>-5.9025759183143123</v>
      </c>
      <c r="U22" s="27">
        <f t="shared" si="13"/>
        <v>100219.80448156972</v>
      </c>
      <c r="V22" s="18">
        <f t="shared" si="12"/>
        <v>3.4410466509395832E-8</v>
      </c>
    </row>
    <row r="23" spans="2:22" ht="25">
      <c r="B23" s="7" t="s">
        <v>47</v>
      </c>
      <c r="C23" s="31">
        <f>10^(-1*(171.9065+0.077993*(C10+273)-2839.319/(C10+273)-71.595*LOG10(C10+273)))</f>
        <v>3.6063303938240078E-9</v>
      </c>
      <c r="D23" s="15"/>
      <c r="I23" s="25">
        <f t="shared" si="2"/>
        <v>0</v>
      </c>
      <c r="J23" s="26">
        <f t="shared" si="3"/>
        <v>7.505881375010893</v>
      </c>
      <c r="K23" s="17">
        <f t="shared" si="4"/>
        <v>3.4410466509395759E-8</v>
      </c>
      <c r="L23" s="27">
        <f t="shared" si="0"/>
        <v>3.4105169776380896E-3</v>
      </c>
      <c r="M23" s="27">
        <f t="shared" si="5"/>
        <v>5.8902906309711828E-6</v>
      </c>
      <c r="N23" s="27">
        <f t="shared" si="6"/>
        <v>1.3412331294122358E-3</v>
      </c>
      <c r="O23" s="27">
        <f t="shared" si="7"/>
        <v>2.0311039095632054E-7</v>
      </c>
      <c r="P23" s="27">
        <f t="shared" si="8"/>
        <v>-7.3725747729014302E-18</v>
      </c>
      <c r="Q23" s="27">
        <f t="shared" si="1"/>
        <v>-12243.472923082876</v>
      </c>
      <c r="R23" s="27">
        <f t="shared" si="9"/>
        <v>-192.32295112621858</v>
      </c>
      <c r="S23" s="27">
        <f t="shared" si="10"/>
        <v>43792.391540158045</v>
      </c>
      <c r="T23" s="27">
        <f t="shared" si="11"/>
        <v>-5.9025759183143123</v>
      </c>
      <c r="U23" s="27">
        <f t="shared" si="13"/>
        <v>100219.80448156972</v>
      </c>
      <c r="V23" s="18">
        <f t="shared" si="12"/>
        <v>3.4410466509395832E-8</v>
      </c>
    </row>
    <row r="24" spans="2:22" ht="25">
      <c r="B24" s="7" t="s">
        <v>48</v>
      </c>
      <c r="C24" s="32">
        <f>-LOG(C20)</f>
        <v>6.3962166715693991</v>
      </c>
      <c r="D24" s="15"/>
      <c r="I24" s="25">
        <f t="shared" si="2"/>
        <v>0</v>
      </c>
      <c r="J24" s="26">
        <f t="shared" si="3"/>
        <v>7.505881375010893</v>
      </c>
      <c r="K24" s="17">
        <f t="shared" si="4"/>
        <v>3.4410466509395759E-8</v>
      </c>
      <c r="L24" s="27">
        <f t="shared" si="0"/>
        <v>3.4105169776380896E-3</v>
      </c>
      <c r="M24" s="27">
        <f t="shared" si="5"/>
        <v>5.8902906309711828E-6</v>
      </c>
      <c r="N24" s="27">
        <f t="shared" si="6"/>
        <v>1.3412331294122358E-3</v>
      </c>
      <c r="O24" s="27">
        <f t="shared" si="7"/>
        <v>2.0311039095632054E-7</v>
      </c>
      <c r="P24" s="27">
        <f t="shared" si="8"/>
        <v>-7.3725747729014302E-18</v>
      </c>
      <c r="Q24" s="27">
        <f t="shared" si="1"/>
        <v>-12243.472923082876</v>
      </c>
      <c r="R24" s="27">
        <f t="shared" si="9"/>
        <v>-192.32295112621858</v>
      </c>
      <c r="S24" s="27">
        <f t="shared" si="10"/>
        <v>43792.391540158045</v>
      </c>
      <c r="T24" s="27">
        <f t="shared" si="11"/>
        <v>-5.9025759183143123</v>
      </c>
      <c r="U24" s="27">
        <f t="shared" si="13"/>
        <v>100219.80448156972</v>
      </c>
      <c r="V24" s="18">
        <f t="shared" si="12"/>
        <v>3.4410466509395832E-8</v>
      </c>
    </row>
    <row r="25" spans="2:22" ht="25">
      <c r="B25" s="7" t="s">
        <v>49</v>
      </c>
      <c r="C25" s="32">
        <f>-LOG(C21)</f>
        <v>10.39628067356921</v>
      </c>
      <c r="D25" s="15"/>
      <c r="I25" s="25">
        <f t="shared" si="2"/>
        <v>0</v>
      </c>
      <c r="J25" s="26">
        <f t="shared" si="3"/>
        <v>7.505881375010893</v>
      </c>
      <c r="K25" s="17">
        <f t="shared" si="4"/>
        <v>3.4410466509395759E-8</v>
      </c>
      <c r="L25" s="27">
        <f t="shared" si="0"/>
        <v>3.4105169776380896E-3</v>
      </c>
      <c r="M25" s="27">
        <f t="shared" si="5"/>
        <v>5.8902906309711828E-6</v>
      </c>
      <c r="N25" s="27">
        <f t="shared" si="6"/>
        <v>1.3412331294122358E-3</v>
      </c>
      <c r="O25" s="27">
        <f t="shared" si="7"/>
        <v>2.0311039095632054E-7</v>
      </c>
      <c r="P25" s="27">
        <f t="shared" si="8"/>
        <v>-7.3725747729014302E-18</v>
      </c>
      <c r="Q25" s="27">
        <f t="shared" si="1"/>
        <v>-12243.472923082876</v>
      </c>
      <c r="R25" s="27">
        <f t="shared" si="9"/>
        <v>-192.32295112621858</v>
      </c>
      <c r="S25" s="27">
        <f t="shared" si="10"/>
        <v>43792.391540158045</v>
      </c>
      <c r="T25" s="27">
        <f t="shared" si="11"/>
        <v>-5.9025759183143123</v>
      </c>
      <c r="U25" s="27">
        <f t="shared" si="13"/>
        <v>100219.80448156972</v>
      </c>
      <c r="V25" s="18">
        <f t="shared" si="12"/>
        <v>3.4410466509395832E-8</v>
      </c>
    </row>
    <row r="26" spans="2:22" ht="25">
      <c r="B26" s="7" t="s">
        <v>50</v>
      </c>
      <c r="C26" s="32">
        <f>-LOG(C22)</f>
        <v>14.240721168384882</v>
      </c>
      <c r="D26" s="15"/>
      <c r="I26" s="25">
        <f t="shared" si="2"/>
        <v>0</v>
      </c>
      <c r="J26" s="26">
        <f t="shared" si="3"/>
        <v>7.505881375010893</v>
      </c>
      <c r="K26" s="17">
        <f t="shared" si="4"/>
        <v>3.4410466509395759E-8</v>
      </c>
      <c r="L26" s="27">
        <f t="shared" si="0"/>
        <v>3.4105169776380896E-3</v>
      </c>
      <c r="M26" s="27">
        <f t="shared" si="5"/>
        <v>5.8902906309711828E-6</v>
      </c>
      <c r="N26" s="27">
        <f t="shared" si="6"/>
        <v>1.3412331294122358E-3</v>
      </c>
      <c r="O26" s="27">
        <f t="shared" si="7"/>
        <v>2.0311039095632054E-7</v>
      </c>
      <c r="P26" s="27">
        <f t="shared" si="8"/>
        <v>-7.3725747729014302E-18</v>
      </c>
      <c r="Q26" s="27">
        <f t="shared" si="1"/>
        <v>-12243.472923082876</v>
      </c>
      <c r="R26" s="27">
        <f t="shared" si="9"/>
        <v>-192.32295112621858</v>
      </c>
      <c r="S26" s="27">
        <f t="shared" si="10"/>
        <v>43792.391540158045</v>
      </c>
      <c r="T26" s="27">
        <f t="shared" si="11"/>
        <v>-5.9025759183143123</v>
      </c>
      <c r="U26" s="27">
        <f t="shared" si="13"/>
        <v>100219.80448156972</v>
      </c>
      <c r="V26" s="18">
        <f t="shared" si="12"/>
        <v>3.4410466509395832E-8</v>
      </c>
    </row>
    <row r="27" spans="2:22" ht="25">
      <c r="B27" s="7" t="s">
        <v>51</v>
      </c>
      <c r="C27" s="32">
        <f>-LOG(C23)</f>
        <v>8.4429344879182242</v>
      </c>
      <c r="D27" s="33"/>
      <c r="F27" s="34"/>
      <c r="I27" s="25">
        <f t="shared" si="2"/>
        <v>0</v>
      </c>
      <c r="J27" s="26">
        <f t="shared" si="3"/>
        <v>7.505881375010893</v>
      </c>
      <c r="K27" s="17">
        <f t="shared" si="4"/>
        <v>3.4410466509395759E-8</v>
      </c>
      <c r="L27" s="27">
        <f t="shared" si="0"/>
        <v>3.4105169776380896E-3</v>
      </c>
      <c r="M27" s="27">
        <f t="shared" si="5"/>
        <v>5.8902906309711828E-6</v>
      </c>
      <c r="N27" s="27">
        <f t="shared" si="6"/>
        <v>1.3412331294122358E-3</v>
      </c>
      <c r="O27" s="27">
        <f t="shared" si="7"/>
        <v>2.0311039095632054E-7</v>
      </c>
      <c r="P27" s="27">
        <f t="shared" si="8"/>
        <v>-7.3725747729014302E-18</v>
      </c>
      <c r="Q27" s="27">
        <f t="shared" si="1"/>
        <v>-12243.472923082876</v>
      </c>
      <c r="R27" s="27">
        <f t="shared" si="9"/>
        <v>-192.32295112621858</v>
      </c>
      <c r="S27" s="27">
        <f t="shared" si="10"/>
        <v>43792.391540158045</v>
      </c>
      <c r="T27" s="27">
        <f t="shared" si="11"/>
        <v>-5.9025759183143123</v>
      </c>
      <c r="U27" s="27">
        <f t="shared" si="13"/>
        <v>100219.80448156972</v>
      </c>
      <c r="V27" s="18">
        <f t="shared" si="12"/>
        <v>3.4410466509395832E-8</v>
      </c>
    </row>
    <row r="28" spans="2:22" ht="24">
      <c r="B28" s="35" t="s">
        <v>52</v>
      </c>
      <c r="C28" s="36">
        <f>10^(-C6)/C18</f>
        <v>9.1742788333889117E-9</v>
      </c>
      <c r="D28" s="15" t="s">
        <v>8</v>
      </c>
      <c r="F28" s="34"/>
      <c r="I28" s="25">
        <f t="shared" si="2"/>
        <v>0</v>
      </c>
      <c r="J28" s="26">
        <f t="shared" si="3"/>
        <v>7.505881375010893</v>
      </c>
      <c r="K28" s="17">
        <f t="shared" si="4"/>
        <v>3.4410466509395759E-8</v>
      </c>
      <c r="L28" s="27">
        <f t="shared" si="0"/>
        <v>3.4105169776380896E-3</v>
      </c>
      <c r="M28" s="27">
        <f t="shared" si="5"/>
        <v>5.8902906309711828E-6</v>
      </c>
      <c r="N28" s="27">
        <f t="shared" si="6"/>
        <v>1.3412331294122358E-3</v>
      </c>
      <c r="O28" s="27">
        <f t="shared" si="7"/>
        <v>2.0311039095632054E-7</v>
      </c>
      <c r="P28" s="27">
        <f t="shared" si="8"/>
        <v>-7.3725747729014302E-18</v>
      </c>
      <c r="Q28" s="27">
        <f t="shared" si="1"/>
        <v>-12243.472923082876</v>
      </c>
      <c r="R28" s="27">
        <f t="shared" si="9"/>
        <v>-192.32295112621858</v>
      </c>
      <c r="S28" s="27">
        <f t="shared" si="10"/>
        <v>43792.391540158045</v>
      </c>
      <c r="T28" s="27">
        <f t="shared" si="11"/>
        <v>-5.9025759183143123</v>
      </c>
      <c r="U28" s="27">
        <f t="shared" si="13"/>
        <v>100219.80448156972</v>
      </c>
      <c r="V28" s="18">
        <f t="shared" si="12"/>
        <v>3.4410466509395832E-8</v>
      </c>
    </row>
    <row r="29" spans="2:22" ht="24">
      <c r="B29" s="35" t="s">
        <v>53</v>
      </c>
      <c r="C29" s="37">
        <f>C22/C28/C18^2</f>
        <v>7.6181718831964212E-7</v>
      </c>
      <c r="D29" s="15" t="s">
        <v>8</v>
      </c>
      <c r="I29" s="25">
        <f t="shared" si="2"/>
        <v>0</v>
      </c>
      <c r="J29" s="26">
        <f t="shared" si="3"/>
        <v>7.505881375010893</v>
      </c>
      <c r="K29" s="17">
        <f t="shared" si="4"/>
        <v>3.4410466509395759E-8</v>
      </c>
      <c r="L29" s="27">
        <f t="shared" si="0"/>
        <v>3.4105169776380896E-3</v>
      </c>
      <c r="M29" s="27">
        <f t="shared" si="5"/>
        <v>5.8902906309711828E-6</v>
      </c>
      <c r="N29" s="27">
        <f t="shared" si="6"/>
        <v>1.3412331294122358E-3</v>
      </c>
      <c r="O29" s="27">
        <f t="shared" si="7"/>
        <v>2.0311039095632054E-7</v>
      </c>
      <c r="P29" s="27">
        <f t="shared" si="8"/>
        <v>-7.3725747729014302E-18</v>
      </c>
      <c r="Q29" s="27">
        <f t="shared" si="1"/>
        <v>-12243.472923082876</v>
      </c>
      <c r="R29" s="27">
        <f t="shared" si="9"/>
        <v>-192.32295112621858</v>
      </c>
      <c r="S29" s="27">
        <f t="shared" si="10"/>
        <v>43792.391540158045</v>
      </c>
      <c r="T29" s="27">
        <f t="shared" si="11"/>
        <v>-5.9025759183143123</v>
      </c>
      <c r="U29" s="27">
        <f t="shared" si="13"/>
        <v>100219.80448156972</v>
      </c>
      <c r="V29" s="18">
        <f t="shared" si="12"/>
        <v>3.4410466509395832E-8</v>
      </c>
    </row>
    <row r="30" spans="2:22">
      <c r="B30" s="35"/>
      <c r="C30" s="37"/>
      <c r="D30" s="15"/>
      <c r="I30" s="25">
        <f t="shared" si="2"/>
        <v>0</v>
      </c>
      <c r="J30" s="26">
        <f t="shared" si="3"/>
        <v>7.505881375010893</v>
      </c>
      <c r="K30" s="17">
        <f t="shared" si="4"/>
        <v>3.4410466509395759E-8</v>
      </c>
      <c r="L30" s="27">
        <f t="shared" si="0"/>
        <v>3.4105169776380896E-3</v>
      </c>
      <c r="M30" s="27">
        <f t="shared" si="5"/>
        <v>5.8902906309711828E-6</v>
      </c>
      <c r="N30" s="27">
        <f t="shared" si="6"/>
        <v>1.3412331294122358E-3</v>
      </c>
      <c r="O30" s="27">
        <f t="shared" si="7"/>
        <v>2.0311039095632054E-7</v>
      </c>
      <c r="P30" s="27">
        <f t="shared" si="8"/>
        <v>-7.3725747729014302E-18</v>
      </c>
      <c r="Q30" s="27">
        <f t="shared" si="1"/>
        <v>-12243.472923082876</v>
      </c>
      <c r="R30" s="27">
        <f t="shared" si="9"/>
        <v>-192.32295112621858</v>
      </c>
      <c r="S30" s="27">
        <f t="shared" si="10"/>
        <v>43792.391540158045</v>
      </c>
      <c r="T30" s="27">
        <f t="shared" si="11"/>
        <v>-5.9025759183143123</v>
      </c>
      <c r="U30" s="27">
        <f t="shared" si="13"/>
        <v>100219.80448156972</v>
      </c>
      <c r="V30" s="18">
        <f t="shared" si="12"/>
        <v>3.4410466509395832E-8</v>
      </c>
    </row>
    <row r="31" spans="2:22">
      <c r="B31" s="35"/>
      <c r="C31" s="37"/>
      <c r="D31" s="15"/>
      <c r="I31" s="25">
        <f t="shared" si="2"/>
        <v>0</v>
      </c>
      <c r="J31" s="26">
        <f t="shared" si="3"/>
        <v>7.505881375010893</v>
      </c>
      <c r="K31" s="17">
        <f t="shared" si="4"/>
        <v>3.4410466509395759E-8</v>
      </c>
      <c r="L31" s="27">
        <f t="shared" si="0"/>
        <v>3.4105169776380896E-3</v>
      </c>
      <c r="M31" s="27">
        <f t="shared" si="5"/>
        <v>5.8902906309711828E-6</v>
      </c>
      <c r="N31" s="27">
        <f t="shared" si="6"/>
        <v>1.3412331294122358E-3</v>
      </c>
      <c r="O31" s="27">
        <f t="shared" si="7"/>
        <v>2.0311039095632054E-7</v>
      </c>
      <c r="P31" s="27">
        <f t="shared" si="8"/>
        <v>-7.3725747729014302E-18</v>
      </c>
      <c r="Q31" s="27">
        <f t="shared" si="1"/>
        <v>-12243.472923082876</v>
      </c>
      <c r="R31" s="27">
        <f t="shared" si="9"/>
        <v>-192.32295112621858</v>
      </c>
      <c r="S31" s="27">
        <f t="shared" si="10"/>
        <v>43792.391540158045</v>
      </c>
      <c r="T31" s="27">
        <f t="shared" si="11"/>
        <v>-5.9025759183143123</v>
      </c>
      <c r="U31" s="27">
        <f t="shared" si="13"/>
        <v>100219.80448156972</v>
      </c>
      <c r="V31" s="18">
        <f t="shared" si="12"/>
        <v>3.4410466509395832E-8</v>
      </c>
    </row>
    <row r="32" spans="2:22" ht="25">
      <c r="B32" s="35" t="s">
        <v>54</v>
      </c>
      <c r="C32" s="36">
        <f>SUM(C33:C35)</f>
        <v>3.8453799870987143E-3</v>
      </c>
      <c r="D32" s="15" t="s">
        <v>8</v>
      </c>
      <c r="I32" s="25">
        <f t="shared" si="2"/>
        <v>0</v>
      </c>
      <c r="J32" s="26">
        <f t="shared" si="3"/>
        <v>7.505881375010893</v>
      </c>
      <c r="K32" s="17">
        <f t="shared" si="4"/>
        <v>3.4410466509395759E-8</v>
      </c>
      <c r="L32" s="27">
        <f t="shared" si="0"/>
        <v>3.4105169776380896E-3</v>
      </c>
      <c r="M32" s="27">
        <f t="shared" si="5"/>
        <v>5.8902906309711828E-6</v>
      </c>
      <c r="N32" s="27">
        <f t="shared" si="6"/>
        <v>1.3412331294122358E-3</v>
      </c>
      <c r="O32" s="27">
        <f t="shared" si="7"/>
        <v>2.0311039095632054E-7</v>
      </c>
      <c r="P32" s="27">
        <f t="shared" si="8"/>
        <v>-7.3725747729014302E-18</v>
      </c>
      <c r="Q32" s="27">
        <f t="shared" si="1"/>
        <v>-12243.472923082876</v>
      </c>
      <c r="R32" s="27">
        <f t="shared" si="9"/>
        <v>-192.32295112621858</v>
      </c>
      <c r="S32" s="27">
        <f t="shared" si="10"/>
        <v>43792.391540158045</v>
      </c>
      <c r="T32" s="27">
        <f t="shared" si="11"/>
        <v>-5.9025759183143123</v>
      </c>
      <c r="U32" s="27">
        <f t="shared" si="13"/>
        <v>100219.80448156972</v>
      </c>
      <c r="V32" s="18">
        <f t="shared" si="12"/>
        <v>3.4410466509395832E-8</v>
      </c>
    </row>
    <row r="33" spans="2:22" ht="25">
      <c r="B33" s="35" t="s">
        <v>55</v>
      </c>
      <c r="C33" s="31">
        <f>C18^2*C28/C20*(C7/50000-C22/(C18)^2/C28+C28)/(1+2*C21/C19/C28)</f>
        <v>7.04290449515074E-5</v>
      </c>
      <c r="D33" s="15" t="s">
        <v>8</v>
      </c>
      <c r="I33" s="25">
        <f t="shared" si="2"/>
        <v>0</v>
      </c>
      <c r="J33" s="26">
        <f t="shared" si="3"/>
        <v>7.505881375010893</v>
      </c>
      <c r="K33" s="17">
        <f t="shared" si="4"/>
        <v>3.4410466509395759E-8</v>
      </c>
      <c r="L33" s="27">
        <f t="shared" si="0"/>
        <v>3.4105169776380896E-3</v>
      </c>
      <c r="M33" s="27">
        <f t="shared" si="5"/>
        <v>5.8902906309711828E-6</v>
      </c>
      <c r="N33" s="27">
        <f t="shared" si="6"/>
        <v>1.3412331294122358E-3</v>
      </c>
      <c r="O33" s="27">
        <f t="shared" si="7"/>
        <v>2.0311039095632054E-7</v>
      </c>
      <c r="P33" s="27">
        <f t="shared" si="8"/>
        <v>-7.3725747729014302E-18</v>
      </c>
      <c r="Q33" s="27">
        <f t="shared" si="1"/>
        <v>-12243.472923082876</v>
      </c>
      <c r="R33" s="27">
        <f t="shared" si="9"/>
        <v>-192.32295112621858</v>
      </c>
      <c r="S33" s="27">
        <f t="shared" si="10"/>
        <v>43792.391540158045</v>
      </c>
      <c r="T33" s="27">
        <f t="shared" si="11"/>
        <v>-5.9025759183143123</v>
      </c>
      <c r="U33" s="27">
        <f t="shared" si="13"/>
        <v>100219.80448156972</v>
      </c>
      <c r="V33" s="18">
        <f t="shared" si="12"/>
        <v>3.4410466509395832E-8</v>
      </c>
    </row>
    <row r="34" spans="2:22" ht="26">
      <c r="B34" s="35" t="s">
        <v>56</v>
      </c>
      <c r="C34" s="36">
        <f>(C7/50000-C22/(C18)^2/C28+C28)/(1+2*C21/C19/C28)</f>
        <v>3.7506545272039012E-3</v>
      </c>
      <c r="D34" s="15" t="s">
        <v>8</v>
      </c>
      <c r="I34" s="25">
        <f t="shared" si="2"/>
        <v>0</v>
      </c>
      <c r="J34" s="26">
        <f t="shared" si="3"/>
        <v>7.505881375010893</v>
      </c>
      <c r="K34" s="17">
        <f t="shared" si="4"/>
        <v>3.4410466509395759E-8</v>
      </c>
      <c r="L34" s="27">
        <f t="shared" si="0"/>
        <v>3.4105169776380896E-3</v>
      </c>
      <c r="M34" s="27">
        <f t="shared" si="5"/>
        <v>5.8902906309711828E-6</v>
      </c>
      <c r="N34" s="27">
        <f t="shared" si="6"/>
        <v>1.3412331294122358E-3</v>
      </c>
      <c r="O34" s="27">
        <f t="shared" si="7"/>
        <v>2.0311039095632054E-7</v>
      </c>
      <c r="P34" s="27">
        <f t="shared" si="8"/>
        <v>-7.3725747729014302E-18</v>
      </c>
      <c r="Q34" s="27">
        <f t="shared" si="1"/>
        <v>-12243.472923082876</v>
      </c>
      <c r="R34" s="27">
        <f t="shared" si="9"/>
        <v>-192.32295112621858</v>
      </c>
      <c r="S34" s="27">
        <f t="shared" si="10"/>
        <v>43792.391540158045</v>
      </c>
      <c r="T34" s="27">
        <f t="shared" si="11"/>
        <v>-5.9025759183143123</v>
      </c>
      <c r="U34" s="27">
        <f t="shared" si="13"/>
        <v>100219.80448156972</v>
      </c>
      <c r="V34" s="18">
        <f t="shared" si="12"/>
        <v>3.4410466509395832E-8</v>
      </c>
    </row>
    <row r="35" spans="2:22" ht="26">
      <c r="B35" s="35" t="s">
        <v>60</v>
      </c>
      <c r="C35" s="37">
        <f>C21/C19/C28*(C7/50000-C22/(C18)^2/C28+C28)/(1+2*C21/C19/C28)</f>
        <v>2.4296414943306097E-5</v>
      </c>
      <c r="D35" s="15" t="s">
        <v>8</v>
      </c>
      <c r="F35" s="5"/>
      <c r="I35" s="25">
        <f t="shared" si="2"/>
        <v>0</v>
      </c>
      <c r="J35" s="26">
        <f t="shared" si="3"/>
        <v>7.505881375010893</v>
      </c>
      <c r="K35" s="17">
        <f t="shared" si="4"/>
        <v>3.4410466509395759E-8</v>
      </c>
      <c r="L35" s="27">
        <f t="shared" si="0"/>
        <v>3.4105169776380896E-3</v>
      </c>
      <c r="M35" s="27">
        <f t="shared" si="5"/>
        <v>5.8902906309711828E-6</v>
      </c>
      <c r="N35" s="27">
        <f t="shared" si="6"/>
        <v>1.3412331294122358E-3</v>
      </c>
      <c r="O35" s="27">
        <f t="shared" si="7"/>
        <v>2.0311039095632054E-7</v>
      </c>
      <c r="P35" s="27">
        <f t="shared" si="8"/>
        <v>-7.3725747729014302E-18</v>
      </c>
      <c r="Q35" s="27">
        <f t="shared" si="1"/>
        <v>-12243.472923082876</v>
      </c>
      <c r="R35" s="27">
        <f t="shared" si="9"/>
        <v>-192.32295112621858</v>
      </c>
      <c r="S35" s="27">
        <f t="shared" si="10"/>
        <v>43792.391540158045</v>
      </c>
      <c r="T35" s="27">
        <f t="shared" si="11"/>
        <v>-5.9025759183143123</v>
      </c>
      <c r="U35" s="27">
        <f t="shared" si="13"/>
        <v>100219.80448156972</v>
      </c>
      <c r="V35" s="18">
        <f t="shared" si="12"/>
        <v>3.4410466509395832E-8</v>
      </c>
    </row>
    <row r="36" spans="2:22">
      <c r="B36" s="35" t="s">
        <v>30</v>
      </c>
      <c r="C36" s="36">
        <f>2*C33+C34+C28-C22/C28/C18^2</f>
        <v>3.8907599741974299E-3</v>
      </c>
      <c r="D36" s="15" t="s">
        <v>31</v>
      </c>
      <c r="I36" s="25">
        <f t="shared" si="2"/>
        <v>0</v>
      </c>
      <c r="J36" s="26">
        <f t="shared" si="3"/>
        <v>7.505881375010893</v>
      </c>
      <c r="K36" s="17">
        <f t="shared" si="4"/>
        <v>3.4410466509395759E-8</v>
      </c>
      <c r="L36" s="27">
        <f t="shared" si="0"/>
        <v>3.4105169776380896E-3</v>
      </c>
      <c r="M36" s="27">
        <f t="shared" si="5"/>
        <v>5.8902906309711828E-6</v>
      </c>
      <c r="N36" s="27">
        <f t="shared" si="6"/>
        <v>1.3412331294122358E-3</v>
      </c>
      <c r="O36" s="27">
        <f t="shared" si="7"/>
        <v>2.0311039095632054E-7</v>
      </c>
      <c r="P36" s="27">
        <f t="shared" si="8"/>
        <v>-7.3725747729014302E-18</v>
      </c>
      <c r="Q36" s="27">
        <f t="shared" si="1"/>
        <v>-12243.472923082876</v>
      </c>
      <c r="R36" s="27">
        <f t="shared" si="9"/>
        <v>-192.32295112621858</v>
      </c>
      <c r="S36" s="27">
        <f t="shared" si="10"/>
        <v>43792.391540158045</v>
      </c>
      <c r="T36" s="27">
        <f t="shared" si="11"/>
        <v>-5.9025759183143123</v>
      </c>
      <c r="U36" s="27">
        <f t="shared" si="13"/>
        <v>100219.80448156972</v>
      </c>
      <c r="V36" s="18">
        <f t="shared" si="12"/>
        <v>3.4410466509395832E-8</v>
      </c>
    </row>
    <row r="37" spans="2:22">
      <c r="B37" s="35" t="s">
        <v>32</v>
      </c>
      <c r="C37" s="36">
        <f>C7/50000-2*C8/100000</f>
        <v>7.4000000000000021E-4</v>
      </c>
      <c r="D37" s="15" t="s">
        <v>31</v>
      </c>
      <c r="I37" s="25">
        <f t="shared" si="2"/>
        <v>0</v>
      </c>
      <c r="J37" s="26">
        <f t="shared" si="3"/>
        <v>7.505881375010893</v>
      </c>
      <c r="K37" s="17">
        <f t="shared" si="4"/>
        <v>3.4410466509395759E-8</v>
      </c>
      <c r="L37" s="27">
        <f t="shared" si="0"/>
        <v>3.4105169776380896E-3</v>
      </c>
      <c r="M37" s="27">
        <f t="shared" si="5"/>
        <v>5.8902906309711828E-6</v>
      </c>
      <c r="N37" s="27">
        <f t="shared" si="6"/>
        <v>1.3412331294122358E-3</v>
      </c>
      <c r="O37" s="27">
        <f t="shared" si="7"/>
        <v>2.0311039095632054E-7</v>
      </c>
      <c r="P37" s="27">
        <f t="shared" si="8"/>
        <v>-7.3725747729014302E-18</v>
      </c>
      <c r="Q37" s="27">
        <f t="shared" si="1"/>
        <v>-12243.472923082876</v>
      </c>
      <c r="R37" s="27">
        <f t="shared" si="9"/>
        <v>-192.32295112621858</v>
      </c>
      <c r="S37" s="27">
        <f t="shared" si="10"/>
        <v>43792.391540158045</v>
      </c>
      <c r="T37" s="27">
        <f t="shared" si="11"/>
        <v>-5.9025759183143123</v>
      </c>
      <c r="U37" s="27">
        <f t="shared" si="13"/>
        <v>100219.80448156972</v>
      </c>
      <c r="V37" s="18">
        <f t="shared" si="12"/>
        <v>3.4410466509395832E-8</v>
      </c>
    </row>
    <row r="38" spans="2:22">
      <c r="B38" s="35"/>
      <c r="C38" s="31"/>
      <c r="D38" s="15"/>
      <c r="I38" s="25">
        <f t="shared" si="2"/>
        <v>0</v>
      </c>
      <c r="J38" s="26">
        <f t="shared" si="3"/>
        <v>7.505881375010893</v>
      </c>
      <c r="K38" s="17">
        <f t="shared" si="4"/>
        <v>3.4410466509395759E-8</v>
      </c>
      <c r="L38" s="27">
        <f t="shared" si="0"/>
        <v>3.4105169776380896E-3</v>
      </c>
      <c r="M38" s="27">
        <f t="shared" si="5"/>
        <v>5.8902906309711828E-6</v>
      </c>
      <c r="N38" s="27">
        <f t="shared" si="6"/>
        <v>1.3412331294122358E-3</v>
      </c>
      <c r="O38" s="27">
        <f t="shared" si="7"/>
        <v>2.0311039095632054E-7</v>
      </c>
      <c r="P38" s="27">
        <f t="shared" si="8"/>
        <v>-7.3725747729014302E-18</v>
      </c>
      <c r="Q38" s="27">
        <f t="shared" si="1"/>
        <v>-12243.472923082876</v>
      </c>
      <c r="R38" s="27">
        <f t="shared" si="9"/>
        <v>-192.32295112621858</v>
      </c>
      <c r="S38" s="27">
        <f t="shared" si="10"/>
        <v>43792.391540158045</v>
      </c>
      <c r="T38" s="27">
        <f t="shared" si="11"/>
        <v>-5.9025759183143123</v>
      </c>
      <c r="U38" s="27">
        <f t="shared" si="13"/>
        <v>100219.80448156972</v>
      </c>
      <c r="V38" s="18">
        <f t="shared" si="12"/>
        <v>3.4410466509395832E-8</v>
      </c>
    </row>
    <row r="39" spans="2:22" ht="23">
      <c r="B39" s="29" t="s">
        <v>65</v>
      </c>
      <c r="C39" s="31">
        <f>C28/(C28+C20)</f>
        <v>2.2334633874491087E-2</v>
      </c>
      <c r="D39" s="38"/>
      <c r="I39" s="25">
        <f t="shared" si="2"/>
        <v>0</v>
      </c>
      <c r="J39" s="26">
        <f t="shared" si="3"/>
        <v>7.505881375010893</v>
      </c>
      <c r="K39" s="17">
        <f t="shared" si="4"/>
        <v>3.4410466509395759E-8</v>
      </c>
      <c r="L39" s="27">
        <f t="shared" si="0"/>
        <v>3.4105169776380896E-3</v>
      </c>
      <c r="M39" s="27">
        <f t="shared" si="5"/>
        <v>5.8902906309711828E-6</v>
      </c>
      <c r="N39" s="27">
        <f t="shared" si="6"/>
        <v>1.3412331294122358E-3</v>
      </c>
      <c r="O39" s="27">
        <f t="shared" si="7"/>
        <v>2.0311039095632054E-7</v>
      </c>
      <c r="P39" s="27">
        <f t="shared" si="8"/>
        <v>-7.3725747729014302E-18</v>
      </c>
      <c r="Q39" s="27">
        <f t="shared" si="1"/>
        <v>-12243.472923082876</v>
      </c>
      <c r="R39" s="27">
        <f t="shared" si="9"/>
        <v>-192.32295112621858</v>
      </c>
      <c r="S39" s="27">
        <f t="shared" si="10"/>
        <v>43792.391540158045</v>
      </c>
      <c r="T39" s="27">
        <f t="shared" si="11"/>
        <v>-5.9025759183143123</v>
      </c>
      <c r="U39" s="27">
        <f t="shared" si="13"/>
        <v>100219.80448156972</v>
      </c>
      <c r="V39" s="18">
        <f t="shared" si="12"/>
        <v>3.4410466509395832E-8</v>
      </c>
    </row>
    <row r="40" spans="2:22" ht="23">
      <c r="B40" s="29" t="s">
        <v>57</v>
      </c>
      <c r="C40" s="31">
        <f>1-C39</f>
        <v>0.97766536612550892</v>
      </c>
      <c r="I40" s="25">
        <f t="shared" si="2"/>
        <v>0</v>
      </c>
      <c r="J40" s="26">
        <f t="shared" si="3"/>
        <v>7.505881375010893</v>
      </c>
      <c r="K40" s="17">
        <f t="shared" si="4"/>
        <v>3.4410466509395759E-8</v>
      </c>
      <c r="L40" s="27">
        <f t="shared" si="0"/>
        <v>3.4105169776380896E-3</v>
      </c>
      <c r="M40" s="27">
        <f t="shared" si="5"/>
        <v>5.8902906309711828E-6</v>
      </c>
      <c r="N40" s="27">
        <f t="shared" si="6"/>
        <v>1.3412331294122358E-3</v>
      </c>
      <c r="O40" s="27">
        <f t="shared" si="7"/>
        <v>2.0311039095632054E-7</v>
      </c>
      <c r="P40" s="27">
        <f t="shared" si="8"/>
        <v>-7.3725747729014302E-18</v>
      </c>
      <c r="Q40" s="27">
        <f t="shared" si="1"/>
        <v>-12243.472923082876</v>
      </c>
      <c r="R40" s="27">
        <f t="shared" si="9"/>
        <v>-192.32295112621858</v>
      </c>
      <c r="S40" s="27">
        <f t="shared" si="10"/>
        <v>43792.391540158045</v>
      </c>
      <c r="T40" s="27">
        <f t="shared" si="11"/>
        <v>-5.9025759183143123</v>
      </c>
      <c r="U40" s="27">
        <f t="shared" si="13"/>
        <v>100219.80448156972</v>
      </c>
      <c r="V40" s="18">
        <f t="shared" si="12"/>
        <v>3.4410466509395832E-8</v>
      </c>
    </row>
    <row r="41" spans="2:22" ht="23">
      <c r="B41" s="29" t="s">
        <v>58</v>
      </c>
      <c r="C41" s="31">
        <f>1-C28/(C28+C21)</f>
        <v>4.3576340829691862E-3</v>
      </c>
      <c r="I41" s="25">
        <f t="shared" si="2"/>
        <v>0</v>
      </c>
      <c r="J41" s="26">
        <f t="shared" si="3"/>
        <v>7.505881375010893</v>
      </c>
      <c r="K41" s="17">
        <f t="shared" si="4"/>
        <v>3.4410466509395759E-8</v>
      </c>
      <c r="L41" s="27">
        <f t="shared" si="0"/>
        <v>3.4105169776380896E-3</v>
      </c>
      <c r="M41" s="27">
        <f t="shared" si="5"/>
        <v>5.8902906309711828E-6</v>
      </c>
      <c r="N41" s="27">
        <f t="shared" si="6"/>
        <v>1.3412331294122358E-3</v>
      </c>
      <c r="O41" s="27">
        <f t="shared" si="7"/>
        <v>2.0311039095632054E-7</v>
      </c>
      <c r="P41" s="27">
        <f t="shared" si="8"/>
        <v>-7.3725747729014302E-18</v>
      </c>
      <c r="Q41" s="27">
        <f t="shared" si="1"/>
        <v>-12243.472923082876</v>
      </c>
      <c r="R41" s="27">
        <f t="shared" si="9"/>
        <v>-192.32295112621858</v>
      </c>
      <c r="S41" s="27">
        <f t="shared" si="10"/>
        <v>43792.391540158045</v>
      </c>
      <c r="T41" s="27">
        <f t="shared" si="11"/>
        <v>-5.9025759183143123</v>
      </c>
      <c r="U41" s="27">
        <f t="shared" si="13"/>
        <v>100219.80448156972</v>
      </c>
      <c r="V41" s="18">
        <f t="shared" si="12"/>
        <v>3.4410466509395832E-8</v>
      </c>
    </row>
    <row r="42" spans="2:22">
      <c r="C42" s="28"/>
      <c r="I42" s="25">
        <f t="shared" si="2"/>
        <v>0</v>
      </c>
      <c r="J42" s="26">
        <f t="shared" si="3"/>
        <v>7.505881375010893</v>
      </c>
      <c r="K42" s="17">
        <f t="shared" si="4"/>
        <v>3.4410466509395759E-8</v>
      </c>
      <c r="L42" s="27">
        <f t="shared" si="0"/>
        <v>3.4105169776380896E-3</v>
      </c>
      <c r="M42" s="27">
        <f t="shared" si="5"/>
        <v>5.8902906309711828E-6</v>
      </c>
      <c r="N42" s="27">
        <f t="shared" si="6"/>
        <v>1.3412331294122358E-3</v>
      </c>
      <c r="O42" s="27">
        <f t="shared" si="7"/>
        <v>2.0311039095632054E-7</v>
      </c>
      <c r="P42" s="27">
        <f t="shared" si="8"/>
        <v>-7.3725747729014302E-18</v>
      </c>
      <c r="Q42" s="27">
        <f t="shared" si="1"/>
        <v>-12243.472923082876</v>
      </c>
      <c r="R42" s="27">
        <f t="shared" si="9"/>
        <v>-192.32295112621858</v>
      </c>
      <c r="S42" s="27">
        <f t="shared" si="10"/>
        <v>43792.391540158045</v>
      </c>
      <c r="T42" s="27">
        <f t="shared" si="11"/>
        <v>-5.9025759183143123</v>
      </c>
      <c r="U42" s="27">
        <f t="shared" si="13"/>
        <v>100219.80448156972</v>
      </c>
      <c r="V42" s="18">
        <f t="shared" si="12"/>
        <v>3.4410466509395832E-8</v>
      </c>
    </row>
    <row r="43" spans="2:22" ht="25">
      <c r="B43" s="7" t="s">
        <v>9</v>
      </c>
      <c r="C43" s="39">
        <f>50000*(C34+2*C35+C29-C28)</f>
        <v>189.99999999999997</v>
      </c>
      <c r="D43" s="15" t="s">
        <v>40</v>
      </c>
      <c r="I43" s="25">
        <f t="shared" si="2"/>
        <v>0</v>
      </c>
      <c r="J43" s="26">
        <f t="shared" si="3"/>
        <v>7.505881375010893</v>
      </c>
      <c r="K43" s="17">
        <f t="shared" si="4"/>
        <v>3.4410466509395759E-8</v>
      </c>
      <c r="L43" s="27">
        <f t="shared" si="0"/>
        <v>3.4105169776380896E-3</v>
      </c>
      <c r="M43" s="27">
        <f t="shared" si="5"/>
        <v>5.8902906309711828E-6</v>
      </c>
      <c r="N43" s="27">
        <f t="shared" si="6"/>
        <v>1.3412331294122358E-3</v>
      </c>
      <c r="O43" s="27">
        <f t="shared" si="7"/>
        <v>2.0311039095632054E-7</v>
      </c>
      <c r="P43" s="27">
        <f t="shared" si="8"/>
        <v>-7.3725747729014302E-18</v>
      </c>
      <c r="Q43" s="27">
        <f t="shared" si="1"/>
        <v>-12243.472923082876</v>
      </c>
      <c r="R43" s="27">
        <f t="shared" si="9"/>
        <v>-192.32295112621858</v>
      </c>
      <c r="S43" s="27">
        <f t="shared" si="10"/>
        <v>43792.391540158045</v>
      </c>
      <c r="T43" s="27">
        <f t="shared" si="11"/>
        <v>-5.9025759183143123</v>
      </c>
      <c r="U43" s="27">
        <f t="shared" si="13"/>
        <v>100219.80448156972</v>
      </c>
      <c r="V43" s="18">
        <f t="shared" si="12"/>
        <v>3.4410466509395832E-8</v>
      </c>
    </row>
    <row r="44" spans="2:22">
      <c r="B44" s="3" t="s">
        <v>7</v>
      </c>
      <c r="C44" s="44">
        <f>C19^2*C8/2.5/40000*C35/C23</f>
        <v>4.705357558019065</v>
      </c>
      <c r="D44" s="2"/>
      <c r="E44" s="2"/>
      <c r="I44" s="25">
        <f t="shared" si="2"/>
        <v>0</v>
      </c>
      <c r="J44" s="26">
        <f t="shared" si="3"/>
        <v>7.505881375010893</v>
      </c>
      <c r="K44" s="17">
        <f t="shared" si="4"/>
        <v>3.4410466509395759E-8</v>
      </c>
      <c r="L44" s="27">
        <f t="shared" si="0"/>
        <v>3.4105169776380896E-3</v>
      </c>
      <c r="M44" s="27">
        <f t="shared" si="5"/>
        <v>5.8902906309711828E-6</v>
      </c>
      <c r="N44" s="27">
        <f t="shared" si="6"/>
        <v>1.3412331294122358E-3</v>
      </c>
      <c r="O44" s="27">
        <f t="shared" si="7"/>
        <v>2.0311039095632054E-7</v>
      </c>
      <c r="P44" s="27">
        <f t="shared" si="8"/>
        <v>-7.3725747729014302E-18</v>
      </c>
      <c r="Q44" s="27">
        <f t="shared" si="1"/>
        <v>-12243.472923082876</v>
      </c>
      <c r="R44" s="27">
        <f t="shared" si="9"/>
        <v>-192.32295112621858</v>
      </c>
      <c r="S44" s="27">
        <f t="shared" si="10"/>
        <v>43792.391540158045</v>
      </c>
      <c r="T44" s="27">
        <f t="shared" si="11"/>
        <v>-5.9025759183143123</v>
      </c>
      <c r="U44" s="27">
        <f t="shared" si="13"/>
        <v>100219.80448156972</v>
      </c>
      <c r="V44" s="18">
        <f t="shared" si="12"/>
        <v>3.4410466509395832E-8</v>
      </c>
    </row>
    <row r="45" spans="2:22">
      <c r="I45" s="25">
        <f>IF(ABS((J45-J44)/J44)&gt;$J$8,1,0)</f>
        <v>0</v>
      </c>
      <c r="J45" s="26">
        <f>-LOG(V44*$C$18)</f>
        <v>7.505881375010893</v>
      </c>
      <c r="K45" s="17">
        <f t="shared" si="4"/>
        <v>3.4410466509395759E-8</v>
      </c>
      <c r="L45" s="27">
        <f t="shared" si="0"/>
        <v>3.4105169776380896E-3</v>
      </c>
      <c r="M45" s="27">
        <f t="shared" si="5"/>
        <v>5.8902906309711828E-6</v>
      </c>
      <c r="N45" s="27">
        <f t="shared" si="6"/>
        <v>1.3412331294122358E-3</v>
      </c>
      <c r="O45" s="27">
        <f t="shared" si="7"/>
        <v>2.0311039095632054E-7</v>
      </c>
      <c r="P45" s="27">
        <f t="shared" si="8"/>
        <v>-7.3725747729014302E-18</v>
      </c>
      <c r="Q45" s="27">
        <f t="shared" si="1"/>
        <v>-12243.472923082876</v>
      </c>
      <c r="R45" s="27">
        <f t="shared" si="9"/>
        <v>-192.32295112621858</v>
      </c>
      <c r="S45" s="27">
        <f t="shared" si="10"/>
        <v>43792.391540158045</v>
      </c>
      <c r="T45" s="27">
        <f t="shared" si="11"/>
        <v>-5.9025759183143123</v>
      </c>
      <c r="U45" s="27">
        <f t="shared" si="13"/>
        <v>100219.80448156972</v>
      </c>
      <c r="V45" s="18">
        <f t="shared" si="12"/>
        <v>3.4410466509395832E-8</v>
      </c>
    </row>
    <row r="46" spans="2:22">
      <c r="B46" s="7" t="s">
        <v>35</v>
      </c>
      <c r="C46" s="32">
        <f>LOG(C44)</f>
        <v>0.67259263086092791</v>
      </c>
      <c r="D46" s="15"/>
      <c r="I46" s="25">
        <f t="shared" si="2"/>
        <v>0</v>
      </c>
      <c r="J46" s="26">
        <f t="shared" si="3"/>
        <v>7.505881375010893</v>
      </c>
      <c r="K46" s="17">
        <f t="shared" si="4"/>
        <v>3.4410466509395759E-8</v>
      </c>
      <c r="L46" s="27">
        <f t="shared" si="0"/>
        <v>3.4105169776380896E-3</v>
      </c>
      <c r="M46" s="27">
        <f t="shared" si="5"/>
        <v>5.8902906309711828E-6</v>
      </c>
      <c r="N46" s="27">
        <f t="shared" si="6"/>
        <v>1.3412331294122358E-3</v>
      </c>
      <c r="O46" s="27">
        <f t="shared" si="7"/>
        <v>2.0311039095632054E-7</v>
      </c>
      <c r="P46" s="27">
        <f t="shared" si="8"/>
        <v>-7.3725747729014302E-18</v>
      </c>
      <c r="Q46" s="27">
        <f t="shared" si="1"/>
        <v>-12243.472923082876</v>
      </c>
      <c r="R46" s="27">
        <f t="shared" si="9"/>
        <v>-192.32295112621858</v>
      </c>
      <c r="S46" s="27">
        <f t="shared" si="10"/>
        <v>43792.391540158045</v>
      </c>
      <c r="T46" s="27">
        <f t="shared" si="11"/>
        <v>-5.9025759183143123</v>
      </c>
      <c r="U46" s="27">
        <f t="shared" si="13"/>
        <v>100219.80448156972</v>
      </c>
      <c r="V46" s="18">
        <f t="shared" si="12"/>
        <v>3.4410466509395832E-8</v>
      </c>
    </row>
    <row r="47" spans="2:22" ht="25">
      <c r="B47" s="35" t="s">
        <v>59</v>
      </c>
      <c r="C47" s="32">
        <f>C6-C46</f>
        <v>7.4074073691390723</v>
      </c>
      <c r="I47" s="25">
        <f t="shared" si="2"/>
        <v>0</v>
      </c>
      <c r="J47" s="26">
        <f t="shared" si="3"/>
        <v>7.505881375010893</v>
      </c>
      <c r="K47" s="17">
        <f t="shared" si="4"/>
        <v>3.4410466509395759E-8</v>
      </c>
      <c r="L47" s="27">
        <f t="shared" si="0"/>
        <v>3.4105169776380896E-3</v>
      </c>
      <c r="M47" s="27">
        <f t="shared" si="5"/>
        <v>5.8902906309711828E-6</v>
      </c>
      <c r="N47" s="27">
        <f t="shared" si="6"/>
        <v>1.3412331294122358E-3</v>
      </c>
      <c r="O47" s="27">
        <f t="shared" si="7"/>
        <v>2.0311039095632054E-7</v>
      </c>
      <c r="P47" s="27">
        <f t="shared" si="8"/>
        <v>-7.3725747729014302E-18</v>
      </c>
      <c r="Q47" s="27">
        <f t="shared" si="1"/>
        <v>-12243.472923082876</v>
      </c>
      <c r="R47" s="27">
        <f t="shared" si="9"/>
        <v>-192.32295112621858</v>
      </c>
      <c r="S47" s="27">
        <f t="shared" si="10"/>
        <v>43792.391540158045</v>
      </c>
      <c r="T47" s="27">
        <f t="shared" si="11"/>
        <v>-5.9025759183143123</v>
      </c>
      <c r="U47" s="27">
        <f t="shared" si="13"/>
        <v>100219.80448156972</v>
      </c>
      <c r="V47" s="18">
        <f t="shared" si="12"/>
        <v>3.4410466509395832E-8</v>
      </c>
    </row>
    <row r="48" spans="2:22" ht="26" thickBot="1">
      <c r="B48" s="7" t="s">
        <v>36</v>
      </c>
      <c r="C48" s="32">
        <f>C8-100000*N48</f>
        <v>18.876687058776412</v>
      </c>
      <c r="D48" s="15" t="s">
        <v>40</v>
      </c>
      <c r="I48" s="25">
        <f t="shared" si="2"/>
        <v>0</v>
      </c>
      <c r="J48" s="26">
        <f t="shared" si="3"/>
        <v>7.505881375010893</v>
      </c>
      <c r="K48" s="17">
        <f t="shared" si="4"/>
        <v>3.4410466509395759E-8</v>
      </c>
      <c r="L48" s="41">
        <f t="shared" si="0"/>
        <v>3.4105169776380896E-3</v>
      </c>
      <c r="M48" s="41">
        <f t="shared" si="5"/>
        <v>5.8902906309711828E-6</v>
      </c>
      <c r="N48" s="41">
        <f t="shared" si="6"/>
        <v>1.3412331294122358E-3</v>
      </c>
      <c r="O48" s="41">
        <f t="shared" si="7"/>
        <v>2.0311039095632054E-7</v>
      </c>
      <c r="P48" s="41">
        <f t="shared" si="8"/>
        <v>-7.3725747729014302E-18</v>
      </c>
      <c r="Q48" s="41">
        <f t="shared" si="1"/>
        <v>-12243.472923082876</v>
      </c>
      <c r="R48" s="41">
        <f t="shared" si="9"/>
        <v>-192.32295112621858</v>
      </c>
      <c r="S48" s="41">
        <f t="shared" si="10"/>
        <v>43792.391540158045</v>
      </c>
      <c r="T48" s="41">
        <f t="shared" si="11"/>
        <v>-5.9025759183143123</v>
      </c>
      <c r="U48" s="41">
        <f t="shared" si="13"/>
        <v>100219.80448156972</v>
      </c>
      <c r="V48" s="42">
        <f t="shared" si="12"/>
        <v>3.4410466509395832E-8</v>
      </c>
    </row>
    <row r="49" spans="2:14">
      <c r="B49" s="7" t="s">
        <v>37</v>
      </c>
      <c r="C49" s="40">
        <f>C6+LOG(C7*C8)</f>
        <v>12.543445031770428</v>
      </c>
      <c r="D49" s="15"/>
      <c r="J49" s="26"/>
    </row>
    <row r="50" spans="2:14">
      <c r="B50" s="7" t="s">
        <v>38</v>
      </c>
      <c r="C50" s="40">
        <f>2*C47-C6</f>
        <v>6.7348147382781445</v>
      </c>
      <c r="D50" s="15"/>
      <c r="M50" s="43"/>
      <c r="N50" s="34"/>
    </row>
    <row r="52" spans="2:14">
      <c r="B52" s="7"/>
      <c r="C52" s="43"/>
      <c r="D52" s="15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Portal</vt:lpstr>
      <vt:lpstr>Calculations</vt:lpstr>
      <vt:lpstr>Gamma1_blend</vt:lpstr>
      <vt:lpstr>Gamma2_blend</vt:lpstr>
      <vt:lpstr>K1_blend</vt:lpstr>
      <vt:lpstr>K2_blend</vt:lpstr>
      <vt:lpstr>Kso_blend</vt:lpstr>
      <vt:lpstr>Kw_blend</vt:lpstr>
      <vt:lpstr>Tot_Acidity</vt:lpstr>
      <vt:lpstr>Tot_alk_2Ca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Issam Najm</cp:lastModifiedBy>
  <dcterms:created xsi:type="dcterms:W3CDTF">2016-12-01T21:18:40Z</dcterms:created>
  <dcterms:modified xsi:type="dcterms:W3CDTF">2018-06-07T00:37:51Z</dcterms:modified>
</cp:coreProperties>
</file>