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<sst xmlns="http://schemas.openxmlformats.org/spreadsheetml/2006/main" count="307" uniqueCount="298">
  <si>
    <t>TUW-137078</t>
  </si>
  <si>
    <t>ref1,Cognitive Flexibility, Constructivism, and Hypertext: Random Access Instruction for Advanced Knowledge Acquisition in Ill-Structured Domains,Constructivism and the Technology of Instruction. A Conversation.,R J Spiro,P J Feltovich,M J Jacobson,R L Coulson,Hillsdale, N.J.,57,76,1992,1992
ref2,Visualizing and Assessing Navigation in Hypertext,Proceedings of the Hypertext '99 conference,ACM,J E McEneaney,Darmstadt, Germany,61,70,1999,1999
ref3,Human-Computer Interaction,Addison-Wesley,J Preece,Wokingham, England, Reading, Mass., Menlo Park, Cal.,1994,1994
ref4,A Pragmatic of Links,Hypertext'00 Proceedings,ACM Press,S P Tosca,77,84,2000,2000
ref5,The element of surprise: Stories from the qualitative evaluation of educational technology,Proceedings of the ED-Media'99,M Barrit,D J Scott,1584,1885
ref6,Instructional Hypertext: Attentional Strategies and Text Representations Developed for Different Types of Learning Goals,Proceedings of the ED-Media'98,D Dee-Lucas,245,250</t>
  </si>
  <si>
    <t>ref1,Random Access Instruction for Advanced Knowledge Acquisition in Ill-Structured Domains,Constructivism and the Technology of Instruction. A Conversation,Lawrence Erlbaum,R J Spiro,P J Feltovich,M J Jacobson,R L Coulson,Constructivism Cognitive Flexibility,Hypertext ,57,76,1992,1992,m
ref2,Visualizing and Assessing Navigation in Hypertext,Proceedings of the Hypertext '99 conference,ACM,J E Mceneaney,61,70,1999,1999,m
ref3,Human-Computer Interaction,Addison-Wesley,J Preece,Wokingham, England, Reading, Mass., Menlo Park, Cal,1994,1994,m
ref4,A Pragmatic of Links,Hypertext'00 Proceedings,ACM Press,S P Tosca,77,84,2000,2000,m
ref5,The element of surprise: Stories from the qualitative evaluation of educational technology in,Proceedings of the ED-Media'99,M Barrit,D J Scott,1584,1885,m
ref6,,Attentional Strategies and Text Representations Developed for Different Types of Learning Goals in Proceedings of the ED-Media'98,D Dee-Lucas,Hypertext,m</t>
  </si>
  <si>
    <t>TUW-138011</t>
  </si>
  <si>
    <t>ref1,Provisional Committee for Quality Improvement and Subcommittee on Hyperbilirubinemia. Practice parameter: management of hyperbilirubinemia in the healthy term newborn,Pediatrics,Aap. American Academy of Pediatrics Pediatrics,94,558,565,1994,1994
ref2,Clinical Practice Guidelines: Directions for a New Program,National Academy Press,M Field,K Lohr,Washington D.C.,1990,1990
ref3,PROforma: a general technology for clinical decision support systems,Computer Methods and Programs in Biomedicine,J Fox,N Johns,C Lyons,A Rahmanzadeh,R Thomson,P Wilson,54,59,67,1997,1997
ref4,The concept and implementation of skeletal plans,Journal of automated reasoning,P Friedland,Y Iwasaki,1,2,161,208,1985,1985
ref5,The formalisation of medical protocols: easier said than done,M Geldof,2003,2003
ref6,Improving medical protocols through formalization: a case study,Proc. of the 6th Int. Conf. on Integrated Design and Process Technology (IDPT-02),M Marcos,H Roomans,A Ten Teije,F Van Harmelen,2002,2002
ref7,Guideline Interchange Format: a model for representing guidelines,J. of the American Medical Informatics Ass,L Ohno-Machado,J Gennari,S Murphy,N Jain,S Tu,D Oliver,E Pattison-Gordon,R Greenes,E Shortliffe,G Octo Barnett,5,4,357,372,1998,1998
ref8,NHG-Standaard Diabetes Mellitus Type 2 (eerste herziening),Huisarts en Wetenschap,G Rutten,S Verhoeven,R Heine,W de Grauw,P Cromme,K Reenders,E van Ballegooie,T Wiersma,42,2,First revision,67,84,1999,1999
ref9,The asgaard project: a task-specific framework for the application and critiquing of time-oriented clinical guidelines,AIM,Y Shahar,S Miksch,P Johnson,14,29,51,1998,1998
ref10,Structured knowledge acquisition for asbru,Master's thesis,Institute of Software Technology and Interactive Systems, Vienna University of Technology,P Votruba,Vienna, Austria,2003,2003</t>
  </si>
  <si>
    <t>ref1,Academy of Pediatrics, Provisional Committee for Quality Improvement and Subcommittee on Hyperbilirubinemia. Practice parameter: management of hyperbilirubinemia in the healthy term newborn,Pediatrics,Aap American,94,558,565,1994,1994,j
ref2,Clinical Practice Guidelines: Directions for a New Program. Institute of Medicine,National Academy Press,M Field,K Lohr,Washington D.C.,1990,1990,m
ref3,PROforma: a general technology for clinical decision support systems,Computer Methods and Programs in Biomedicine,J Fox,N Johns,C Lyons,A Rahmanzadeh,R Thomson,P Wilson,54,59,67,1997,1997,j
ref4,The concept and implementation of skeletal plans,Journal of automated reasoning,P Friedland,Y Iwasaki,1,2,161,208,1985,1985,j
ref5,The formalisation of medical protocols: easier said than done,M Geldof,2003,2003,m
ref6,Improving medical protocols through formalization: a case study,Proc. of the 6th Int. Conf. on Integrated Design and Process Technology,M Marcos,H Roomans,A Ten Teije,F Van Harmelen,2002,2002,m
ref7,Guideline Interchange Format: a model for representing guidelines,J. of the American Medical Informatics Ass,L Ohno-Machado,J Gennari,S Murphy,N Jain,S Tu,D Oliver,E Pattison-Gordon,R Greenes,E Shortliffe,G Octo Barnett,5,4,357,372,1998,1998,j
ref8,NHG-Standaard Diabetes Mellitus Type 2 (eerste herziening),Huisarts en Wetenschap,G Rutten,S Verhoeven,R Heine,W De Grauw,P Cromme,K Reenders,E Van Ballegooie,T Wiersma,42,2,67,84,1999,1999,j
ref9,The asgaard project: a task-specific framework for the application and critiquing of time-oriented clinical guidelines,AIM,Y Shahar,S Miksch,P Johnson,14,29,51,1998,1998,j
ref10,Structured knowledge acquisition for asbru,P Votruba,Vienna, Austria,2003,2003,m</t>
  </si>
  <si>
    <t>TUW-138447</t>
  </si>
  <si>
    <t>ref1,Applicazione di algoritmi di apprendimento alla caratterizzazione colorimetrica di stampanti a colori,A Artusi,Univ. Degli studi di Milano, A.A,1996
ref2,Boosting learning Algorithms for the Colorimetric Characterization of Color Printers,Proc. WIRN'98,A Artusi,P Campadelli,R Schettini,Vietri, Giugn,283,289,1998,1998
ref3,Inkjet color printer caliration by back-propagation,Communication at the Workshop on Envaluation Criteria of Neural Net Efficiency in Industrial Applications,S Albanese,P Campadelli,R Schettini,Vietri,1995-11,1995,11
ref4,Neural Networks for Pattern Recognition,Calendor Press Oxford,C M Bishop,1996,1996
ref5,Application of Neural Networks to the Computer Recipe Prediction,Color research and application,J M Bishop,M J Bushnell,S Westland,16,1,3,9,1991-02,1991,2
ref6,Function approximation from noisy data by an incremental RBF network,Pattern Recognition,M Carozza,S Rampone,32,12,2081,2083,1999,1999
ref7,An Introduction to the Bootstrap,Chapman and Hall,B Efron,R J Tibshirani,1993,1993
ref8,Color Appearance Models,Addison Wesley,Mark D Fairchild,1998,1998
ref9,Generalised croos-validation as a method for choosing a good ridge parameters,Technometrics,G H Golub,M Heat,G Wahba,21,2,215,223,1979,1979
ref10,Robust radial basis function neural networks". ,IEEE trans, on systems, man and cybernetics,Lee,29,674,685,1999,1999
ref11,Some comments on Cp,Technometrics,C Mallows,15,661,675,1973,1973
ref12,Matlab Function reference,Mathworks,2000,2000
ref13,Personal Communication,N. Moroni Barcelona HP Res. Labs,,1996,1996
ref14,Regularisation in the selection of radial basis function centres,Neural Computation,M J L Orr,7,3,606,623,1995,1995
ref15,Introduction to Radial Basis Function Networks,Center of Cognitive Science,M J L Orr,University of Edinburgh,1996,1996
ref16,Neural network application to the color scanner and printer calibrations,Journal of Electronic Imaging,H R Kang,P G Anderson,1,25,135,1992,1992
ref17,Numerical Recipes in C The Art of Scentific Computing. Second Edition,Cambrige University press,W H Press,S A Teukolsky,W T Vetterling,B P Flannery,1992,1992
ref18,Applied Regression Analysis,Wadsworth &amp; Brooks/Cole,J O Rawlings,Pacific Grove, CA,1988,1988
ref19,Estimating the dimension of a model,Annals of Statistics,G Schwarz,6,461,464,1978,1978
ref20,A color mapping method for CMYK Printers,Proc. 4th IS&amp;T&amp;SID's Color Imaging Conference: Color Science, Systems and Applications,S Tominaga,1996,1996</t>
  </si>
  <si>
    <t>ref1,Applicazione di algoritmi di apprendimento alla caratterizzazione colorimetrica di stampanti a colori,A Artusi,1996,97,m
ref2,Boosting learning Algorithms for the Colorimetric Characterization of Color Printers,Proc. WIRN'98,A Artusi,P Campadelli,R Schettini,283,289,1998,1998,m
ref3,Inkjet color printer caliration by back-propagation,Communication at the Workshop on Envaluation Criteria of Neural Net Efficiency in Industrial Applications, Vietri,S Albanese,P Campadelli,R Schettini,1995-11,1995,11,m
ref4,Neural Networks for Pattern Recognition,Calendor Press Oxford,C M Bishop,1996,1996,m
ref5,Application of Neural Networks to the Computer Recipe Prediction" Color research and application,J M Bishop,M J Bushnell,S Westland,3,9,1991-02,1991,02,m
ref6,Function approximation from noisy data by an incremental RBF network,Pattern Recognition,M Carozza,S Rampone,2081,2083,1999,1999,m
ref7,An Introduction to the Bootstrap,Chapman and Hall,B Efron,R J Tibshirani,1993,1993,m
ref8,Color Appearance Models,Addison Wesley,D Mark,Fairchild,1998,1998,m
ref9,Generalised croos-validation as a method for choosing a good ridge parameters,Technometrics,G H Golub,M Heat,G Wahba,21,2,215,223,1979,1979,j
ref10,Robust radial basis function neural networks,IEEE trans, on systems, man and cybernetics,Lee,29,674,685,1999,1999,j
ref11,Some comments on Cp,Technometrics,C Mallows,15,661,675,1973,1973,j
ref12,Matlab Function reference,Mathworks,2000,2000,m
ref13,,Barcelona HP Res. Labs, Personal Communication,N Moroni,1996,1996,j
ref14,Regularisation in the selection of radial basis function centres,Neural Computation,M J L Orr,7,3,606,623,1995,1995,j
ref15,Introduction to Radial Basis Function Networks,M J L Orr,1996,1996,m
ref16,Neural network application to the color scanner and printer calibrations,Journal of Electronic Imaging,H R Kang,P G Anderson,1,25,135,1992,1992,j
ref17,Numerical Recipes in C The Art of Scentific Computing,W H Press,S A Teukolsky,W T Vetterling,B P Flannery,1992,1992,m
ref18,Applied Regression Analysis,J O Rawlings,Wadsworth &amp; Brooks/Cole, Pacific Grove, CA,1988,1988,m
ref19,Estimating the dimension of a model,Annals of Statistics,G Schwarz,6,461,464,1978,1978,j
ref20,A color mapping method for CMYK Printers,Proc. 4th IS&amp;T&amp;SID's Color Imaging Conference: Color Science, Systems and Applications,S Tominaga,1996-11,1996,11,m</t>
  </si>
  <si>
    <t>TUW-138544</t>
  </si>
  <si>
    <t>ref1,Overview of the MPEG-7 standard,IEEE Transactions on Circuits and Systems for Video Technology,S F Chang,T Sikora,A Puri,11,6,688,695,2001-06,2001,6
ref2,VizIR – A Framework for Visual Information Retrieval,Journal of Visual Languages and Computing,H Eidenberger,C Breiteneder,14,443,469,2003-09,2003,9
ref3,Media Handling for Visual Information Retrieval in VizIR,Proc. SPIE Visual Communications and Image Processing Conference 2003,H Eidenberger,5150,1078,1088,2003-07,2003,7
ref4,Color and texture descriptors,IEEE Transactions on Circuits and Systems for Video Technology,B S Manjunath,J R Ohm,V V Vasudevan,A Yamada,11,6,703,715,2001-06,2001,6
ref5,Multimedia Retrieval Markup Language website,University of Geneva,,http://www.mrml.net/
ref6,VizIR project website,Vienna University of Technology,,http://vizir.ims.tuwien.ac.at/
ref7,Cocoon framework website,Apache project,,http://cocoon.apache.org/</t>
  </si>
  <si>
    <t>ref1,for the manipulation of visual features in the visual information retrieval framework,IEEE Transactions on Circuits and Systems for Video Technology,S F Chang,T Sikora,A Puri,688,695,2001-06,2001,06,m
ref2,VizIR-A Framework for Visual Information Retrieval,Journal of Visual Languages and Computing,H Eidenberger,C Breiteneder,14,443,469,2003-09,2003,09,j
ref3,Media Handling for Visual Information Retrieval in VizIR,Proc. SPIE Visual Communications and Image Processing Conference 2003, SPIE,H Eidenberger,1078,1088,2003-07,2003,07,m
ref4,Color and texture descriptors,IEEE Transactions on Circuits and Systems for Video Technology,B S Manjunath,J R Ohm,V V Vasudevan,A Yamada,703,715,2001-06,2001,06,m
ref5,,Multimedia Retrieval Markup Language website,,2004,2005,http://www.mrml.net/,m
ref6,Apache project,Cocoon framework website,,2004,2005,http://cocoon.apache.org/,m</t>
  </si>
  <si>
    <t>TUW-138547</t>
  </si>
  <si>
    <t>ref1,Minimum Overhead Data Partitioning Algorithms for Parallel Video Processing,Proceedings Domain Decomposition Methods Conference,D T Altilar,Y Paker,Chiba Japan,251,258,2001-10,2001,10
ref2,Supporting Real-Time and Multimedia Applications on the Mercuri Testbed,IEEE Journal on Selected Areas in Communications,IEEE Press,A Guha,A Pavan,J Liu,A Rastogi,T Steeves,13,4,749,763,1995-05,1995,5
ref3,Java Media Framework Website,SUN Microsystems,http://java.sun.com/ products/java-media/jmf/
ref4,A Multicast Control Scheme for Parallel Software-only Video Effects Processing,Proceedings ACM Multimedia Conference,ACM Press,K Mayer-Patel,L A Rowe,Orlando FL,409,418,1999-11,1999,11
ref5,Exploiting Spatial Parallelism for Software-only Video Effects Processing,Proceedings SPIE Multimedia Computing and Networking Conference,SPIE Press,K Mayer-Patel,L A Rowe,San Jose CA,28,39,1998-01,1998,1
ref6,Exploiting Temporal Parallelism for Software-only Video Effects Processing,Proceedings ACM Multimedia Conference,ACM Press,K Mayer-Patel,L A Rowe,Bristol UK,161,169,1998-09,1998,9
ref7,Conclusions and future work We present a system for parallel video processing that is based on of-the-shelf hardware (PC-like workstations and Gigabit Ethernet) and free software. The principle is not new: the PSVP systemPipeline-Based Approach for Scheduling Video Processing Algorithms on NOW,IEEE Transactions on Parallel and Distributed Systems,IEEE Press,M T Yang,R Kasturi,A A Sivasubramaniam,14,2,119,130,2003-02,2003,2</t>
  </si>
  <si>
    <t>ref1,Supporting Real-Time and Multimedia Applications on the Mercuri Testbed,IEEE Journal on Selected Areas in Communications,IEEE Press,A Guha,A Pavan,J Liu,A Rastogi,T Steeves,13,4,749,763,1995-05,1995,05,j
ref2,,Java Sun Microsystems,Media Framework,Website,2004,2013
ref3,A Multicast Control Scheme for Parallel Software-only Video Effects Processing,Proceedings ACM Multimedia Conference,ACM Press,K Mayer-Patel,L A Rowe,409,418,1999-11,1999,11,m
ref4,Exploiting Spatial Parallelism for Software-only Video Effects Processing,Proceedings SPIE Multimedia Computing and Networking Conference,SPIE Press,K Mayer-Patel,L A Rowe,28,39,1998-01,1998,01,m
ref5,Exploiting Temporal Parallelism for Software-only Video Effects Processing,Proceedings ACM Multimedia Conference,ACM Press,K Mayer-Patel,L A Rowe,161,169,1998-09,1998,09,m
ref6,Conclusions and future work We present a system for parallel video processing that is based on of-the-shelf hardware (PC-like workstations and Gigabit Ethernet) and free software,,m
ref7,Pipeline-Based Approach for Scheduling Video Processing Algorithms on NOW,IEEE Transactions on Parallel and Distributed Systems,IEEE Press,M T Yang,R Kasturi,A A Sivasubramaniam,119,130,2003,2003,m</t>
  </si>
  <si>
    <t>TUW-139299</t>
  </si>
  <si>
    <t>ref1,Design and Implementation of the JGraph Swing Component,Technical Report 1.0.6.,G Alder,2002,2002
ref2,The Home Page of JGraph,G Alder,2002,2002,http://jgraph.sourceforge.net
ref3,Use of Algorithms in Clinical Practice Guideline Development: Methodology Perspectives,AHCPR Pub,D C Hadorn,95,0009,93,104,1995,1995
ref4,Plan Management in the Medical Domain,AI Communications,S Miksch,12,4,209,235,1999,1999
ref5,Time-Oriented Skeletal Plans: Support to Design and Execution,Fourth European Conference on Planning (ECP'97,Springer,S Miksch,Y Shahar,W Horn,C Popow,F Paky,P Johnson,1997,1997
ref6,Comparing Computer-Interpretable Guideline Models: A Case-Study Approach,The Journal of the American Medical Informatics Association (JAMIA),M Peleg,S Tu,J Bury,P Ciccarese,J Fox,R Greenes,R Hall,P Johnson,N Jones,A Kumar,S Miksch,s Quaglini,A Seyfang,E Shortliffe,Stefanelli,10,1,52,68,2003,2003
ref7,LifeLines: Using Visualization to Enhance Navigation and Analysis of Patient Records,Proceedings of the 1998 American Medical Informatic Association Annual Fall Symposium,C Plaisant,R Mushlin,A Snyder,J Li,D Heller,B Shneiderman,76,80,1998,1998
ref8,Asbru 7.3 Reference Manual,Technical Report Asgaard-TR-2002-1,Vienna University of Technology, Institut of Software Technology &amp; Interactive Systems,A Seyfang,R Kosara,S Miksch,Vienna, Austria, Europe,2002,2002
ref9,Proposal for Clinical Algorithm Standards,Medical Decision Making,Society for Medical Decision Making,,12,02,149,154,1992,1992
ref10,Representation of Clinical Practice Guidelines for Computer-Based Implementations,MedInfo,D Wang,M Peleg,S Tu,E Shortliffe,R Greenes,10,1,285,9,2001,2001
ref11,Open Clinical - Knowledge Management for
Medical Care,,2003,2003,http://www.openclinical.org</t>
  </si>
  <si>
    <t>ref1,Design and Implementation of the JGraph Swing Component,G Alder,2002,2002,m
ref2,The Home Page of JGraph,AHCPR Pub,D C Hadorn,93,104,1995,1995,m
ref3,Plan Management in the Medical Domain,AI Communications,S Miksch,12,4,209,235,1999,1999,j
ref4,,S Miksch,Y Shahar,W Horn,C Popow,F Paky,Johnson ,P ,1997,1997
ref5,Time-Oriented Skeletal Plans: Support to Design and Execution,Fourth European Conference on Planning (ECP'97),Springer,,m
ref6,,M Peleg,S Tu,J Bury,P Ciccarese,J Fox,R Greenes,R Hall,P Johnson,N Jones,A Kumar,S Miksch,S Quaglini,A Seyfang,E Shortliffe,Stefanelli ,2003,2003
ref7,Comparing Computer-Interpretable Guideline Models: A Case-Study Approach,The Journal of the American Medical Informatics Association (JAMIA),,10,1,52,68,j
ref8,LifeLines: Using Visualization to Enhance Navigation and Analysis of Patient Records,Proceedings of the,C Plaisant,R Mushlin,A Snyder,J Li,D Heller,B Shneiderman,76,80,1998,1998,m
ref9,Asbru 7.3 Reference Manual,Institut of Software Technology &amp; Interactive Systems,A Seyfang,R Kosara,S Miksch,2002,2002,m
ref10,Proposal for Clinical Algorithm Standards,Society for Medical Decision Making,,12,02,149,154,1992,1992,j
ref11,Representation of Clinical Practice Guidelines for Computer-Based Implementations,MedInfo,D Wang,M Peleg,S Tu,E Shortliffe,Greenes ,R ,10,285,294,2001,2001,j
ref12,Open Clinical-Knowledge Management for Medical Care,,2003,2003,m</t>
  </si>
  <si>
    <t>TUW-139761</t>
  </si>
  <si>
    <t>ref1,[BBG97],Monte carlo methods for security pricing,Journal of Economic Dynamics and Control,Phelim Boyle,Mark Broadie,Paul Glasserman,1267,1321,1997,1997
ref2,[BCK92],ARCH modeling in finance: a review of the theory and empirical evidence,Journal of Econometrics,Tim Bollerslev,Ray Y Chou,Kenneth F Kroner,52,5,95,1992,1992
ref3,[BFM97],Handbook of Evolutionary Computation,Oxford University Press,Thomas Bäck,David B Fogel,Zbigniew Michalewicz,New York,1997,1997
ref4,[BNKF98],Genetic Programming-An Introduction,Morgan Kaufmann,Wolfgang Banzhaf,Peter Nordin,Robert E Keller,Frank D Francone,San Francisco, California, USA,1998,1998
ref5,[Bol86],Generalized autoregressive conditional heteroskedasticity,Journal of Econometrics,Tim Bollerslev,31,1986,1986
ref6,[BS73],The pricing of options and corporate liabilities,Journal of Political Economy,Fischer Black,Myron Scholes,81,637,659,1973,1973
ref7,[Dav02],Newran02b-a random number generator library,Technical report,Statistics Research Associates Limited,Robert B Davis,Wellington, NewZealand,2002,2002
ref8,[DS95],Empirical Martingale Simulation for Asset Prices,CIRANO Working Papers,Jin-Chuan Duan,Jean-Guy Simonato,95-43,1995,1995
ref9,[DS01],American option pricing under GARCH by a markov chain approximation,Journal of Economic Dynamics &amp; Control,Jin-Chuan Duan,Jean-Guy Simonato,25,1689,1718,2001,2001
ref10,[Dua95],The GARCH option pricing model,Mathematical Finance,Jin-Chuan Duan,5,1,13,32,1995,1995
ref11,[Eng82],Autoregressive conditional heteroskedasticity with estimates of the variance of u.k. inflation,Econometrica,Robert F Engle,50,987,1008,1982,1982
ref12,[Fra94],Genetic Programming in C++,Technical Report 040,University of Salford, Cybernetics Research Institute,P Adam,Fraser,1994,1994
ref13,[G+04],GNU Scientific Library Reference Manual,Network Theorie Ltd,M Galassi,2,Bristol, United Kingdom,2004,2004
ref14,[GS96],GARCH Effekte in der Optionsbewertung,Zeitschrift für Betriebswirtschaft,L J Alois,Walter S A Geyer,Schwaiger,65,5,534,540,1996,1996
ref15,[Han97],Neural Network Approximation of Option Pricing Formulas for Analytically Intractable Option Pricing Models,Journal of Computational Intelligence in Finance,Michael Hanke,5,5,20,27,1997-09,1997,9
ref16,[Han98],Optionsbewertung mit neuronalen Netzen,Dissertation, Wirtschaftsuniversität Wien,Michael Hanke,1998,1998
ref17,[Hol75],Adaption in Natural and Artificial Systems,University of Michigan Press,John H Holland,1975,1975
ref18,[Hul02],Options, futures, and other derivatives,Prentice Hall International, Inc,John C Hull,5,Upper Saddle River, New Jersey, USA,2002,2002
ref19,[K+03],Genetic Programming IV: Routine Human-Competitive Machine Intelligence,Kluwer Acadamic Publishers,John R Koza,2003,2003
ref20,[KBAK99],Genetic Programming III, Darwinian Invention and Problem Solving,Morgan Kaufmann Publishers,John R Koza,Forrest H Bennett III,David Andre,Martin A Keane,San Francisco, California, USA,1999,1999
ref21,[Keb99],Option Pricing with the Genetic Programming Approach,Journal of Computational Intelligence in Finance,Christian Keber,7,6,26,36,1999,1999
ref22,[Koz92],Genetic Programming,The MIT Press,John R Koza,Cambridge, Massachusetts, USA,1992,1992
ref23,[Koz94],Genetic Programming II Automatic Discovery of Reuseable Programs,The MIT Press,John R Koza,Cambridge, Massachusetts, USA,1994,1994
ref24,[Mic92],Genetic Algorithms + Data Structures = Evolution Programs,Springer,Zbigniew Michalewicz,Berlin, Germany,1992,1992
ref25,[Nef00],An Introduction to the Mathematics of Financial Derivatives,Acadamic Press,Salih N Neftci,2,San Diego, California, USA,2000,2000
ref26,[Nol97],Numerical calculation of stable densities and distribution functions,Commun. Statist. - Stochastic Models,John P Nolan,13,4,759,774,1997,1997
ref27,[Obj03],OMG Unified Modeling Language Specification, Ver. 1.5,Object Management Group, Inc,,2003-03,2004,3
ref28,[PL04],Alternative Bloat Control Methods,Lecture Nodes in Computer Science 3103,Springer-Verlag,Liviu Panait,Sean Luke,630,641,2004,2004
ref29,[Rey92],An evolved, vision-based behavioral model of coordinated group motion,From Animals to Animats (Proceedings of Simulation of Adaptive Behaviour,MIT Press,Craig W Reynolds,1992,1992
ref30,[Sin94],Genetic Programming with C++,BYTE Magazin,Addison Wesley Longman,Andy Singleton,1994-02,1994,2
ref31,[Str98],The C++ Programming Language,Addison Wesley Longman,Bjarne Stroustrup,Reading Mass, USA,1998,1998
ref32,[Vie97],Einführung in die Stochastick,Springer-Verlag,Reinhard K Viertl,2,Wien,1997,1997
ref33,[Wei97],The Genetic Programming Kernel,Technical report,Institute for Mechatronics, Technical University of Darmstadt,Thomas Weinbrenner,Wien,1997,1997
ref34,[Zol86],One-dimensional Stable Distributions,Amer. Math. Soc. Transl. of Math. Monographs,V M Zolotarev,Wien,65,1986,1986</t>
  </si>
  <si>
    <t>ref1,Flowchart of a simple genetic algorithm,Source,] ... Koz92,j
ref2,An example of a genetic program,,m
ref3,An example of a crossover operation,,m
ref4,UML diagram of the Genetic Programming kernel,Source,,j
ref5,,UML diagram of Newran02B. Source,] ...... Dav02,m
ref6,UML diagram of the whole program,,m
ref7,,
ref8,,
ref9,28 4.2 Parameter values in,Source,,j
ref10,Monte carlo methods for security pricing,Journal of Economic Dynamics and Control,Phelim Boyle,Mark Broadie,Paul Glasserman,1267,1321,1997,1997,j
ref11,ARCH modeling in finance: a review of the theory and empirical evidence,Journal of Econometrics,Tim Bollerslev,Ray Y Chou,Kenneth F Kroner,52,5,95,1992,1992,j
ref12,Handbook of Evolutionary Computation,Oxford University Press,Thomas Bäck,David B Fogel,Zbigniew Michalewicz,New York,1997,1997,m
ref13,Genetic Programming-An Introduction,Morgan Kaufmann,Wolfgang Banzhaf,Peter Nordin,Robert E Keller,Frank D Francone,San Francisco, California, USA,1998,1998,m
ref14,Generalized autoregressive conditional heteroskedasticity,Journal of Econometrics,Tim Bollerslev,31,307,327,1986,1986,j
ref15,The pricing of options and corporate liabilities,Journal of Political Economy,Fischer Black,Myron Scholes,81,637,659,1973,1973,j
ref16,Newran02b-a random number generator library,Statistics Research Associates Limited,Robert B Davis,2002,2002,j
ref17,Empirical Martingale Simulation for Asset Prices,CIRANO Working Papers,Jin-Chuan Duan,Jean-Guy Simonato,95,138,1995,1995,j
ref18,American option pricing under GARCH by a markov chain approximation,Journal of Economic Dynamics &amp; Control,Jin-Chuan Duan,Jean-Guy Simonato,25,1689,1718,2001,2001,j
ref19,The GARCH option pricing model,Mathematical Finance,Jin-Chuan Duan,5,1,13,32,1995,1995,j
ref20,Autoregressive conditional heteroskedasticity with estimates of the variance of u.k. inflation,Econometrica,Robert F Engle,50,987,1008,1982,1982,j
ref21,Genetic Programming in C++,Adam P Fraser,1994,1994,m
ref22,,GNU Scientific Library Reference Manual. Network Theorie Ltd,M Galassi,2004,2004,j
ref23,GARCH Effekte in der Optionsbewertung,Zeitschrift für Betriebswirtschaft,L J Alois,Walter S A Geyer,Schwaiger,65,5,534,540,1996,1996,j
ref24,Neural Network Approximation of Option Pricing Formulas for Analytically Intractable Option Pricing Models,Journal of Computational Intelligence in Finance,Michael Hanke,5,5,20,27,1997-09,1997,09,j
ref25,Optionsbewertung mit neuronalen Netzen. Dissertation, Wirtschaftsuniversität Wien,Michael Hanke,1998,1998,m
ref26,Adaption in Natural and Artificial Systems,University of Michigan Press,John H Holland,1975,1975,m
ref27,Options, futures, and other derivatives,Prentice Hall International, Inc,John C Hull,Upper Saddle River, New Jersey, USA,2002,2002,m
ref28,Genetic Programming IV: Routine Human-Competitive Machine Intelligence,Kluwer Acadamic Publishers,John R Koza,2003,2003,m
ref29,Genetic Programming III, Darwinian Invention and Problem Solving,Morgan Kaufmann Publishers,John R Koza,Forrest H Bennett,Iii ,David Andre,Martin A Keane,San Francisco, California, USA,1999,1999,m
ref30,Option Pricing with the Genetic Programming Approach,Journal of Computational Intelligence in Finance,Christian Keber,7,6,26,36,1999,1999,j
ref31,Genetic Programming,The MIT Press,John R Koza,Cambridge, Massachusetts, USA,1992,1992,m
ref32,Genetic Programming II,The MIT Press,John R Koza,Cambridge, Massachusetts, USA,1994,1994,m
ref33,Genetic Algorithms + Data Structures = Evolution Programs,Springer,Zbigniew Michalewicz,Berlin, Germany,1992,1992,m
ref34,An Introduction to the Mathematics of Financial Derivatives,Acadamic Press,N Salih,Neftci,San Diego, California, USA,2000,2000,m
ref35,Numerical calculation of stable densities and distribution functions,Commun. Statist.-Stochastic Models,John P Nolan,13,4,759,774,1997,1997,j
ref36,,Object Management Group, Inc. OMG Unified Modeling Language Specification, Ver. 1,,5,2003-03,2003,03,j
ref37,,Alternative Bloat Control Methods. In Lecture Nodes in Computer Science,Springer-Verlag,Liviu Panait,Sean Luke,3103,630,641,2004,2004,j
ref38,An evolved, vision-based behavioral model of coordinated group motion,From Animals to Animats (Proceedings of Simulation of Adaptive Behaviour,MIT Press,Craig W Reynolds,1992,1992,m
ref39,Genetic Programming with C++. BYTE Magazin,Andy Singleton,1994-02,1994,02,m
ref40,The C++ Programming Language,Addison Wesley Longman,Bjarne Stroustrup,Reading Mass, USA,1998,1998,m
ref41,Einführung in die Stochastick,Springer-Verlag,Reinhard K Viertl,Wien,1997,1997,m
ref42,The Genetic Programming Kernel,Thomas Weinbrenner,1997,1997,m
ref43,One-dimensional Stable Distributions,Amer. Math. Soc. Transl. of Math. Monographs,V M Zolotarev,65,1986,1986,j</t>
  </si>
  <si>
    <t>TUW-139769</t>
  </si>
  <si>
    <t>ref1,Gomory cuts revisited,Operations Research Letters,E Balas,S Ceria,G Cornuéjols,N Natraj,19,1,9,1996,1996
ref2,Operation research library,J E Beasley,http://www.brunel.ac.uk/depts/ma/research/jeb/info.html
ref3,An approximate dynamic programming approach to multidimensional knapsack problems,Management Science,D Bertsimas,R Demir,48,4,550,565,2002,2002
ref4,Approximation algorithms for knapsack problems with cardinality constraints,European Journal of Operational Research,A Caprara,H Kellerer,U Pferschy,D Pisinger,123,333,345,2000,2000
ref5,Combining and strengthening gomory cuts,Integer Programming and Combinatorial Optimization: Proc. of the 4th International IPCO Conference,Springer,S Ceria,G Cornuejols,M Dawande,Berlin, Heidelberg,438,451,1995,1995
ref6,A genetic algorithm for the multidimensional knapsack problem,Journal of Heuristics,P C Chu,J E Beasley,4,1,63,86,1998,1998
ref7,Edmonds polytopes and a hierarchy of combinatorial problems,Discrete Mathematics,V Chvátal,4,305,337,1973,1973
ref8,Exploring relaxation induced neighborhoods to improve mip solutions,Mathematical Programming,E Danna,E Rothberg,C L Pape,2004,2004
ref9,A genetic algorithm tutorial,Handbook of Genetic Algorithms,L Davis,1,101,1991,1991
ref10,On the chvátal rank of polytopes in the 0/1 cube,Discrete Applied Mathematics,F Eisenbrand,98,21,27,1999,1999
ref11,Gomory-Chvátal cutting planes and the elementary closure of polyhedra,PhD thesis,F Eisenbrand,2000,2000
ref12,Fully parallel generic branch-andcut,Proceedings of the Eighth SIAM Conference on Parallel Processing for Scientific Computing,M Esö,L Ladányi,T K Ralphs,L Trotter,1997,1997
ref13,Local branching,Mathematical Programming,M Fischetti,A Lodi,98,23,47,2002,2002
ref14,Benchmarks for the multiple knapsack problem,H C for Enterprise,http://hces.bus.olemiss.edu/tools.html
ref15,Outline of an algorithm for integer solutions to linear programs,Bulleting of theAmerican Mathematical Society,R E Gomory,64,275,278,1958,1958
ref16,An algorithm for integer solutions to linear programs,Recent Advances in Mathematical Programming,R E Gomory,269,302,1963,1963
ref17,Permutation-based evolutionary algorithms for multidimensional knapsack problems,Proceedings of 2000 ACM Symposium on Applied Computing,J Gottlieb,2000,2000
ref18,Mapping, order-independent genes and the knapsack problem,Proceedings of the 1st IEEE International Conference on Evolutionary Computation,R Hinterding,13,17,1994,1994
ref19,Fast approximation algorithms for the knapsack and sum of subset problems,J. ACM,O H Ibarra,C E Kim,22,4,463,468,1975,1975
ref20,A new polynomial-time algorithm for linear programming,Combinatorica,N Karmarkar,4,373,395,1984,1984
ref21,Knapsack Problems,Springer,H Kellerer,U Pferschy,D Pisinger,2004,2004
ref22,A polynomial algorithm for linear programming,Doklady Akad. Nauk USSR,L G Khachian,224,1093,1096,1979,1979
ref23,A branch and bound algorithm for the knapsack problem,Management Science,P Kolesar,13,723,735,1967,1967
ref24,On the existence of fast approximation schemes,Nonlinear Programming 4,Academic Press,B Korte,R Schrader,415,437,1981,1981
ref25,An automatic method for solving discrete programming problems,Econometrica,A H Land,A G Doig,28,497,520,1960,1960
ref26,Branch-and-bound methods for integer programming,Encyclopedia of Optimization,Kluwer Academic Publishers,E K Lee,J E Mitchell,2,509,519,2001,2001
ref27,An approximate algorithm for multidimensional zero-one knapsack problems,Management Science,J S Lee,M Guignard,34,3,402,410,1988,1988
ref28,The common optimization interface for operations research,IBM Journal of Research and Development,R Lougee-Heimer,47,57,66,2003,2003
ref29,Branch-and-cut algorithms for integer programming,Encyclopedia of Optimization,Kluwer Academic Publishers,J E Mitchell,2,519,525,2001,2001
ref30,Cutting plane algorithms for integer programming,Encyclopedia of Optimization,Kluwer Academic Publishers,J E Mitchell,2,525,533,2001,2001
ref31,A branch-and-cut algorithm for the resolution of large-scale symmetric traveling salesman problems,SIAM Rev,M Padberg,G Rinaldi,33,1,60,100,1991,1991
ref32,Algorithms for Knapsack Problems,PhD thesis,University of Copenhagen, Dept. of Computer Science,D Pisinger,1995-02,1995,2
ref33,An improved genetic algorithm for the multiconstrainted 0-1 knapsack problem,Proceedings of the 5th IEEE International Conference on Evolutionary Computation,G Raidl,207,211,1998,1998
ref34,Weight-codings in a genetic algorithm for the multiconstraint knapsack problem,Proceedings of the 1999 IEEE Congress on Evolutionary Computation,G R Raidl,596,603,1999,1999
ref35,Empirical analysis of locality, heritability and heuristic bias in evolutionary algorithms: A case study for the multidimensional knapsack problem,Accepted for publication in the Evolutionary Computation Journal,G R Raidl,J Gottlieb,2004,2004
ref36,COIN/BCP User's Manual,T K Ralphs,L Ladányi,2001,2001,http://www.coin-or.org/Presentations/bcp-man.pdf
ref37,A heuristic with tie breaking for certain 0-1 integer programming models,Naval Research Logistics Quarterly,G D Scudder,G Fox,32,613,623,1985,1985
ref38,An approach to linear programming with 0-1 variables,Management Science,S Senju,Y Toyoda,11,196,207,1967,1967
ref39,Some experiences on solving multiconstraint zero-one knapsack problems with genetic algorithms,INFOR 32,J Thiel,S Voss,226,242,1994,1994
ref40,A simplified algorithm for obtaining approximate solution to zero-one programming problems,Management Science,Y Toyoda,21,1417,1427,1975,1975
ref41,A hybrid approach for the 0-1 multidimensional knapsack problem,Proceedings of IJCAI 01,M Vasquez,J.-K Hao,2001,2001
ref42,Integer Programming,John Wiley and Sons,L A Wolsey,1998,1998</t>
  </si>
  <si>
    <t>ref1,Gomory cuts revisited,Operations Research Letters,E Balas,S Ceria,G Cornuéjols,N Natraj,19,1,9,1996,1996,j
ref2,Operation research library,J E Beasley,m
ref3,An approximate dynamic programming approach to multidimensional knapsack problems,Management Science,D Bertsimas,R Demir,48,4,550,565,2002,2002,j
ref4,Approximation algorithms for knapsack problems with cardinality constraints,European Journal of Operational Research,A Caprara,H Kellerer,U Pferschy,D Pisinger,123,333,345,2000,2000,j
ref5,Combining and strengthening gomory cuts,Integer Programming and Combinatorial Optimization: Proc. of the 4th International IPCO Conference,Springer,S Ceria,G Cornuejols,M Dawande,438,451,1995,1995,m
ref6,A genetic algorithm for the multidimensional knapsack problem,Journal of Heuristics,P C Chu,J E Beasley,4,1,63,86,1998,1998,j
ref7,Edmonds polytopes and a hierarchy of combinatorial problems,Discrete Mathematics,V ,4,305,337,1973,1973,j
ref8,Exploring relaxation induced neighborhoods to improve mip solutions,Mathematical Programming,E Danna,E Rothberg,C L Pape,2004,2004,m
ref9,A genetic algorithm tutorial,Handbook of Genetic Algorithms,L Davis,1,101,1991,1991,m
ref10,On the chvátal rank of polytopes in the 0/1 cube,Discrete Applied Mathematics,F Eisenbrand,98,21,27,1999,1999,j
ref11,Gomory-Chvátal cutting planes and the elementary closure of polyhedra,F Eisenbrand,2000,2000,m
ref12,Fully parallel generic branch-andcut,Proceedings of the Eighth SIAM Conference on Parallel Processing for Scientific Computing,M Esö,L Ladányi,T K Ralphs,L Trotter,1997,1997,m
ref13,,Local branching. Mathematical Programming,M Fischetti,A Lodi,23,47,2002,2002,m
ref14,Benchmarks for the multiple knapsack problem,H C For Enterprise,Science,m
ref15,Outline of an algorithm for integer solutions to linear programs,Bulleting of the American Mathematical Society,R E Gomory,64,275,278,1958,1958,j
ref16,An algorithm for integer solutions to linear programs,Recent Advances in Mathematical Programming,R E Gomory,269,302,1963,1963,m
ref17,Permutation-based evolutionary algorithms for multidimensional knapsack problems,Proceedings of 2000 ACM Symposium on Applied Computing,J Gottlieb,2000,2000,m
ref18,Mapping, order-independent genes and the knapsack problem,Proceedings of the 1st IEEE International Conference on Evolutionary Computation,R Hinterding,1994,1994,m
ref19,Fast approximation algorithms for the knapsack and sum of subset problems,J. ACM,O H Ibarra,C E Kim,22,4,463,468,1975,1975,j
ref20,A new polynomial-time algorithm for linear programming,Combinatorica,N Karmarkar,4,373,395,1984,1984,j
ref21,Knapsack Problems,Springer,H Kellerer,U Pferschy,D Pisinger,2004,2004,m
ref22,A polynomial algorithm for linear programming,Doklady Akad. Nauk USSR,L G Khachian,224,1093,1096,1979,1979,j
ref23,A branch and bound algorithm for the knapsack problem,Management Science,P Kolesar,13,723,735,1967,1967,j
ref24,On the existence of fast approximation schemes,Nonlinear Programming,Academic Press,B Korte,R Schrader,415,437,1981,1981,m
ref25,An automatic method for solving discrete programming problems,Econometrica,A H Land,A G Doig,28,497,520,1960,1960,j
ref26,Branch-and-bound methods for integer programming,Encyclopedia of Optimization,Kluwer Academic Publishers,E K Lee,J E Mitchell,509,519,2001,2001,m
ref27,An approximate algorithm for multidimensional zero-one knapsack problems,Management Science,J S Lee,M Guignard,34,3,402,410,1988,1988,j
ref28,The common optimization interface for operations research,IBM Journal of Research and Development,R Lougee-Heimer,47,57,66,2003,2003,j
ref29,Branch-and-cut algorithms for integer programming,Encyclopedia of Optimization,Kluwer Academic Publishers,J E Mitchell,519,525,2001,2001,m
ref30,Cutting plane algorithms for integer programming,Encyclopedia of Optimization,Kluwer Academic Publishers,J E Mitchell,525,533,2001,2001,m
ref31,A branch-and-cut algorithm for the resolution of large-scale symmetric traveling salesman problems,SIAM Rev,M Padberg,G Rinaldi,33,1,60,100,1991,1991,j
ref32,Algorithms for Knapsack Problems,D Pisinger,1995,1995,m
ref33,An improved genetic algorithm for the multiconstrainted 0-1 knapsack problem,Proceedings of the 5th IEEE International Conference on Evolutionary Computation,G ,207,211,1998,1998,m
ref34,Weight-codings in a genetic algorithm for the multiconstraint knapsack problem,Proceedings of the 1999 IEEE Congress on Evolutionary Computation,G R ,596,603,1999,1999,m
ref35,Empirical analysis of locality, heritability and heuristic bias in evolutionary algorithms: A case study for the multidimensional knapsack problem. Accepted for publication in the,Evolutionary Computation Journal,G R Raidl,J Gottlieb,2004,2004,j
ref36,,COIN/BCP User's Manual,T K Ralphs,L Ladányi,2001,2001,http://www.coin-or.org/Presentations/bcp-man.pdf,m
ref37,A heuristic with tie breaking for certain 0-1 integer programming models,Naval Research Logistics Quarterly,G D Scudder,G Fox,32,613,623,1985,1985,j
ref38,An approach to linear programming with 0-1 variables,Management Science,S Senju,Y Toyoda,11,196,207,1967,1967,j
ref39,Some experiences on solving multiconstraint zero-one knapsack problems with genetic algorithms,J Thiel,S Voss,226,242,1994,1994,m
ref40,A simplified algorithm for obtaining approximate solution to zero-one programming problems,Management Science,Y Toyoda,21,1417,1427,1975,1975,j
ref41,A hybrid approach for the 0-1 multidimensional knapsack problem,Proceedings of IJCAI 01,M Vasquez,J.-K Hao,2001,2001,m
ref42,Integer Programming,John Wiley and Sons,L A Wolsey,1998,1998,m</t>
  </si>
  <si>
    <t>TUW-139781</t>
  </si>
  <si>
    <t>ref1,A genetic algorithm for the multiconstrained knapsack problem,Journal of Heuristics,P C Chu,J Beasley,4,63,86,1998,1998
ref2,Local Branching,Mathematical Programming Series B,M Fischetti,A Lodi,98,23,47,2003,2003
ref3,On the effectivity of evolutionary algorithms for multidimensional knapsack problems,Proceedings of Artificial Evolution: Fourth European Conference,Springer,J Gottlieb,1829,22,37,1999,1999
ref4,Knapsack Problems,Springer,H Kellerer,U Pferschy,D Pisinger,2004,2004
ref5,An improved genetic algorithm for the multiconstrained 0–1 knapsack problem,Proceedings of the 5th IEEE International Conference on Evolutionary Computation,IEEE Press,G R ,207,211,1998,1998
ref6,Empirical analysis of locality, heritability and heuristic bias in evolutionary algorithms: A case study for the multidimensional knapsack problem,Evolutionary Computation Journal,G R Raidl,J Gottlieb,13,4,2005,2005
ref7,A hybrid approach for the 0–1 multidimensional knapsack problem,Proceedings of the International Joint Conference on Artificial Intelligence,M Vasquez,J.-K Hao,328,333,2001,2001
ref8,Improved results on the 0-1 multidimensional knapsack problem,European Journal of Operational Research,M Vasquez,Y Vimont,165,70,81,2005,2005</t>
  </si>
  <si>
    <t>ref1,A genetic algorithm for the multiconstrained knapsack problem,Journal of Heuristics,P C Chu,J Beasley,4,63,86,1998,1998,j
ref2,,Local Branching. Mathematical Programming Series B,M Fischetti,A Lodi,98,23,47,2003,2003,j
ref3,On the effectivity of evolutionary algorithms for multidimensional knapsack problems,Proceedings of Artificial Evolution: Fourth European Conference,Springer,J Gottlieb,22,37,1999,1999,m
ref4,Knapsack Problems,Springer,H Kellerer,U Pferschy,D Pisinger,2004,2004,m
ref5,An improved genetic algorithm for the multiconstrained 0-1 knapsack problem,Proceedings of the 5th IEEE International Conference on Evolutionary Computation,IEEE Press,G R ,207,211,1998,1998,m
ref6,Empirical analysis of locality, heritability and heuristic bias in evolutionary algorithms: A case study for the multidimensional knapsack problem,Evolutionary Computation Journal,G R Raidl,J Gottlieb,13,4,2005,2005,j
ref7,A hybrid approach for the 0-1 multidimensional knapsack problem,Proceedings of the International Joint Conference on Artificial Intelligence,M Vasquez,J.-K Hao,328,333,2001,2001,m
ref8,Improved results on the 0-1 multidimensional knapsack problem,European Journal of Operational Research,M Vasquez,Y Vimont,165,70,81,2005,2005,j</t>
  </si>
  <si>
    <t>TUW-139785</t>
  </si>
  <si>
    <t>ref1,A New Bound for the Quadratic Assignment Problem Based on Convex Quadratic Programming,Mathematical Programming,K M Anstreicher,N W Brixius,89,3,341,357,2001,2001
ref2,Solving large quadratic assignment problems on computational grids,Mathematical Programming,K M Anstreicher,N W Brixius,J.-P Goux,J Linderoth,91,3,563,588,2002-02,2002,2
ref3,The reactive tabu search,ORSA Journal on Computing,R Battiti,G Tecchiolli,6,2,126,140,1994,1994
ref4,Metaheuristics in combinatorial optimization: Overview and conceptual comparison,ACM Computing Surveys,C Blum,A Roli,35,3,268,308,2003,2003
ref5,Solving quadratic assignment problems using convex quadratic programming relaxations,Optimization Methods and Software,N W Brixius,K M Anstreicher,16,49,68,2001,2001
ref6,The Steinberg Wiring Problem,In The Sharpest Cut: The Impact of Manfred Padberg and His Work,N W Brixius,K M Anstreicher,2004-06,2004,6
ref7,QAPLIB-A Quadratic Assignment Problem Library,Journal of Global Optimization,R Burkard,S Karisch,F Rendl,10,391,403,1997,1997,http://www.seas.upenn.edu/qaplib/
ref8,Thermodynamical Approach to the Traveling Salesman Problem: An Efficient Simulation Algorithm,Journal of Optimization Theory and Applications,V Cerny,45,1,41,51,1985,1985
ref9,A Survey of the Quadratic Assignment Problem, with Applications,The Moreahead Electronic Journal of Applicable Mathematics,C W Commander,P M Pardalos,2003-04,2003,4
ref10,The derivation of a greedy approximator for the Koopmans– Beckmann quadratic assigment problem,Proceedings of the 77-th Combinatorial Programming Conference (CP77),C Edwards,55,86,1977,1977
ref11,A probabilistic heuristic for a computationally difficult set covering problem,Operations Research Letters,T A Feo,M G C Resende,8,67,71,1989-04,1989,4
ref12,Greedy Randomized Adaptive Search Procedures,Journal of Global Optimization,T A Feo,M G C Resende,6,2,109,133,1995-03,1995,3
ref13,Exact Solution of the Quadratic Assignment Problem,M Frazer,1997-04,1997,4
ref14,Computers and Intractability; A Guide to the Theory of NP-Completeness. A series of books in the mathematical sciences,Freeman and Company,M R Garey,D S Johnson,New York, NY,1979,1979
ref15,Optimal and Suboptimal Algorithms for the Quadratic Assignment Problem,SIAM Journal on Applied Mathematics,P C Gilmore,10,305,313,1962,1962
ref16,Future paths for integer programming and links to artificial intelligence,Computers and Operations Research,F W Glover,13,5,533,549,1986-05,1986,5
ref17,Tabu Search — Part I,ORSA Journal on Computing,F W Glover,1,3,190,206,1989,1989
ref18,Tabu Search — Part II,ORSA Journal on Computing,F W Glover,2,1,4,32,1990,1990
ref19,Handbook of Metaheuristics,International series in operations research and management science,Kluwer Academic Publishers,F W Glover,G A Kochenberger,Boston Hardbound,57,2003,2003
ref20,Polynomial approximation algorithms for the TSP and the QAP with a factorial domination number,Discrete Applied Mathematics,G Gutin,A Yeo,119,1,2,2002-06,2002,6
ref21,The Theory and Practice of Simulated Annealing,Handbook of Metaheuristics,Kluwer Academic Publishers,F. W. Glover and G. A. Kochenberger,D Henderson,S H Jacobson,Boston Hardbound,10,287,319,2003,2003
ref22,Optimization by Simulated Annealing,Science,S Kirkpatrick,C D Gelatt,M P Vecchi,220,4598,671,680,1983-05,1983,5
ref23,Assignment Problems and the Location of Economic Activities,Economethica Journal of the Econometric Society,T C Koopmans,M Beckmann,25,1,53,76,1957-01,1957,1
ref24,The Hungarian method for the assignment problem,Naval Research Logistics Quarterly,H W Kuhn,2,83,97,1955,1955
ref25,The Quadratic Assignment Problem,Management Science,E L Lawler,9,586,599,1963,1963
ref26,A Greedy Randomized Adaptive Search Procedure for the Quadratic Assignment Problem,Quadratic assignment and related problems,American Mathematical Society,P. M. Pardalos and H. Wolkowicz,Y Li,P M Pardalos,M Resende,16,237,261,1994,1994
ref27,An analytical Survey for the Quadratic Assignment Problem,E M Loiola,N M M De Abreu,P O Boaventura-Netto,P Hahn,T Querido,2004,2004
ref28,A Beginner's Introduction to Iterated Local Search,Proceedings of MIC'2001—Meta–heuristics International Conference,H R Lourenço,O C Martin,T Stützle,Porto, Portugal,1,1,6,2001-07,2001,7
ref29,Iterated Local Search,Handbook of Metaheuristics,Kluwer Academic Publishers,F. W. Glover and G. A. Kochenberger,H R Lourenço,O C Martin,T Stützle,Boston Hardbound,11,321,353,2003,2003
ref30,Multi-Start,Handbook of Metaheuristics,Kluwer Academic Publishers,F. W. Glover and G. A. Kochenberger,R Martí,Boston Hardbound,12,355,368,2003,2003
ref31,Equation of State Calculations by Fast Computing Machines,Journal of Chemical Physics,N Metropolis,A Rosenbluth,M N Rosenbluth,A H Teller,E Teller,21,6,1088,1092,1953-06,1953,6
ref32,Applying an extended Guided Local Search to the Quadratic Assignment Problem,Annals of Operations Research,P Mills,E P K Tsang,J Ford,118,1,121,135,2003,2003
ref33,Aerospace Applications of Integer and Combinatorial Optimization,NASA Technical Memorandum,S L Padula,R K Kincaid,NASA, Langley Research Center ; Hampton, Virginia,23681,23682,1995-10,1995,10
ref34,An Algorithm for Construction of Test Cases for the Quadratic Assigmnet Problem,Informatica,G Palubeckis,11,3,281,296,2000,2000
ref35,EAlib 1.1 – A Generic Library for Metaheuristics,Institute of Computer Graphics and Algorithms, Vienna University of Technology,G Raidl,2004,2004
ref36,Bounds for the Quadratic Assignment Problem Using the Bundle Method,F Rendl,R Sotirov,2003-08,2003,8
ref37,Greedy Randomized Adaptive Search Procedures,Handbook of Metaheuristics,Kluwer Academic Publishers,F. W. Glover and G. A. Kochenberger,M G G Resende,Boston Hardbound,8,219,249,2003,2003
ref38,Parallel Greedy Randomized Adaptive Search Procedures,Tech. Rep. TD-67EKXH,AT&amp;T Labs Research,M G C Resende,C C Ribeiro,2004-12,2004,12
ref39,P-Complete Approximation Problems,Journal of the ACM,S Sahni,T Gonzales,23,3,555,565,1976-07,1976,7
ref40,The Backboard Wiring Problem: A Placement Algorithm,SIAM Review,L Steinberg,3,1,37,50,1961,1961
ref41,Robust taboo search for the quadratic assignment problem,Parallel Computing,E D Taillard,17,4,5,1991-07,1991,7
ref42,Fast Local Search and Guided Local Search and Their Application to British Telecom's Workforce Scheduling Problem,Tech. Rep. CSM-246,Department of Computer Science, University of Essex,E P K Tsang,C Voudouris,Colchester CO4 3SQ,1995-08,1995,8
ref43,A Generic Neural Network Approach for Constraint Satisfaction Problems,Neural Network Applications,Springer-Verlag,J. G. Taylor,E P K Tsang,Wang ,C J ,12,22,1992,1992
ref44,Guided Local Search,Department of Computer Science, University of Essex,Department of Computer Science, University of Essex,C Voudouris,E P K Tsang,Colchester, C04 3SQ, UK,1995-08,1995,8
ref45,Guided Local Search,Handbook of Metaheuristics,Kluwer Academic Publishers,F. W. Glover and G. A. Kochenberger,C Voudouris,E P K Tsang,Boston Hardbound,7,185,217,2003,2003</t>
  </si>
  <si>
    <t>ref1,,
ref2,8 2.2 Original Backboard of the Steinberg Wiring Problem,,m
ref3,,
ref4,,
ref5,,
ref6,,
ref7,,
ref8,,
ref9,,
ref10,,
ref11,,
ref12,,
ref13,Overall count of reached global optima,,m
ref14,,
ref15,,
ref16,,
ref17,65 List of Tables 6.1 System setup,,m
ref18,A New Bound for the Quadratic Assignment Problem Based on Convex Quadratic Programming,Mathematical Programming,K M Anstreicher,N W Brixius,89,341,357,2001,2001,j
ref19,Solving large quadratic assignment problems on computational grids,Mathematical Programming,K M Anstreicher,N W Brixius,J.-P Goux,J Linderoth,91,3,563,588,2002-02,2002,02,j
ref20,The reactive tabu search,ORSA Journal on Computing,R Battiti,G Tecchiolli,6,126,140,1994,1994,j
ref21,Metaheuristics in combinatorial optimization: Overview and conceptual comparison,ACM Computing Surveys,C Blum,Roli ,A ,35,268,308,2003,2003,j
ref22,Solving quadratic assignment problems using convex quadratic programming relaxations,Optimization Methods and Software,N W Brixius,K M Anstreicher,16,49,68,2001,2001,j
ref23,The Steinberg Wiring Problem,The Sharpest Cut: The Impact of Manfred Padberg and His Work, M. Grötschel,N W Brixius,K M Anstreicher,2004-06,2004,06,m
ref24,,Quadratic Assignment Problem Library. Journal of Global Optimization,R Burkard,S Karisch,F Rendl,Qaplib-A,10,391,403,1997,1997,http://www.seas.upenn.edu/qaplib/,j
ref25,Approach to the Traveling Salesman Problem: An Efficient Simulation Algorithm,Journal of Optimization Theory and Applications,V Cerny,Thermodynamical,45,41,51,1985,1985,j
ref26,A Survey of the Quadratic Assignment Problem, with Applications,The Moreahead Electronic Journal of Applicable Mathematics,C W Commander,Pardalos ,P M ,2003-04,2003,04,j
ref27,The derivation of a greedy approximator for the KoopmansBeckmann quadratic assigment problem,Proceedings of the 77-th Combinatorial Programming Conference,C Edwards,55,86,1977,1977,m
ref28,A probabilistic heuristic for a computationally difficult set covering problem,Operations Research Letters,T A Feo,M G C Resende,8,67,71,1989-04,1989,04,j
ref29,Greedy Randomized Adaptive Search Procedures,Journal of Global Optimization,T A Feo,M G Resende,6,109,133,1995-03,1995,03,j
ref30,Exact Solution of the Quadratic Assignment Problem,M Frazer,1997-04,1997,04,m
ref31,Computers and Intractability; A Guide to the Theory of NP-Completeness. A series of books in the mathematical sciences,W.H. Freeman and Company,M R Garey,Johnson ,D S ,New York, NY,1979,1979,m
ref32,Optimal and Suboptimal Algorithms for the Quadratic Assignment Problem,SIAM Journal on Applied Mathematics,P C Gilmore,10,305,313,1962,1962,j
ref33,Future paths for integer programming and links to artificial intelligence,Computers and Operations Research,F W Glover,13,5,533,549,1986-05,1986,05,j
ref34,,Tabu Search-Part I. ORSA Journal on Computing,F W Glover,1,190,206,1989,1989,j
ref35,Tabu Search-Part II,ORSA Journal on Computing,F W Glover,2,4,32,1990,1990,j
ref36,of International series in operations research and management science,Handbook of Metaheuristics,Kluwer Academic Publishers,F W Glover,G A Kochenberger,2003,2003,m
ref37,Polynomial approximation algorithms for the TSP and the QAP with a factorial domination number,Discrete Applied Mathematics,G Gutin,Yeo ,A ,119,107,116,2002-06,2002,06,j
ref38,The Theory and Practice of Simulated Annealing,Handbook of Metaheuristics,Kluwer Academic Publishers,D Henderson,S H Jacobson,287,319,2003,2003,m
ref39,Optimization by Simulated Annealing,Science,S Kirkpatrick,C D Gelatt,M P Vecchi,220,671,680,1983-05,1983,05,j
ref40,Assignment Problems and the Location of Economic Activities. Economethica,Journal of the Econometric Society,T C Koopmans,M Beckmann,25,1,53,76,1957-01,1957,01,j
ref41,The Hungarian method for the assignment problem,Naval Research Logistics Quarterly,H W Kuhn,2,83,97,1955,1955,j
ref42,The Quadratic Assignment Problem,Management Science,E L Lawler,9,586,599,1963,1963,j
ref43,A Greedy Randomized Adaptive Search Procedure for the Quadratic Assignment Problem,Quadratic assignment and related problems,American Mathematical Society,Y Li,P M Pardalos,Resende ,M ,237,261,1994,1994,m
ref44,An analytical Survey for the Quadratic Assignment Problem,E M Loiola,N M M De Abreu,P O Boaventura-Netto,P Hahn,T Querido,2004,2004,m
ref45,A Beginner's Introduction to Iterated Local Search,Proceedings of MIC'2001-Meta-heuristics International Conference,H R Lourenço,O C Martin,T Stützle,1,6,2001-07,2001,07,m
ref46,Iterated Local Search,Handbook of Metaheuristics,Kluwer Academic Publishers,H R Lourenço,O C Martin,T Stützle,321,353,2003,2003,m
ref47,of International series in operations research and management science,Handbook of Metaheuristics,Kluwer Academic Publishers,R Martí,Multi-Start,Methods,355,368,2003,2003,m
ref48,Equation of State Calculations by Fast Computing Machines,Journal of Chemical Physics,N Metropolis,A Rosenbluth,M N Rosenbluth,A H Teller,E Teller,21,6,1088,1092,1953-06,1953,06,j
ref49,Applying an extended Guided Local Search to the Quadratic Assignment Problem,Annals of Operations Research,P Mills,E P K Tsang,Ford ,J ,118,1,121,135,2003,2003,j
ref50,Aerospace Applications of Integer and Combinatorial Optimization. NASA Technical Memorandum 110210,S L Padula,Kincaid ,R K ,NASA, Langley Research Center, Hampton, Virginia,1995-10,1995,10,m
ref51,An Algorithm for Construction of Test Cases for the Quadratic Assigmnet Problem,Informatica,G Palubeckis,11,281,296,2000,2000,j
ref52,EAlib 1.1-A Generic Library for Metaheuristics. Institute of Computer Graphics and Algorithms,G Raidl,2004,2004,m
ref53,Bounds for the Quadratic Assignment Problem Using the Bundle Method,F Rendl,R Sotirov,2003-08,2003,08,m
ref54,Greedy Randomized Adaptive Search Procedures,Handbook of Metaheuristics,Kluwer Academic Publishers,M G C Resende,219,249,2003,2003,m
ref55,Parallel Greedy Randomized Adaptive Search Procedures,M G C Resende,C C Ribeiro,2004-12,2004,12,m
ref56,P-Complete Approximation Problems,Journal of the ACM,S Sahni,Gonzales ,T ,23,3,555,565,1976-07,1976,07,j
ref57,The Backboard Wiring Problem: A Placement Algorithm,SIAM Review,L Steinberg,3,37,50,1961,1961,j
ref58,Robust taboo search for the quadratic assignment problem,Parallel Computing,E D Taillard,17,443,455,1991-07,1991,07,j
ref59,Fast Local Search and Guided Local Search and Their Application to British Telecom's Workforce Scheduling Problem,E P K Tsang,C Voudouris,Colchester CO4 3SQ,1995-08,1995,08,m
ref60,A Generic Neural Network Approach for Constraint Satisfaction Problems,Neural Network Applications,Springer-Verlag,E P K Tsang,Wang ,C J ,12,22,1992,1992,m
ref61,Guided Local Search,C Voudouris,E P Tsang,Colchester, C04 3SQ, UK,1995-08,1995,08,m
ref62,Guided Local Search,Handbook of Metaheuristics,Kluwer Academic Publishers,C Voudouris,E P Tsang,185,217,2003,2003,m</t>
  </si>
  <si>
    <t>TUW-140047</t>
  </si>
  <si>
    <t>ref1,Playsom and pocketsomplayer, alternative interfaces to large music collections,Proceedings of the Sixth International Conference on Music Information Retrieval,R Neumayer,,M Dittenbach,A Rauber,London, UK,618,623,2005,2005
ref2,Evaluation of feature extractors and psycho-acoustic transformations for music genre classification,Proceedings of the Sixth International Conference on Music Information Retrieval,T Lidy,A Rauber,London, UK,34,41,2005,2005
ref3,Music Information Retrieval Evaluation eXchange-audio genre classification,Website,,2005,2005,http://www.music-ir.org/evaluation/mirex-results/audio-genre/index.html
ref4,Mirex 2005: Combined fluctuation features for music genre classification,T Lidy,A Rauber,2005-09,2005,9,http://www.music-ir.org/evaluation/mirex-results/articles/audio_genre/lidy.pdf
ref5,Psychoacoustics-Facts and Models,Springer Series of Information Sciences,Springer,E Zwicker,H Fastl,Berlin,22,1999,1999</t>
  </si>
  <si>
    <t>ref1,It is also one of the two fastest algorithms, with by far the most efficient distance calculation. Different statistics have been derived from genre, artist and album assignments, which gave our algorithm the 3rd rank in most of the cases, and 2nd rank in one case. However, these statistics have to be taken with care, because the order of the ranks changes depending on the number of songs retrieved and whether artist-filtering is applied or not. Furthermore, the database used is highly skewed towards 2 main genres (Rock and Rap/Hip-Hop),The first large-scale human listening test for Music Similarity and Retrieval in MIREX showed, that our algorithms are competing with state-of-the-art algorithms-no significant difference in performance has been found between the top 5 algorithms,,m
ref2,Playsom and pocketsomplayer, alternative interfaces to large music collections,Proceedings of the Sixth International Conference on Music Information Retrieval,R Neumayer,M Dittenbach,A Rauber,618,623,2005,2005,m
ref3,Evaluation of feature extractors and psycho-acoustic transformations for music genre classification,Proceedings of the Sixth International Conference on Music Information Retrieval,T Lidy,A Rauber,34,41,2005,2005,m
ref4,Music Information Retrieval Evaluation eXchange-audio genre classification,Website,,2005,2005,http://www.music-ir.org/evaluation/mirex-results/audio-genre/index.html,j
ref5,Mirex 2005: Combined fluctuation features for music genre classification,T Lidy,A Rauber,2005-09,2005,09,m
ref6,Psychoacoustics-Facts and Models, ser. Springer Series of Information Sciences,Springer,E Zwicker,H Fastl,Berlin,1999,1999,m</t>
  </si>
  <si>
    <t>TUW-140048</t>
  </si>
  <si>
    <t>ref1,[BEA03],Business Process Execution Language for Web Services,BEA, IBM, Microsoft, SAP AG and Siebel Systems,,Version. 1.1,2003-05,2003,5
ref2,[BJJW02],Process Models and Business Models-A Unified Framework,Lecture Notes in Computer Science,Springer,Stefano Spaccapietra, Salvatore T. March, and Yahiko Kambayashi,Maria Bergholtz,Prasad Jayaweera,Paul Johannesson,Petia Wohed,2503,364,377,2002,2002
ref3,[HH04a],ebXML Business Processes-Defined both in UMM and BPSS,Proceedings of the 1st GI Workshop XML4BPM – XML Interchange Formats for Business Process Management at 7th GI Conference Modellierung,M. Nüttgens and J. Mendling,Birgit Hofreiter,Christian Huemer,81,102,2004-03,2004,3
ref4,[HH04b],Transforming UMM Business Collaboration Models to BPEL,OTM Workshops,Springer,Robert Meersman, Zahir Tari, and Angelo Corsaro,Birgit Hofreiter,Christian Huemer,3292,507,519,2004,2004
ref5,[HHK05],Choreography of ebXML business collaborations,Information Systems and e-Business Management (ISeB),Birgit Hofreiter,Christian Huemer,Ja-Hee Kim,2005,2005
ref6,[ISO95],Open-edi Reference Model,ISO/IEC JTC 1/SC30 ISO Standard 14662,ISO,,1995,1995
ref7,[Obj00],OMG XML Metadata Interchange (XMI) Specification,Object Management Group, Inc,,Version 1.1 (formal/00-11-02),2000-11,2000,11
ref8,[Obj04],Unified Modeling Language (UML) Specification,Object Management Group, Inc,Rosettanet,Version 1.1 (formal/04-07-02),2004-07,2004,7
ref9,[Ros02],RosettaNet Implementation Framework: Core Specification,RosettaNet,,V02. .00.01,2002-12,2002,12
ref10,[UN/01],UN/CEFACT's Modeling Methodology-Meta Model,UN/CEFACT Techniques and Methodologies Group,,Revision. 12,2001-11,2001,11
ref11,[UN/03],UN/CEFACT ebXML Business Process Specification Schema,Consortium (W3C). XSL Transformations (XSLT),UN/CEFACT Techniques and Methodologies Group,,Version. 1.10,2003-10,2003,10
ref12,[Wor99],XSL Transformations (XSLT),Wide Web Consortium (W3C) Web,,Version. 1.0,1999-11,1999,11
ref13,[Wor04],Web Services Choreography Description Language,Wide Web Consortium (W3C) Web,,Working. Draft Version 1.0,2004-12,2004,12</t>
  </si>
  <si>
    <t>ref1,Business Process Execution Language for Web Services,Bea ,Ibm Microsoft,Sap Ag,Siebel Systems,2003-05,2003,05,m
ref2,Process Models and Business Models-A Unified Framework,Lecture Notes in Computer Science,Springer,Maria Bergholtz,Prasad Jayaweera,Paul Johannesson,Petia Wohed,2503,364,377,2002,2002,j
ref3,,XML4BPM 2004, Proceedings of the 1st GI Workshop XML4BPM-XML Interchange Formats for Business Process Management at 7th GI Conference Modellierung,Birgit Hofreiter,Christian Huemer,81,102,2004-03,2004,03,m
ref4,Transforming UMM Business Collaboration Models to BPEL,OTM Workshops,Springer,Birgit Hofreiter,Christian Huemer,507,519,2004,2004,m
ref5,,Choreography of ebXML business collaborations. Information Systems and e-Business Management (ISeB),Birgit Hofreiter,Christian Huemer,Ja-Hee Kim,2005,2005,m
ref6,Open-edi Reference Model,Iso,1995,1995,m
ref7,,Inc. OMG XML Metadata Interchange (XMI) Specification,,1,1,2000-11,2000,11,j
ref8,Unified Modeling Language (UML) Specification,,2004-07,2004,07,m
ref9,RosettaNet Implementation Framework: Core Specification,Rosettanet,2002-12,2002,12,m
ref10,UN/CEFACT's Modeling Methodology-Meta Model,Un / Cefact Techniques,Methodologies Group,2001-11,2001,11,m
ref11,UN/CEFACT ebXML Business Process Specification Schema,Un / Cefact Techniques,Methodologies Group,2003-10,2003,10,m
ref12,World Wide Web Consortium (W3C),,1999-11,1999,11,m
ref13,World Wide Web Consortium (W3C),,2004-12,2004,12,m</t>
  </si>
  <si>
    <t>TUW-140229</t>
  </si>
  <si>
    <t>ref1,An Evaluation of Open Source ELearning Platforms Stressing Adaptation Issues,Proceedings of the International Conference on Advanced Learning Technologies,S Graf,B List,163,165,2005,2005
ref2,Intelligent Agents in a Teaching and Learning Environment on the Web,Proceedings of the International Conference on Advanced Learning Technologies,C Peña,J Narzo,J de La Rosa,2002,2002
ref3,Addressing different learning styles through course hypermedia,IEEE Transactions on Education,C A Carver,R A Howard,W D Lane,42,1,33,38,1999,1999
ref4,Evaluating Bayesian Networks' Precision for Detecting Students' Learning Styles,Computers &amp; Education,Elsevier,P García,A Amandi,S Schiaffino,M Campo,in. press
ref5,Learning and Teaching Styles in Engineering Education Engineering Education,Engineering Education,R M Felder,L K Silverman,78,7,674,681,1988,1988,http://www.ncsu.edu/felderpublic/ Papers/LS-1988.pdf
ref6,The Learn@WU Learning Environment,Wirtschaftsinformatik,Physica-Verlag,W. Uhr, W. Esswein and E. Schoop,G Alberer,P Alberer,T Enzi,G Ernst,K Mayrhofer,G Neumann,R Rieder,B Simon,Dresden, Germany,593,612,2003,2003
ref7,Design and Use of a Rubric to Assess and Encourage Interactive Qualities in Distance Courses,The American Journal of Distance Education,M D Roblyer,W Wiencke,17,2,77,98,2003,2003
ref8,On-line course effectiveness: an analysis of student interactions and perceptions of learning,Journal of Distance Education,A P Rovai,K T Barnum,18,1,57,73,2003,2003
ref9,Correlational analysis of student visibility and learning outcomes online,Journal of Asynchronous Learning Network,M J Wang,8,4,71,82,2004,2004
ref10,Index of Learning Styles Questionnaire,R M Felder,B A Soloman,2006-02-06,2006,2,6,http://www.engr.ncsu.edu/learningstyles/ ilsweb.html</t>
  </si>
  <si>
    <t>ref1,An Evaluation of Open Source ELearning Platforms Stressing Adaptation Issues,Proceedings of the International Conference on Advanced Learning Technologies,S Graf,B List,163,165,2005,2005,m
ref2,Intelligent Agents in a Teaching and Learning Environment on the Web,Proceedings of the International Conference on Advanced Learning Technologies,C Peña,J Narzo,J De La Rosa,2002,2002,m
ref3,Addressing different learning styles through course hypermedia,IEEE Transactions on Education,C A Carver,R A Howard,W D Lane,42,1,33,38,1999,1999,j
ref4,Evaluating Bayesian Networks' Precision for Detecting Students' Learning Styles,Computers &amp; Education,Elsevier,P García,A Amandi,S Schiaffino,M Campo,j
ref5,Learning and Teaching Styles in Engineering Education,Engineering Education,R M Felder,L K Silverman,78,7,674,681,1988,1988,http://www.ncsu.edu/felderpublic/Papers/LS-1988.pdf,j
ref6,The Learn@WU Learning Environment,Physica-Verlag,G Alberer,P Alberer,T Enzi,G Ernst,K Mayrhofer,G Neumann,R Rieder,B Simon,Wirtschaftsinformatik, Dresden, Germany,593,612,2003,2003,m
ref7,Design and Use of a Rubric to Assess and Encourage Interactive Qualities in Distance Courses,The American Journal of Distance Education,M D Roblyer,W Wiencke,17,2,77,98,2003,2003,j
ref8,On-line course effectiveness: an analysis of student interactions and perceptions of learning,Journal of Distance Education,A P Rovai,K T Barnum,18,1,57,73,2003,2003,j
ref9,Correlational analysis of student visibility and learning outcomes online,Journal of Asynchronous Learning Network,M J Wang,8,4,2004,2004,j
ref10,Index of Learning Styles Questionnaire,R M Felder,B A Soloman,2006-02-06,2006,02,06,m</t>
  </si>
  <si>
    <t>TUW-140253</t>
  </si>
  <si>
    <t>ref1,Towards a theory of actor computation,Proceedings CONCUR'92, number 630 in Lecture Notes in Computer Science,Springer-Verlag,G Agha,I A Mason,S Smith,C Talcott,565,579,1992,1992
ref2,Abstract behavior types: A foundation model for components and their composition,Science of Computer Programming,F Arbab,55,1-3,3,33,2005,2005
ref3,Guava: A dialect of Java without data races,OOPSLA,D F Bacon,R E Strom,A Tarafdar,2000,2000
ref4,A parameterized type system for race-free Java programs,OOPSLA 2001,ACM,C Boyapati,M Rinard,2001,2001
ref5,The grand challenge of trusted components,ICSE-25 (International Conference on Software Engineering),IEEE Computer Press,B Meyer,Protland, Oregon,2003,2003
ref6,The programming language Concurrent Pascal,IEEE Transactions on Software Engineering,P Brinch-Hansen,1,2,199,207,1975,1975
ref7,Integrating independent components with on-demand remodularization,OOPSLA 2002 Conference Proceedings,ACM,M Mezini,K Ostermann,Seattle, Washington,52,67,2002,2002
ref8,Toward a method of object-oriented concurrent programming,Communications of the ACM,D Caromel,36,9,90,101,1993,1993
ref9,A calculus of mobile processes (parts I and II),Information and Computation,R Milner,J Parrow,D Walker,100,1,77,1992,1992
ref10,Escape analysis for Java,OOPSLA'99,J.-D Choi,M Gupta,M Serrano,V C Sreedhar,S Midkiff,Denver, Colorado,1999,1999
ref11,A calculus of object bindings,Proceedings FMOODS'97,Chapman &amp; Hall,E Najm,A Nimour,Canterbury, United Kingdom,1997,1997
ref12,A setconstraint-based analysis of actors,Proceedings FMOODS'97,Chapman &amp; Hall,J.-L Colaco,M Pantel,P Salle,Canterbury, United Kingdom,1997,1997
ref13,From CML to process algebras,Proceedings CONCUR'93, number 715 in Lecture Notes in Computer Science,Springer-Verlag,F Nielson,H R Nielson,493,508,1993,1993
ref14,Interface automata,Proceedings of the Ninth Annual Symposium on Foundations of Software Engineering (FSE),ACM Press,L De Alfaro,T A Henzinger,109,120,2001,2001
ref15,Regular types for active objects,Proceedings OOPSLA'93,O Nierstrasz,28,10,1,15,1993,1993
ref16,Types for safe locking,Proceedings ESOP'99,F Flanagan,M Abadi,Amsterdam, The Netherlands,1999,1999
ref17,Behavioral protocols for software components,IEEE Transactions on Software Engineering,F Plasil,S Visnovsky,28,11,1056,1076,2002,2002
ref18,Meta-protocol and type system for the dynamic coupling of binary components,OORASE'99: OOSPLA'99 Workshop on Reflection and Software Engineering,D Heuzeroth,R Reussner,Bicocca, Italy,1999,1999
ref19,Flexible types for a concurrent model,Proceedings of the Workshop on Object-Oriented Programming and Models of Concurrency,F Puntigam,Torino,1995,1995
ref20,A design pattern based approach to generating synchronization adaptors from annotated IDL,IEEE International Conference on Automated Software Engineering (ASE'98),H.-A Jacobsen,B J Krämer,Honolulu, Hawaii, USA,63,72,1998,1998
ref21,Coordination requirements expressed in types for active objects,Proceedings ECOOP'97, number 1241 in Lecture Notes in Computer Science,Springer-Verlag,Aksit,M. andMatsuoka, S.,F Puntigam,Jyväskylä, Finland,367,388,1997,1997
ref22,Linearity and the pi-calculus,ACM Transactions on Programming Languages and Systems,N Kobayashi,B Pierce,D Turner,21,5,914,947,1999,1999
ref23,Concurrent Object-Oriented Programming with Process Types,Der Andere Verlag,F Puntigam,Osnabrück, Germany,2000,2000
ref24,Type-theoretic foundations for concurrent object-oriented programming,Proceedings OOPSLA'94,N Kobayashi,A Yonezawa,29,10,31,45,1994,1994
ref25,State information in statically checked interfaces,Eighth International Workshop on Component-Oriented Programming,F Puntigam,Darmstadt, Germany,2003,2003
ref26,A behavioral type system and its application in Ptolemy II,Formal Aspects of Computing,E A Lee,Y Xiong,16,3,210,237,2004,2004
ref27,Behavioural types for a calculus of concurrent objects,Proceedings Euro-Par'97, number 1300 in Lecture Notes in Computer Science,Springer-Verlag,A Ravara,V T Vasconcelos,554,561,1997,1997
ref28,Specifications and their use in defining subtypes,Proceedings OOPSLA'93,B Liskov,J M Wing,28,10,16,28,1993,1993
ref29,A model of components with nonregular protocols,Software Composition (SC 2005),M Südholt,Edinburgh, Scotland,2005,2005
ref30,Analysis of inheritance anomaly in object-oriented concurrent programming languages,Research Directions in Concurrent Object-Oriented Programming,The MIT Press,S Matsuoka,A Yonezawa,1993,1993
ref31,Incrementalized pointer and escape analysis,PLDI '01,ACM,F Vivien,M Rinard,2001,2001
ref32,Static conflict analysis for multi-threaded object-oriented programs,PLDI '03,ACM Press,C von Praun,T R Gross,115,128,2003,2003
ref33,Systematic concurrent objectoriented programming,Communications of the ACM,B Meyer,36,9,56,80,1993,1993
ref34,Protocol specifications and component adaptors,ACM Transactions on Programming Languages and Systems,D M Yellin,R E Strom,19,2,292,333,1997,1997
ref35,Object-Oriented Software Construction,Prentice Hall,B Meyer,2,1997,1997</t>
  </si>
  <si>
    <t>ref1,Towards a theory of actor computation,Proceedings CONCUR'92, number 630 in Lecture Notes in Computer Science,Springer-Verlag,G Agha,I A Mason,S Smith,C Talcott,565,579,1992,1992,m
ref2,Abstract behavior types: A foundation model for components and their composition,Science of Computer Programming,F Arbab,55,1-3,3,52,2005,2005,j
ref3,Guava: A dialect of Java without data races,OOPSLA,D F Bacon,R E Strom,A Tarafdar,2000,2000,m
ref4,A parameterized type system for race-free Java programs,OOPSLA 2001,ACM,C Boyapati,M Rinard,2001,2001,m
ref5,The grand challenge of trusted components,ICSE-25 (International Conference on Software Engineering),IEEE Computer Press,B Meyer,2003,2003,m
ref6,The programming language Concurrent Pascal,IEEE Transactions on Software Engineering,P Brinch-Hansen,1,2,199,207,1975,1975,j
ref7,Integrating independent components with on-demand remodularization,OOPSLA 2002 Conference Proceedings,ACM,M Mezini,K Ostermann,2002,2002,m
ref8,Toward a method of object-oriented concurrent programming,Communications of the ACM,D Caromel,36,9,90,101,1993,1993,j
ref9,A calculus of mobile processes (parts I and II). Information and Computation,R Milner,J Parrow,D Walker,1,77,1992,1992,m
ref10,Escape analysis for Java,OOPSLA'99,J.-D Choi,M Gupta,M Serrano,V C Sreedhar,S Midkiff,1999,1999,m
ref11,A calculus of object bindings,Proceedings FMOODS'97,Chapman &amp; Hall,E Najm,A Nimour,1997,1997,m
ref12,A setconstraint-based analysis of actors,Proceedings FMOODS'97,Chapman &amp; Hall,J.-L Colaco,M Pantel,P Salle,1997,1997,m
ref13,From CML to process algebras,Proceedings CONCUR'93, number 715 in Lecture Notes in Computer Science,Springer-Verlag,F Nielson,H R Nielson,493,508,1993,1993,m
ref14,Interface automata,Proceedings of the Ninth Annual Symposium on Foundations of Software Engineering (FSE),ACM Press,L De Alfaro,T A Henzinger,109,120,2001,2001,m
ref15,Regular types for active objects,Proceedings OOPSLA'93,O Nierstrasz,1,15,1993,1993,m
ref16,Types for safe locking,Proceedings ESOP'99,F Flanagan,M Abadi,1999,1999,m
ref17,Behavioral protocols for software components,IEEE Transactions on Software Engineering,F Plasil,S Visnovsky,28,11,1056,1076,2002,2002,j
ref18,Meta-protocol and type system for the dynamic coupling of binary components,OORASE'99: OOSPLA'99 Workshop on Reflection and Software Engineering,D Heuzeroth,R Reussner,1999,1999,m
ref19,Flexible types for a concurrent model,Proceedings of the Workshop on Object-Oriented Programming and Models of Concurrency,F Puntigam,1995,1995,m
ref20,A design pattern based approach to generating synchronization adaptors from annotated IDL,IEEE International Conference on Automated Software Engineering (ASE'98),H.-A Jacobsen,B J Krämer,63,72,1998,1998,m
ref21,Coordination requirements expressed in types for active objects,Proceedings ECOOP'97, number 1241 in Lecture Notes in Computer Science,Springer-Verlag,F Puntigam,367,388,1997,1997,m
ref22,Linearity and the pi-calculus,ACM Transactions on Programming Languages and Systems,N Kobayashi,B Pierce,Turner ,D ,21,5,914,947,1999,1999,j
ref23,Concurrent Object-Oriented Programming with Process Types,Der Andere Verlag,F Puntigam,Osnabrück, Germany,2000,2000,m
ref24,Type-theoretic foundations for concurrent object-oriented programming,Proceedings OOPSLA'94,N Kobayashi,A Yonezawa,31,45,1994,1994,m
ref25,State information in statically checked interfaces,Eighth International Workshop on Component-Oriented Programming,F Puntigam,2003,2003,m
ref26,A behavioral type system and its application in Ptolemy II,Formal Aspects of Computing,E A Lee,Y Xiong,16,3,210,237,2004,2004,j
ref27,Behavioural types for a calculus of concurrent objects,Proceedings Euro-Par'97, number 1300 in Lecture Notes in Computer Science,Springer-Verlag,A Ravara,V T Vasconcelos,554,561,1997,1997,m
ref28,Specifications and their use in defining subtypes,Proceedings OOPSLA'93,B Liskov,J M Wing,16,28,1993,1993,m
ref29,A model of components with nonregular protocols,Software Composition (SC 2005),M Südholt,2005,2005,m
ref30,Analysis of inheritance anomaly in object-oriented concurrent programming languages,The MIT Press,S Matsuoka,A Yonezawa,1993,1993,m
ref31,Incrementalized pointer and escape analysis,PLDI '01,ACM,F Vivien,M Rinard,2001,2001,m
ref32,Static conflict analysis for multi-threaded object-oriented programs,PLDI '03,ACM Press,C Von Praun,T R Gross,115,128,2003,2003,m
ref33,Systematic concurrent objectoriented programming,Communications of the ACM,B Meyer,36,9,56,80,1993,1993,j
ref34,Protocol specifications and component adaptors,ACM Transactions on Programming Languages and Systems,D M Yellin,R E Strom,19,2,1997,1997,j
ref35,Object-Oriented Software Construction,Prentice Hall,B Meyer,1997,1997,m
ref36,,Agha,,1992,1992,j
ref37,,Arbab,,2005,2005,j
ref38,,Meyer,2003,2003
ref39,,Brinch-Hansen,1975,1975
ref40,,Mezini,2002,2002
ref41,,Caromel,,1993,1993,j
ref42,,Milner,1992,1992
ref43,,Choi,1997,1997
ref44,,De Alfaro,2001,2001
ref45,,Liskov,,1993,1993,j
ref46,,Von Praun,2003,2003
ref47,,Meyer,1993,1993
ref48,,Von Praun,1997,1997</t>
  </si>
  <si>
    <t>TUW-140308</t>
  </si>
  <si>
    <t>ref1,Lessons held at Vienna University of Technology,Propädeutikum in Informatik (prolog),,www.informatik.tuwien.ac.at/prolog
ref2,Preparatory Knowledge: Propaedeutic in Informatics),Computer Literacy to Informatics Fundamentals. Lecture Notes in Computer Science,Springer-Verlag,Mittermeir, R.T.,S Loidl,J Mühlbacher,H Schauer,Berlin Heidelberg New York,3422,104,115,2005,2005
ref3,Computer Scientist Says all Students Should Learn to Think 'Algorithmically',The Chronicle of Higher Education,L Snyder,F Interview,Olsen,htm,2000-05-05,2000,5,5,http://chronicle.com/free/2000/03/2000032201t.htm/
ref4,A new Approach to Learning Algorithms,Proceedings of International Conference on Information Technology: Coding and Computing,T Mudner,E Shakshuki,141,145,2004,2004</t>
  </si>
  <si>
    <t>ref1,Lessons held at Vienna University of Technology,Propädeutikum in Informatik (prolog),,www.informatik.tuwien.ac.at/prolog,m
ref2,,From Computer Literacy to Informatics Fundamentals,Springer-Verlag,S Loidl,J Mühlbacher,H Schauer,104,115,2005,2005,m
ref3,Computer Scientist Says all Students Should Learn to Think 'Algorithmically,The Chronicle of Higher Education,L Snyder,F Interview By,Olsen,2000-05-05,2000,05,05,http://chronicle.com/free/2000/03/2000032201t.htm/,j
ref4,A new Approach to Learning Algorithms,Proceedings of International Conference on Information Technology: Coding and Computing,T Mudner,E Shakshuki,141,145,2004,2004,m</t>
  </si>
  <si>
    <t>TUW-140533</t>
  </si>
  <si>
    <t>ref1,The KeY tool,Software and System Modeling,Wolfgang Ahrendt,Thomas Baar,Bernhard Beckert,Richard Bubel,Martin Giese,Reiner Hähnle,Wolfram Menzel,Wojciech Mostowski,Andreas Roth,Steffen Schlager,Peter Schmitt,Online First issue, to. appear in print,2004,2004
ref2,,Programmverifikation,Springer-Verlag,Krzysztof Apt,Ernst-Rüdiger Olderog,ISBN 3-540-57479-4,1994,1994
ref3,Term Rewriting and All That,Cambridge University Press,Franz Baader,Tobias Nipkow,1998,1998
ref4,Analytica — An Experiment in Combining Theorem Proving and Symbolic Computation,Journal of Automated Reasoning,Andrej Bauer,Edmund Clarke,Xudong Zhao,21,295,325,1998,1998
ref5,Taclets: A new paradigm for constructing interactive theorem provers,Revista de la Real Academia de Ciencias Exactas, Físicas y Naturales, Serie A: Matemáticas (RACSAM) Special Issue on Symbolic Computation in Logic and Artificial Intelligence,Bernhard Beckert,Martin Giese,Elmar Habermalz,Reiner Hähnle,Andreas Roth,Philipp Rümmer,Steffen Schlager,98,1,2004,2004
ref6,The Paradox of the Case Study,Alan Bundy,2004,2004,http://www-unix.mcs.anl.gov/AAR/issuesept04/index.html#paradox.
ref7,Analytica — A Theorem Prover for Mathematica,The Mathematica Journal,Edmund Clarke,Xudong Zhao,3,56,71,1993,1993
ref8,The Perfect Developer Language Reference Manual,David Crocker,2001-09,2001,9
ref9,Developing Reliable Software using Object-Oriented Formal Specification and Refinement,Escher Technologies Ltd,David Crocker,2003,2003
ref10,Perfect Developer: A tool for Object-Oriented Formal Specification and Refinement,Tools Exhibition Notes at Formal Methods Europe,David Crocker,2003,2003
ref11,Automated Reasoning in Perfect Developer,Escher Technologies Ltd,David Crocker,2004,2004
ref12,Safe Object-Oriented Software: The Verified Design-ByContract Paradigm,Proceedings of the Twelfth Safety-Critical Systems Symposium,Springer-Verlag,Redmill and Anderson,David Crocker,London,ISBN 1-85233-800-8,19,41,2004,2004
ref13,Predicate Calculus and Program Semantics,Springer-Verlag,Edsger Dijkstra,Carel Scholten,1990,1990
ref14,First-order logic and automated theorem proving,Springer-Verlag,Melvin Fitting,ISBN 0-387-97233-1,1990,1990
ref15,Ein Vergleich der Programmbeweiser FPP, NPPV und SPARK,Ada-Deutschland-Tagung,Carsten Freining,Stefan Kauer,Jürgen Winkler,ISSN 1433-9986,127,145,2002,2002,http://psc.informatik.uni-jena.de/Fpp/fpp-intr.htm#references
ref16,Logic for Computer Science: Foundations of Automatic Theorem Proving,Wiley,Jean Gallier,2003,2003,http://www.cis.upenn.edu/~jean/gbooks/logic.html
ref17,Software Specification: A Comparison of Formal Methods,International Specialized Book Service Inc,John Gannon,James Purtilo,Marvin Zelkowitz,1993-09,1993,9
ref18,Untersuchungen überUntersuchungen¨Untersuchungenüber das logische Schließen,Mathematische Zeitschrift,Gerhard Gentzen,39,1935,1935
ref19,The Science of Programming,Springer-Verlag,David Gries,1989,1989
ref20,A comparison of PVS and Isabelle/HOL,Theorem Proving in Higher Order Logics: 11th International Conference, TPHOLs ’98, volume 1479 of Lecture Notes in Computer Science,Springer-Verlag,Jim Grundy and Malcolm Newey,David Griffioen,Marieke Huisman,/ Isabelle,Hol,Canberra, Australia,1479,123,142,1998-09,1998,9
ref21,An axiomatic basis for computer programming,Communications of the ACM,Tony Hoare,12,10,ISSN 0001-0782,576,580,1969,1969,http://doi.acm.org/10.1145/363235.363259
ref22,The verifying compiler: A grand challenge for computing research,J. ACM,Tony Hoare,50,1,ISSN 0004-5411,63,69,2003,2003,http://doi.acm.org/10.1145/602382.602403
ref23,Logic in Computer Science: Modelling and Reasoning about Systems,Cambridge University Press,Michael Huth,Mark Ryan,2,ISBN 0 521 54310X,2004,2004
ref24,The Early Search for Tractable Ways of Reasoning about Programs,IEEE Annals of the History of Computing,Cliff Jones,25,ISSN 1058-6180,26,49,2003,2003
ref25,The grand challenge of Trusted Components,ICSE '03: Proceedings of the 25th International Conference on Software Engineering,IEEE Computer Society,Bertrand Meyer,ISBN 0-7695-1877-X,660,667,2003,2003
ref26,Object Constraint Language Specification,OMG,2003,2003,http://www.omg.org/docs/ptc/03-10-14.pdf
ref27,Unified Modeling Language Specification,OMG,2003-03,2003,3,http://www.uml.org/#UML2.0
ref28,PVS: A prototype verification system,11th International Conference on Automated Deduction (CADE), volume 607 of Lecture Notes in Artificial Intelligence, pages 748–752,,Springer-Verlag,Deepak Kapur,Sam Owre,John Rushby,Natarajan Shankar,Saratoga, NY,607,748,752,1992-06,1992,6,http://www.csl.sri.com/papers/cade92-pvs/
ref29,PVS: an experience report,Applied Formal Methods—FMTrends 98, volume 1641 of Lecture Notes in Computer Science,Springer-Verlag. URL http,Sam Owre,John Rushby,Natarajan Shankar,David Stringer-Calvert,Boppard, Germany,1641,338,345,1998-10,1998,10,http://www.csl.sri.com/papers/fmtrends98/
ref30,PVS Language Reference,Sam Owre,John Rushby,Natarajan Shankar,David Stringer-Calvert,2001-11,2001,11
ref31,PVS Prover Guide,Sam Owre,John Rushby,Natarajan Shankar,David Stringer-Calvert,2001-11,2001,11
ref32,,PVS System Guide,Sam Owre,John Rushby,Natarajan Shankar,David Stringer-Calvert,2001-11,2001,11
ref33,The Formal Semantics of PVS,Sam Owre,Natarajan Shankar,1999-03,1999,3
ref34,Theoretische Informatik 1,Institute of Computer Languages, Vienna University of Technology,Gernot Salzer,2002-06,2002,6
ref35,Java Card 2.2.1 Platform Specification,Sun Microsystems,,2003-10,2003,10
ref36,Logic and Structure,Springer-Verlag,Dirk Van Dalen,4,ISBN 3-540-20879-8,2004,2004
ref37,wp is Basically a State Set Transformer,Institute of Computer Science, Friedrich-Schiller-University,Jürgen Winkler,1995,1995
ref38,The Frege Program Prover,42. Internationales Wissenschaftliches Kolloquium,Jürgen Winkler,ISSN 0943-7207,116,121,1997,1997
ref39,Isabelle/HOL versus ACL2: Comparing Two Inductive Proof Systems,Institute of Computer Languages, Vienna University of Technology,Michael Zolda,2004,2004</t>
  </si>
  <si>
    <t>ref1,The KeY tool. Software and System Modeling,Online First issue,Wolfgang Ahrendt,Thomas Baar,Bernhard Beckert,Richard Bubel,Martin Giese,Reiner Hähnle,Wolfram Menzel,Wojciech Mostowski,Andreas Roth,Steffen Schlager,Peter Schmitt,2004,2004,j
ref2,,Programmverifikation. SpringerVerlag,Krzysztof Apt,Ernst-Rüdiger Olderog,1994,1994,j
ref3,Term Rewriting and All That,Cambridge University Press,Franz Baader,Tobias Nipkow,1998,1998,m
ref4,Analytica-An Experiment in Combining Theorem Proving and Symbolic Computation,Journal of Automated Reasoning,Andrej Bauer,Edmund Clarke,Xudong Zhao,21,295,325,1998,1998,j
ref5,Taclets: A new paradigm for constructing interactive theorem provers,Revista de la Real Academia de Ciencias Exactas, Físicas y Naturales, Serie A: Matemáticas (RACSAM),Bernhard Beckert,Martin Giese,Elmar Habermalz,Reiner Hähnle,Andreas Roth,Philipp Rümmer,Steffen Schlager,2004,2004,m
ref6,The Paradox of the Case Study,Alan Bundy,2004,2004,m
ref7,Analytica-A Theorem Prover for Mathematica,The Mathematica Journal,Edmund Clarke,Xudong Zhao,3,56,71,1993,1993,j
ref8,The Perfect Developer Language Reference Manual,David Crocker,2001-09,2001,09,m
ref9,Developing Reliable Software using Object-Oriented Formal Specification and Refinement,Escher Technologies Ltd,David Crocker,2003,2003,m
ref10,Perfect Developer: A tool for Object-Oriented Formal Specification and Refinement,Tools Exhibition Notes at Formal Methods Europe,David Crocker,2003,2003,m
ref11,Automated Reasoning in Perfect Developer,Escher Technologies Ltd,David Crocker,2004,2004,m
ref12,Safe Object-Oriented Software: The Verified Design-ByContract Paradigm,Proceedings of the Twelfth Safety-Critical Systems Symposium,Springer-Verlag,David Crocker,19,41,2004,2004,m
ref13,Predicate Calculus and Program Semantics,Springer-Verlag,Edsger Dijkstra,Carel Scholten,1990,1990,m
ref14,First-order logic and automated theorem proving. SpringerVerlag,Melvin Fitting,0,387,1990,1990,m
ref15,Ein Vergleich der Programmbeweiser FPP, NPPV und SPARK,Carsten Freining,Stefan Kauer,Jürgen Winkler,127,145,2002,2002,m
ref16,Logic for Computer Science: Foundations of Automatic Theorem Proving,Wiley,Jean Gallier,2003,2003,m
ref17,Software Specification: A Comparison of Formal Methods,International Specialized Book Service Inc,John Gannon,James Purtilo,Marvin Zelkowitz,1993-09,1993,09,m
ref18,UntersuchungenüberUntersuchungen¨Untersuchungenüber das logische Schließen,Mathematische Zeitschrift,Gerhard Gentzen,39,1935,1935,j
ref19,The Science of Programming,Springer-Verlag,David Gries,1989,1989,m
ref20,A comparison of PVS and Isabelle/HOL,Theorem Proving in Higher Order Logics: 11th International Conference, TPHOLs '98,Springer-Verlag,David Griffioen,Marieke Huisman,123,142,1998-09,1998,09,m
ref21,An axiomatic basis for computer programming,Communications of the ACM,Tony Hoare,12,10,576,580,1969,1969,http://doi.acm.org/10.1145/363235.363259,j
ref22,The verifying compiler: A grand challenge for computing research,J. ACM,Tony Hoare,50,1,63,69,2003,2003,http://doi.acm.org/10.1145/602382.602403,j
ref23,Logic in Computer Science: Modelling and Reasoning about Systems,Cambridge University Press,Michael Huth,Mark Ryan,2004,2004,m
ref24,The Early Search for Tractable Ways of Reasoning about Programs,IEEE Annals of the History of Computing,Cliff Jones,25,26,49,2003,2003,j
ref25,The grand challenge of Trusted Components,ICSE '03: Proceedings of the 25th International Conference on Software Engineering,IEEE Computer Society,Bertrand Meyer,660,667,2003,2003,m
ref26,Object Constraint Language Specification,Omg,2003,2003,m
ref27,Unified Modeling Language Specification,Omg Omg,2003-03,2003,03,m
ref28,PVS: A prototype verification system,11th International Conference on Automated Deduction,Springer-Verlag,Sam Owre,John Rushby,Natarajan Shankar,748,752,1992-06,1992,06,http://www.csl.sri.com/papers/cade92-pvs/,m
ref29,PVS: an experience report,Applied Formal Methods-FMTrends 98,Springer-Verlag,Sam Owre,John Rushby,Natarajan Shankar,David Stringer-Calvert,338,345,1998-10,1998,10,http://www.csl.sri.com/papers/fmtrends98/,m
ref30,,PVS Language Reference,Sam Owre,John Rushby,Natarajan Shankar,David Stringer-Calvert,2001-11,2001,11,j
ref31,,PVS Prover Guide,Sam Owre,John Rushby,Natarajan Shankar,David Stringer-Calvert,2001-11,2001,11
ref32,,PVS System Guide,Sam Owre,John Rushby,Natarajan Shankar,David Stringer-Calvert,2001-11,2001,11
ref33,The Formal Semantics of PVS,Sam Owre,Natarajan Shankar,1999-03,1999,03,m
ref34,Theoretische Informatik 1,Gernot Salzer,2002-06,2002,06,m
ref35,Java Card 2.2.1 Platform Specification,Springer-Verlag,Sun Microsystems,2003-10,2003,10,m
ref36,wp is Basically a State Set Transformer,Jürgen Winkler,1995,1995,m
ref37,The Frege Program Prover. 42. Internationales Wissenschaftliches Kolloquium,Jürgen Winkler,1997,1997,m
ref38,Isabelle/HOL versus ACL2: Comparing Two Inductive Proof Systems,Michael Zolda,2004,2004,m</t>
  </si>
  <si>
    <t>TUW-140867</t>
  </si>
  <si>
    <t>ref1,The KeY tool,Software and System Modeling,Wolfgang Ahrendt,Thomas Baar,Bernhard Beckert,Richard Bubel,Martin Giese,Reiner Hähnle,Wolfram Menzel,Wojciech Mostowski,Andreas Roth,Steffen Schlager,Peter H Schmitt,4,1,32,54,2005,2005
ref2,Model Checking,MIT Press,Edmund M Clarke,Orna Grumberg,Doron A Peled,2000,2000
ref3,Perfect Developer: A tool for Object-Oriented Formal Specification and Refinement,Tools Exhibition Notes at Formal Methods Europe,David Crocker,2003,2003
ref4,A Discipline of Programming,Prentice Hall,Edsger Dijkstra,1976,1976
ref5,Formal program verification: A comparison of selected tools and their theoretical foundations,Master’s thesis, Technische Universität Wien,Ingo Feinerer,Vienna, Austria,2005-01,2005,1
ref6,The Science of Programming,Springer,David Gries,1987,1987
ref7,Logic in Computer Science – modelling and reasoning about systems,Cambridge University Press,Michael R A Huth,Mark D Ryan,2003,2003
ref8,PVS: A prototype verification system,11th International Conference on Automated Deduction (CADE), volume 607 of Lecture Notes in Artificial Intelligence,Springer-Verlag,Deepak Kapur,Sam Owre,John Rushby,Natarajan Shankar,Saratoga, NY,607,748,752,1992-06,1992,6
ref9,The Frege Program Prover,42. Internationales Wissenschaftliches Kolloquium,Technische Universität Ilmenau,Jürgen Winkler,116,121,1997,1997</t>
  </si>
  <si>
    <t>ref1,,Wolfgang Ahrendt,Thomas Baar,Bernhard Beckert,Richard Bubel,Martin Giese,H Reiner,Wolfram Menzel,Wojciech Mostowski,Andreas Roth,Steffen Schlager,H Peter
ref2,,The KeY tool. Software and System Modeling,Schmitt,4,1,32,54,2005,2005,j
ref3,Model Checking,MIT Press,Edmund M Clarke,Orna Grumberg,Doron A Peled,2000,2000,m
ref4,Perfect Developer: A tool for Object-Oriented Formal Specification and Refinement,Tools Exhibition Notes at Formal Methods Europe,David Crocker,2003,2003,m
ref5,A Discipline of Programming,Prentice Hall,Edsger Dijkstra,1976,1976,m
ref6,Formal program verification: A comparison of selected tools and their theoretical foundations,Ingo Feinerer,Vienna, Austria,2005-01,2005,01,m
ref7,The Science of Programming,Springer,David Gries,1987,1987,m
ref8,Logic in Computer Science-modelling and reasoning about systems,Cambridge University Press,R A Michael,Mark D Huth,Ryan,2003,2003,m
ref9,PVS: A prototype verification system,11th International Conference on Automated Deduction (CADE),Springer-Verlag,Sam Owre,John Rushby,Natarajan Shankar,748,752,1992-06,1992,06,m
ref10,The Frege Program Prover. 42. Internationales Wissenschaftliches Kolloquium,J ¨ Urgen Winkler,116,121,1997,1997,m</t>
  </si>
  <si>
    <t>TUW-140895</t>
  </si>
  <si>
    <t>ref1,Random-tree diameter and the diameter constrained MST,Congressus Numerantium,Ayman Abdalla,Narsingh Deo,Pankaj Gupta,144,161,182,2000,2000
ref2,Models for vehilce routing problems,Proceedings of the 10th National Conference of the Australian Society for Operations Research,N R Achuthan,L Caccetta,276,294,1990,1990
ref3,Minimum weight spanning trees with bounded diameter,Australasian Journal of Combinatorics,N R Achuthan,L Caccetta,5,261,276,1992,1992
ref4,Computational methods for the diameter restricted minimum weight spanning tree problem,Australasian Journal of Combinatorics,N R Achuthan,L Caccetta,P Caccetta,J F Geelen,10,51,71,1994,1994
ref5,Multicasting in a linear lightwave network,IEEE INFOCOM'93,K Bala,K Petropoulos,T E Stern,1350,1358,1993,1993
ref6,Metaheuristics in combinatorial optimization: Overview and conceptual comparison,ACM Computing Surveys,Christian Blum,Andrea Roli,35,3,268,308,2003,2003
ref7,Compression of correlated bit-vectors,Information Systems,A Bookstein,S T Klein,16,4,387,400,1991,1991
ref8,Experimental analysis of practically efficient algorithms for bounded-hop accumulation in ad-hoc wireless networks,Proceedings of the 19th IEEE International Parallel and Distributed Processing Symposium (IPDPS'05), workshop 12,A E F Clementi,M Di Ianni,A Monti,G Rossi,R Silvestri,13,247,248,2005,2005
ref9,The self-organizing exploratory pattern of the argentine ant,Journal of Insect Behavior,J.-L Deneubourg,S Aron,S Goss,J.-M Pasteels,3,159,168,1990,1990
ref10,Optimization, Learning and Natural Algorithms (in Italian),Dipartimento di Elettronica, Politecnico di Milano,M Dorigo,IT,1992,1992
ref11,Ant colonies for the traveling salesman problem,BioSystems,M Dorigo,L M Gambardella,43,73,81,1997,1997
ref12,Ant colony system: A coopeartive learning approach to the traveling salesman problem,IEEE Transactions on Evolutionary Computation,M Dorigo,L M Gambardella,1,1,53,66,1997,1997
ref13,Positive feedback as a search strategy,Technical Report 91-016,Dipartimento die Elettronica, Politecnico di Milano,M Dorigo,V Maniezzo,A Colorni,IT,1991,1991
ref14,Solving diameter constrained minimum spanning tree problems in dense graphs,Proceedings of the International Workshop on Experimental Algorithms,Springer,A C Santos,A Lucena,C C Ribeiro,3059,458,467,2004,2004
ref15,Computers and Intractability,A Guide to the Theory of NP-Completeness,W.H. Freeman,M R Garey,D S Johnson,New York,1979,1979
ref16,Future paths for integer programming and links to artificial intelligence,Comput. Oper. Res,F Glover,13,533,549
ref17,Self-organized shortcuts in the argentine ant,Naturwissenschaften,S Goss,S Aron,J L Deneubourg,J M Pasteels,76,579,581,1989,1989
ref18,Network flow models for designing diameterconstrained minimum spanning and Steiner trees,Networks,Luis Gouveia,Thomas L Magnanti,41,3,159,173,2003,2003
ref19,A 2-path approach for odd-diameter-constrained minimum spanning and Steiner trees,Networks,Luis Gouveia,Thomas L Magnanti,Christina Requejo,44,4,254,265,2004,2004
ref20,La reconstruction du nid et les coordinations interindividuelles chez bellicositermes natalensis et cubitermes sp. la théorie de la stigmergie: essai d´interprétation du comportement des termites constructeurs,Insectes Sociaux,P P Grassé,6,41,81,1959,1959
ref21,Variable Neighborhood Search for the Bounded Diameter Minimum Spanning Tree Problem,Institute of Computer Graphics and Algorithms, Vienna University of Technology,M Gruber,Günther R Raidl,2005,2005
ref22,A new 0–1 ILP approach for the bounded diameter minimum spanning tree problem,Proceedings of the 2nd International Network Optimization Conference,L. Gouveia and C. Mour˜ao,Martin Gruber,Günther R Raidl,Lisbon, Portugal,1,178,185,2005,2005
ref23,An introduction to variable neighborhood search Advances and Trends in Local Search Paradigms for Optimization,Meta-heuristics, Advances and Trends in Local Search Paradigms for Optimization,Kluwer Academic Publishers,S. Voss, S. Martello, I.H. Osman, and C. Roucairol,P Hansen,N Mladenović,433,458,1999,1999
ref24,A permutation-coded evolutionary algorithm for the bounded-diameter minimum spanning tree problem,2003 Genetic and Evolutionary Computation Conference's Workshops Proceedings, Workshop on Analysis and Desgn of Representations,A. Barry, F. Rothlauf, D. Thierens, et al.,B A Julstrom,G R ,2,7,2003,2003
ref25,Encoding bounded-diameter minimum spanning trees with permutations and with random keys,Genetic and Evolutionary Computation Conference – GECCO 2004,Springer,Kalyanmoy Deb et al.,A Bryant,Julstrom,3102,1282,1281,2004,2004
ref26,Greedy heuristics for the bounded-diameter minimum spanning tree problem,Technical report,St. Cloud State University,A Bryant,Julstrom,Submitted. for publication in the ACM Journal of Experimental Algorithmics,2004,2004
ref27,Network design and transportation planning: Models and algorithms,Transportation Science,T Magnanti,R Wong,18,1,1984,1984
ref28,A variable neighborhood algorithm-a new metaheuristic for combinatorial optimization. Abstracts of papers presented at Optimization Days,N Mladenović,Montreal,1995,1995
ref29,Variable neighborhood search,Computers Opers. Res,N Mladenović,P Hansen,24,1097,1100,1997,1997
ref30,Combinatorial Optimization-Algorithms and Complexity,Dover Publications, Inc,C H Papadimitriou,K Steiglitz,New York,1982,1982
ref31,Greedy heuristics and an evolutionary algorithm for the bounded-diameter minimum spanning tree problem,Proceedings of the 2003 ACM Symposium on Applied Computing,ACM Press,Gary Lamont et al.,Günther R Raidl,Bryant A Julstrom,747,752,2003,2003
ref32,A tree-based algorithm for distributed mutual exclusion,ACM Transactions on Computer Systems,Kerry Raymond,7,1,61,77,1989,1989
ref33,Introducing MAX − MIN ant system,Proceedings of the International Conference on Artifical Neural Networks and Genetic Algorithms,Springer Verlag,T Stützle,H Hoos,245,249,1997,1997
ref34,MAX − MIN ant system and local search for the traveling salesman problem,Proceedings of IEEE-ICEC-EPS'97, IEEE Conference on Evolutionary Computation and Evolutionary Programming Conference,IEEE Press,T Stützle,H Hoos,309,314,1997,1997
ref35,Meta-Heuristics-Advances and Trends in Local Search Paradigms for Optimization,Kluwer Academic Publishers,S Voß,S Martello,I H Osman,C Routacirol,Dordrecht, The Netherlands</t>
  </si>
  <si>
    <t>ref1,Random-tree diameter and the diameter constrained MST,Congressus Numerantium,Ayman Abdalla,Narsingh Deo,Pankaj Gupta,144,161,182,2000,2000,j
ref2,Models for vehilce routing problems,Proceedings of the 10th National Conference of the Australian Society for Operations Research,N R Achuthan,L Caccetta,276,294,1990,1990,m
ref3,Minimum weight spanning trees with bounded diameter,Australasian Journal of Combinatorics,N R Achuthan,L Caccetta,5,261,276,1992,1992,j
ref4,Computational methods for the diameter restricted minimum weight spanning tree problem,Australasian Journal of Combinatorics,N R Achuthan,L Caccetta,P Caccetta,J F Geelen,10,51,71,1994,1994,j
ref5,Multicasting in a linear lightwave network,IEEE INFOCOM'93,K Bala,K Petropoulos,T E Stern,1350,1358,1993,1993,m
ref6,Metaheuristics in combinatorial optimization: Overview and conceptual comparison,ACM Computing Surveys,Christian Blum,Andrea Roli,35,3,268,308,2003,2003,j
ref7,Compression of correlated bit-vectors,Information Systems,A Bookstein,S T Klein,16,4,387,400,1991,1991,j
ref8,Experimental analysis of practically efficient algorithms for bounded-hop accumulation in ad-hoc wireless networks,Proceedings of the 19th IEEE International Parallel and Distributed Processing Symposium (IPDPS'05,A E F Clementi,M Di Ianni,A Monti,G Rossi,R Silvestri,247,248,2005,2005,m
ref9,The self-organizing exploratory pattern of the argentine ant,Journal of Insect Behavior,J.-L Deneubourg,S Aron,S Goss,J.-M Pasteels,3,159,168,1990,1990,j
ref10,,Optimization, Learning and Natural Algorithms,M Dorigo,m
ref11,Ant colonies for the traveling salesman problem,BioSystems,M Dorigo,L M Gambardella,43,73,81,1997,1997,j
ref12,Ant colony system: A coopeartive learning approach to the traveling salesman problem,IEEE Transactions on Evolutionary Computation,M Dorigo,L M Gambardella,1,1,53,66,1997,1997,j
ref13,Positive feedback as a search strategy,M Dorigo,V Maniezzo,A Colorni,1991,1991,m
ref14,Solving diameter constrained minimum spanning tree problems in dense graphs,Proceedings of the International Workshop on Experimental Algorithms,Springer,A C Santos,A Lucena,C C Ribeiro,458,467,2004,2004,m
ref15,Computers and Intractability. A Guide to the Theory of NP-Completeness,W.H. Freeman,M R Garey,D S Johnson,New York,1979,1979,m
ref16,Future paths for integer programming and links to artificial intelligence,Comput. Oper. Res,F Glover,13,533,549,j
ref17,Self-organized shortcuts in the argentine ant,Naturwissenschaften,S Goss,S Aron,J L Deneubourg,J M Pasteels,76,579,581,1989,1989,j
ref18,Network flow models for designing diameterconstrained minimum spanning and Steiner trees,Networks,Luis Gouveia,Thomas L Magnanti,41,3,159,173,2003,2003,j
ref19,A 2-path approach for odd-diameter-constrained minimum spanning and Steiner trees,Networks,Luis Gouveia,Thomas L Magnanti,Christina Requejo,44,4,2004,2004,j
ref20,La reconstruction du nid et les coordinations interindividuelles chez bellicositermes natalensis et cubitermes sp. la théorie de la stigmergie: essai d´interprétation du comportement des termites constructeurs,Insectes Sociaux,P P Grassé,6,1959,1959,j
ref21,Variable Neighborhood Search for the Bounded Diameter Minimum Spanning Tree Problem,M Gruber,Günther R ,2005,2005,m
ref22,A new 0-1 ILP approach for the bounded diameter minimum spanning tree problem,Proceedings of the 2nd International Network Optimization Conference,Martin Gruber,Günther R Raidl,178,185,2005,2005,m
ref23,An introduction to variable neighborhood search,Advances and Trends in Local Search Paradigms for Optimization,Kluwer Academic Publishers,P Hansen,N Mladenovi´cmladenovi´c,433,458,1999,1999,m
ref24,A permutation-coded evolutionary algorithm for the bounded-diameter minimum spanning tree problem,2003 Genetic and Evolutionary Computation Conference's Workshops Proceedings, Workshop on Analysis and Desgn of Representations,B A Julstrom,G R ,2,7,2003,2003,m
ref25,Encoding bounded-diameter minimum spanning trees with permutations and with random keys,Genetic and Evolutionary Computation Conference-GECCO,Springer,A Bryant,Julstrom,1282,1281,2004,2004,m
ref26,Greedy heuristics for the bounded-diameter minimum spanning tree problem,ACM Journal of Experimental Algorithmics,A Bryant,Julstrom,2004,2004,j
ref27,Network design and transportation planning: Models and algorithms,Transportation Science,T Magnanti,R Wong,18,1,1984,1984,j
ref28,A variable neighborhood algorithm-a new metaheuristic for combinatorial optimization. Abstracts of papers presented at Optimization Days,Montreal,N Mladenovi´cmladenovi´c,1995,1995,m
ref29,Variable neighborhood search,Computers Opers. Res,N Mladenovi´cmladenovi´c,P Hansen,24,1097,1100,1997,1997,j
ref30,Combinatorial Optimization-Algorithms and Complexity,Dover Publications, Inc,C H Papadimitriou,K Steiglitz,New York,1982,1982,m
ref31,Greedy heuristics and an evolutionary algorithm for the bounded-diameter minimum spanning tree problem,Proceedings of the 2003 ACM Symposium on Applied Computing,ACM Press,R Günther,Bryant A Raidl,Julstrom,747,752,2003,2003,m
ref32,A tree-based algorithm for distributed mutual exclusion,ACM Transactions on Computer Systems,Kerry Raymond,7,1,61,77,1989,1989,j
ref33,Introducing MAX − MIN ant system,Proceedings of the International Conference on Artifical Neural Networks and Genetic Algorithms,Springer Verlag,T Stützle,H Hoos,245,249,1997,1997,m
ref34,MAX − MIN ant system and local search for the traveling salesman problem,Proceedings of IEEE-ICEC-EPS'97, IEEE Conference on Evolutionary Computation and Evolutionary Programming Conference,IEEE Press,T Stützle,H Hoos,309,314,1997,1997,m
ref35,Meta-Heuristics-Advances and Trends in Local Search Paradigms for Optimization,Kluwer Academic Publishers,S Voß,S Martello,I H Osman,C Routacirol,Dordrecht, The Netherlands,m</t>
  </si>
  <si>
    <t>TUW-140983</t>
  </si>
  <si>
    <t>ref1,Distance in graphs,Addison-Wesley,F Buckley,F Harary,1990,1990
ref2,New Ideas in Optimization, chapter The Ant Colony Optimization Meta-Heuristic,McGraw-Hill,M Dorigo,G D Caro,The Ant Colony Optimization Meta-Heuristic,11,32,1999,1999
ref3,Comparing Top k Lists,SIAM Journal on Discrete Mathematics,R Fagin,R Kumar,D Sivakumar,17,1,134,160,2003-10,2003,10
ref4,Del.icio.us Social Bookmarking Service,Yahoo! Inc,http://del.icio.us</t>
  </si>
  <si>
    <t>ref1,Distance in graphs,Addison-Wesley,F Buckley,F Harary,1990,1990,m
ref2,New Ideas in Optimization, chapter The Ant Colony Optimization Meta-Heuristic,McGraw-Hill,M Dorigo,G D Caro,11,32,1999,1999,m
ref3,Comparing Top k Lists,SIAM Journal on Discrete Mathematics,R Fagin,R Kumar,D Sivakumar,17,1,134,160,2003-10,2003,10,j
ref4,,Del.icio.us Social Bookmarking Service,! Yahoo,Inc,http://del.icio.us.wxupforthepreviousweekwx,j</t>
  </si>
  <si>
    <t>TUW-141024</t>
  </si>
  <si>
    <t>ref1,Grading quality of evidence and strength of recommendations,BMJ,David Atkins,D Best,Peter A Briss,Martin Eccles,Y Falck-Ytter,Signe Flottorp,Gordon H Guyatt,Robin T Harbour,M C Haugh,D Henry,Suzanne Hill,Roman Jaeschke,G Leng,Alessandro Liberati,Nicola Magrini,James Mason,P Middleton,J Mrukowicz,Dianne O'Connell,Andrew D Oxman,Bob Phillips,Holger Schünemann,Tessa Tan-Torres Edejer,H Varonen,E Gunn,John W Williams Jr.,S Zaza,The GRADE Working Group,328,7454,1490,1498,2004-06,2004,6
ref2,Strength of recommandation taxonomy (sort): A patient-centered approach to grading evidence in the medical literature,American Family Physician,Mark H Ebell,Jay Siwek,Barry D Weiss,Steven H Woole,Jeffrey Susman,Bernard Ewigman,Marjorie Bowman,69,3,548,556,2004-02,2004,2
ref3,Clinical Practice Guidelines: Directions for a New Program,National Academies Press,Marilyn J Field,Kathleen N Lohr,Washington DC,1990,1990
ref4,Disseminating medical knowledge: The PROforma approach,Artificial Intelligence in Medicine,John Fox,Nicky Johns,Ali Rahmanzadeh,14,157,181,1998-09,1998,9
ref5,Competing practice guidelines: Using cost-effectiveness analysis to make optimal decisions,Annals of Internal Medicine,Attilio V Granata,Alan L Hillman,128,1,56,63,1998,1998
ref6,Attributes of clinical guidelines that influence use of guidelines in general practice: observational study,BMJ,Richard Grol,Johannes Dalhuijsen,Siep Thomas,Cees in 't Veld,Guy Rutten,Henk Mokkink,317,858,861,1998-09-26,1998,09,26
ref7,A meta schema for evidence information in clinical practice guidelines as a basis for decision-making,Proceedings of the 12th World Congress on Health (Medical) Informatics (Medinfo'2007),Klaus Kuhn, Tze Yun Leong, and JimWarren,Katharina Kaiser,Patrick Martini,Silvia Miksch,Alimë Oztürk,Brisbane, Australia,forthcoming. AMIA,2007,2007
ref8,Asbru 7.3 reference manual,Technical Report Asgaard-TR-2002-1,Institute of Software Technology &amp; Interactive Systems, Vienna University of Technology,Andreas Seyfang,Robert Kosara,Silvia Miksch,Vienna, Austria, Europe,2002,2002
ref9,The Asgaard project: A task-specific framework for the application and critiquing of time-oriented clinical guidelines,Artificial Intelligence in Medicine,Yuval Shahar,Silvia Miksch,Peter Johnson,14,29,51,1998-09,1998,9
ref10,The syntax and semantics of the PROforma guideline modeling language,Journal of the American Medical Informatics Association (JAMIA),David R Sutton,John Fox,10,5,433,443,2003-10,2003,10
ref11,A study of PROforma, a development methodology for clinical procedures,Artificial Intelligence in Medicine,Arjen Vollebregt,Annette ten Teije,Frank van Harmelen,Johan van Der Lei,Mees Mosseveld,17,3,195,221,1999,1999</t>
  </si>
  <si>
    <t>ref1,Grading quality of evidence and strength of recommendations,BMJ,David Atkins,D Best,Peter A Briss,Martin Eccles,Y Falck-Ytter,Signe Flottorp,Gordon H Guyatt,Robin T Harbour,M C Haugh,D Henry,Suzanne Hill,Roman Jaeschke,G Leng,Alessandro Liberati,Nicola Magrini,James Mason,P Middleton,J Mrukowicz,Dianne O Connell,Andrew D Oxman,Bob Phillips,Holger Schünemann,Tessa Tan-Torres Edejer,H Varonen,Gunn E Vist,John W Williams,S Zaza,The Grade Working Group,328,7454,1490,1498,2004-06,2004,06,j
ref2,Strength of recommandation taxonomy (sort): A patient-centered approach to grading evidence in the medical literature,American Family Physician,Feb,H Mark,Jay Ebell,Barry D Siwek,Steven H Weiss,Jeffrey Woole,Bernard Susman,Marjorie Ewigman,Bowman,69,3,548,556,2004,2004,j
ref3,,Clinical Practice Guidelines: Directions for a New Program,National Academies Press,Marilyn J Field,Kathleen N Lohr,1990,1990,m
ref4,Disseminating medical knowledge: The PROforma approach,Artificial Intelligence in Medicine,John Fox,Nicky Johns,Ali Rahmanzadeh,14,157,181,1998-09,1998,09,j
ref5,Competing practice guidelines: Using cost-effectiveness analysis to make optimal decisions,Annals of Internal Medicine,V Attilio,Alan L Granata,Hillman,128,1,56,63,1998,1998,j
ref6,Cees in 't Veld, Guy Rutten, and Henk Mokkink,BMJ,Richard Grol,Johannes Dalhuijsen,Siep Thomas,317,858,861,1998,1998,j
ref7,A meta schema for evidence information in clinical practice guidelines as a basis for decision-making,Proceedings of the 12th World Congress on Health (Medical) Informatics (Medinfo'2007),Katharina Kaiser,Patrick Martini,Silvia Miksch,Alimë Oztürk,2007,2007,m
ref8,Asbru 7.3 reference manual,Institute of Software Technology &amp; Interactive Systems,Andreas Seyfang,Robert Kosara,Silvia Miksch,2002,2002,m
ref9,The Asgaard project: A task-specific framework for the application and critiquing of time-oriented clinical guidelines,Artificial Intelligence in Medicine,Yuval Shahar,Silvia Miksch,Peter Johnson,14,29,51,1998-09,1998,09,j
ref10,The syntax and semantics of the PROforma guideline modeling language,Journal of the American Medical Informatics Association (JAMIA),R David,John Sutton,Fox,10,5,433,443,2003-10,2003,10,j
ref11,A study of PROforma, a development methodology for clinical procedures,Artificial Intelligence in Medicine,Arjen Vollebregt,Frank Annette Ten Teije,Johan Van Harmelen,Mees Van Der Lei,Mosseveld,17,3,1999,1999,j</t>
  </si>
  <si>
    <t>TUW-141065</t>
  </si>
  <si>
    <t>ref1,Methods and techniques of adaptive hypermedia,User Modeling and User-Adapted Interaction,P Brusilovsky,6,87,129,1996,1996
ref2,Learning and teaching styles in engineering education,Engineering Education Preceded by a preface,R M Felder,L K Silverman,78,674,681,1988,1988,http://www.ncsu.edu/felderpublic/Papers/LS-1988.pdf
ref3,Cognitive profiling towards formal adaptive technologies in web-based learning communities,International Journal of WWW-based Communities,Kinshuk,T Lin,1,103,108,2004,2004
ref4,Cognitive profiling in life-long learning,Encyclopedia of International Computer-Based Learning,Idea Group Inc,T Lin,Kinshuk ,Hershey, PA, USA,245,255,2005,2005
ref5,Addressing different learning styles through course hypermedia,IEEE Transactions on Education,C A Carver,R A Howard,W D Lane,42,33,38,1999,1999
ref6,A comparison of learning style theories on the suitability for elearning,Proceedings of the Conference on Web Technologies, Applications, and Services,ACTA Press,J Kuljis,F Liu,191,197,2005,2005
ref7,Investigating the relationship between two approaches to verbal information processing in working memory: An examination of the construct of working memory coupled with an investigation of meta-working memory,Massey University,L A Richards-Ward,Palmerston North, New Zealand,1996,1996
ref8,The magic number seven, plus or minus two: Some limit of our capacity for processing information,Psychology Review,G A Miller,63,81,96,1956,1956
ref9,The relationship between learning styles and cognitive traits-Getting additional information for improving student modelling,International Journal on Computers in Human Behavior,S Graf,T Lin,Kinshuk ,in. press
ref10,Index of Learning Style questionnaire,R M Felder,B A Soloman,1997-02-22,1997,2,22,http://www.engr.ncsu.edu/learningstyles/ilsweb.html
ref11,Web-Ospan,2007-02-22,2007,2,22,http://altrc.massey.ac.nz/~tylin/webOSPAN
ref12,Is working memory capacity task dependent?,Journal of Memory and Language,M L Turner,R W Engle,28,127,154,1989,1989
ref13,A Dutch, computerized, and group administrable adaptation of the operation span test,Psychologica Belgica,W De Neys,G d'Ydewalle,W Schaeken,G Vos,42,177,190,2002,2002
ref14,Applications, reliability and validity of the Index of Learning Styles,International Journal on Engineering Education,R M Felder,J Spurlin,21,103,112,2005,2005</t>
  </si>
  <si>
    <t>ref1,Methods and techniques of adaptive hypermedia,User Modeling and User-Adapted Interaction,P Brusilovsky,6,87,129,1996,1996,j
ref2,Learning and teaching styles in engineering education, Engineering Education,R M Felder,L K Silverman,674,681,1988,1988,m
ref3,Cognitive profiling towards formal adaptive technologies in web-based learning communities,International Journal of WWW-based Communities,T Kinshuk,Lin,1,103,108,2004,2004,j
ref4,Cognitive profiling in life-long learning, Encyclopedia of International Computer-Based Learning,Idea Group Inc,T Lin,Kinshuk ,245,255,2005,2005,j
ref5,Addressing different learning styles through course hypermedia,IEEE Transactions on Education,C A Carver,R A Howard,W D Lane,42,33,38,1999,1999,j
ref6,,A comparison of learning style theories on the suitability for elearning, Proceedings of the Conference on Web Technologies, Applications, and Services,ACTA Press,J Kuljis,F Liu,191,197,2005,2005,m
ref7,Investigating the relationship between two approaches to verbal information processing in working memory: An examination of the construct of working memory coupled with an investigation of meta-working memory,L A Richards-Ward,Palmerston North, New Zealand,1996,1996,m
ref8,The magic number seven, plus or minus two: Some limit of our capacity for processing information,Psychology Review,G A Miller,63,81,96,1956,1956,j
ref9,The relationship between learning styles and cognitive traits-Getting additional information for improving student modelling,International Journal on Computers in Human Behavior,S Graf,T Lin,Kinshuk ,j
ref10,Index of Learning Style questionnaire,R M Felder,B A Soloman,1997-02-22,1997,02,22,m
ref11,,- Web,Ospan,2007-02-22,2007,02,22
ref12,Is working memory capacity task dependent?,Journal of Memory and Language,M L Turner,R W Engle,28,127,154,1989,1989,j
ref13,A Dutch, computerized, and group administrable adaptation of the operation span test,Psychologica Belgica,W De Neys,G . D &amp;apos;ydewalle,W Schaeken,G Vos,42,177,190,2002,2002,j
ref14,Applications, reliability and validity of the Index of Learning Styles,International Journal on Engineering Education,R M Felder,J Spurlin,21,2005,2005,j</t>
  </si>
  <si>
    <t>TUW-141121</t>
  </si>
  <si>
    <t>ref1,An overview of audio information retrieval,Multimedia Systems,Jonathan Foote,7,1,2,10,1999,1999
ref2,Evaluation of feature extractors and psychoacoustic transformations for music genre classification,Proceedings of the Sixth International Conference on Music Information Retrieval (ISMIR 2005),Thomas Lidy,Andreas Rauber,London, UK,34,41,2005-09,2005,09
ref3,Semantic analysis of song lyrics,Proceedings of the 2004 IEEE International Conference on Multimedia and Expo,IEEE,Beth Logan,Andrew Kositsky,Pedro Moreno,2004-06-30,2004,6,30
ref4,Natural language processing of lyrics,MULTIMEDIA '05: Proceedings of the 13th annual ACM international conference on Multimedia,ACM Press,P G Jose Mahedero,Alvaro Martínez,Pedro Cano,Markus Koppenberger,Fabien Gouyon,,New York, NY, USA,475,478,2005,2005
ref5,Using psycho-acoustic models and self-organizing maps to create a hierarchical structuring of music by musical styles,Proceedings of the 3rd International Symposium on Music Information Retrieval,Andreas Rauber,Elias Pampalk,Dieter Merkl,71,80,2002-10,2002,10
ref6,Marsyas: A framework for audio analysis,Organized Sound,George Tzanetakis,Perry Cook,4,30,2000,2000</t>
  </si>
  <si>
    <t>ref1,An overview of audio information retrieval,Multimedia Systems,Jonathan Foote,7,1,2,10,1999,1999,j
ref2,Evaluation of feature extractors and psychoacoustic transformations for music genre classification,Proceedings of the Sixth International Conference on Music Information Retrieval (ISMIR 2005),Thomas Lidy,Andreas Rauber,2005,2005,m
ref3,Semantic analysis of song lyrics,Proceedings of the 2004 IEEE International Conference on Multimedia and Expo, ICME,IEEE,Beth Logan,Andrew Kositsky,Pedro Moreno,2004-06-30,2004,06,30,m
ref4,,P G Jose,Alvaro Mahedero,Pedro Martínez,Markus Cano,Koppenberger
ref5,Natural language processing of lyrics,MULTIMEDIA '05: Proceedings of the 13th annual ACM international conference on Multimedia,ACM Press,Fabien Gouyon,475,478,2005,2005,m
ref6,Using psycho-acoustic models and self-organizing maps to create a hierarchical structuring of music by musical styles,Proceedings of the 3rd International Symposium on Music Information Retrieval,Andreas Rauber,Elias Pampalk,Dieter Merkl,71,80,2002,2002,m
ref7,Marsyas: A framework for audio analysis,Organized Sound,George Tzanetakis,Perry Cook,4,30,2000,2000,j</t>
  </si>
  <si>
    <t>TUW-141140</t>
  </si>
  <si>
    <t>ref1,An overview of modeldriven Web Engineering and the MDA,Web Engineering and Web Applications Design Methods, volume 12 of Human-Computer Interaction Series,Springer,Luis Olsina, Oscar Pastor, Gustavo Rossi and Daniel Schwabe,Nathalie Moreno,José Raúl Romero,Antonio Vallecillo,12,12,2007,2007
ref2,OO-H Method: Extending UML to Model Web Interfaces,Idea Group Publishing,Jaime Gómez,Cristina Cachero,144,173,2003,2003
ref3,UML-based Web Engineering: An Approach based on Standards,Web Engineering and Web Applications Design Methods,Springer,Luis Olsina, Oscar Pastor, Gustavo Rossi and Daniel Schwabe,Nora Koch,Alexander Knapp,Gefei Zhang,Hubert Baumeister,volume 12 of Human-Computer Interaction Series, chapter 7,2007,2007
ref4,Designing Data-Intensive Web Applications,Morgan Kaufmann,S Ceri,P Fraternali,A Bongio,M Brambilla,S Comai,M Matera,2002,2002
ref5,MDA Guide V1.0.1,omg/03-06-01,www.omg.org/mda
ref6,Bridging WebML to Model-Driven Engineering: From DTDs to MOF,Andrea Schauerhuber,Manuel Wimmer,Elisabeth Kapsammer,Wieland Schwinger,Werner Retschitzegger,Accepted for puplication in IET Software,2007,2007
ref7,Aspect-Oriented Modeling of Ubiquitous Web Applications: The aspectWebML Approach,5th Workshop on Model-Based Development for ComputerBased Systems: Domain-Specific Approaches to Model-Based Development,Andrea Schauerhuber,Manuel Wimmer,Wieland Schwinger,Elisabeth Kapsammer,Werner Retschitzegger,Tucson, AZ, USA,in. conjunction with ECBS,2007-03,2007,3
ref8,On the Integration of Web Modeling Languages: Preliminary Results and Future Challenges,Workshop on Model-driven Web Engineering (MDWE),Manuel Wimmer,Andrea Schauerhuber,Wieland Schwinger,Horst Kargl,Como, Italy,held in conjunction with ICWE,2007-07,2007,7</t>
  </si>
  <si>
    <t>ref1,An overview of modeldriven Web Engineering and the MDA,Web Engineering and Web Applications Design Methods,Springer,Nathalie Moreno,José Raúl Romero,Antonio Vallecillo,2007,2007,m
ref2,OO-H Method: Extending UML to Model Web Interfaces,Idea Group Publishing,Jaime Gómez,Cristina Cachero,144,173,2003,2003,m
ref3,UML-based Web Engineering: An Approach based on Standards,Web Engineering and Web Applications Design Methods,Springer,Nora Koch,Alexander Knapp,Gefei Zhang,Hubert Baumeister,2007,2007,m
ref4,Designing Data-Intensive Web Applications,Morgan Kaufmann,S Ceri,P Fraternali,A Bongio,M Brambilla,S Comai,M Matera,2002,2002,m
ref5,,V1 Mda Guide
ref6,Bridging WebML to Model-Driven Engineering: From DTDs to MOF. Accepted for puplication in IET Software,Andrea Schauerhuber,Manuel Wimmer,Elisabeth Kapsammer,Wieland Schwinger,Werner Retschitzegger,2007,2007,m
ref7,Aspect-Oriented Modeling of Ubiquitous Web Applications: The aspectWebML Approach. 5th Workshop on Model-Based Development for ComputerBased Systems: Domain-Specific Approaches to Model-Based Development,Andrea Schauerhuber,Manuel Wimmer,Wieland Schwinger,Elisabeth Kapsammer,Werner Retschitzegger,Tucson, AZ, USA,2007-03,2007,03,m
ref8,On the Integration of Web Modeling Languages: Preliminary Results and Future Challenges,Manuel Wimmer,Andrea Schauerhuber,Wieland Schwinger,Horst Kargl,Como, Italy,2007-07,2007,07,m</t>
  </si>
  <si>
    <t>TUW-141336</t>
  </si>
  <si>
    <t>ref1,(Chen, Interian, 2005),A model for generating random quantified boolean formulas,Proceedings of the 19th International Joint Conference on Artificial Intelligence (IJCAI'2005),H Chen,Y Interian,66,71,2005,2005
ref2,(Cocco, Dubois, Mandler, Monasson, 2003),Rigorous decimation-based construction of ground pure states for spin glass models on random lattices,Physical Review Letters,S Cocco,O Dubois,J Mandler,R Monasson,90,472051,472054,2003,2003
ref3,(Creignou, Daudé, 2003),Coarse and sharp thresholds for random k-XOR-CNF,Informatique théorique et applications/Theoretical Informatics and Applications,N Creignou,H Daudé,37,2,127,147,2003,2003
ref4,(Creignou, Daudé, Dubois, 2003),Approximating the satisfiability threshold for random k-XOR-CNF formulas,Combinatorics, Probability and Computing,N Creignou,H Daudé,O Dubois,12,2,113,126,2003,2003
ref5,(Creignou, Khanna, Sudan, 2001),Complexity classifications of Boolean constraint satisfaction problems,SIAM Monographs On Discrete Mathematics And Applications,SIAM,N Creignou,S Khanna,M Sudan,Philadelphia, PA, USA,2001,2001
ref6,(Dubois, Boufkhad, Mandler, 2000),Typical random 3-SAT formulae and the satisfiability threshold,Proceedings of the 11th ACM-SIAM Symposium on Discrete Algorithms (SODA'2000),O Dubois,Y Boufkhad,J Mandler,124,126,2000,2000
ref7,(Dubois, Mandler, 2002),The 3-XOR-SAT threshold,Proceedings of the 43th Annual IEEE Symposium on Foundations of Computer Science (FOCS 2002),O Dubois,J Mandler,769,778,2002,2002
ref8,(Dubois, Monasson, Selman, Zecchina, 2001),Editorial,Theoretical Computer Science,O Dubois,R Monasson,B Selman,R Zecchina,265,1,2,2001,2001
ref9,(Erdős, Rényi, 1960),On the evolution of random graphs,Publ. Math. Inst. Hungar. Acad. Sci,P Erdős,A Rényi,7,17,61,1960,1960
ref10,(Franz, Leone, Ricci-Tersenghi, Zecchina, 2001),Exact solutions for diluted spin glasses and optimization problems,Physical Review Letters,S Franz,M Leone,F Ricci-Tersenghi,R Zecchina,87,127209,127212,2001,2001
ref11,(Gent, Walsh, 1999),Beyond NP: the QSAT phase transition,Proceedings of the 16th National Conference on Artificial Intelligence (AAAI'99),I Gent,T Walsh,648,653,1999,1999
ref12,(Janson, 1987),Poisson convergence and Poisson processes with applications to random graphs,Stochastic Processes and Applications,S Janson,1,30,1987,1987
ref13,(Janson, Luczak, Rucinski, 2000),Random graphs,John Wiley and sons,S Janson,T Luczak,A Rucinski,2000,2000
ref14,(Takács, 1988),On the limit distribution of the number of cycles in a random graph,Journal of Applied Probability,L Takács,25,359,376,1988,1988</t>
  </si>
  <si>
    <t>ref1,A model for generating random quantified boolean formulas,Proceedings of the 19th International Joint Conference on Artificial Intelligence (IJCAI'2005),H Chen,Y Interian,66,71,2005,2005,m
ref2,Rigorous decimation-based construction of ground pure states for spin glass models on random lattices,Physical Review Letters,S Cocco,O Dubois,J Mandler,R Monasson,90,472051,472054,2003,2003,j
ref3,,Coarse and sharp thresholds for random k-XOR-CNF. Informatique théorique et applications/Theoretical Informatics and Applications,N Creignou,H Daudé,127,147,2003,2003,m
ref4,Approximating the satisfiability threshold for random k-XOR-CNF formulas,Combinatorics, Probability and Computing,N Creignou,H Daudé,O Dubois,12,2,113,126,2003,2003,j
ref5,Complexity classifications of Boolean constraint satisfaction problems,SIAM Monographs On Discrete Mathematics And Applications. SIAM,N Creignou,S Khanna,M Sudan,2001,2001,j
ref6,Typical random 3-SAT formulae and the satisfiability threshold,Proceedings of the 11th ACM-SIAM Symposium on Discrete Algorithms (SODA'2000),O Dubois,Y Boufkhad,J Mandler,124,126,2000,2000,m
ref7,The 3-XOR-SAT threshold,Proceedings of the 43th Annual IEEE Symposium on Foundations of Computer Science (FOCS 2002),O Dubois,J Mandler,769,778,2002,2002,m
ref8,,Editorial. Theoretical Computer Science,O Dubois,R Monasson,B Selman,R Zecchina,265,1,2,2001,2001,j
ref9,On the evolution of random graphs,In Publ. Math. Inst. Hungar. Acad. Sci,P Erd˝ Os,A Rényi,7,17,61,1960,1960,j
ref10,Exact solutions for diluted spin glasses and optimization problems,Physical Review Letters,S Franz,M Leone,F Ricci-Tersenghi,R Zecchina,87,127209,127212,2001,2001,j
ref11,Beyond NP: the QSAT phase transition,Proceedings of the 16th National Conference on Artificial Intelligence (AAAI'99),I Gent,T Walsh,648,653,1999,1999,m
ref12,Poisson convergence and Poisson processes with applications to random graphs,Stochastic Processes and Applications,S Janson,1,30,1987,1987,m
ref13,Random graphs,John Wiley and sons,S Janson,T Luczak,A Rucinski,2000,2000,m
ref14,On the limit distribution of the number of cycles in a random graph,Journal of Applied Probability,L Takács,25,359,376,1988,1988,j</t>
  </si>
  <si>
    <t>TUW-141618</t>
  </si>
  <si>
    <t>ref1,Modeling multidimensional databases,Technical report,IBM Almaden Research Center,R Agrawal,A Gupta,S Sarawagi,1996,1996
ref2,The MOSIX Distributed Operating System, Load Balancing for UNIX,Lecture Notes in Computer Science,Springer Verlag,A Barak,S Guday,R Wheeler,672,1993,1993
ref3,The MOSIX Multicomputer Operating System for High Performance Cluster Computing,Journal of Future Generation Computer Systems,A Barak,O La'adan,13,4-5,261,372,1998-03,1998,3
ref4,Beowulf: A parallel workstation for scientific computation,Proceedings International Conference on Parallel Processing,D J Becker,T Sterling,D Savarese,J E Dorband,U A Ranawak,C V Packer,1995,1995
ref5,The Grid: vision, technology development and applications,Elektrotechnik und Informationstechnik,P Brezany,A Wöhrer,A M Tjoa,123,6,2006,2006
ref6,Reference model for dbms standardization,database
architecture framework task group (DAFTG) of ANSI/X3/SPARC database system study group,SIGMOD Record,T Burns,E N Fong,D Jefferson,R Knox,L Mark,C Reedy,L Reich,N Roussopoulos,W Truszkowski,15,1,19,58,1986-01,1986,1
ref7,Data Warehousing and OLAP for Decision Support,Proceedings SIGMOD'97,S Chaudhuri,U Dayal,507,508,1997,1997
ref8,An overview of Data Warehousing and OLAP technology,SIGMOD Record,S Chaudhuri,U Dayal,1997-03,1997,3
ref9,A relational model of data for large shared data banks,Communications of the ACM,E F Codd,13,6,377,387,1970-06,1970,6
ref10,Providing OLAP (On-Line Analytical Processing) to User-Analysts: An IT-Mandate,Technical report,E. F. Codd and Associates,E F Codd,S B Codd,C T Salley,1993,1993
ref11,Distributed object computing platforms,Communications of the ACM,A Dogac,C Dengi,M T Oszu,41,9,95,103,1998-09,1998,9
ref12,Distributed Classifier Construction in the Grid Data Mining Framework GridMiner-Core,Proceedings of the Data Mining and the Grid 4th IEEE International Conference on Data Mining (ICDM'04),J Hofer,P Brezany,2004,2004
ref13,The Data Warehouse Toolkit: Practical Techniques for Building Dimensional Data Warehouses,John Wiley &amp; Sons, Inc,R Kimball,1996,1996
ref14,Why decision support fails and how to fix it,SIGMOD Record,R Kimball,K Strehlo,24,3,92,97,1995-09,1995,9
ref15,Modelling OLAP with extended relational models,J. of Computer Science and Information Management,O Mangisengi,A M Tjoa,1999,1999
ref16,Architecture,Communications of the ACM,P Messina,D Culler,W Pfeiffer,W Martin,J T Oden,G Smith,41,11,36,44,1998-11,1998,11
ref17,Modelling Dynamic Constraints Using Augmented Place/Transition Networks,Information Systems,Pergamon Press,T Mueck,G Vinek,14,4,1989,1989
ref18,Conceptual Schema-Centric Development,A Grand Challenge for Information Systems Research,CAiSE 2005,LNCS 3520,A Olivé,1,15,2005,2005
ref19,Beowulf: Harnessing the power of parallelism in a Pile-of-PCs,Proceedings IEEE Aerospace,D Ridge,D Becker,P Merkey,T Sterling,1997,1997
ref20,On Making Data Warehouses Active,Proc. DaWaK Lecture Notes in Computer Science,Springer Verlag,M Schrefl,T Thalhammer,1874,2000,2000
ref21,Bridging the Gap between Data Warehouses and Business Processes: A Business Intelligence Perspective for Event-Driven Process Chains,Proc. EDOC,V Stefanov,B List,J Schiefer,2005,2005
ref22,Inverse problem theory-methods for data fitting and model parameter estimation,Society of Industrial and Applied Mathematics,J Tarantola,2005,2005
ref23,Active data warehouses: complementing OLAP with analysis rules,Data Knowl. Eng,T Thalhammer,M Schrefl,M K Mohania,39,3,241,269,2001,2001
ref24,Towards Grid Based Intelligent Information Systems,In Proc. 2003 International Conference on Parallel Processing,A M Tjoa,P Brezany,I Janciak,2003,2003
ref25,Providing an Integrated Framework for Knowledge Discovery on Computational Grids,Proc. 5th International Conference on Knowledge Management,A M Tjoa,I Janciak,A Woehrer,P Brezany,2005,2005
ref26,The ANSI/x3/SPARC DBMS framework report of the studygroup,Information Systems,D Tsischritzis,A C Klug,3,3,173,191,1978-03,1978,3
ref27,Ein Softwaresystem zur Speicherung und integrierten Auswertung von Versuchsdaten,EDV in Medizin und Biologie,G Vinek,3,82,1972,1972
ref28,Die Problemsprache NUMAN zur Vorbereitung von Daten für statistische Analysen,In: EDV in Medizin und Biologie,G Vinek,F Rennert,4,1,1973,1973
ref29,Theorie und Praxis des Datenbankentwurfes,Physika-Verlag,G Vinek,F Rennert,A M Tjoa,1982,1982
ref30,A Data Manipulation Language Based on a Relational Data Model for the Preparation of Statistical Analysis Proceedings in Computational Statistics,COMPSTAT 1976,Physika-Verlag,J. Gordesch, P. Naeve,G Vinek,F Rennert,A M Tjoa,R R Wagner,379,387
ref31,Approximate computation of multidimensional aggregates of sparse data using wavelets,Proceedings SIGMOD'99,J S Vitter,M Wang,1999,1999
ref32,Information systems and conceptual modelling: a research Agenda,Information Systems Research,Y Wand,R Weber,13,4,363,376,2002,2002
ref33,On Ontological Foundations of Conceptual Modeling: A Response to Wyssusek,Scandinavian Journal of Information Systems,Y Wand,R Weber,18,1,127,138,2006,2006
ref34,Computational Thinking,CACM,J Wing,49,3,2006-03,2006,3
ref35,Virtualizing Heterogeneous Data Sources on the Grid-Design Concepts and Implementation Knowledge Grid and Grid Intelligence,A Woehrer,P Brezany,I Janciak,A M Tjoa,2004,2004
ref36,Novel mediator architectures for Grid information systems,Future Generation Computer Systems,A Woehrer,P Brezany,A M Tjoa,2005,2005
ref37,On ontological foundations of conceptual modelling,Scandinavian Journal of Information Systems,B Wyssusek,18,1,63,80,2006,2006</t>
  </si>
  <si>
    <t>ref1,Modeling multidimensional databases,Agrawal ,R Gupta,A Sarawagi,S ,1996,1996,m
ref2,The MOSIX Distributed Operating System, Load Balancing for UNIX,Lecture Notes in Computer Science,Springer Verlag,Barak ,A Guday,S Wheeler,R ,672,1993,1993,j
ref3,The MOSIX Multicomputer Operating System for High Performance Cluster Computing,Journal of Future Generation Computer Systems,Barak ,A La &amp;apos;adan,O ,13,4-5,361,372,1998-03,1998,03,j
ref4,Beowulf: A parallel workstation for scientific computation,Proceedings International Conference on Parallel Processing,D J Becker,T Sterling,D Savarese,J E Dorband,U A Ranawak,C V Packer,1995,1995,m
ref5,The Grid: vision, technology development and applications,Elektrotechnik und Informationstechnik,Brezany ,P Wöhrer,A Tjoa,A M ,123,6,2006,2006,j
ref6,Reference model for dbms standardization, database architecture framework task group (DAFTG) of ANSI/X3/SPARC database system study group,SIGMOD Record,T Burns,E N Fong,Jefferson ,D Knox,R Mark,L Reedy,C Reich,L Roussopoulos,N Truszkowski,W ,15,1,19,58,1986-01,1986,01,j
ref7,Data Warehousing and OLAP for Decision Support,Proceedings SIGMOD'97,Chaudhuri ,S Dayal,U ,507,508,1997,1997,m
ref8,An overview of Data Warehousing and OLAP technology,SIGMOD Record,Chaudhuri ,S Dayal,U ,1997-03,1997,03,m
ref9,A relational model of data for large shared data banks,Communications of the ACM,Codd ,E F ,13,6,377,387,1970-06,1970,06,j
ref10,Providing OLAP (On-Line Analytical Processing) to User-Analysts: An IT-Mandate,E. F. Codd and Associates,Codd ,E F Codd,S B Salley,C T ,1993,1993,m
ref11,Distributed object computing platforms,Communications of the ACM,Dogac ,A Dengi,C Oszu,M T ,41,9,95,103,1998-09,1998,09,j
ref12,Distributed Classifier Construction in the Grid Data Mining Framework GridMiner-Core,4th IEEE International Conference on Data Mining (ICDM'04),GM-Grid,Hofer ,J Brezany,P ,2004,2004,m
ref13,The Data Warehouse Toolkit: Practical Techniques for Building Dimensional Data Warehouses,John Wiley &amp; Sons, Inc,Kimball ,R ,1996,1996,m
ref14,Why decision support fails and how to fix it,SIGMOD Record,Kimball ,R Strehlo,K ,24,3,92,97,1995-09,1995,09,j
ref15,Modelling OLAP with extended relational models,J. of Computer Science and Information Management,Mangisengi ,O Tjoa,A M ,1999,1999,j
ref16,,Messina ,P Culler,D Pfeiffer,W Martin,W Oden,J T Smith,G 
ref17,,Architecture. Communications of the ACM,,41,11,36,44,1998-11,1998,11,j
ref18,Modelling Dynamic Constraints Using Augmented Place/Transition Networks,Information Systems,Pergamon Press,Mueck ,T Vinek,G ,14,4,1989,1989,j
ref19,Conceptual Schema-Centric Development,A Grand Challenge for Information Systems Research,CAiSE 2005,Olivé ,A ,1,15,2005,2005,m
ref20,Beowulf: Harnessing the power of parallelism in a Pile-of-PCs,Proceedings IEEE Aerospace,Ridge ,D Becker,D Merkey,P Sterling,T ,1997,1997,m
ref21,On Making Data Warehouses Active,Proc. DaWaK Lecture Notes in Computer Science,Springer Verlag,Schrefl ,M Thalhammer,T ,2000,2000,m
ref22,Bridging the Gap between Data Warehouses and Business Processes: A Business Intelligence Perspective for Event-Driven Process Chains,Proc. EDOC,Stefanov ,V List,B Schiefer,J ,2005,2005,m
ref23,Inverse problem theory-methods for data fitting and model parameter estimation,Society of Industrial and Applied Mathematics,Tarantola ,J ,2005,2005,j
ref24,Active data warehouses: complementing OLAP with analysis rules,Data Knowl. Eng,Thalhammer ,T Schrefl,M Mohania,M K ,39,3,241,269,2001,2001,j
ref25,Towards Grid Based Intelligent Information Systems,Proc. 2003 International Conference on Parallel Processing,A M Tjoa,P Brezany,I Janciak,2003,2003,m
ref26,Providing an Integrated Framework for Knowledge Discovery on Computational Grids,Proc. 5th International Conference on Knowledge Management,A M Tjoa,I Janciak,A Woehrer,P Brezany,2005,2005,m
ref27,The ANSI/x3/SPARC DBMS framework report of the studygroup,Information Systems,Tsischritzis ,D Klug,A C ,3,3,173,191,1978-03,1978,03,j
ref28,Ein Softwaresystem zur Speicherung und integrierten Auswertung von Versuchsdaten,EDV in Medizin und Biologie,Vinek ,G ,3,1972,1972,j
ref29,Die Problemsprache NUMAN zur Vorbereitung von Daten für statistische Analysen,EDV in Medizin und Biologie,Vinek ,G Rennert,F ,4,1,1973,1973,j
ref30,,Theorie und Praxis des Datenbankentwurfes,Physika-Verlag,Vinek ,G Rennert,F Tjoa,A M Datenmodellierung,1982,1982,m
ref31,A Data Manipulation Language Based on a Relational Data Model for the Preparation of Statistical Analysis Proceedings in Computational Statistics,COMPSTAT 1976,Physika-Verlag,Vinek ,G F Rennert,A M Tjoa,R R Wagner,379,387,m
ref32,Approximate computation of multidimensional aggregates of sparse data using wavelets,Proceedings SIGMOD'99,Vitter ,J S ,Wang ,M ,1999,1999,m
ref33,Information systems and conceptual modelling: a research Agenda,Information Systems Research,Wand ,Y Weber,R ,13,4,363,376,2002,2002,j
ref34,On Ontological Foundations of Conceptual Modeling: A Response to Wyssusek,Scandinavian Journal of Information Systems,Wand ,Y Weber,R ,18,1,127,138,2006,2006,j
ref35,,Computational Thinking, CACM,Wing ,J ,2006-03,2006,03,m
ref36,Virtualizing Heterogeneous Data Sources on the Grid-Design Concepts and Implementation Knowledge Grid and Grid Intelligence,Woehrer ,A Brezany,P Janciak,I Tjoa,A M ,2004,2004,m
ref37,Novel mediator architectures for Grid information systems,In Journal for Future Generation Computer Systems,Woehrer ,A Brezany,P Tjoa,A M ,2005,2005,j
ref38,On ontological foundations of conceptual modelling,Scandinavian Journal of Information Systems,Wyssusek ,B ,18,1,63,80,2006,2006,j</t>
  </si>
  <si>
    <t>TUW-141758</t>
  </si>
  <si>
    <t>ref1,[Aronow, Feng, 1997],Ad-hoc classification of electronic clinical documents,D-Lib Magazine,D B Aronow,F Feng,1997,1997
ref2,[Aronson, 2001],Effective mapping of biomedical text to the UMLS Metathesaurus: the MetaMap program,Proc. of the AMIA Symposium,A R Aronson,17,21,2001,2001
ref3,[Atkins, Best, Briss, Eccles, Falck-Ytter, Flottorp, Guyatt, Harbour, Haugh, Henry, Hill, Jaeschke, Leng, Liberati, Magrini, Mason, Middleton, Mrukowicz, O’Connell, Oxman, Phillips, Schünemann, Edejer, Varonen, Vist, Williams, Zaza, The GRADE Working Group, 2004a],Grading quality of evidence and strength of recommendations,D Atkins,D Best,P A Briss,M Eccles,Y Falck-Ytter,S Flottorp,G H Guyatt,R T Harbour,M C Haugh,D Henry,S Hill,R Jaeschke,G Leng,A Liberati,N Magrini,J Mason,P Middleton,J Mrukowicz,D O’Connell,A D Oxman,B Phillips,H Schünemann,T Edejer,H Varonen,G E Vist,J W Jr Williams,S Zaza,The GRADE Working Group,328,7454,2004a,1490,1498,2004,2004
ref4,[Atkins, Briss, Eccles, Flottorp, Guyatt, Harbour, Hill, Jaeschke, Liberati, Magrini, Mason, O’Connell, Oxman, Phillips, Schünemann, Edejer, Vist, Williams Jr., The GRADE Working Group, 2005],Systems for grading the quality of evidence and the strength of recommendations II: Pilot study of a new system,BMC Health Services Research,D Atkins,P A Briss,M Eccles,S Flottorp,G H Guyatt,R T Harbour,S Hill,R Jaeschke,A Liberati,N Magrini,J Mason,D O’Connell,A D Oxman,B Phillips,H Schünemann,T Edejer,G E Vist,J W Williams Jr.,The GRADE Working Group,5,25,2005,2005
ref5,[Atkins, Eccles, Flottorp, Guyatt, Henry, Hill, Liberati, O’Connell, Oxman, Phillips, Schünemann, Edejer, Vist, Williams Jr., The GRADE Working Group, 2004b],Systems for grading the quality of evidence and the strength of recommendations i: Critical appraisal of existing approaches,BMC Health Services Research,D Atkins,M Eccles,S Flottorp,G H Guyatt,D Henry,S Hill,A Liberati,D O’Connell,A D Oxman,B Phillips,H Schünemann,T Edejer,G E Vist,J W Williams Jr.,The GRADE Working Group,4,38,2004b,2004,2004
ref6,[Boytcheva, Strupchanska, Paskaleva, Tcharaktchiev, 2005],Some aspects of negation processing in electronic health records,Proc. of International Workshop Language and Speech Infrastructure for Information Access in the Balkan Countries,S Boytcheva,A Strupchanska,E Paskaleva,D Tcharaktchiev,1,8,2005,2005
ref7,[Bruix, Sherman, Practice Guidelines Committee, American Association for the Study of Liver Diseases, 2005],Management of hepatocellular carcinoma,Hepatology,,J Bruix,M Sherman,Practice Guidelines Committee, American Association for the Study of Liver Diseases,42,5,1208,1236,2005,2005
ref8,[Chapman, Bridewell, Hanbury, Cooper, Buchanan, 2001],A simple algorithm for identifying negated findings and diseases in discharge summaries,Journal of Biomedical Informatics,W W Chapman,W Bridewell,P Hanbury,G F Cooper,B G Buchanan,34,5,301,310,2001,2001
ref9,[Divita, 2005],MMTX-API Documentation,G Divita,2005,2005,http://mmtx.nlm.nih.gov/
ref10,[Elkin, Brown, Bauer, Husser, Carruth, Bergstrom, Wahner-Roedler, 2005],A controlled trial of automated classification of negation from clinical notes,BMC Medical Informatics and Decision Making,Peter L Elkin,S H Brown,B A Bauer,C S Husser,S Carruth,L R Bergstrom,D L Wahner-Roedler,5,13,1,7,2005,2005
ref11,[Feder, Eccles, Grol, Griffiths, Grimshaw, 1999],Clinical guidelines: Using clinical guidelines,BMJ,G Feder,M Eccles,R Grol,C Griffiths,J Grimshaw,318,728,730,1999,1999
ref12,[Field, Lohr, 1990],Clinical Practice Guidelines: Directions for a New Program,National Academies Press,M J Field,K N Lohr,Washington DC,1990,1990
ref13,[Hahn, Wingard, Anderson, Bensinger, Berenson, Brozeit, Carver, Kyle, PL, 2003],The role of cytotoxic therapy with hematopoietic stem cell transplantation in the therapy of multiple myeloma: an evidence-based review,Biol Blood Marrow Transplant,T Hahn,J Wingard,K Anderson,W Bensinger,J Berenson,G Brozeit,J Carver,R Kyle,P M PL,9,1,4,37,2003,2003
ref14,[Hazlehurst, Frost, Sittig, Stevens, 2005],Mediclass: A system for detecting and classifying encounter-based clinical events in any electronic medical record,Journal of the American Medical Informatics Association (JAMIA),B Hazlehurst,H R Frost,D F Sittig,V J Stevens,12,5,517,529,2005,2005
ref15,[Horn, 1989],A Natural History of Negation,University of Chicago Press,L R Horn,Chicago, Illinois,1989,1989
ref16,[Hripcsak, Friedman, Alderson, DuMouchel, Johnson, Clayton, 1995],Unlocking clinical data from narrative reports: A study of natural language processing,Annals of Internal Medicine,G Hripcsak,C Friedman,P O Alderson,W DuMouchel,S B Johnson,P D Clayton,122,9,681,688,1995,1995
ref17,[Huang, Lowe, 2007],A novel hybrid approach to automated negation detection in clinical radiology reports,Journal of the American Medical Informatics Association (JAMIA),Y Huang,H J Lowe,14,304,311,2007,2007
ref18,[Humphreys, Schuyler, 1993],The Unified Medical Language System: Moving beyond the vocabulary of bibliographic retrieval,Meckler,B L Humphreys,P Schuyler,Westport, CT,31,44,1993,1993
ref19,[Kaiser, 2007],Medical terminology systems,Technical Report Asgaard-TR-
2007-1,Vienna University of Technology, Institute of Software Technology and Interactive
Systems,K Kaiser,2007,2007
ref20,[Kaiser, Martini, Miksch, Öztürk, 2007],A meta schema for evidence information in clinical practice guidelines as a basis for decision-making,Studies in Health Technology and Informatics,AMIA, IOS Press,K Kaiser,P Martini,S Miksch,A Öztürk,Brisbane, Australia,129,925,929,2007,2007
ref21,[Klein, Manning, 2003],Accurate Unlexicalized Parsing,Proc of the 41st Meeting of the Association for Computational Linguistics,D Klein,C Manning,2003,2003
ref22,[Kvale, 2006],Chronic cough due to lung tumors: ACCP evidence-based clinical practice guidelines,Chest,P Kvale,129,1,147,153,2006,2006
ref23,[Kvale, Simoff, Prakash, 2003],Lung cancer. palliative care,Chest,P Kvale,M Simoff,U Prakash,123,1,284,311,2003,2003
ref24,[Lee, Geller, 2006],Semantic enrichment for medical ontologies,J. of Biomedical Informatics,Y Lee,J Geller,39,2,209,226,2006,2006
ref25,[Lehnert, Cardie, Fisher, McCarthy, Riloff, Soderland, 1994],Evaluating an information extraction system,Journal of Integrated ComputerAided Engineering,W Lehnert,C Cardie,D Fisher,J McCarthy,E Riloff,S Soderland,1,6,1,29,1994,1994
ref26,[Mccray, 1989],UMLS Semantic Network,The 13th annual SCAMC,A T Mccray,503,507,1989,1989
ref27,[Meystre, Haug, 2005],Automation of a problem list using natural language processing,BMC Medical Informatics and Decision Making,S Meystre,P J Haug,5,30,2005,2005
ref28,[Miaskkowski, Cleary, Burney, Coyne, Finley, Foster, Grossman, Janjan, Ray, Syrjala, Weisman, Pettit, Zahrbock, 2005],Guideline for the management of cancer pain in adults and children,Clinical practice guideline 3,American Pain Society (APS),C Miaskkowski,J Cleary,R Burney,P J Coyne,R Finley,R Foster,S Grossman,N A Janjan,J Ray,K Syrjala,S J Weisman,J B Pettit,C Zahrbock,Glenview (IL),2005,2005
ref29,[Mitchell, Becich, Berman, Chapman, Gilbertson, Gupta, Harrison, Legowski, Crowley, 2004],Implementation and evaluation of a negation tagger in a pipeline-based system for information extraction from pathology reports,K J Mitchell,M J Becich,J J Berman,W W Chapman,J Gilbertson,D Gupta,J Harrison,E Legowski,R S Crowley,663,667,2004,2004
ref30,[Mutalik, Deshpande, Nadkarni, 2001],Use of general-purpose negation detection to augment concept indexing of medical documents: A quantitative study using the UMLS,Journal of the American Medical Informatics Association,P G Mutalik,A Deshpande,P M Nadkarni,8,6,598,609,2001,2001
ref31,[National Collaborating Centre for Acute Care, 2005],The diagnosis and treatment of lung cancer,Clinical practice guideline,National Institute for Clinical Excellence (NICE),National Collaborating Centre for Acute Care,London (UK),2005,2005
ref32,[Otchy, Hyman, Simmang, Anthony, Buie, Cataldo, Church, Cohen, Dentsman, Ellis, 3rd, Ko, Moore, Orsay, Place, Rafferty, Rakinic, Savoca, Tjandra, Whiteford, 2004],Practice parameters for colon cancer,Dis Colon Rectum,D Otchy,N Hyman,C Simmang,T Anthony,W Buie,P Cataldo,J Church,J Cohen,F Dentsman,C Ellis,J K 3rd,C Ko,R Moore,C Orsay,R Place,J Rafferty,J Rakinic,P Savoca,J Tjandra,M Whiteford,47,8,1269,1284,2004,2004
ref33,[Patrick, Wang, Budd, 2006],Automatic mapping clinical notes to medical terminologies,Proceedings of the 2006 Australasian Language Technology Workshop (ALTW2006),J Patrick,Y Wang,P Budd,2006,2006
ref34,[Rizzo, Lichtin, Woolf, Seidenfeld, Bennett, Cella, Djulbegovic, Goode, Jakubowski, Lee, Miller, Rarick, Regan, Browman, Gordon, 2002],Use of epoetin in patients with cancer: evidence-based clinical practice guidelines of the american society of clinical oncology and the american society of hematology,Blood,J Rizzo,A Lichtin,S Woolf,J Seidenfeld,C Bennett,D Cella,B Djulbegovic,M Goode,A Jakubowski,S Lee,C Miller,M Rarick,D Regan,G Browman,M Gordon,100,7,2003,2020,2002,2002
ref35,[Scottish Intercollegiate Guidelines Network (SIGN), 2003a],Cutaneous melanoma. A national clinical guideline,SIGN publication 72,Scottish Intercollegiate Guidelines Network (SIGN),Scottish Intercollegiate Guidelines Network (SIGN),Edinburgh (Scotland),2003a,2003,2003
ref36,[Scottish Intercollegiate Guidelines Network (SIGN), 2003b],Epithelial ovarian cancer. A national clinical guideline,SIGN publication 75,Scottish Intercollegiate Guidelines Network (SIGN),Scottish Intercollegiate Guidelines Network (SIGN),Edinburgh (Scotland),2003b,2003,2003
ref37,[Scottish Intercollegiate Guidelines Network (SIGN), 2004],Long term follow up of survivors of childhood cancer. A national clinical guideline. ,SIGN publication 76,Scottish Intercollegiate Guidelines Network (SIGN),Scottish Intercollegiate Guidelines Network (SIGN),Edinburgh (Scotland),2004,2004
ref38,[Scottish Intercollegiate Guidelines Network (SIGN), 2005a],Management of patients with lung cancer. A national clinical guideline,SIGN publication 80,Scottish Intercollegiate Guidelines Network (SIGN),Scottish Intercollegiate Guidelines Network (SIGN),Edinburgh (Scotland),2005a,2005,2005
ref39,[Scottish Intercollegiate Guidelines Network (SIGN), 2005b],Management of transitional cell carcinoma of the bladder. A national clinical guideline,SIGN publication 85,Scottish Intercollegiate Guideline Network (SIGN),Scottish Intercollegiate Guidelines Network (SIGN),Edinburgh (Scotland),2005b,2005,2005
ref40,[Shekelle, Woolf, Eccles, Grimshaw, 1999],Clinical guidelines: Developing guidelines,BMJ,P G Shekelle,S H Woolf,M Eccles,J Grimshaw,318,593,596,1999,1999
ref41,[Simon, Wagner, 2003],Small cell lung cancer,Chest,G Simon,H Wagner,123,1,259,271,2003,2003
ref42,[Singapore Ministry of Health, 2004a],Cervical cancer,Clinical practice guideline,Singapore Ministry of Health,Singapore Ministry of Health,Singapore,2004a,2004,2004
ref43,[Singapore Ministry of Health, 2004b],Colorectal cancer,Clinical practice guideline,Singapore Ministry of Health,Singapore Ministry of Health,Singapore,2004b,2004,2004
ref44,[Singapore Ministry of Health, National Committee on Cancer Care, 2004],Breast cancer,Clinical practice guideline,Singapore Ministry of Health,Singapore Ministry of Health,National Committee on Cancer Care,Singapore,2004,2004
ref45,[SNOMED International, 2006],SNOMED CT,SNOMED International,2006,2006,http://www.snomed.org/snomedct/index.html
ref46,[Socinsky, Morris, Masters, Lilenbaum, 2003],Chemotherapeutic management of stage IV non-small cell lung cancer,Chest,M A Socinsky,D E Morris,G A Masters,R Lilenbaum,123,1,226,243,2003,2003
ref47,[Tolentino, Matters, Walop, Law, Tong, Liu, Fontelo, Kohl, Payne, 2006],Concept negation in free text components of vaccine safety reports,Proc. of the AMIA 2006 Symposium,H Tolentino,M Matters,W Walop,B Law,W Tong,F Liu,P Fontelo,K Kohl,D Payne,1122,2006,2006
ref48,[Winquist, Oliver, Gilbert, 2004],The role of postoperative chemoradiotherapy for advanced squamous cell carcinoma of the head and neck,Clinical practice guideline 5–10,Cancer Care Ontario (CCO),E Winquist,T Oliver,H Gilbert,Toronto (ON),2004,2004
ref49,[Wolkov, Constine, Yahalom, Chauvenet, Hoppe, Abrams, Deming, Mendenhall, Morris, Ng, Hudson, Winter, Mauch, 2005],Staging evaluation-hodgkin's disease,Clinical practice guideline,American College of Radiology (ACR),H Wolkov,L Constine,J Yahalom,A Chauvenet,R Hoppe,R Abrams,R Deming,N Mendenhall,D Morris,A Ng,M Hudson,J Winter,P Mauch,Reston (VA),2005,2005</t>
  </si>
  <si>
    <t>ref1,Table 1.2: The test set of the used CPGs,,m
ref2,Colorectal cancer. [Singapore Ministry of Health,,2004,2004,m
ref3,A national clinical guideline,Cutaneous Melanoma,2003,2003,m
ref4,Epithelial ovarian cancer. A national clinical guideline,Scottish Intercollegiate Guidelines Network (SIGN),,2003,2003,m
ref5,Guideline for the management of cancer pain in adults and children,Miaskkowski,2005,2005,m
ref6,Long term follow up of survivors of childhood cancer. A national clinical guideline,,2004,2004,m
ref7,Lung cancer. Palliative care,Kvale,2003,2003,m
ref8,Management of hepatocellular carcinoma,Bruix,2005,2005,m
ref9,Management of patients with lung cancer. A national clinical guideline,,m
ref10,A national clinical guideline,Scottish Intercollegiate Guidelines Network (SIGN),Otchy,2004,2004,m
ref11,Staging evaluation-Hodgkin's disease,Small cell lung cancer,Wolkov,12,2003,2003,j
ref12,The diagnosis and treatment of lung cancer,,2005,2005,m
ref13,The role of cytotoxic therapy with hematopoietic stem cell transplantation in the therapy of multiple myeloma: an evidence-based review,Hahn,2003,2003,m
ref14,The role of postoperative chemoradiotherapy for advanced squamous cell carcinoma of the head and neck,Winquist,2004,2004,m
ref15,Use of epoetin in patients with cancer: evidence-based clinical practice guidelines of the,American Society of Clinical Oncology and the American Society of Hematology,Rizzo,2002,2002,m
ref16,Ad-hoc classification of electronic clinical documents,D-Lib Magazine,1997,1997,m
ref17,Effective mapping of biomedical text to the UMLS Metathesaurus: the MetaMap program,Proc. of the AMIA Symposium,A R Aronson,17,21,2001,2001,m
ref18,Grading quality of evidence and strength of recommendations,D Atkins,D Best,P A Briss,M Eccles,Y Falck-Ytter,S Flottorp,G H Guyatt,R T Harbour,M C Haugh,D Henry,S Hill,R Jaeschke,G Leng,A Liberati,N Magrini,J Mason,P Middleton,J Mrukowicz,D O &amp;apos;connell,A D Oxman,B Phillips,H Schünemann,T Edejer,H Varonen,G E Vist,J W Williams,S Zaza,The Grade Working Group,1490,1498,2004,2004,m
ref19,Systems for grading the quality of evidence and the strength of recommendations II: Pilot study of a new system,BMC Health Services Research,D Atkins,P A Briss,M Eccles,S Flottorp,G H Guyatt,R T Harbour,S Hill,R Jaeschke,A Liberati,N Magrini,J Mason,D O &amp;apos;connell,A D Oxman,B Phillips,H Schünemann,T Edejer,G E Vist,J W Williams,The Grade Working Group,5,25,2005,2005,j
ref20,Systems for grading the quality of evidence and the strength of recommendations i: Critical appraisal of existing approaches,BMC Health Services Research,D Atkins,M Eccles,S Flottorp,G H Guyatt,D Henry,S Hill,A Liberati,D O &amp;apos;connell,A D Oxman,B Phillips,H Schünemann,T Edejer,G E Vist,J W Williams,The Grade Working Group,38,2004,2004,j
ref21,Some aspects of negation processing in electronic health records,Proc. of International Workshop Language and Speech Infrastructure for Information Access in the Balkan Countries,S Boytcheva,A Strupchanska,E Paskaleva,D Tcharaktchiev,1,8,2005,2005,m
ref22,Management of hepatocellular carcinoma,Hepatology,American Association for the Study of Liver Diseases,J Bruix,M Sherman,Practice Guidelines Committee,42,5,1208,1236,2005,2005,j
ref23,A simple algorithm for identifying negated findings and diseases in discharge summaries,Journal of Biomedical Informatics,W W Chapman,W Bridewell,P Hanbury,G F Cooper,B G Buchanan,34,5,301,310,2001,2001,j
ref24,,MMTX-API Documentation,G Divita,2005,2005,http://mmtx.nlm.nih.gov/,m
ref25,A controlled trial of automated classification of negation from clinical notes,BMC Medical Informatics and Decision Making,P L Elkin,S H Brown,B A Bauer,C S Husser,W Carruth,L R Bergstrom,D L Wahner-Roedler,5,13,1,7,2005,2005,j
ref26,Clinical guidelines: Using clinical guidelines,BMJ,G Feder,M Eccles,R Grol,C Griffiths,J Grimshaw,318,728,730,1999,1999,j
ref27,Clinical Practice Guidelines: Directions for a New Program,National Academies Press,M J Field,K N Lohr,Institute of Medicine, Washington DC,1990,1990,m
ref28,The role of cytotoxic therapy with hematopoietic stem cell transplantation in the therapy of multiple myeloma: an evidence-based review,Biol Blood Marrow Transplant,T Hahn,J Wingard,K Anderson,W Bensinger,J Berenson,G Brozeit,J Carver,R Kyle,Pl ,P M ,9,1,4,37,2003,2003,j
ref29,Mediclass: A system for detecting and classifying encounter-based clinical events in any electronic medical record,Journal of the American Medical Informatics Association (JAMIA),B Hazlehurst,H R Frost,D F Sittig,V J Stevens,12,5,517,529,2005,2005,j
ref30,A Natural History of Negation,University of Chicago Press,L R Horn,Chicago, Illinois,1989,1989,m
ref31,Unlocking clinical data from narrative reports: A study of natural language processing,Annals of Internal Medicine,G Hripcsak,C Friedman,P O Alderson,W Dumouchel,S B Johnson,Clayton ,P D ,122,9,681,688,1995,1995,j
ref32,A novel hybrid approach to automated negation detection in clinical radiology reports,Journal of the American Medical Informatics Association (JAMIA),Y Huang,H J Lowe,14,304,311,2007,2007,j
ref33,The Unified Medical Language System: Moving beyond the vocabulary of bibliographic retrieval,Meckler,B L Humphreys,P Schuyler,Westport, CT,31,44,1993,1993,m
ref34,Medical terminology systems,K Kaiser,2007,2007,m
ref35,A meta schema for evidence information in clinical practice guidelines as a basis for decision-making,Studies in Health Technology and Informatics,AMIA, IOS Press,K Kaiser,P Martini,S Miksch,A ,129,925,929,2007,2007,j
ref36,Accurate Unlexicalized Parsing,Proc of the 41st Meeting of the Association for Computational Linguistics,D Klein,C Manning,2003,2003,m
ref37,Chronic cough due to lung tumors: ACCP evidence-based clinical practice guidelines,Chest,P Kvale,129,1,147,153,2006,2006,j
ref38,Lung cancer. palliative care,Chest,P Kvale,M Simoff,U Prakash,123,1,284,311,2003,2003,j
ref39,Semantic enrichment for medical ontologies,J. of Biomedical Informatics,Y Lee,J Geller,39,2,209,226,2006,2006,j
ref40,Evaluating an information extraction system,Journal of Integrated ComputerAided Engineering,W Lehnert,C Cardie,D Fisher,J Mccarthy,E Riloff,S Soderland,1,6,1,29,1994,1994,j
ref41,UMLS Semantic Network. The 13th annual SCAMC,A T Mccray,503,507,1989,1989,m
ref42,Automation of a problem list using natural language processing,BMC Medical Informatics and Decision Making,S Meystre,P J Haug,5,30,2005,2005,j
ref43,Guideline for the management of cancer pain in adults and children,APS,C Miaskkowski,J Cleary,R Burney,P J Coyne,R Finley,R Foster,S Grossman,N A Janjan,J Ray,K Syrjala,S J Weisman,J B Pettit,C Zahrbock,Glenview (IL,2005,2005,m
ref44,Implementation and evaluation of a negation tagger in a pipeline-based system for information extraction from pathology reports,K J Mitchell,M J Becich,J J Berman,W W Chapman,J Gilbertson,D Gupta,J Harrison,E Legowski,R S Crowley,663,667,2004,2004,m
ref45,Use of general-purpose negation detection to augment concept indexing of medical documents: A quantitative study using the UMLS,Journal of the American Medical Informatics Association (JAMIA),P G Mutalik,A Deshpande,P M Nadkarni,8,6,598,609,2001,2001,j
ref46,National Collaborating Centre for Acute Care,,London (UK,2005,2005,m
ref47,Practice parameters for colon cancer,Dis Colon Rectum,D Otchy,N Hyman,C Simmang,T Anthony,W Buie,P Cataldo,J Church,J Cohen,F Dentsman,C Ellis,J K 3rd,C Ko,R Moore,C Orsay,R Place,J Rafferty,J Rakinic,P Savoca,J Tjandra,M Whiteford,47,8,1269,1284,2004,2004,j
ref48,Automatic mapping clinical notes to medical terminologies,Proceedings of the 2006 Australasian Language Technology Workshop (ALTW2006),J Patrick,Y Wang,P Budd,2006,2006,m
ref49,Use of epoetin in patients with cancer: evidence-based clinical practice guidelines of the american society of clinical oncology and the american society of hematology,Blood,J Rizzo,A Lichtin,S Woolf,J Seidenfeld,C Bennett,D Cella,B Djulbegovic,M Goode,A Jakubowski,S Lee,C Miller,M Rarick,D Regan,G Browman,Gordon ,M ,100,7,2003,2020,2002,2002,j
ref50,Cutaneous melanoma. A national clinical guideline. SIGN publication 72, Scottish Intercollegiate Guidelines Network (SIGN),Scottish Intercollegiate Guidelines Network (SIGN),,2003,2003,m
ref51,Epithelial ovarian cancer. A national clinical guideline. SIGN publication 75,Scottish Intercollegiate Guidelines Network (SIGN),,2003,2003,m
ref52,Long term follow up of survivors of childhood cancer. A national clinical guideline,Scottish Intercollegiate Guidelines Network (SIGN),,2004,2004,m
ref53,Management of patients with lung cancer. A national clinical guideline,Scottish Intercollegiate Guidelines Network (SIGN),,2005,2005,m
ref54,Management of transitional cell carcinoma of the bladder. A national clinical guideline,Scottish Intercollegiate Guidelines Network (SIGN),,2005,2005,m
ref55,Clinical guidelines: Developing guidelines,BMJ,P G Shekelle,S H Woolf,M Eccles,J Grimshaw,318,593,596,1999,1999,j
ref56,,Small cell lung cancer. Chest,G Simon,H Wagner,123,1,259,271,2003,2003,j
ref57,Singapore Ministry of Health,SNOMED CT,,2004,2004,m
ref58,Chemotherapeutic management of stage IV non-small cell lung cancer,Chest,M A Socinsky,D E Morris,G A Masters,R Lilenbaum,123,1,226,243,2003,2003,j
ref59,Concept negation in free text components of vaccine safety reports,Proc. of the AMIA 2006 Symposium,H Tolentino,M Matters,W Walop,B Law,W Tong,F Liu,P Fontelo,K Kohl,D Payne,2006,2006,m
ref60,The role of postoperative chemoradiotherapy for advanced squamous cell carcinoma of the head and neck. Clinical practice guideline 5-10,Cancer Care Ontario (CCO),E Winquist,T Oliver,R Gilbert,H ,2004,2004,j
ref61,Staging evaluation-hodgkin's disease. Clinical practice guideline,American College of Radiology (ACR),H Wolkov,L Constine,J Yahalom,A Chauvenet,R Hoppe,R Abrams,R Deming,N Mendenhall,D Morris,A Ng,M Hudson,J Winter,P Mauch,2005,2005,j</t>
  </si>
  <si>
    <t>TUW-168222</t>
  </si>
  <si>
    <t>ref1,Anwendung von NLP im Bereich der Künstlichen Intelligenz,Master Thesis,G. Kellner,Wien, Austria,2006
ref2,Grammatik der deutschen Gegenwartssprache,Duden,G. Drosdowski,Mannheim, Germany,1995
ref3,Computerlinguistik und Sprachtechnologie,K.-U. Carstensen,München, Germany,2004</t>
  </si>
  <si>
    <t/>
  </si>
  <si>
    <t>none extracted value</t>
  </si>
  <si>
    <t>TUW-168482</t>
  </si>
  <si>
    <t>ref1,[Avr91],Hypersequents, logical consequence and intermediate logics for concurrency,Annals of Mathematics and Artificial Intelligence,Arnon Avron,4,3,225,248,1991,1991
ref2,[BF99],Analytic calculi for projective logics,TABLEAUX '99: Proceedings of the International Conference on Automated Reasoning with Analytic Tableaux and Related Methods,Springer-Verlag,Matthias Baaz,Christian G Fermüller,London, UK,36,50,1999,1999
ref3,[CFM04],Uniform Rules and Dialogue Games for fuzzy logics,LPAR, volume 3452 of Lecture Notes in Computer Science,Springer,Franz Baader and Andrei Voronkov,Agata Ciabattoni,Christian G Fermüller,George Metcalfe,3452,496,510,2004,2004
ref4,[Dum59],A propositional calculus with denumerable matrix,J. Symbolic Logic,M Dummett,24,2,97,106,1959,1959
ref5,[EG01],Monoidal t-norm based logic: towards a logic for leftcontinuous t-norms,Fuzzy sets and systems,F Esteva,L Godo,124,3,271,288,2001,2001
ref6,[EGHM03],Hoops and Fuzzy Logic,Journal of Logic and Computation,F Esteva,L Godo,P Hájek,F Montagna,13,4,532,555,2003,2003
ref7,[Fer09],Revisiting Giles-Connecting Bets, Dialogue Games, and Fuzzy Logics,Games: Unifying Logic, Language, and Philosophy, volume 15 of Logic, Epistemology and the Unity of Science,Springer,Ondrej Majer, Ahti-Veikko Pietarinen, and Tero Tulenheimo,Christian G Fermüller,15,2009,2009
ref8,[FK06],Combining Supervaluation and Degree Based Reasoning Under Vagueness,Lecture Notes in Computer Science,C G Fermuller,R Kosik,4246,212,2006,2006
ref9,[FP03],A Dialogue Game for Intuitionistic Fuzzy Logic Based on Comparisons of Degrees of Truth,Proceedings of InTech'03 (Fourth International Conference on Intelligent Technologies),C G Fermuller,Norbert Preining,Chiang Mai, Thailand,2003-12,2003,12
ref10,[Gen69],Investigations into logical deduction,The Collected Papers of Gerhard Gentzen,G Gentzen,68,131,1969,1969
ref11,[Gil74],A non-classical logic for physics,Studia Logica,Robin Giles,33,4,397,415,1974,1974
ref12,[Gil82],Semantics for Fuzzy Reasoning,International Journal of ManMachine Studies,Robin Giles,17,401,415,1982,1982
ref13,[Göd32],Zum intuitionisticschen Aussagenkalkül,Anzeiger Akademie der Wissenschaften Wien, mathematisch-naturwiss. Klasse,K Göd32 Gödel,32,65,66,1932,1932
ref14,[Gog69],The logic of inexact concepts,Synthése,J A Goguen,19,3,325,373,1969,1969
ref15,[Háj02],Why fuzzy logic,Companion to Philosophical Logic,Petr Hájek,Blackwell, Massachusetts,595,605,2002,2002
ref16,[HGE95],Fuzzy logic and probability,Proceedings of the 11th Annual Conference on Uncertainty in Artificial Intelligence (UAI-95),Morgan Kaufmann,Petr Hájek,Lluis Godo,Francesc Esteva,San Francisco, CA,237,244,1995,1995
ref17,[HGE96],A complete many-valued logic with productconjunction,Archive for Mathematical Logic,P Hájek,L Godo,F Esteva,35,3,191,208,1996,1996
ref18,[Há02],Metamathematics of Fuzzy Logic,Trends in Logic,Springer,Petr Hájek,4,2002,2002
ref19,[KMP00],Triangular Norms,Trends in Logic,Springer,E P Klement,Radko Mesiar,Endre Pap,8,2000,2000
ref20,[Lor60],Logik und Agon,Atti del Congresso Internazionale di Filosofia,P Lorenzen,Firenze,Sansoni,187,194,1960,1960
ref21,[Lor61],Ein dialogisches Konstruktivitätskriterium,Infinitistic Methods,P Lorenzen,Warszawa,PWN. Proceed. Symp. Foundations of Math,193,200,1961,1961
ref22,[Luk20],O logice trojwartosciowej,Ruch Filozoficzny,J Lukasiewicz,5,32,169,171,1920,1920
ref23,[MOG04],Analytic Proof Calculi for Product Logics,Archive for Mathematical Logic,George Metcalfe,Nicola Olivetti,Dov Gabbay,43,7,859,889,2004,2004
ref24,[MOG05],Sequent and hypersequent calculi for abelian and Lukasiewicz logics,ACM Trans. Comput. Logic,George Metcalfe,Nicola Olivetti,Dov Gabbay,6,3,578,613,2005,2005
ref25,[RJM94],Fuzzy Logic Technology and Applications I,IEEE Press,II Robert J Marks,Piscataway, NJ, USA,1994,1994
ref26,[Sca62],Die Nichtaxiomatisierbarkeit des unendlichwertigen Prädikatenkalküls von Lukasiewicz,Journal of Symbolic Logic,B Scarpellini,27,2,159,170,1962,1962
ref17,[Zad96],The role of fuzzy logic in modeling, identification and control,Fuzzy Sets, Fuzzy Logic, and Fuzzy Systems: Selected Papers,L A Zadeh,1996,1996</t>
  </si>
  <si>
    <t>ref1,Hypersequents, logical consequence and intermediate logics for concurrency,Annals of Mathematics and Artificial Intelligence,Arnon Avron,4,3,225,248,1991,1991,j
ref2,Analytic calculi for projective logics,TABLEAUX '99: Proceedings of the International Conference on Automated Reasoning with Analytic Tableaux and Related Methods,Springer-Verlag,Matthias Baaz,Christian G Fermüller,36,50,1999,1999,m
ref3,Uniform Rules and Dialogue Games for fuzzy logics,Lecture Notes in Computer Science,Springer,Agata Ciabattoni,Christian G Fermüller,George Metcalfe,3452,2004,2004,j
ref4,A propositional calculus with denumerable matrix,J. Symbolic Logic,M Dummett,24,2,97,106,1959,1959,j
ref5,Monoidal t-norm based logic: towards a logic for leftcontinuous t-norms. Fuzzy sets and systems,F Esteva,L Godo,271,288,2001,2001,m
ref6,Hoops and Fuzzy Logic,Journal of Logic and Computation,F Esteva,L Godo,P Hájek,F Montagna,13,4,532,555,2003,2003,j
ref7,Revisiting Giles-Connecting Bets, Dialogue Games, and Fuzzy Logics,Games: Unifying Logic, Language, and Philosophy,Springer,G Christian,Fermüller,2009,2009,m
ref8,Combining Supervaluation and Degree Based Reasoning Under Vagueness,Lecture Notes in Computer Science,C G Fermuller,R Kosik,4246,2006,2006,j
ref9,A Dialogue Game for Intuitionistic Fuzzy Logic Based on Comparisons of Degrees of Truth,Proceedings of InTech'03 (Fourth International Conference on Intelligent Technologies),G Christian,Norbert Fermüller,Preining,2003-12,2003,12,m
ref10,Investigations into logical deduction. The Collected Papers of Gerhard Gentzen,G Gentzen,68,131,1969,1969,m
ref11,A non-classical logic for physics,Studia Logica,Robin Giles,33,4,397,415,1974,1974,j
ref12,Semantics for Fuzzy Reasoning,International Journal of ManMachine Studies,Robin Giles,17,401,415,1982,1982,j
ref13,,Zum intuitionisticschen Aussagenkalkül. Anzeiger Akademie der Wissenschaften Wien, mathematisch-naturwiss. Klasse,K Gödel,65,66,1932,1932,m
ref14,The logic of inexact concepts,Synthése,J A Goguen,19,3,325,373,1969,1969,j
ref15,Why fuzzy logic,A Companion to Philosophical Logic,Petr Hájek,595,605,2002,2002,m
ref16,Fuzzy logic and probability,Proceedings of the 11th Annual Conference on Uncertainty in Artificial Intelligence (UAI-95),Morgan Kaufmann,Petr Hájek,Lluis Godo,Francesc Esteva,237,244,1995,1995,m
ref17,A complete many-valued logic with productconjunction,Archive for Mathematical Logic,P Hájek,L Godo,F Esteva,35,3,191,208,1996,1996,j
ref18,Metamathematics of Fuzzy Logic,Trends in Logic,Springer,Petr Hájek,4,2002,2002,j
ref19,Triangular Norms,Trends in Logic,Springer,E P Klement,Radko Mesiar,Endre Pap,8,2000,2000,j
ref20,Logik und Agon,Atti del Congresso Internazionale di Filosofia,P Lorenzen,187,194,1960,1960,m
ref21,Ein dialogisches Konstruktivitätskriterium,Infinitistic Methods,PWN. Proceed. Symp. Foundations of Math,P Lorenzen,193,200,1961,1961,m
ref22,,O logice trojwartosciowej. Ruch Filozoficzny,J Lukasiewicz,5,1920,1920,j
ref23,Analytic Proof Calculi for Product Logics,Archive for Mathematical Logic,George Metcalfe,Nicola Olivetti,Dov Gabbay,43,7,859,889,2004,2004,j
ref24,Sequent and hypersequent calculi for abelian and Lukasiewicz logics,ACM Trans. Comput. Logic,George Metcalfe,Nicola Olivetti,Dov Gabbay,6,3,2005,2005,j
ref25,Fuzzy Logic Technology and Applications I,IEEE Press,J Ii Robert,Marks,Piscataway, NJ, USA,1994,1994,m
ref26,Die Nichtaxiomatisierbarkeit des unendlichwertigen Prädikatenkalküls von Lukasiewicz,Journal of Symbolic Logic,B Scarpellini,27,2,1962,1962,j
ref27,The role of fuzzy logic in modeling, identification and control. Fuzzy Sets, Fuzzy Logic, and Fuzzy Systems: Selected Papers,L A Zadeh,1996,1996,m
ref28,,
ref29,,
ref30,,
ref31,Sample proof for a&amp;(a → b),,m
ref32,Game Tree for the Game Starting With (a ∧ b) → (¬b ∨ a),.... ,m
ref33,,
ref34,,
ref35,Game Tree for a&amp;(a → b),,m
ref36,→ b) → b) ∧ ((b → a) → a),Game Tree for,,m
ref37,Winning strategy for P for the game starting with (a ∧ b) → (b ∧ a),,m
ref38,,Step 1: Choosing the Logic,,m
ref39,Step 2: Choosing an Initial Game State,,m
ref40,Step 3: Probabilities for Atomic Experiments,,m
ref41,,Step 4: Playing the Game,,m
ref42,,Step 5: Evaluating the Final Game State,,m
ref43,,
ref44,Game Rules for the Truth Comparison Game,,m
ref45,Game Rules for the Extended Truth Comparison Game,,m</t>
  </si>
  <si>
    <t>TUW-169511</t>
  </si>
  <si>
    <t>ref1,Parallel Tabu search heuristics for the dynamic multi-vehicle dial-a-ride problem,Parallel Computing,A Attanasio,J.-F Cordeau,G Ghiani,G Laporte,30,377,387,2004,2004
ref2,The Dial-a-Ride Problem (DARP): Variants modelling issues and algorithms,4OR,J.-F Cordeau,G Laporte,1,89,101,2003,2003
ref3,Neighborhood Search heuristic for a Dynamic Vehicle Dispatching Problem with Pickups and Deliveries,Technical Report,Centre de recherche sur les transports, Université de Montréal,M Gendreau,F Guertin,J.-Y Potvin,R Séguin,Forthcoming in Transportation Research C,2002,2002
ref4,A dynamic model and parallel tabu search heuristic for real-time ambulance relocation,Parallel Computing,M Gendreau,G Laporte,F Semet,27,1641,1653,2001,2001
ref5,A heuristic algorithm for the multi-vehicle advance request dial-a-ride problem with time windows,Transportation Research B,J.-J Jaw,A Odoni,H Psaraftis,N Wilson,20,3,243,257,1986,1986
ref6,Waiting Strategies for the Dynamic Pickup and Delivery Problem with Time Windows,Transportation Research B,S Mitrović-Minić,G Laporte,38,635,655,2004,2004</t>
  </si>
  <si>
    <t>ref1,Parallel Tabu search heuristics for the dynamic multi-vehicle dial-a-ride problem,Parallel Computing,A Attanasio,J.-F Cordeau,G Ghiani,G Laporte,30,377,387,2004,2004,j
ref2,The Dial-a-Ride Problem (DARP): Variants modelling issues and algorithms,J.-F Cordeau,G Laporte,89,101,2003,2003,m
ref3,Neighborhood Search heuristic for a Dynamic Vehicle Dispatching Problem with Pickups and Deliveries,M Gendreau,F Guertin,J.-Y Potvin,R Séguin,2002,2002,m
ref4,A dynamic model and parallel tabu search heuristic for real-time ambulance relocation,Parallel Computing,M Gendreau,G Laporte,F Semet,27,1641,1653,2001,2001,j
ref5,A heuristic algorithm for the multi-vehicle advance request dial-a-ride problem with time windows,Transportation Research B,J.-J Jaw,A Odoni,H Psaraftis,N Wilson,20,3,243,257,1986,1986,j
ref6,Waiting Strategies for the Dynamic Pickup and Delivery Problem with Time Windows,Transportation Research B,S Mitrovi´cmitrovi´c-Mini´cmini´c,G Laporte,38,635,655,2004,2004,j</t>
  </si>
  <si>
    <t>TUW-172697</t>
  </si>
  <si>
    <t>ref1,Preserving interactive multimedia art: A case study in preservation planning,Proc. ICADL'07,C Becker,G Kolar,J Kueng,A Rauber,2007-12,2007,12,m
ref2,How to choose a digital preservation strategy: Evaluating a preservation planning procedure,Proc. JCDL'07,S Strodl,C Becker,R Neumayer,A Rauber,29,38,2007,2007,m
ref3,An intelligent decision support system for digital preservation,Int. Journal Digital Libraries (IJDL),M Ferreira,A A Baptista,J C Ramalho,6,4,295,304,2007-07,2007,7,j</t>
  </si>
  <si>
    <t>ref1,,JCDL'08,ACM,,2008,2008,m
ref2,Preserving interactive multimedia art: A case study in preservation planning,Proc. ICADL'07,C Becker,G Kolar,J Kueng,A Rauber,2007-12,2007,12,m
ref3,How to choose a digital preservation strategy: Evaluating a preservation planning procedure,Proc. JCDL'07,S Strodl,C Becker,R Neumayer,A Rauber,29,38,2007,2007,m
ref4,An intelligent decision support system for digital preservation,Int. Journal Digital Libraries (IJDL),M Ferreira,A A Baptista,J C Ramalho,6,295,304,2007-07,2007,07,j</t>
  </si>
  <si>
    <t>TUW-174216</t>
  </si>
  <si>
    <t>ref1,[Bearman, 1999],Reality and Chimeras in the Preservation of Electronic Records,D-Lib Magazine,David Bearman,5,4,1999-04,1999,04,m
ref2,[Becker et al., 2008a],Plato: A Service Oriented Decision Support System for Preservation Planning,Proceedings of the 8th ACM IEEE Joint Conference on Digital Libraries (JCDL’08),Christoph Becker,Hannes Kulovits,Andreas Rauber,2008,2008
ref3,[Becker et al., 2008b],A Generic XML Language for Characterising Objects to Support Digital Preservation,Proc. 23rd Annual ACM Symposium on Applied Computing (SAC’08),ACM,Christoph Becker,Andreas Rauber,Volker Heydegger,Jan Schnasse,Manfred Thaller,1,Fortaleza, Brazil,402,406,2008-03,2008,03,16-20,m
ref4,[Beckerle and Westhead, 2004],GGF DFDL Primer / Global Grid Forum Data Format Description Language Working Group,Technical Report,M Beckerle,M Westhead,2004,2004,m
ref5,[Brandl and Keller-Marxer, 2007],Longterm Archiving of Relational Databases with Chronos,First International Workshop on Database Preservation (PresDB’07),Stefan Brandl,Peter Keller-Marxer,Edinburgh,2007,2007,03,m
ref6,[Canfield and Xing, 2005],Approximate XML document matching,SAC ’05: Proceedings of the 2005 ACM symposiumon Applied computing,ACM Press,E R Canfield,Guangming Xing,New York, NY, USA,ISBN 1-58113-964-0,787,788,2005,2005,m
ref7,[Consultative Committee for Space Data Systems, 2002],Reference Model for an Open Archival Information System (OAIS),Consultative Committee for Space Data Systems,CCSDS 650.0-B-1, 2002,2002,2002,m
ref8,[Díaz et al., 2002],Interorganizational document exchange: Facing the conversion problem with XML,SAC ’02: Proceedings of the 2002 ACM symposium on Applied computing,ACM Press,Luis M Díaz,Erik Wüstner,Peter Buxmann,New York, NY, USA,ISBN 1-58113-445-2,1043,1047,2002,2002
ref9,[Digital Preservation Testbed Project, 2002],XML and Digital Preservation,Technical Report,Digital Preservation Testbed Project,2002,2002,http://www.digitaleduurzaamheid.nl/bibliotheek/docs/white-paper_xml-en.%pdf,m
ref10,[Ferreira et al., 2007],An intelligent decision support system for digital preservation,International Journal on Digital Libraries,Miguel Ferreira,Ana A Baptista,Jose C Ramalho,6,4,295,304,2007-07,2007,07
ref11,[Fisher et al., 2006],The next 700 Data Description Languages,Conference record of the 33rd ACM SIGPLAN-SIGACT symposium on Principles of programming languages,K Fisher,Y Mandelbaum,D Walker,2,15,2006,2006
ref12,[van der Hoeven and van Wijngaarden, 2005],Modular emulation as a long-term preservation strategy for digital objects,5th International Web Archiving Workshop (IWAW05),Jeffrey van der Hoeven,Hilde van Wijngaarden,2005,2005
ref13,[ISO, 2002],Information technology – Multimedia content description interface – Part 1: Systems (ISO/IEC 15938-1:2002),ISO,,International Standards Organization (Veranst.),2002,2002,m
ref14,[ISO, 2004],Information technology – Computer graphics and image processing – Portable Network Graphics (PNG): Functional specification (ISO/IEC 15948:2004),ISO,International Standards Organization (Veranst.),2004,2004,m
ref15,[ISO, 2006],Information technology – Open Document Format for Office Applications (ISO/IEC 26300:2006),ISO,,International Standards Organization (Veranst.),2006,2006,m
ref16,[ISO19005, 2004],Document management - Electronic document file format for long-term preservation - Part 1: Use of PDF 1.4 (PDF/A) (ISO/CD 19005-1),ISO,International Standards Organization (Veranst.),2004,2004,m
ref17,[ISSN 1082-9873, 2000],Preserving the Authenticity of Contingent Digital Objects: The InterPARES Project,D-Lib Magazine,A J Gilliland-Swetland,P B Eppard,6,7/8,2000,2000,07-08,http://www.dlib.org/dlib/july00/eppard/07eppard.html,m
ref18,[K.Fisher and Gruber, 2005],A Domain-Specific Language for Processing Ad Hoc Data,Proceedings of the 2005 ACM SIGPLAN conference on Programming language design and implementation,K Fisher,R Gruber,295,304,2005,2005
ref19,[Lawrence et al., 2000],Risk Management of Digital Information: A File Format Investigation / Council on Library and Information Resources,Gregory W Lawrence,William R Kehoe,Oya Y Rieger,H William,Anne R Kenney,93,CLIR Report,2000-06,2000,6,http://www.clir.org/pubs/abstract/pub93abst,m
ref20,[Mellor et al., 2002],Migration on request, a practical technique for preservation,Proceedings of the 6th European Conference on Digital Libraries (ECDL’02),Springer,Agosti, M. ; Thanos, M.C.,P Mellor,P Wheatley,D M Sergeant,516,526,2002,2002,m
ref21,[Ramalho et al., 2007],Relational Database Preservation through XML modelling,Proceedings of Extreme Markup Languages 2007,José C Ramalho,Luís Faria,Rui Castro,Montréal, Québec,2007-08,2007,08
ref22,[Rothenberg, 1999],Avoiding Technological Quicksand: Finding a Viable Technical Foundation for Digital Preservation,Council on Library and Information Resources,J Rothenberg,1999-01,1999,01,http://www.clir.org/pubs/reports/rothenberg/contents.html,m
ref23,[Rothenberg and Bikson, 1999],Carrying Authentic, Understandable and Usable Digital Records Through Time / Report to the Dutch National Archives and Ministry of the Interior,Jeff Rothenberg,Tora Bikson,The Hague, Netherlands,1999,1999,m
ref24,[Strodl et al., 2007],How to Choose a Digital Preservation Strategy: Evaluating a Preservation Planning Procedure,Proceedings of the 7th ACM IEEE Joint Conference on Digital Libraries (JCDL’07),Stephan Stephan,Christoph Becker,Robert Neumayer,Andreas Rauber,29,38,2007-06,2007,06
ref25,[Testbed, 2001],Migration: Context and current status / National Archives and Ministry of the Interior and Kingdom Relations,Digital P Testbed,White paper,2001,2001
ref26,[The 100 Year Archive Task Force, 2007],The 100 Year Archive Requirements Survey,The 100 Year Archive Task Force,,2007,2007,http://www.snia.org/forums/dmf/programs/ltacsi/100_year/,j
ref27,[The Library of Congress, 2007],Preferences in Summary for Textual Content,The Library of Congress,,Website. accessed August 2007,2007,2007,http://www.digitalpreservation.gov/formats/content/text_preferences.sht%ml,j
ref28,[UNESCO, 2003],UNESCO Charter on the Preservation of Digital Heritag,Adopted at the 32nd session of the General Conference of UNESCO,UNESCO,,October 17, 2003,2003,2003,http://portal.unesco.org/ci/en/files/13367/10700115911Charter_en.pdf/Ch%arter_en.pdf,j</t>
  </si>
  <si>
    <t>ref1,,Reality and Chimeras in the Preservation of Electronic Records. In: D-Lib Magazine,David Bearman,1999-04,1999,04,m
ref2,,Christoph ; Becker,Kulovits,; Hannes,Andreas Rauber,2008,2008
ref3,A Service Oriented Decision Support System for Preservation Planning,A Generic XML Language for,Thaller,Christoph ; Becker,Andreas ; Rauber,Heydegger,; Volker,Schnasse,2008-01,2008,01,m
ref4,Characterising Objects to Support Digital Preservation,SAC '05: Proceedings of the 2005 ACM symposium on Applied computing,ACM Press,E R Canfield,Xing,2002,2002,m
ref5,Interorganizational document exchange: Facing the conversion problem with XML,5th International Web Archiving Workshop (IWAW05),ACM Press,K Fisher,Y Mandelbaum,D Walker,2,15,2002,2002,http://www.digitaleduurzaamheid.nl/bibliotheek/docs/white-paper_xml-en.%pdf,m
ref6,ISO: Information technology-Multimedia content description interface-Part 1: Systems (ISO/IEC 15938-1:2002). International Standards Organization (Veranst,,2002,2002,m
ref7,ISO: Information technology-Computer graphics and image processing-Portable Network Graphics (PNG): Functional specification (ISO/IEC 15948:2004). International Standards Organization (Veranst,,2004,2004,m
ref8,ISO: Information technology-Open Document Format for Office Applications (ISO/IEC 26300:2006). International Standards Organization (Veranst,,2006,2006,m
ref9,ISO: Document management-Electronic document file format for long-term preservation-Part 1: Use of PDF 1.4 (PDF/A) (ISO/CD 19005-1),,2004,2004,m
ref10,,Preserving the Authenticity of Contingent Digital Objects: The InterPARES Project. In: D-Lib Magazine,A J Gilliland-Swetland,P B Eppard,2000-07,2000,07,http://www.dlib.org/dlib/july00/eppard/07eppard.html,m
ref11,,K Fisher,2005,2005
ref12,A Domain-Specific Language for Processing Ad Hoc Data,Proceedings of the 2005 ACM SIGPLAN conference on Programming language design and implementation,R Gruber,295,304,2005,2005,m
ref13,Migration on request, a practical technique for preservation,Proceedings of the 6th European Conference on Digital Libraries (ECDL'02),Springer,P Mellor,P Wheatley,D M Sergeant,516,526,2000-06,2000,06,http://www.clir.org/pubs/abstract/pub93abst.html,m
ref14,Relational Database Preservation through XML modelling,Bikson, Tora: Carrying Authentic, Understandable and Usable Digital Records Through Time / Report to the Dutch National Archives and Ministry of the Interior. The Hague,J Rothenberg,1999-01,1999,01,http://www.clir.org/pubs/reports/rothenberg/contents.html,m
ref15,Migration: Context and current status / National Archives and Ministry of the Interior and Kingdom Relations. 2001.-White paper [The 100 Year Archive Task Force,Proceedings of the 7th ACM IEEE Joint Conference on Digital Libraries (JCDL'07),Digital P Testbed,29,38,2007-06,2007,06,http://www.snia.org/forums/dmf/programs/ltacsi/100_year/.2007,m
ref16,The Library of Congress: Preferences in Summary for Textual Content. Website. accessed,UNESCO,,2003-10-17,2003,10,17,http://portal.unesco.org/ci/en/files/13367/10700115911Charter_en.pdf/Ch%arter_en.pdf,j</t>
  </si>
  <si>
    <t>TUW-175428</t>
  </si>
  <si>
    <t>ref1,,The Traveling Salesman Problem: A Computational Study (Princeton Series in Applied Mathematics),Princeton University Press,D L Applegate,R E Bixby,V Chvatal,W J Cook,2007-01,2007,01,m
ref2,A tabu search algorithm for the split delivery vehicle routing problem,Transportation Science,C Archetti,M G Speranza,A Hertz,40,1,64,73,2006,2006,j
ref3,Dynamic Programming,Dover Publications, Incorporated,R E Bellman,2003,2003,m
ref4,Design and control of warehouse order picking: A literature review,European Journal of Operational Research,R Koster,T Le-Duc,K J Roodbergen,182,2,481,501,2007,2007,j
ref5,Routing orderpickers in a warehouse: a comparison between optimal and heuristic solutions,IIE Transactions,R de Koster,E Van Der Poort,30,5,469,480,1998,1998,j
ref6,A note on two problems in connexion with graphs,Numerische Mathematik,E W Dijkstra,1,1,269,271,1959-12,1959,12,j
ref7,Savings by split delivery routing,Transportation Science,M Dror,P Trudeau,23,141,145,1989,1989,j
ref8,Split delivery routing,Naval Research Logistics,M Dror,P Trudeau,37,383,402,1990,1990,m
ref9,Generalized network design problems,European Journal of Operational Research,C Feremans,M Labbe,G Laporte,148,1,1,13,2003,2003,j
ref10,The symmetric generalized traveling salesman polytope,Networks,M Fischetti,J J Salazar Gonzalez,P Toth,26,2,113,123,1995,1995,j
ref11,A tutorial on variable neighborhood search,Technical report,Les Cahiers du GERAD, HEC Montreal and GERAD,P Hansen,N Mladenović,L C D Gerad,2003,2003,j
ref12,Variable neighborhood search,Handbook of Metaheuristics,Kluwer Academic Publisher,F. W. Glover and G. A. Kochenberger,P Hansen,N Mladenović,New York,145,184,2003,2003,m
ref13,A tabu search heuristic for the vehicle routing problem with time windows and split deliveries,Computers and Operations Research,S C Ho,D Haugland,31,1947,1964,2004,2004,j
ref14,Variable neighborhood descent with self-adaptive neighborhood-ordering,Proceedings of the 7th EU/MEeting on Adaptive, Self-Adaptive, and Multi-Level Metaheuristics,C. Cotta, A. J. Fernandez, and J. E. Gallardo,B Hu,G R Raidl,2006,2006,m
ref15,A new branch-and-cut algorithm for the capacitated vehicle routing problem,Mathematical Programming,J Lysgaard,A N Letchford,R W Eglese,100,2,423,445,2004,2004,j
ref16,A variable neighborhood algorithm-a new metaheuristic for combinatorial optimization,Abstracts of papers presented at Optimization Days,N Mladenović,12,1995,1995,m
ref17,On the capacitated vehicle routing problem,Mathematical Programming Series,T Ralphs,L Kopman,W Pulleyblank,L T Jr.,94,B,1,19,2003,2003,j
ref18,The Vehicle Routing Problem,Monographs on Discrete Mathematics and Applications,SIAM,P Toth,D Vigo,Philadelphia,2002,2002,m
ref19,Heuristics for vehicle routing problem with time,Windows, 6th AI and Math,K Q Zhu,K C Tan,L H Lee,2000,2000,m</t>
  </si>
  <si>
    <t>ref1,Lagerplätzen-Durchschnittswertë uber 20 Testläufe mit 25, 50, 100 und 200 einzusammelnden,,m
ref2,Angeführt ist pro Nachbarschaft der prozentuelle Anteil (alle Werte in Prozent [%]) an erfolgreichen Schritten in Relation zu den insgesamt getesteten Schritten der jeweiligen Nachbarschaft. Getestet wurden die Instanzen (In) ohne bzw. mit Artikeln auf alternativen Lagerplätzen bei Berechnung mit Umkehren innerhalb eines Ganges und bei dynamischer Nachbarschaftsreihenfolge,Artikeln ( Ar,m
ref3,,The Traveling Salesman Problem: A Computational Study (Princeton Series in Applied Mathematics),Princeton University Press,D L Applegate,R E Bixby,V Chvatal,W J Cook,2007-01,2007,01,m
ref4,A tabu search algorithm for the split delivery vehicle routing problem,Transportation Science,C Archetti,M G Speranza,A Hertz,40,1,64,73,2006,2006,j
ref5,Dynamic Programming,Dover Publications, Incorporated,R E Bellman,2003,2003,m
ref6,Design and control of warehouse order picking: A literature review,European Journal of Operational Research,R Koster,T Le-Duc,K J Roodbergen,182,2,481,501,2007,2007,j
ref7,Routing orderpickers in a warehouse: a comparison between optimal and heuristic solutions,IIE Transactions,R Koster,E Van Der,Poort,30,5,1998,1998,j
ref8,A note on two problems in connexion with graphs,Numerische Mathematik,E W Dijkstra,1,1,269,271,1959,1959,j
ref9,Savings by split delivery routing,Transportation Science,M Dror,P Trudeau,23,141,145,1989,1989,j
ref10,,Split delivery routing. Naval Research Logistics,M Dror,P Trudeau,383,402,1990,1990,m
ref11,Generalized network design problems,European Journal of Operational Research,C Feremans,M Labbe,G Laporte,148,1,1,13,2003,2003,j
ref12,The symmetric generalized traveling salesman polytope,Networks,M Fischetti,J J Salazar Gonzalez,P Toth,26,2,113,123,1995,1995,j
ref13,A tutorial on variable neighborhood search,Les Cahiers du GERAD,P Hansen,N Mladenovi´cmladenovi´c,L C D Gerad,2003,2003,j
ref14,Variable neighborhood search,Handbook of Metaheuristics,P Hansen,N Mladenovi´cmladenovi´c,145,184,m
ref15,A tabu search heuristic for the vehicle routing problem with time windows and split deliveries,Computers and Operations Research,S C Ho,D Haugland,31,1947,1964,2004,2004,j
ref16,Variable neighborhood descent with self-adaptive neighborhood-ordering,Proceedings of the 7th EU/MEeting on Adaptive, Self-Adaptive, and Multi-Level Metaheuristics,B Hu,G R ,2006,2006,m
ref17,A new branch-and-cut algorithm for the capacitated vehicle routing problem,Mathematical Programming,J Lysgaard,A N Letchford,R W Eglese,100,2,423,445,2004,2004,j
ref18,A variable neighborhood algorithm-a new metaheuristic for combinatorial optimization. Abstracts of papers presented at Optimization Days,N Mladenovi´cmladenovi´c,1995,1995,m
ref19,On the capacitated vehicle routing problem,Mathematical Programming Series,T Ralphs,L Kopman,W Pulleyblank,L T ,94,B,1,19,2003,2003,j
ref20,The Vehicle Routing Problem,Monographs on Discrete Mathematics and Applications,P Toth,D Vigo,2002,2002,m
ref21,Heuristics for vehicle routing problem with time,Windows, 6th AI and Math,K Q Zhu,K C Tan,L H Lee,2000,2000,m</t>
  </si>
  <si>
    <t>TUW-176087</t>
  </si>
  <si>
    <t>ref1,Pilot studies of telemedicine for patients with obsessive-compulsive disorder,American Journal of Psychiatry,L Baer,P Cukor,et al.,152,9,1383,5,1995,1995,j
ref2,Applicability of telemedicine for assessing patients with schizophrenia: acceptance and reliability,Journal of Clinical Psychiatry,C A Zarate,L Weinstock,et al.,58,1,22,5,1997,1997,j
ref3,The use of alternative delivery systems and new technologies in the treatment of patients with eating disorders,International Journal of Eating Disorders,T C Myers,L Swan-Kremeier,et al.,36,2,123,43,2004,2004,j
ref4,The use of VR in the treatment of panic disorders and agoraphobia,Studies in Health Technology and Informatics,C Botella,et al.,99,73,90,2004,2004,j
ref5,Combat related post-traumatic stress disorder: a multiple case report using virtual reality graded exposure therapy with physiological monitoring,Studies in Health Technology and Informatics,D P Wood,et al.,132,556,61,2008,2008,j
ref6,Virtual reality exposure therapy for the treatment of posttraumatic stress disorder following September 11,Journal of Clinical Psychiatry,J Difede,et al.,68,11,1639,47,2007,2007,j
ref7,Cue-exposure therapy to decrease alcohol craving in virtual environment,CyberPsychology &amp; Behavior,J H Lee,et al.,10,5,617,23,2007,2007,j
ref8,The development of a computer-assisted cognitive remediation program for patients with schizophrenia,Israel Journal of Psychiatry &amp; Related Sciences,A S Bellack,D Dickinson,et al.,42,1,5,14,2005,2005,j
ref9,A systematic review of randomized control trials evaluating the effectiveness of interactive computerized asthma patient education programs,Annals of Allergy, Asthma &amp; Immunology,K L Bussey-Smith,R D Rossen,98,6,507,16,2007,2007,j
ref10,Assessment and training in a 3-dimensional virtual environment with haptics: a report on 5 cases of motor rehabilitation in the chronic stage after stroke,Neurorehabilitation and Neural Repair,J Broeren,M Rydmark,et al.,21,2,180,9,2007,2007,j
ref11,Improvement in cancer-related knowledge following use of a psychoeducational video game for adolescents and young adults with cancer,Journal of Adolescent Health,I L Beale,P M Kato,et al.,41,3,263,70,2007,2007,j
ref12,Developing a computer game to prepare children for surgery,Aorn Journal,M Rassin,Y Gutman,et al.,80,6,1095,6,2004,2004,j
ref13,Personal Investigator: A therapeutic 3D game for adolescent psychotherapy,Journal of Interactive Technology &amp; Smart Education,D Coyle,M Matthews,et al.,2,2,73,88,2005,2005,j
ref14,Exploring the use of computer games and virtual reality in exposure therapy for fear of driving following a motor vehicle accident,CyberPsychology &amp; Behavior,D G Walshe,E J Lewis,et al.,6,3,329,34,2003,2003,j
ref15,PlayMancer Project,http://www.playmancer.com</t>
  </si>
  <si>
    <t>ref1,Pilot studies of telemedicine for patients with obsessive-compulsive disorder,American Journal of Psychiatry,L Baer,P Cukor,152,9,1383,1388,1995,1995,j
ref2,Applicability of telemedicine for assessing patients with schizophrenia: acceptance and reliability,Journal of Clinical Psychiatry,C A Zarate,L Weinstock,58,1,22,27,1997,1997,j
ref3,The use of alternative delivery systems and new technologies in the treatment of patients with eating disorders,International Journal of Eating Disorders,T C Myers,L Swan-Kremeier,36,2,123,166,2004,2004,j
ref4,The use of VR in the treatment of panic disorders and agoraphobia,Studies in Health Technology and Informatics,C Botella,99,73,90,2004,2004,j
ref5,Combat related post-traumatic stress disorder: a multiple case report using virtual reality graded exposure therapy with physiological monitoring,Studies in Health Technology and Informatics,D P Wood,132,556,61,2008,2008,j
ref6,Virtual reality exposure therapy for the treatment of posttraumatic stress disorder following September 11,Journal of Clinical Psychiatry,J Difede,68,11,1639,1686,2007,2007,j
ref7,Cue-exposure therapy to decrease alcohol craving in virtual environment,CyberPsychology &amp; Behavior,J H Lee,10,5,617,640,2007,2007,j
ref8,The development of a computer-assisted cognitive remediation program for patients with schizophrenia,Israel Journal of Psychiatry &amp; Related Sciences,A S Bellack,D Dickinson,42,1,5,14,2005,2005,j
ref9,A systematic review of randomized control trials evaluating the effectiveness of interactive computerized asthma patient education programs,Annals of Allergy,K L Bussey-Smith,R D Rossen,98,6,507,523,2007,2007,j
ref10,Assessment and training in a 3-dimensional virtual environment with haptics: a report on 5 cases of motor rehabilitation in the chronic stage after stroke,Neurorehabilitation and Neural Repair,J Broeren,M Rydmark,21,2,180,189,2007,2007,j
ref11,Improvement in cancer-related knowledge following use of a psychoeducational video game for adolescents and young adults with cancer,Journal of Adolescent Health,I L Beale,P M Kato,41,3,263,70,2007,2007,j
ref12,Developing a computer game to prepare children for surgery,Aorn Journal,M Rassin,Y Gutman,80,6,1095,1101,2004,2004,j
ref13,Personal Investigator: A therapeutic 3D game for adolescent psychotherapy,Journal of Interactive Technology &amp; Smart Education,D Coyle,M Matthews,2,2,73,88,2005,2005,j
ref14,Exploring the use of computer games and virtual reality in exposure therapy for fear of driving following a motor vehicle accident,CyberPsychology &amp; Behavior,D G Walshe,E J Lewis,6,3,329,363,2003,2003,j</t>
  </si>
  <si>
    <t>TUW-177140</t>
  </si>
  <si>
    <t>ref1,ccT: A Tool for Checking Advanced Correspondence Problems in Answer-Set Programming,Proceedings of the 15th International Conference on Computing (CIC 2006),IEEE Computer Society Press,J Oetsch,M Seidl,H Tompits,S Woltran,3,10,2006,2006,m
ref2,Classical Negation in Logic Programs and Disjunctive Databases,New Generation Computing,M Gelfond,V Lifschitz,9,365,385,1991,1991,j
ref3,Strongly Equivalent Logic Programs,ACM TOCL,V Lifschitz,D Pearce,A Valverde,2,4,526,541,2001,2001,j
ref4,On Solution Correspondences in Answer Set Programming,Proceedings of the 19th International Joint Conference on Artificial Intelligence (IJCAI 2005),T Eiter,H Tompits,S Woltran,97,102,2005,2005,m
ref5,Uniform Equivalence of Logic Programs under the Stable Model Semantics,Proceedings of the 19th International Conference on Logic Programming (ICLP
2003),Springer,T Eiter,M Fink,Volume 2916 of LNCS,224,238,2003,2003,m
ref6,Facts do not Cease to Exist Because They are Ignored: Relativised Uniform Equivalence with Answer-Set Projection,Proceedings of the 22nd National Conference on Artificial Intelligence (AAAI 2007),AAAI Press,J Oetsch,H Tompits,S Woltran,458,464,2007,2007,m
ref7,Simplifying Logic Programs Under Uniform and Strong Equivalence,Proceedings of the 7th International Conference on Logic Programming and Nonmonotonic Reasoning (LPNMR-7),Springer,T Eiter,M Fink,H Tompits,S Woltran,Volume 2923 of LNCS,87,99,2004,2004,m
ref8,Simplifying Logic Programs under Answer Set Semantics,Proceedings of the 20th International Conference on Logic Programming (ICLP 2004),Springer,D Pearce,Volume 3132 of LNCS,210,224,2004,2004,m
ref9,Discovering Classes of Strongly Equivalent Logic Programs,Proceedings of the 19th International Joint Conference on Artificial Intelligence (IJCAI 2005),F Lin,Y Chen,516,521,2005,2005,m
ref10,The Second QBF Solvers Comparative Evaluation,Proceedings of the 7th International Conference on Theory and Applications of Satisfiability Testing (SAT 2004),Springer,D Le Berre,M Narizzano,L Simon,L A Tacchella,Volume 3542 of LNCS,376,392,2005,2005,m
ref11,An Extension of the System cct for Testing Relativised Uniform Equivalence under Answer-Set Projection,J Oetsch,M Seidl,H Tompits,S Woltran,Submitted draft,2007,2007,m
ref12,Comparing Different Prenexing Strategies for Quantified Boolean Formulas,Master’s Thesis,Vienna University of Technology,M Zolda,2004,2004,m
ref13,A Solver for QBFs in Nonprenex Form,Proceedings of the 17th European Conference on Artificial Intelligence (ECAI 2006),U Egly,M Seidl,S Woltran,477,481,2006,2006,m
ref14,Verifying the Equivalence of Logic Programs in the Disjunctive Case,Proceedings of the 7th International Conference on Logic Programming and Nonmonotonic Reasoning (LPNMR-7),Springer,E Oikarinen,T Janhunen,Volume 2923 of LNCS,180,193,2004,2004,m
ref15,SELP-A System for Studying Strong Equivalence Between Logic Programs,Proceedings of the 8th International Conference on Logic Programming and Non Monotonic Reasoning (LPNMR 2005),Springer,Y Chen,F Lin,L Li,Volume 3552 of LNCS,2005,2005,m</t>
  </si>
  <si>
    <t>ref1,ccT: A Tool for Checking Advanced Correspondence Problems in Answer-Set Programming,Proceedings of the 15th International Conference on Computing (CIC 2006),IEEE Computer Society Press,J Oetsch,M Seidl,H Tompits,S Woltran,3,10,2006,2006,m
ref2,Classical Negation in Logic Programs and Disjunctive Databases,New Generation Computing,M Gelfond,V Lifschitz,9,365,385,1991,1991,j
ref3,Strongly Equivalent Logic Programs,ACM TOCL,V Lifschitz,D Pearce,A Valverde,2,4,526,541,2001,2001,j
ref4,On Solution Correspondences in Answer Set Programming,Proceedings of the 19th International Joint Conference on Artificial Intelligence (IJCAI,T Eiter,H Tompits,S Woltran,97,102,2005,2005,m
ref5,Uniform Equivalence of Logic Programs under the Stable Model Semantics,Proceedings of the 19th International Conference on Logic Programming,Springer,T Eiter,M Fink,224,238,2003,2003,m
ref6,Facts do not Cease to Exist Because They are Ignored: Relativised Uniform Equivalence with Answer-Set Projection,Proceedings of the 22nd National Conference on Artificial Intelligence (AAAI 2007),AAAI Press,J Oetsch,H Tompits,S Woltran,458,464,2007,2007,m
ref7,Simplifying Logic Programs Under Uniform and Strong Equivalence,Proceedings of the 7th International Conference on Logic Programming and Nonmonotonic Reasoning,Springer,T Eiter,M Fink,H Tompits,S Woltran,87,99,2004,2004,m
ref8,Simplifying Logic Programs under Answer Set Semantics,Proceedings of the 20th International Conference on Logic Programming,Springer,D Pearce,210,224,2004,2004,m
ref9,Discovering Classes of Strongly Equivalent Logic Programs,Proceedings of the 19th International Joint Conference on Artificial Intelligence (IJCAI,F Lin,Y Chen,516,521,2005,2005,m
ref10,The Second QBF Solvers Comparative Evaluation,Proceedings of the 7th International Conference on Theory and Applications of Satisfiability Testing,Springer,Le Berre,D Narizzano,M Simon,L Tacchella,L A ,376,392,2004,2004,m
ref11,An Extension of the System cc⊤ for Testing Relativised Uniform Equivalence under Answer-Set Projection,J Oetsch,M Seidl,H Tompits,S Woltran,2007,2007,m
ref12,Comparing Different Prenexing Strategies for Quantified Boolean Formulas,M Zolda,2004,2004,m
ref13,A Solver for QBFs in Nonprenex Form,Proceedings of the 17th European Conference on Artificial Intelligence (ECAI,U Egly,M Seidl,S Woltran,477,481,2006,2006,m
ref14,Verifying the Equivalence of Logic Programs in the Disjunctive Case,Proceedings of the 7th International Conference on Logic Programming and Nonmonotonic Reasoning,Springer,E Oikarinen,T Janhunen,180,193,2004,2004,m
ref15,SELP-A System for Studying Strong Equivalence Between Logic Programs,Proceedings of the 8th International Conference on Logic Programming and Non Monotonic Reasoning,Springer,Y Chen,F Lin,L Li,2005,2005,m</t>
  </si>
  <si>
    <t>TUW-179146</t>
  </si>
  <si>
    <t>ref1,Pastrystrings: A comprehensive content-based publish/subscribe dht network,26th IEEE Int. Conf. on Distributed Computing Systems (ICDCS'06),IEEE Computer Society,I Aekaterinidis,P Triantafillou,23,2006,2006
ref2,Caps: Content-based publish/subscribe services for peer-to-peer systems,2nd Int. Conf. on Distributed Event-Based Systems (DEBS'08),J P Ahull,P G Lpez,A F G Skarmeta,2008,2008
ref3,Exactly-once delivery in a content-based publish-subscribe system,DSN,S Bhola,R Strom,S Bagchi,Y Zhao,J Auerbach,7,16,2002,2002
ref4,Design and evaluation of a support service for mobile, wireless publish/subscribe applications,IEEE Trans. on Softw. Eng,M Caporuscio,C M Caporuscio,A Carzaniga,A Carzaniga,E L Wolf,E L Wolf,29,1059,1071,2003,2003
ref5,Architectures for an Event Notification Service Scalable toWide-area Networks,PhD thesis,Politecnico Di Milano,A Carzaniga,1998-12,1998,12
ref6,Scribe: a large-scale and decentralized applicationlevel multicast infrastructure,Selected Areas in Communications IEEE Journal on,M Castro,P Druschel,A.-M Kermarrec,A Rowstron,20,8,1489,1499,2002-10,2002,10
ref7,The jedi eventbased infrastructure and its application to the development of the opss wfms,IEEE Trans. Softw. Eng,G Cugola,E Di Nitto,A Fuggetta,27,9,827,850,2001,2001
ref8,The many faces of publish/subscribe,ACM Comput. Surv,P T Eugster,P A Felber,R Guerraoui,A.-M Kermarrec,35,2,114,131,2003,2003
ref9,Meghdoot: content-based publicsh/subscribe over p2p networks,5th ACM/IFIP/USENIX Int. Conf. on Middleware (Middleware'04),A Gupta,O D Sahin,D Agrawal,A E Abbadi,254,273,2004,2004
ref10,Publish/subscribe in a mobile environment,Wirel. Netw,Y Huang,H Garcia-Molina,10,6,643,652,2004,2004
ref11,A p2p network of space containers for efficient management of spatial-temporal data in intelligent transportation scenarios,International Symposium on Parallel and Distributed Computing (ISPDC'09),E Kühn,R Mordinyi,H.-D Goiss,S Bessler,S Tomic,2009,2009
ref12,Introducing the concept of customizable structured spaces for agent coordination in the production automation domain,The 8th International Conference on Autonomous Agents and Multiagent Systems,E Kühn,R Mordinyi,L Keszthelyi,C Schreiber,2009,2009
ref13,Achieving causal and total ordering in publish/subscribe middleware with dsm,Proc. of the 3rd Wsh on Middleware for service oriented computing (MW4SOC'08),C M M Pereira,D C Lobato,C A C Teixeira,M G Pimentel,61,66,2008,2008
ref14,Hermes: A Scalable Event-Based Middleware,PhD thesis,Queens' College University of Cambridge,P R Pietzuch,2004-02,2004,2
ref15,Pastry: Scalable, decentralized object location, and routing for large-scale peer-to-peer systems,Proc. of the 18th IFIP/ACM Int. Conf. on Distributed Systems Platforms (Middleware'01),A Rowstron,P Druschel,329,350,2001,2001
ref16,Willow: Dht, aggregation, and publish/subscribe in one protocol,R van Renesse,A Bozdog,2005,2005
ref17,Wave-based communication in vehicle to infrastructure real-time safety-related traffic telematics,Master’s thesis,University of Zaragoza,M Zaera,2008-08,2008,8
ref18,A Distributed Publish/Subscribe Notification Service for Pervasive Environments,PhD thesis,Technischen Universitt Darmstadt,A Zeidler,2004,2004</t>
  </si>
  <si>
    <t>ref1,Pastrystrings: A comprehensive content-based publish/subscribe dht network,26th IEEE Int. Conf. on Distributed Computing Systems (ICDCS'06),IEEE Computer Society,I Aekaterinidis,P Triantafillou,2006,2006,m
ref2,Caps: Content-based publish/subscribe services for peer-to-peer systems,2nd Int. Conf. on Distributed Event-Based Systems (DEBS'08),J P Ahull,P G Lpez,A F G Skarmeta,2008,2008,m
ref3,Exactly-once delivery in a content-based publish-subscribe system,DSN,S Bhola,R Strom,S Bagchi,Y Zhao,J Auerbach,7,16,2002,2002,m
ref4,Design and evaluation of a support service for mobile, wireless publish/subscribe applications,IEEE Trans. on Softw. Eng,M Caporuscio,C M Caporuscio,A Carzaniga,A Carzaniga,E L Wolf,E L Wolf,29,1059,1071,2003,2003,j
ref5,Architectures for an Event Notification Service Scalable toWide-area Networks,A Carzaniga,1998-12,1998,12,m
ref6,Scribe: a large-scale and decentralized applicationlevel multicast infrastructure. Selected Areas in Communications,IEEE Journal on,M Castro,P Druschel,A.-M Kermarrec,A Rowstron,20,8,1489,1499,2002-10,2002,10,j
ref7,The jedi eventbased infrastructure and its application to the development of the opss wfms,IEEE Trans. Softw. Eng,G Cugola,E Di Nitto,A Fuggetta,27,9,827,850,2001,2001,j
ref8,The many faces of publish/subscribe,ACM Comput. Surv,P T Eugster,P A Felber,R Guerraoui,A.-M Kermarrec,35,2,114,131,2003,2003,j
ref9,Meghdoot: content-based publicsh/subscribe over p2p networks,5th ACM/IFIP/USENIX Int. Conf. on Middleware (Middleware'04),A Gupta,O D Sahin,D Agrawal,A E Abbadi,254,273,2004,2004,m
ref10,Publish/subscribe in a mobile environment,Wirel. Netw,Y Huang,H Garcia-Molina,10,6,643,652,2004,2004,j
ref11,A p2p network of space containers for efficient management of spatial-temporal data in intelligent transportation scenarios,International Symposium on Parallel and Distributed Computing (ISPDC'09),E Kühn,R Mordinyi,H.-D Goiss,S Bessler,S Tomic,2009,2009,m
ref12,Introducing the concept of customizable structured spaces for agent coordination in the production automation domain,The 8th International Conference on Autonomous Agents and Multiagent Systems,E Kühn,R Mordinyi,L Keszthelyi,C Schreiber,2009,2009,m
ref13,Achieving causal and total ordering in publish/subscribe middleware with dsm,Proc. of the 3rd Wsh on Middleware for service oriented computing (MW4SOC'08),C M M Pereira,D C Lobato,C A C Teixeira,M G Pimentel,61,66,2008,2008,m
ref14,Hermes: A Scalable Event-Based Middleware,P R Pietzuch,2004-02,2004,02,m
ref15,Pastry: Scalable, decentralized object location, and routing for large-scale peer-to-peer systems,Proc. of the 18th IFIP/ACM Int. Conf. on Distributed Systems Platforms (Middleware'01),A Rowstron,P Druschel,2001,2001,m
ref16,Willow: Dht, aggregation, and publish/subscribe in one protocol,R Van Renesse,A Bozdog,2005,2005,m
ref17,Wave-based communication in vehicle to infrastructure real-time safety-related traffic telematics,M Zaera,2008-08,2008,08,m
ref18,A Distributed Publish/Subscribe Notification Service for Pervasive Environments,A Zeidler,2004,2004,m</t>
  </si>
  <si>
    <t>TUW-180162</t>
  </si>
  <si>
    <t>ref1,An Analysis of Factors Used in Search Engine Ranking,Adversarial Information Retrieval on the Web,A Bifet,C Castillo,P.-A Chirita,I Weber,2005,2005
ref2,The Anatomy of a Large-Scale Hypertextual Web Search Engine,7th International World Wide Web Conference (WWW),S Brin,L Page,1998,1998
ref3,Experiencies retrieving information in the world wide web,Proceedings of the Sixth IEEE Symposium on Computers and Communications (ISCC 2001),F Cacheda,Á Viña,72,79,2001,2001
ref4,Improving Cloaking Detection Using Search Query Popularity and Monetizability,Adversarial Information Retrieval on the Web,K Chellapilla,D Chickering,2006,2006
ref5,Analysing Google rankings through search engine optimization data,Internet Research,M P Evans,17,1,2007,2007
ref6,Spam, damn spam, and statistics: Using statistical analysis to locate spam web pages,WebDB,D Fetterly,M Manasse,M Najork,1,6,2004,2004
ref7,Zeitgeist: Search patterns, trends, and surprises,Google,http://www.google.com/press/zeitgeist.html
ref8,Google Keeps Tweaking Its Search Engine,,http://www.nytimes.com/2007/06/03/business/yourmoney/03google.html?pagewanted=4&amp;_r=1
ref9,Web Spam Taxonomy,Adversarial Information Retrieval on the Web,Z Gyöngyi,H Garcia-Molina,2005,2005
ref10,Exploiting Redundancy in Natural Language to Penetrate Bayesian Spam Filters,First USENIX Workshop on Offensive Technologies (WOOT07),C Karlberger,G Bayler,C Kruegel,E Kirda,2007,2007
ref11,A quantitative study of forum spamming using context-based analysis,NDSS,Y Niu,Y.-M Wang,H Chen,M Ma,F Hsu,2007,2007
ref12,Detecting Spam Web Pages through Content Analysis,15th International World Wide Web Conference (WWW),A Ntoulas,M Najork,M Manasse,D Fetterly,2006,2006
ref13,All your iframes point to us,17th USENIX Security Symposium,N Provos,P Mavrommatis,M A Rajab,F Monrose,2008,2008
ref14,The Ghost In The Browser Analysis of Web-based Malware,First Workshop on Hot Topics in Understanding Botnets (HotBots '07),N Provos,D Mcnamee,P Mavrommatis,K Wang,N Modadugu,2007,2007
ref15,C4.5: Programs for Machine Learning,Morgan Kaufmann,R Quinlan,1993,1993
ref16,Analysis of Adversarial Code: The role of Malware Kits!,Rahul Mohandas,2007-12,2007,12,http://clubhack.com/2007/files/Rahul-Analysis_of_Adversarial_Code.pd
ref17,Google Search Engine Ranking Factors,,http://www.seomoz.org/article/ search-ranking-factors
ref18,Improving Web Spam Classification using Rank-time Features,Adversarial Information Retrieval on the Web,K Svore,Q Wu,C Burges,A Raman,2007,2007
ref19,Spam Double-Funnel: Connecting Web Spammers with Advertisers,16th International Conference on World Wide Web,Y.-M Wang,M Ma,Y Niu,H Chen,2007,2007
ref20,Data Mining: Practical machine learning tools and techniques,Morgan Kaufmann,I Witten,E Frank,2,2005,2005
ref21,Cloaking and Redirection: A Preliminary Study,Adversarial Information Retrieval on the Web,B Wu,B Davison,2005,2005
ref22,Identifying Link Farm Spam Pages,14th International World Wide Web Conference (WWW),B Wu,B D Davison,2005,2005</t>
  </si>
  <si>
    <t>ref1,An Analysis of Factors Used in Search Engine Ranking,Adversarial Information Retrieval on the Web,A Bifet,C Castillo,P.-A Chirita,I Weber,2005,2005,m
ref2,The Anatomy of a Large-Scale Hypertextual Web Search Engine,7th International World Wide Web Conference,WWW,S Brin,L Page,1998,1998,m
ref3,Experiencies retrieving information in the world wide web,Proceedings of the Sixth IEEE Symposium on Computers and Communications,F Viña,72,79,2001,2001,m
ref4,Improving Cloaking Detection Using Search Query Popularity and Monetizability,Adversarial Information Retrieval on the Web,K Chellapilla,D Chickering,2006,2006,m
ref5,Analysing Google rankings through search engine optimization data,Internet Research,M P Evans,17,1,2007,2007,j
ref6,Spam, damn spam, and statistics: Using statistical analysis to locate spam web pages,WebDB,D Fetterly,M Manasse,M Najork,1,6,2004,2004,m
ref7,,Search patterns, trends, and surprises,Google,Zeitgeist,http://www.google.com/press/zeitgeist.html,m
ref8,,Google Keeps Tweaking Its Search Engine,,http://www.nytimes.com/2007/06/03/business/yourmoney/03google.html?pagewanted=4&amp;_r=1,m
ref9,Web Spam Taxonomy,Adversarial Information Retrieval on the Web,Z Gyöngyi,H Garcia-Molina,2005,2005,m
ref10,Exploiting Redundancy in Natural Language to Penetrate Bayesian Spam Filters,First USENIX Workshop on Offensive Technologies (WOOT07),C Karlberger,G Bayler,C Kruegel,E Kirda,2007,2007,m
ref11,A quantitative study of forum spamming using context-based analysis,NDSS,Y Niu,Y.-M Wang,H Chen,M Ma,F Hsu,2007,2007,m
ref12,Detecting Spam Web Pages through Content Analysis,15th International World Wide Web Conference,WWW,A Ntoulas,M Najork,M Manasse,D Fetterly,2006,2006,m
ref13,All your iframes point to us,17th USENIX Security Symposium,N Provos,P Mavrommatis,M A Rajab,F Monrose,2008,2008,m
ref14,The Ghost In The Browser Analysis of Web-based Malware,First Workshop on Hot Topics in Understanding Botnets (HotBots '07),N Provos,D Mcnamee,P Mavrommatis,K Wang,N Modadugu,2007,2007,m
ref15,C4.5: Programs for Machine Learning,Morgan Kaufmann,R Quinlan,1993,1993,m
ref16,Analysis of Adversarial Code: The role of Malware Kits!,,2007-12,2007,12,m
ref17,,Google Search Engine Ranking Factors,,http://www.seomoz.org/article/search-ranking-factors,m
ref18,Improving Web Spam Classification using Rank-time Features,Adversarial Information Retrieval on the Web,K Svore,Q Wu,C Burges,A Raman,2007,2007,m
ref19,Spam Double-Funnel: Connecting Web Spammers with Advertisers,16th International Conference on World Wide Web,Y.-M Wang,M Ma,Y Niu,H Chen,2007,2007,m
ref20,Data Mining: Practical machine learning tools and techniques,Morgan Kaufmann,I Witten,E Frank,2005,2005,m
ref21,Cloaking and Redirection: A Preliminary Study,Adversarial Information Retrieval on the Web,B Wu,B Davison,2005,2005,m
ref22,Identifying Link Farm Spam Pages,14th International World Wide Web Conference,WWW,B Wu,B D Davison,2005,2005,m</t>
  </si>
  <si>
    <t>TUW-181199</t>
  </si>
  <si>
    <t>ref1,Knowledge Representation, Reasoning and Declarative Problem Solving,Cambridge University Press,C Baral,2003,2003
ref2,Debugging Logic Programs under the Answer Set Semantics,Proc. ASP'05 CEUR Workshop Proceedings (CEUR-WS.org),M Brain,M De Vos,141,152,2005,2005
ref3,Debugging Inconsistent Answer Set Programs,Proc. NMR'06,T Syrjänen,77,83,2006,2006
ref4,Justifications for Logic Programs under Answer Set Semantics,Proc. ICLP'06,Springer,E Pontelli,T Son,196,210,2006,2006
ref5,Debugging ASP Programs by means of ASP,Proc. LPNMR'07,Springer,M Brain,M Gebser,J Pührer,T Schaub,H Tompits,S Woltran,31,43,2007,2007
ref6,"That is Illogical Captain!" – The Debugging Support Tool spock for Answer-Set Programs: System Description,Proc. SEA'07,M Brain,M Gebser,J Pührer,T Schaub,H Tompits,S Woltran,71,85,2007,2007
ref7,A Framework for Compiling Preferences in Logic Programs,Theory and Practice of Logic Programming,J Delgrande,T Schaub,H Tompits,3,129,187,2003,2003
ref8,ASSAT: Computing Answer Sets of a Logic Program by SAT Solvers,Artificial Intelligence,F Lin,Y Zhao,157,115,137,2004,2004
ref9,Negation as Failure. In: Logic and Data Bases,Plenum Press,K Clark,293,322,1978,1978
ref10,GNU General Public License – Version 2,Free Software Foundation Inc,,1991-06,1991,6,http://www.gnu.org/copyleft/gpl.html
ref11,The DLV System for Knowledge Representation and Reasoning,ACM Transactions on Computational Logic,N Leone,G Pfeifer,W Faber,T Eiter,G Gottlob,S Perri,F Scarcello,7,499,562,2006,2006
ref12,Extending and Implementing the Stable Model Semantics,Artificial Intelligence,P Simons,I Niemelä,T Soininen,138,181,234,2002,2002
ref13,On Debugging of Propositional Answer-Set Programs,Master's thesis,J Pührer,Austria,2007,2007
ref14,A Meta-Programming Technique for Debugging Answer-Set Programs,Proc. AAAI'08,M Gebser,J Pührer,T Schaub,H Tompits,To appear,2008,2008
ref15,Justifying Proofs using Memo Tables,Proc. PPDP'00,A Roychoudhury,C Ramakrishnan,I Ramakrishnan,178,189,2000,2000
ref16,Generating Explanation Trees even for Negations in Deductive Database Systems,Proc. LPE'93,G Specht,8,13,1993,1993</t>
  </si>
  <si>
    <t>ref1,Knowledge Representation, Reasoning and Declarative Problem Solving,Cambridge University Press,C Baral,2003,2003,m
ref2,Debugging Logic Programs under the Answer Set Semantics,CEUR Workshop Proceedings,M Brain,M De Vos,141,152,2005,2005,m
ref3,Debugging Inconsistent Answer Set Programs,Proc. NMR'06,T Syrjänen,77,83,2006,2006,m
ref4,Justifications for Logic Programs under Answer Set Semantics,Proc. ICLP'06,Springer,E Pontelli,T Son,196,210,2006,2006,m
ref5,Debugging ASP Programs by means of ASP,Proc. LPNMR'07,Springer,M Brain,M Gebser,J Pührer,T Schaub,H Tompits,S Woltran,31,43,2007,2007,m
ref6,That is Illogical Captain!"-The Debugging Support Tool spock for Answer-Set Programs: System Description,Proc. SEA'07,M Brain,M Gebser,J Pührer,T Schaub,H Tompits,S Woltran,71,85,2007,2007,m
ref7,A Framework for Compiling Preferences in Logic Programs,Theory and Practice of Logic Programming,J Delgrande,T Schaub,H Tompits,3,129,187,2003,2003,j
ref8,ASSAT: Computing Answer Sets of a Logic Program by SAT Solvers,Artificial Intelligence,F Lin,Y Zhao,157,115,137,2004,2004,j
ref9,Negation as Failure,Logic and Data Bases,Plenum Press,K Clark,293,322,1978,1978,m
ref10,GNU General Public License-Version 2,Free Software Foundation Inc,,1991-06,1991,06,m
ref11,The DLV System for Knowledge Representation and Reasoning,ACM Transactions on Computational Logic,N Leone,G Pfeifer,W Faber,T Eiter,G Gottlob,S Perri,F Scarcello,7,499,562,2006,2006,j
ref12,Extending and Implementing the Stable Model Semantics,Artificial Intelligence,P Simons,I Niemelä,T Soininen,138,181,234,2002,2002,j
ref13,On Debugging of Propositional Answer-Set Programs,J Pührer,Austria,2007,2007,m
ref14,A Meta-Programming Technique for Debugging Answer-Set Programs,Proc. AAAI'08,M Gebser,J Pührer,T Schaub,H Tompits,2008,2008,m
ref15,Justifying Proofs using Memo Tables,Proc. PPDP'00,A Roychoudhury,C Ramakrishnan,I Ramakrishnan,178,189,2000,2000,m
ref16,Generating Explanation Trees even for Negations in Deductive Database Systems,Proc. LPE'93,G Specht,8,13,1993,1993,m</t>
  </si>
  <si>
    <t>TUW-182414</t>
  </si>
  <si>
    <t>ref1,[ASC05],Die Bewahrung unserer Online-Kultur. Vorschläge und Strategien zur Webarchivierung,Sichtungen,Turia + Kant,Andreas Aschenbrenner,Andreas Rauber,6,7,99,115,2005,2005
ref2,[BRO06],Archiving Websites: A Practical Guide for Information Management Professionals,Facet Publisching,Adrian Brown,2006,2006
ref3,[HBL08],DPA: Handelsblatt: Internet als Quelle für
Personalberater,Handelsblatt,Adrian Brown,2008-11-27,2008,11,27,http://www.handelsblatt.com/technologie/it-internet/internet-alsquelle-fuer-personalabteilungen;1174811
ref4,[KAH97],Preserving the Internet,Scientific American,Kahle Brewster,1997-03,1997,3
ref5,[MAN00],The Kulturarw3 project – The Royal Swedish Web Archiw3e. An Example of »Complete« Collection of Web Pages,Proceedings of the 66th IFLA Council and General Conference,Johan Mannerheim,Allan Arvidson,Krister Persson,Jerusalem, Israel.,2006,2006
ref6,[MAS06],Web Archiving,Springer,Julien Masanes,2006,2006
ref7,[NEU08],nestor Handbuch: eine kleine Enzyklopädie der digitalen Langzeitarchivierung,SUB Göttingen,Heike Neuroth,2008-12,2008,12,http://nestor.sub.uni-goettingen.de/handbuch
ref8,[RAU08],Ethical Issues in Web Archive Creation and Usage - Towards a Research Agenda,Proceedings of the 8th International Web Archiving Workshop,Andreas Rauber,Max Kaiser,Bernhard Wachter,Aalborg, Dänemark,2008
ref9,[SAN07],Automatic Identification of Genre in Web Pages,PhD thesis,Univ. of Brighton,Marina Santini,Brighton, UK,2007,2007
ref10,[STA00],Text genre detection using common word frequencies,18th International Conf. on Computational Linguistics,E Stamatatos,N Fakotakis,G Kokkinakis,2000,2000
ref11,[WEI08],Information Accountability,Communications of the ACM,Daniel Weitzner,Harold Abelson,Tim Berners-Lee,Joan Feigenbaum,James Hendler,Gerald Jay Sussman,Tim Berners-Lee,51,6,82,87,2008-06,2000,6</t>
  </si>
  <si>
    <t>ref1,,nestor Handbuch: eine kleine Enzyklopädie der digitalen Langzeitarchivierung. SUB Göttingen, Dezember,Neuroth Heike,( Hrsg,2008,2008,http://nestor.sub.uni-goettingen.de/handbuch,m
ref2,Ethical Issues in Web Archive Creation and Usage-Towards a Research Agenda,Proceedings of the 8th International Web Archiving Workshop,Rauber Andreas,Kaiser Max Und Wachter,Bernhard,2008,2008,m
ref3,Automatic Identification of Genre in Web Pages,Marina Santini,Brighton, UK.,2007,2007,m
ref4,Kokkinakis: Text genre detection using common word frequencies,18th International Conf. on Computational Linguistics,E Stamatatos,N Fakotakis,2000,2000,m
ref5,,Sichtungen, 6,Juni,,82,87,2005,2005,m
ref6,Archiving Websites: A Practical Guide for Information Management Professionals,Facet Publisching,Adrian Brown,2006,2006,m</t>
  </si>
  <si>
    <t>TUW-182899</t>
  </si>
  <si>
    <t>ref1,(Boud, Keogh, 1985),Promoting reflection in learning,Reflection: Turning experience into learning,Kogan Page,D. Boud, R. Keogh and D. Walker,D Boud,R Keogh,London,18,40,1985
ref2,(Cannings, Talley, 2003),Bridging the gap between theory and practice in preservice education: the use of video case studies,Proceedings of the 3.1 and 3.3 working groups conference on International federation for information processing: ICT and the teacher of the future,Australian Computer Society, Inc,T Cannings,S Talley,Melbourne, Australia,23,2003,2003
ref3,(Cherry, 2005),Total recall,IEEE spectrum on line,S Cherry,Retrieved 8/11/2005,2005,2005,http://www.spectrum.ieee.org/careers/careerstemplate.jsp?ArticleId=p110305
ref4,(Chuang, Rosenbusch, 2005),Use of digital video technology in an elementary school foreign language methods course,British Journal of Educational Technology,H.-H Chuang,M H Rosenbusch,36,5,869,880,2005,2005
ref5,(Clark, Brennan, 1991),Grounding in communication,Perspectives on socially shared cognition,American Psychological Association,L. Resnick, J. Levine and S. Teasley,H H Clark,S E Brennan,Washington, DC,127,149,1991,1991
ref6,(Collier, 1999),Characteristics of reflective thought during the student teaching experience,Journal of Teacher Education,S T Collier,50,3,173,181,1999,1999
ref7,(Conati, Carenini, 2001),Generating tailored examples to support learning via selfexplanation,International joint conference on artificial intelligence,C Conati,G Carenini,17,2,1301,1306,2001,2001
ref8,(Crabtree, Rodden, al., 2004),Collaborating around collections: informing the continued development of photoware,Proceedings of the 2004 ACM conference on Computer supported cooperative work,ACM Press,A Crabtree,T Rodden,et al.,Chicago, Illinois,2004,2004
ref9,(Davis, 2006),Characterizing productive reflection among preservice elementary teachers: Seeing what matters,Teaching and Teacher Education,E A Davis,22,3,281,2006,2006
ref10,(Dillenbourg, 1999),What do you mean by 'collaborative learning'?,Collaborative learning: Cognitive and computational approaches,Elsevier,P. Dillenbourg,P Dillenbourg,Oxford,1,19,1999,1999
ref11,(Fleck, 2008),Exploring the potential of passive image capture to support reflection on experience,Unpublished DPhil thesis,University of Sussex,R Fleck,2008,2008
ref12,(Fleck, Fitzpatrick, 2006),Supporting collaborative reflection with passive image capture,COOP'06,R Fleck,G Fitzpatrick,Carry-le-Rouet, France,2006,2006
ref13,(Frohlich, 2004),Audiophotography: bringing photos to life with sounds,Kluwer academic publishers,D Frohlich,Dordrecht,2004,2004
ref14,(Harper, Randall, al., 2008),The past is a different place: they do things differently there,DIS 2008,ACM,R Harper,D Randall,et al.,Cape Town, South Africa,2008,2008
ref15,(Harper, Randell, al., 2007),Thanks for the memory,The 21st BCS HCI Group Conference,British Computer Society,R Harper,D Randell,et al.,UK,2007,2007
ref16,(Hatton, Smith, 1995),Reflection in teacher education: Towards definition and implementation,Teaching and Teacher Education,N Hatton,D Smith,11,1,33,49,1995,1995
ref17,(Hutchinson, Bryson, 1997),Video, reflection and transformation: Action research in vocational education and training,Educational action research,B Hutchinson,P Bryson,5,2,283,303,1997,1997
ref18,(Jones, McNamara, 2004),The possibilities and constraints of multimedia as a basis for critical reflection,Cambridge Journal of Education,L Jones,O McNamara,34,3,279,296,2004,2004
ref19,(Kindberg, Spasojevic, al., 2005),The ubiquitous camera: An in-depth study of camera phone use,IEEE Pervasive Computing,T Kindberg,M Spasojevic,et al.,4,2,42,50,2005,2005
ref20,(Lee, 2005),Understanding and assessing preservice teachers' reflective thinking,Teaching and Teacher Education,H.-J Lee,21,6,699,715,2005,2005
ref21,(Lemon, 2007),Take a photograph: teacher reflection through narrative,Reflective Practice,N Lemon,8,2,177,191,2007,2007
ref22,(Leung, Kember, 2003),The relationship between approaches to learning and reflection upon practice,Educational Psychology,D Y P Leung,D Kember,23,1,61,71,2003,2003
ref23,(Lindley, Harper, al., 2009),Reflecting on oneself and on otehrs: Multiple perspectives via SenseCam,Designing for reflection on experience: CHI 2009 Workshop,S E Lindley,R Harper,et al.,Boston, MAS,2009,2009
ref24,(Manouchehri, 2002),Developing teaching knowledge through peer discourse,Teaching and Teacher Education,A Manouchehri,18,6,715,737,2002,2002
ref25,(Mcdonnell, Lloyd, al., 2002),Using video-story making to encourage deeper reflection on learning experiences,UCL conference on teaching and learning,University College London,J Mcdonnell,P Lloyd,et al.,London,2002,2002
ref26,(Moon, 1999),Reflection in learning and professional development,Kogan Page Limited,J A Moon,London,1999,1999
ref27,(Parry, null),The potential role of critical colleagueship in initial teacher education,Teachers and Teaching,J Parry,In submission
ref28,(Parsons, Stephenson, 2005),Developing reflective practice in student teachers: collaboration and critical partnerships,Teachers and Teaching: Theory and Practice,M Parsons,M Stephenson,11,1,95,116,2005,2005
ref29,(Reinman, 1999),The evolution of social roletaking and guided reflection framework in teacher education: recent theory and quantitative synthesis of research,Teaching and Teacher Education,A J Reinman,597,612,1999,1999
ref30,(Schön, 1983),The reflective practitioner: How professionals think in action,D A Schön,London, Temple Smith,1983,1983
ref31,(Sellen, Fogg, al., 2007),Do life-logging technologies support memory for the past?: an experimental study using sensecam,the SIGCHI conference on Human factors in computing systems,ACM Press,A J Sellen,A Fogg,et al.,San Jose, California, USA,2007,2007
ref32,(Sharpe, Hu, al., 2003),Enhancing multipoint desktop video conferencing (MDVC) with lesson video clips: recent developments in pre-service teaching practice in Singapore,Teaching and Teacher Education,L Sharpe,C Hu,et al.,19,5,529,541,2003,2003
ref33,(Sherin, van Es, 2002),Using video to support teachers' ability to interpret classroom interactions,Society for Information Technology and Teacher Education International Conference,AACE,M G Sherin,E A van Es,Nashville, Tennessee, USA,2002,2002
ref34,(Thomson, MacDougall, al., 2005),Using Video Interaction Guidance to assist student teachers' and teacher educators' reflections on their interactions with learners and bring about change in practice,Report for the Scottish Executive Education Department,C Thomson,L MacDougall,et al.,2005,2005
ref35,(Thomson, Macdougall, al., 2005),Using Video Interaction Guidance to assist student teachers' and teacher educators' reflections on their interactions with learners and bring about change in practice,British Educational Research Association Annual Conference,University of Glamorgan,C Thomson,L Macdougall,et al.,2005,2005
ref36,(Ward, McCotter, 2004),Reflection as a visible outcome for preservice teachers,Teaching and Teacher Education,J R Ward,S S McCotter,20,3,243,257,2004,2004
ref37,(Williams, Wood, 2004),SenseCam - a personal memory recall device,L Williams,K Wood,Microsoft Research,unpublished report,2004,2004
ref38,(Zuber-Skerritt, 1984),Video in Higher Education,Billing &amp; Sons Limited,O Zuber-Skerritt,Worcester,1984,1984</t>
  </si>
  <si>
    <t>ref1,Total recall,S Cherry,2005-11,2005,11,m
ref2,Use of digital video technology in an elementary school foreign language methods course,British Journal of Educational Technology,H.-H Chuang,M H Rosenbusch,36,5,869,880,2005,2005,j
ref3,Grounding in communication. Perspectives on socially shared cognition,American Psychological Association,H H Clark,S E Brennan,Washington, DC,127,149,1991,1991,m
ref4,Characteristics of reflective thought during the student teaching experience,Journal of Teacher Education,S T Collier,50,3,173,181,1999,1999,j
ref5,Generating tailored examples to support learning via selfexplanation,International joint conference on artificial intelligence,C Conati,G Carenini,1301,1306,2001,2001,m
ref6,Collaborating around collections: informing the continued development of photoware,Proceedings of the 2004 ACM conference on Computer supported cooperative work,ACM Press,A Crabtree,T Rodden,2004,2004,m
ref7,Characterizing productive reflection among preservice elementary teachers: Seeing what matters,Teaching and Teacher Education,E A Davis,22,3,2006,2006,j
ref8,What do you mean by 'collaborative learning'? Collaborative learning: Cognitive and computational approaches,P. Dillenbourg. Oxford,Elsevier,P Dillenbourg,1,19,1999,1999,j
ref9,Exploring the potential of passive image capture to support reflection on experience,R Fleck,2008,2008,m
ref10,Supporting collaborative reflection with passive image capture. COOP '06,R Fleck,G Fitzpatrick,Carry-le-Rouet, France,2006,2006,m
ref11,Audiophotography: bringing photos to life with sounds,Kluwer academic publishers,D Frohlich,Dordrecht,2004,2004,m
ref12,The past is a different place: they do things differently there,ACM,R Harper,D Randall,Cape Town, South Africa,2008,2008,m
ref13,Thanks for the memory,The 21st BCS HCI Group Conference,British Computer Society,R Harper,D Randell,2007,2007,m
ref14,Reflection in teacher education: Towards definition and implementation,Teaching and Teacher Education,N Hatton,D Smith,11,1,33,49,1995,1995,j
ref15,Video, reflection and transformation: Action research in vocational education and training,Educational action research,B Hutchinson,P Bryson,5,2,283,303,1997,1997,j
ref16,The possibilities and constraints of multimedia as a basis for critical reflection,Cambridge Journal of Education,L Jones,O Mcnamara,34,3,279,296,2004,2004,j
ref17,The ubiquitous camera: An in-depth study of camera phone use,IEEE Pervasive Computing,T Kindberg,M Spasojevic,4,2,42,50,2005,2005,j
ref18,Understanding and assessing preservice teachers' reflective thinking,Teaching and Teacher Education,H.-J Lee,21,6,699,715,2005,2005,j
ref19,Take a photograph: teacher reflection through narrative,Reflective Practice,N Lemon,8,2,177,191,2007,2007,j
ref20,The relationship between approaches to learning and reflection upon practice,Educational Psychology,D Y P Leung,D Kember,23,1,61,71,2003,2003,j
ref21,Reflecting on oneself and on otehrs: Multiple perspectives via SenseCam. Designing for reflection on experience,S E Lindley,R Harper,Boston, MAS,2009,2009,m
ref22,Developing teaching knowledge through peer discourse,Teaching and Teacher Education,A Manouchehri,18,6,715,737,2002,2002,j
ref23,Using video-story making to encourage deeper reflection on learning experiences,J Mcdonnell,P Lloyd,London,2002,2002,m
ref24,Reflection in learning and professional development,Kogan Page Limited,J A Moon,London,1999,1999,m
ref25,In submission,To be published in "Teachers and Teaching,J Parry,m
ref26,Developing reflective practice in student teachers: collaboration and critical partnerships,Teachers and Teaching: Theory and Practice,M Parsons,M Stephenson,11,1,95,116,2005,2005,j
ref27,The evolution of social roletaking and guided reflection framework in teacher education: recent theory and quantitative synthesis of research,A J Reinman,1999,1999,m
ref28,The reflective practitioner: How professionals think in action,D A Schön,London, Temple Smith,1983,1983,m
ref29,Do life-logging technologies support memory for the past?: an experimental study using sensecam,the SIGCHI conference on Human factors in computing systems,ACM Press,A J Sellen,A Fogg,2007,2007,m
ref30,Enhancing multipoint desktop video conferencing (MDVC) with lesson video clips: recent developments in pre-service teaching practice in Singapore,Teaching and Teacher Education,L Sharpe,C Hu,19,5,529,541,2003,2003,j
ref31,Using video to support teachers' ability to interpret classroom interactions. Society for Information Technology,AACE,M G Sherin,E A Van Es,Nashville, Tennessee, USA,2002,2002,m
ref32,Using Video Interaction Guidance to assist student teachers' and teacher educators' reflections on their interactions with learners and bring about change in practice,C Thomson,L Macdougall,2005,2005,m
ref33,Using Video Interaction Guidance to assist student teachers' and teacher educators' reflections on their interactions with learners and bring about change in practice,C Thomson,L Macdougall,2005,2005,m
ref34,Reflection as a visible outcome for preservice teachers,Teaching and Teacher Education,J R Ward,S S Mccotter,20,3,243,257,2004,2004,j
ref35,SenseCam-a personal memory recall device,L Williams,K Wood,2004,2004,m
ref36,Video in Higher Education,Worcester, Billing &amp; Sons Limited,O Zuber-Skerritt,Ed,1984,1984,m</t>
  </si>
  <si>
    <t>TUW-185321</t>
  </si>
  <si>
    <t>ref1,Integrating Production Automation Expert Knowledge Across Engineering Stakeholder Domains,Proceedings of the 2010 International Conference on Complex, Intelligent and Software Intensive Systems,T Moser,S Biffl,W D Sunindyo,D Winkler,Krakow, Poland,to be published,8,2010,2010</t>
  </si>
  <si>
    <t>ref1,Integrating Production Automation Expert Knowledge Across Engineering Stakeholder Domains,Proceedings of the 2010 International Conference on Complex, Intelligent and Software Intensive Systems (to be published),T Moser,S Biffl,W D Sunindyo,D Winkler,2010,2010,m</t>
  </si>
  <si>
    <t>TUW-185441</t>
  </si>
  <si>
    <t>ref1,Solving shape-analysis problems in languages with destructive updating,ACM Transactions on Programming Languages and Systems (TOPLAS),Mooly Sagiv,Thomas W Reps,Reinhard Wilhelm,20,1,1,50,1998-01,1998,1
ref2,Principles of Program Analysis,Springer,Flemming Nielson,Hanne Riis Nielson,Chris Hankin,Shape Analysis,102,129,1999,1999
ref3,Combining tools and languages for static analysis and optimization of high-level abstractions,24. Workshop der GI-Fachgruppe “Programmiersprachen und Rechenkonzepte”,Department of Computer Science, Christian-Albrechts-Universitt zu Kiel,Markus Schordan,72,81,2007,2007
ref4,Shape analysis and applications,The Compiler Design Handbook: Optimizations and Machine Code Generation,CRC Press,Thomas W Reps,Mooly Sagiv,Reinhard Wilhelm,175,218,2002,2002
ref5,Shape-based alias analysis for objectoriented languages,Master's thesis,TU Wien, Department of Computer Science,Viktor Pavlu,Vienna, Austria,2009,2009</t>
  </si>
  <si>
    <t>ref1,Solving shape-analysis problems in languages with destructive updating,ACM Transactions on Programming Languages and Systems (TOPLAS),Mooly Sagiv,Thomas W Reps,Reinhard Wilhelm,20,1,1,50,1998-01,1998,01,j
ref2,Principles of Program Analysis, chapter Shape Analysis,Springer,Flemming Nielson,Chris Hanne Riis Nielson,Hankin,102,129,1999,1999,m
ref3,Combining tools and languages for static analysis and optimization of high-level abstractions,24. Workshop der GI-Fachgruppe "Programmiersprachen und Rechenkonzepte,Markus Schordan,72,81,2007,2007,m
ref4,Shape analysis and applications,The Compiler Design Handbook: Optimizations and Machine Code Generation,CRC Press,Thomas W Reps,Mooly Sagiv,Reinhard Wilhelm,175,218,2002,2002,m
ref5,Shape-based alias analysis for objectoriented languages,Viktor Pavlu,Vienna, Austria,2009,2009,m</t>
  </si>
  <si>
    <t>TUW-186227</t>
  </si>
  <si>
    <t>ref1,Clinical Practice Guidelines: Directions for a New Program,National Academies Press, Institute of Medicine,M J Field,K N Lohr,Washington DC,1990-09,1990,9
ref2,Clinical practice guidelines,Singapore Medical Journal,S Twaddle,46,12,681,687,2005-12,2005,12
ref3,Toward the standardization of electronic guidelines,MD Computing,P L Elkin,M Peleg,R Lacson,E Bernstam,S W Tu,A Boxwala,R Greenes,E H Shortliffe,17,6,39,44,2000-12,2000,12
ref4,Approaches for creating computerinterpretable guidelines that facilitate decision support,Artificial Intelligence in Medicine,P A de Clercq,J A Blom,H H M Korsten,A Hasman,31,1,1,27,2004-05,2004,5
ref5,Comparing computerinterpretable guideline models: A case-study approach,Journal of the American Medical Informatics Association,M Peleg,S W Tu,J Bury,P Ciccarese,J Fox,R A Greenes,R Hall,P D Johnson,N Jones,A Kumar,S Miksch,S Quaglini,A Seyfang,E H Shortliffe,M Stefanelli,10,1,52,68,2003-02,2003,2
ref6,The usability engineering life cycle,Computer,J Nielsen,25,3,12,22,1992-03,1992,3
ref7,Information requisition is the core of guideline-based medical care: Which information is needed for whom?,Master's thesis,Vienna University of Technology,T Gschwandtner,Vienna, Austria,2009-12,2009,12</t>
  </si>
  <si>
    <t>ref1,,Clinical Practice Guidelines: Directions for a New Program,National Academies Press,M J Field,K N Lohr,1990-09,1990,09,m
ref2,Clinical practice guidelines,Singapore Medical Journal,S Twaddle,46,12,681,687,2005-12,2005,12,j
ref3,Toward the standardization of electronic guidelines,MD Computing,P L Elkin,M Peleg,R Lacson,E Bernstam,S W Tu,A Boxwala,R Greenes,E H Shortliffe,39,44,2000-12,2000,12,m
ref4,Approaches for creating computerinterpretable guidelines that facilitate decision support,Artificial Intelligence in Medicine,P A De Clercq,J A Blom,H H M Korsten,A Hasman,31,1,1,27,2004-05,2004,05,j
ref5,Comparing computerinterpretable guideline models: A case-study approach,Journal of the American Medical Informatics Association,M Peleg,S W Tu,J Bury,P Ciccarese,J Fox,R A Greenes,R Hall,P D Johnson,N Jones,A Kumar,S Miksch,S Quaglini,A Seyfang,E H Shortliffe,M Stefanelli,10,1,52,68,2003-02,2003,02,j
ref6,The usability engineering life cycle,Computer,J Nielsen,25,3,12,22,1992-03,1992,03,j
ref7,Information requisition is the core of guideline-based medical care: Which information is needed for whom? Master's thesis,T Gschwandtner,Vienna, Austria,2009-12,2009,12,m</t>
  </si>
  <si>
    <t>TUW-189842</t>
  </si>
  <si>
    <t>ref1,The reality of homes fit for heroes: design challenges for rehabilitation technology at home,Journal of Assistive Technologies,L Axelrod,G Fitzpatrick,3,2,35,43,2009,2009
ref2,Rehabilitation Centred Design,EA CHI2010,ACM Press,M Balaam,et al.,to appear in
ref3,A framework for a home-based stroke rehabilitation system,Proc 3rd Int Conf on Pervasive Computing Technologies for Healthcare,S Eggleston,L Axelrod,2009,2009
ref4,A review of the literature on evidence-based practice in physical therapy,The Internet Journal of Allied Health Sciences and Practice,J Schreiber,P Stern,3,4,2005,2005</t>
  </si>
  <si>
    <t>ref1,The reality of homes fit for heroes: design challenges for rehabilitation technology at home,Journal of Assistive Technologies,L Axelrod,G Fitzpatrick,3,2,35,43,2009,2009,j
ref2,Rehabilitation Centred Design,ACM Press,M Balaam,m
ref3,A framework for a home-based stroke rehabilitation system,Proc 3 rd,S Eggleston,L Axelrod,m
ref4,,Int Conf on Pervasive Computing Technologies for Healthcare,,2009,2009,m
ref5,Finally is the question of what do we leave the patient with at the end? We are not conducting a full clinical trial and can only look for indicative measures that the,The Internet Journal of Allied Health Sciences and Practice,J Schreiber,P Stern,3,4,2005,2005,j</t>
  </si>
  <si>
    <t>TUW-191715</t>
  </si>
  <si>
    <t>ref1,Ten Unsolved Problems in Computer Graphics,Datamation,I E Sutherland,12,22,27,1966,1966
ref2,Ten Unsolved Problems in Rendering,Workshop on Rendering Algorithms and Systems, Graphics Interface '87,P Heckbert,1987,1987
ref3,Top Scientific Visualization Research Problems,IEEE Computer Graphics and Applications,C Johnson,24,4,13,17,2004,2004
ref4,Interactive Rendering of Large Volume Data Sets,Proc. IEEE Visualization,S Guthe,M Wand,J Gonser,W Strasser,53,60,2002,2002
ref5,Interactive Out-Of-Core Isosurface Extraction,Proc. IEEE Visualization '98,Y.-J Chiang,C Silva,W Schroeder,167,174,1998,1998
ref6,Visualization Handbook,Academic Press,C Hansen,C Johnson,2004,2004
ref7,Interactive Iso-Surface Ray Tracing of Massive Volumetric Data Sets,EG Symposium on Parallel Graphics and Visualization,H Friedrich,I Wald,P Slusallek,2007,2007
ref8,Large Volume Visualization of Compressed Time Dependent Data-Sets on GPU Clusters,Parallel Computing,M Strengert,M Magallon,D Weiskopf,S Guthe,T Ertl,31,2,205,219,2005,2005
ref9,Issues and Architectures in Large-Scale Data Visualization,Visualization Handbook,Academic Press,C. Hansen,C Pavlakos,P Heermann,551,567,2004,2004
ref10,LINQ: Reconciling Object, Relations and XML in the NET Framework,Proceedings of the Twenty-Fifth ACM SIGACTSIGMOD-SIGART Symposium on Principles of Database Systems,ACM Press,E Meijer,B Beckman,G Bierman,706,2006,2006
ref11,High-Level User Interfaces for Transfer Function Design with Semantics,Proc. IEEE Visualization,C Rezk - Salama,M Keller,P Kohlmann,1021,1028,2006,2006
ref12,Semantic Layers for Illustrative Volume Rendering,IEEE Transactions on Visualization and Computer Graphics,P Rautek,S Bruckner,E Gröller,13,6,1336,1343,2007,2007
ref13,VRVis Research Center homepage,,www.vrvis.at
ref14,A Multiresolution Mesh Generation Approach for Procedural Definition of Complex Geometry,Proc. of the Shape Modeling International 2002,R F Tobler,S Maierhofer,A Wilkie,Banff, Canada,35,42,2002-05,2002,5
ref15,Multiresolution Geometric Details on Subdivision Surfaces,Proc. of Graphite 2007,P Musialski,R F Tobler,2007,2007
ref16,Severe Weather Explorer-Interactive Visual Analysis of Large and Heterogeneous Meteorological Data,Proceedings of Lakeside Conference Velden,H Doleisch,P Muigg,M Spatzierer,Austria,2008-07,2008,7
ref17,Comprehensive Visualization of Cardiac MRI Data,Ph. D. Diss,Vienna University of Technology,M Termeer,2009,2009
ref18,GeoTime Information Visualization,Proceedings of the 2004 IEEE Symposium on Information Visualization (InfoVis '04),T Kapler,W Wright,25,32,2004,2004
ref19,Stories in GeoTime,proceedings of the second IEEE Symposium on Visual Analytics Science and Technology (VAST '07),R Eccles,T Kapler,R Harper,W Wright,19,26,2007,2007
ref20,Illuminating the Path: The Research and Development Agenda for Visual Analytics,IEEE Computer Society,J J Thomas,K A Cook,2005,2005
ref21,A Rank-by-Feature Framework for Unsupervised Multidimensional Data Exploration Using Low-Dimensional Projections,proceedings of the IEEE Symposium on Information Visualization,J Seo,B Shneiderman,65,72,2004,2004
ref22,Enhancing Visual Analysis of Network Traffic Using a Knowledge Representation,Proc. IEEE Symposium on Visual Analytics Science and Technology (VAST '06),X Ling,J Gerth,P Hanrahan,107,114,2006,2006
ref23,Intelligent Visual Analytics Queries,proceedings of the second IEEE Symposium on Visual Analytics Science and Technology (VAST '07),M C Hao,U Dayal,D A Keim,D Morent,J Schneidewind,91,98,2007,2007
ref24,Analysis Guided Visual Exploration of Multivariate Data,proceedings of the second IEEE Symposium on Visual Analytics Science and Technology (VAST '07),D Yang,E A Rundensteiner,M O Ward,83,90,2007,2007
ref25,Model-Driven Visual Analytics,proceedings of the third IEEE Symposium on Visual Analytics Science and Technology (VAST '08),S Garg,J E Nam,I V Ramakrishnan,K Mueller,19,26,2008,2008
ref26,Surface project homepage,Microsoft Inc,www.microsoft.com/surface/
ref27,State of the Art: Coordinated &amp; Multiple Views in Exploratory Visualization,CMV '07: Proceedings of the Fifth International Conference on Coordinated and Multiple Views in Exploratory Visualization,J C Roberts,2007,2007
ref28,Virtual Training in Hand Fire Extinguisher Use,A L Fuhrmann,2010-06,2010,6,www.vrvis.at/ projects/running-projects/ViFeLoe
ref29,A Knowledge-Based Approach to Soft Tissue Reconstruction of the Cervical Spine,IEEE Transactions on Medical Imaging,S Seifert,I Wachter,G Schmelzle,R Dillmann,28,494,507,2009,2009
ref30,Handbook of Computer Vision and Applications,Three-Volume Set,Academic Press,B Jahne,H Haussecker,P Geissler,1-3,1999,1999
ref31,Front-End Vision and Multi-Scale Image Analysis,Computational Imaging and Vision,Springer,T H Romeny,27,2004,2004
ref32,Shape and Appearance Models for Automatic Coronary Artery Tracking,Proceedings of MICCAI Workshop 3D Segmentation in the Clinic: A Grand Challenge II,S Zambal,J Hladůvka,A Kanitsar,K Bühler,2008,2008
ref33,SymmetryBased Facade Repair,Vision, Modeling and Visualization Workshop 2009 in Braunschweig,P Musialski,P Wonka,M Recheis,S Maierhofer,W Purgathofer,Germany,2009,2009</t>
  </si>
  <si>
    <t>ref1,Ten Unsolved Problems in,Computer Graphics. Datamation,I E Sutherland,12,1966,1966,j
ref2,Ten Unsolved Problems in Rendering,Workshop on Rendering Algorithms and Systems, Graphics Interface '87,P Heckbert,1987,1987,m
ref3,Top Scientific Visualization Research Problems,IEEE Computer Graphics and Applications,C Johnson,24,13,17,2004,2004,j
ref4,Interactive Rendering of Large Volume Data Sets,Proc. IEEE Visualization,S Guthe,M Wand,J Gonser,W Strasser,53,60,2002,2002,m
ref5,Interactive Out-Of-Core Isosurface Extraction,Proc. IEEE Visualization '98,Y.-J Chiang,C Silva,W Schroeder,167,174,1998,1998,m
ref6,,Werner Purgathofer,Robert F Tobler
ref7,,Academic Press,C Hansen,C Johnson,Visualization Handbook,2004,2004
ref8,Interactive Iso-Surface Ray Tracing of Massive Volumetric Data Sets. EG Symposium on Parallel Graphics and Visualization,H Friedrich,I Wald,P Slusallek,2007,2007,m
ref9,Large Volume Visualization of Compressed Time Dependent Data-Sets on GPU Clusters,Parallel Computing,M Strengert,M Magallon,D Weiskopf,S Guthe,T Ertl,31,205,219,2005,2005,j
ref10,Issues and Architectures in Large-Scale Data Visualization,Visualization Handbook,Academic Press,C Pavlakos,P Heermann,551,567,2004,2004,m
ref11,LINQ: Reconciling Object, Relations and XML in the NET Framework,Proceedings of the Twenty-Fifth ACM SIGACTSIGMOD-SIGART Symposium on Principles of Database Systems,ACM Press,E Meijer,B Beckman,G Bierman,2006,2006,m
ref12,High-Level User Interfaces for Transfer Function Design with Semantics,Proc. IEEE Visualization,C Rezk-Salama,M Keller,P Kohlmann,1021,1028,2006,2006,m
ref13,Semantic Layers for Illustrative Volume Rendering,IEEE Transactions on Visualization and Computer Graphics,P Rautek,S Bruckner,E Gröller,13,1336,1343,2007,2007,j
ref14,,* * * Vrvis
ref15,A Multiresolution Mesh Generation Approach for Procedural Definition of Complex Geometry,Proc. of the Shape Modeling International,R F Tobler,S Maierhofer,A Wilkie,35,42,2002-05,2002,05,m
ref16,Multiresolution Geometric Details on Subdivision Surfaces,Proc. of Graphite,P Musialski,R F Tobler,2007,2007,m
ref17,Severe Weather Explorer-Interactive Visual Analysis of Large and Heterogeneous Meteorological Data,Proceedings of Lakeside Conference,H Doleisch,P Muigg,M Spatzierer,2008,2008,m
ref18,Comprehensive Visualization of Cardiac MRI Data,M Termeer,2009,2009,m
ref19,GeoTime Information Visualization,Proceedings of the 2004 IEEE Symposium on Information Visualization (InfoVis '04,T Kapler,W Wright,25,32,2004,2004,m
ref20,Stories in GeoTime,proceedings of the second IEEE Symposium on Visual Analytics Science and Technology (VAST '07),R Eccles,T Kapler,R Harper,W Wright,19,26,2007,2007,m
ref21,Illuminating the Path: The Research and Development Agenda for Visual Analytics,IEEE Computer Society,J J Thomas,K A Cook,2005,2005,m
ref22,A Rank-by-Feature Framework for Unsupervised Multidimensional Data Exploration Using Low-Dimensional Projections,proceedings of the IEEE Symposium on Information Visualization,J Seo,B Shneiderman,65,72,2004,2004,m
ref23,Enhancing Visual Analysis of Network Traffic Using a Knowledge Representation,Proc. IEEE Symposium on Visual Analytics Science and Technology (VAST '06,X Ling,J Gerth,P Hanrahan,107,114,2006,2006,m
ref24,Intelligent Visual Analytics Queries,proceedings of the second IEEE Symposium on Visual Analytics Science and Technology (VAST '07),M C Hao,U Dayal,D A Keim,D Morent,J Schneidewind,91,98,2007,2007,m
ref25,Analysis Guided Visual Exploration of Multivariate Data,proceedings of the second IEEE Symposium on Visual Analytics Science and Technology (VAST '07,D Yang,E A Rundensteiner,M O Ward,83,90,2007,2007,m
ref26,Model-Driven Visual Analytics,proceedings of the third IEEE Symposium on Visual Analytics Science and Technology (VAST '08),S Garg,J E Nam,I V Ramakrishnan,K Mueller,19,26,2008,2008,m
ref27,Surface project homepage,* * * Microsoft Inc,m
ref28,State of the Art: Coordinated &amp; Multiple Views in Exploratory Visualization,CMV '07: Proceedings of the Fifth International Conference on Coordinated and Multiple Views in Exploratory Visualization,J C Roberts,2007,2007,m
ref29,Virtual Training in Hand Fire Extinguisher Use. www.vrvis.at/ projects/running-projects/ViFeLoe,A L Fuhrmann,2010-06,2010,06,m
ref30,A Knowledge-Based Approach to Soft Tissue Reconstruction of the Cervical Spine,IEEE Transactions on Medical Imaging,S Seifert,I Wachter,G Schmelzle,R Dillmann,28,2009,2009,j
ref31,,Handbook of Computer Vision and Applications. Three-Volume Set,Academic Press,B Jahne,H Haussecker,P Geissler,1999,1999,m
ref32,Front-End Vision and Multi-Scale Image Analysis,Computational Imaging and Vision,Springer,T H Romeny,27,2004,2004,j
ref33,Shape and Appearance Models for Automatic Coronary Artery Tracking,Proceedings of MICCAI Workshop 3D Segmentation in the Clinic: A Grand Challenge II,S Zambal,J Hladůvka,A Kanitsar,K Bühler,2008,2008,m
ref34,SymmetryBased Facade Repair,Vision, Modeling and Visualization Workshop,P Musialski,P Wonka,M Recheis,S Maierhofer,W Purgathofer,2009,2009,m</t>
  </si>
  <si>
    <t>TUW-191977</t>
  </si>
  <si>
    <t>ref1,Developing Adapters for Web Services Integration,17th Conference on Advanced Information Systems Engineering (CAISE),B Benatallah,F Casati,D Grigori,R Nezhad,F Toumani,Porto, Portugal,2005-06,2005,6
ref2,When are two Web Services Compatible?,5th VLDB Workshop on Technologies for E-Services,L Bordeaux,G Salaün,D Berardi,M Mecella,Toronto, Canada,2004-08,2004,8
ref3,The DELOS Digital Library Reference Model, Foundations for Digital Libraries,DELOS Network of Excellence - Project no. 507618,L Candela,D Castelli,et al.,Ver 0.98,2008,2008
ref4,Digital Library Interoperability, Best Practices and Modelling Foundations,EU funded project,Dl Org,Contract no. 231551,http://www.dlorg.eu
ref5,Towards a Digital Library Theory: A Formal Digital Library Ontology,Int. J. Digital Libraries,M A Goncalves,E A Fox,L T Watson,8,2,91,114,2008-04,2008,4
ref6,Semantic Integration: A Survey of Ontology-based Approaches,ACM SIGMOD Record,N Noy,33,4,65,70,2004,2004</t>
  </si>
  <si>
    <t>ref1,Developing Adapters for Web Services Integration,17th Conference on Advanced Information Systems Engineering (CAISE),B Benatallah,F Casati,D Grigori,R Nezhad,F Toumani,2005-06,2005,06,m
ref2,When are two Web Services Compatible?,5th VLDB Workshop on Technologies for E-Services,L Bordeaux,G Salaün,D Berardi,M Mecella,2004-08,2004,08,m
ref3,,The DELOS Digital Library Reference Model, Foundations for Digital Libraries,L Candela,D Castelli,2008,2008,m
ref4,,Digital Library Interoperability, Best Practices and Modelling Foundations. EU funded project,Dl ,http://www.dlorg.eu,m
ref5,Towards a Digital Library Theory: A Formal Digital Library Ontology,Int. J. Digital Libraries,M A Goncalves,E A Fox,L T Watson,8,2,91,114,2008-04,2008,04,j
ref6,Semantic Integration: A Survey of Ontology-based Approaches,ACM SIGMOD Record,N Noy,33,4,65,70,2004,2004,j</t>
  </si>
  <si>
    <t>TUW-192724</t>
  </si>
  <si>
    <t>ref1,[Dudycz, 2005],Enterprises value management,PTE,T Dudycz,Warsaw, Poland,2005,2005
ref2,[Edvinsson, Malone, 1997],Intellectual Capital: realizing your company's true value by finding its hidden brainpower,HarperBusiness,L Edvinsson,M Malone,New York, NY,1997,1997
ref3,[Farlow, 1984],Self-organizing Methods in Modelling: GMDH-type Algorithms,Marcel Dekker Inc,S J Farlow,New York,1984,1984
ref4,[Fitz-Enz, 2001],Investment in human capital,J Fitz-Enz,Krakow, Poland,2001,2001
ref5,[Hill, Jones, 2000],Strategic Management: An Integrated Approach Houghton-Mifflin,Houghton-Mifflin,C W L Hill,G R Jones,5,Boston,2000,2000
ref6,[Iwachnienko, 1982],Induktiwnyj metod samoorganizacji modelej sloznych system po eksperymentalnym danym,Naukowa Dumka,A G Iwachnienko,Kijów:,1982,1982
ref7,[Johnson, Scholes, 2002],Exploring Corporate Strategy: Text and Cases,Pearson Higher Education,G Johnson,K Scholes,6,London,2002,2002
ref8,[Kasiewicz, Rogowski, Kicińska, 2006],Intellectual capital,S Kasiewicz,W Rogowski,M Kicińska,Krakow, Poland,2006,2006
ref9,[Kasprzak, in. polish],The reference model In the business processes management,T Kasprzak,Difin, Poland, Warsaw,in. polish,2005,2005
ref10,[Klaus, Rosemann, Gable, Manufactured in The Netherlands],What is ERP?,Information Systems Frontiers,Kluwer Academic Publishers,H Klaus,M Rosemann,G G Gable,Manufactured in The Netherlands,141,162,2000,2000
ref11,[Krebs, Patalas-Maliszewska, 2009],An E-Administration Strategy for Innovation Transfer,5th International Vilnius Conference. Knowledge-Based Technologies and Methodologies for Strategic Decisions of Sustainable Development,VGTU Press "Technika",Grasserbauer, M.; Sakalauskas, L.; Zavadskas, E. K.,I Krebs,J Patalas-Maliszewska,Vilnius,2009,2009
ref12,[Mintzberg, Lampel, Quinn, Ghoshal, 2003],The Strategy Process: Concepts, Contexts, Cases,NJ,Prentice-Hall,H Mintzberg,J Lampel,J B Quinn,S Ghoshal,Upper Saddle River, NJ,2003,2003
ref13,[Nonaka, Takeuchi, 1995],The Knowledge-Creating Company,Oxford University Press,L Nonaka,H Takeuchi,New York,1995,1995
ref14,[Patalas-Maliszewska, 2010],The concept of system supporting decision making enabling to asses and forecast of knowledge in SMEs" – research results,Applied Computer Science,J Patalas-Maliszewska,Zilina, Slovak Republic,2010,2010
ref15,[Quinn, Anderson, Finkelstein, 1996],Managing professional intellect: making the most of the best,Harvard Business Review,J B Quinn,P Anderson,S Finkelstein,1996-04,1996,4
ref16,[Sokołowska, 2005],Intellectual capital management in the small enterprise,PTE,A Sokołowska,2005,2005</t>
  </si>
  <si>
    <t>ref1,Enterprises value management,Pte ,Warsaw Poland,2005,2005,m
ref2,Intellectual Capital: realizing your company's true value by finding its hidden brainpower,HarperBusiness,L Edvinsson,M Malone,New York, NY,1997,1997,m
ref3,,Self-organizing Methods in Modelling: GMDH-type Algorithms,Marcel Dekker Inc,S J Farlow,1984,1984,m
ref4,Investment in human capital,J Fitz-Enz,Krakow, Poland,2001,2001,m
ref5,Strategic Management: An Integrated Approach,C W L Hill,G R Jones,Houghton-Mifflin; Boston,2000,2000,m
ref6,Induktiwnyj metod samoorganizacji modelej sloznych system po eksperymentalnym danym, Kijów: Naukowa Dumka,A G Iwachnienko,1982,1982,m
ref7,Exploring Corporate Strategy: Text and Cases,Pearson Higher Education,G Johnson,K Scholes,London,2002,2002,m
ref8,,S Kasiewicz,W Rogowski,M Kicińska,Krakow, Poland.,2006,2006
ref9,The reference model In the business processes management,T Kasprzak,Difin, Poland, Warsaw,2005,2005,m
ref10,What is ERP? Information Systems Frontiers,Kluwer Academic Publishers,H Klaus,M Rosemann,G Gable,141,162,2000,2000,m
ref11,An E-Administration Strategy for Innovation Transfer,5th International Vilnius Conference,Publisher: VGTU Press,I Krebs,J Patalas-Maliszewska,2009,2009,m
ref12,The Strategy Process: Concepts, Contexts, Cases,Prentice-Hall,H Mintzberg,J Lampel,J B Quinn,S Ghoshal,Upper Saddle River, NJ,2003,2003,m
ref13,,The Knowledge-Creating Company,Oxford University Press,L Nonaka,H Takeuchi,1995,1995,m
ref14,The concept of system supporting decision making enabling to asses and forecast of knowledge in SMEs"-research results,Applied Computer Science,J Patalas-Maliszewska,2010,2010,j
ref15,Managing professional intellect: making the most of the best,Harvard Business,J B Quinn,P Anderson,S Finkelstein,1996-04,1996,04,j
ref16,Intellectual capital management in the small enterprise,Pte ,2005,2005,m</t>
  </si>
  <si>
    <t>TUW-194085</t>
  </si>
  <si>
    <t>ref1,Alpern, Schneider [1985],Defining liveness,Technical Report TR85-650,Cornell University,Bowen Alpern,Fred B Schneider,1985,1985
ref2,Attiya, Welch [2004],Distributed Computing: Fundamentals, Simulations, and Advanced Topics,John Wiley &amp; Sons,Hagit Attiya,Jennifer Welch,2,2004,2004
ref3,Bourbaki [1989],General Topology, Chapters 1–4,Elements of Mathematics,Springer,Nicoloas Bourbaki,1989,1989
ref4,Charron-Bost, Toueg, Basu [2000],Revisiting safety and liveness in the context of failures,Proceedings of CONCUR 2000 —Concurrency Theory,Springer,Bernadette Charron-Bost,Sam Toueg,Anindya Basu,552,565,2000,2000
ref5,Dolev, Dwork, Stockmeyer [1987],On the minimal synchronism needed for distributed consensus,Journal of the ACM,Danny Dolev,Cynthia Dwork,Larry Stockmeyer,34,1,77,97,1987,1987
ref6,Fich, Ruppert [2003],Hundreds of impossibility results for distributed computing,Distributed Computing,Faith Fich,Eric Ruppert,16,2,121,163,2003,2003
ref7,Fischer, Lynch, Paterson [1985],Impossibility of distributed consensus with one faulty process,Journal of the ACM,Michael J Fischer,Nancy A Lynch,Michael S Paterson,32,2,374,382,1985,1985
ref8,Hatcher [2002],Algebraic Topology,Cambridge University Press,Allan Hatcher,2002,2002
ref9,Herlihy, Rajsbaum [2000],Algebraic spans,Mathematical Structures in Computer Science,Maurice Herlihy,Sergio Rajsbaum,10,4,549,573,2000,2000
ref10,Herlihy, Shavit [1993],The asynchronous computability theorem for tresilient tasks,Proceedings of the 25th Annual ACM Symposium on Theory of Computing,Maurice Herlihy,Nir Shavit,111,120,1993,1993
ref11,Herrlich, Strecker [1973],Category Theory: An Introduction,Allyn and Bacon,Horst Herrlich,George E Strecker,1973,1973
ref12,Lamport [1977],Proving the correctness of multiprocess programs,IEEE Transactions on Software Engineering SE,Leslie Lamport,3,2,125,143,1977,1977
ref13,Lubitch, Moran [1995],Closed schedulers: A novel technique for analyzing asynchronous protocols,Distributed Computing,Ronit Lubitch,Shlomo Moran,8,4,203,210,1995,1995
ref14,Lynch [1996],Distributed Algorithms,Morgan Kaufmann,Nancy A Lynch,1996,1996
ref15,Moses, Rajsbaum [2002],A layered analysis of consensus,SIAM Journal on Computing,Yoram Moses,Sergio Rajsbaum,31,4,989,1021,2002,2002
ref16,Saks, Zaharoglou [2000],Wait-free k-set agreement is impossible: The topology of public knowledge,SIAM Journal on Computing,Michael Saks,Fotios Zaharoglou,29,5,1449,1483,2000,2000
ref17,Santoro, Widmayer [1989],Time is not a healer,Proceedings of the 6th Annual Symposium on Theoretical Aspects of Computer Science,Springer,Nicola Santoro,Peter Widmayer,304,313,1989,1989
ref18,Spanier [1966],Algebraic Topology,McGraw-Hill,Edwin H Spanier,1966,1966</t>
  </si>
  <si>
    <t>ref1,Defining liveness,Alpern,Fred B Bowen,Schneider,1985,1985,m
ref2,Distributed Computing: Fundamentals, Simulations, and Advanced Topics,John Wiley &amp; Sons,Hagit Attiya,Jennifer Welch,2004,2004,m
ref3,,General Topology, Chapters 1-4. Elements of Mathematics,Springer,Nicolas Bourbaki,1989,1989,m
ref4,Revisiting safety and liveness in the context of failures,Proceedings of CONCUR 2000-Concurrency Theory,Springer,Bernadette Charron-Bost,Sam Toueg,Anindya Basu,552,565,2000,2000,m
ref5,On the minimal synchronism needed for distributed consensus,Journal of the ACM,Danny Dolev,Cynthia Dwork,Larry Stockmeyer,34,1,77,97,1987,1987,j
ref6,Hundreds of impossibility results for distributed computing,Distributed Computing,Faith Fich,Eric Ruppert,16,2,121,163,2003,2003,j
ref7,Impossibility of distributed consensus with one faulty process,Journal of the ACM,Michael J Fischer,A Nancy,Michael S Lynch,Paterson,32,2,1985,1985,j
ref8,,Cambridge University Press,Allan Algebraic Hatcher,Topology,2002,2002
ref9,Algebraic spans,Mathematical Structures in Computer Science,Maurice Herlihy,Sergio Rajsbaum,10,4,549,573,2000,2000,j
ref10,The asynchronous computability theorem for tresilient tasks,Proceedings of the 25th Annual ACM Symposium on Theory of Computing,Maurice Herlihy,Nir Shavit,111,120,1993,1993,m
ref11,Category Theory: An Introduction,Allyn and Bacon,Horst Herrlich,George E Strecker,1973,1973,m
ref12,Proving the correctness of multiprocess programs,IEEE Transactions on Software Engineering SE,Leslie Lamport,3,2,125,143,1977,1977,j
ref13,Closed schedulers: A novel technique for analyzing asynchronous protocols,Distributed Computing,Lynch, Nancy A. Distributed Algorithms. Morgan Kaufmann,Ronit Lubitch,Shlomo Moran,8,4,203,210,1995,1995,j
ref14,A layered analysis of consensus,SIAM Journal on Computing,Yoram Moses,Sergio Rajsbaum,31,4,989,1021,2002,2002,j
ref15,Wait-free k-set agreement is impossible: The topology of public knowledge,SIAM Journal on Computing,Michael Saks,Fotios Zaharoglou,29,5,1449,1483,2000,2000,j
ref16,Time is not a healer,Proceedings of the 6th Annual Symposium on Theoretical Aspects of Computer Science,Springer,Nicola Santoro,Peter Widmayer,304,313,1989,1989,m
ref17,,McGraw-Hill,Edwin H Algebraic Spanier,Topology,1966,1966</t>
  </si>
  <si>
    <t>TUW-194561</t>
  </si>
  <si>
    <t>ref1,Improving context-sensitive dependency pairs,Proc. LPAR'08,Springer,I. Cervesato, H. Veith and A. Voronkov,B Alarcón,F Emmes,C Fuhs,J Giesl,R Gutiérrez,S Lucas,P Schneider-Kamp,R Thiemann,LNCS 5330,636,651,2008,2008
ref2,On-demand strategy annotations revisited: An improved on-demand evaluation Strategy,Theoretical Computer Science,M Alpuente,S Escobar,B Gramlich,S Lucas,411,2,504,541,2010,2010
ref3,A sequential reduction strategy,Theoretical Computer Science,S Antoy,A Middeldorp,165,1,75,95,1996,1996
ref4,Term rewriting and All That,Cambridge University Press,F Baader,T Nipkow,1998,1998
ref5,Term Rewriting Systems,Cambridge Tracts in Theoretical Computer Science 55,Cambridge University Press,M Bezem,J Klop,R de Vrijer,2003-03,2003,3
ref6,Proving operational termination of membership equational programs,Higher-Order and Symbolic Computation,F Durán,S Lucas,C Marché,J Meseguer,X Urbain,21,1-2,59,88,2008,2008
ref7,Term rewriting with operator evaluation strategies Abbaye des Prémontrés at Pont-` a-Mousson, France,Electr. Notes Theor. Comput. Sci.,Kirchner and H. Kirchner,S Eker,Abbaye des Prémontrés at Pont-á-Mousson, France,15,311,330,1998-09,1998,9
ref8,From outermost to context-sensitive rewriting,Proc. RTA'09,Springer,R. Treinen,J Endrullis,D Hendriks,Proc. RTA'09, Brasilia, Brazil, June 29 - July 1, 2009, LNCS 5595,,305,319,2009-06,2009,6
ref9,Lazy rewriting on eager machinery,ACM Transactions on Programming Languages and Systems (TOPLAS),W Fokkink,J Kamperman,P Walters,22,1,45,86,2000,2000
ref10,Principles of OBJ2,Conference Record of the 12th Annual ACM Symposium on Principles of Programming Languages (POPL'85),ACM Press,K Futatsugi,J Goguen,J.-P Jouannaud,J Meseguer,52,66,1985,1985
ref11,Transformation techniques for context-sensitive rewrite systems,Journal of Functional Programming,J Giesl,A Middeldorp,14,4,379,427,2004-07,2004,7
ref12,AProVE 1.2: Automatic termination proofs in the dependency pair framework,Proc. IJCAR'06,Springer,U. Furbach and N. Shankar,J Giesl,P Schneider-Kamp,R Thiemann,Seattle, Wasington, USA, August 17-20, 2006, LNCS 4130,281,286,2006,2006
ref13,Generalizing Newman's Lemma for left-linear rewrite systems,Proc. RTA'06, Seattle, Washington, USA, August 12-14, 2006, LNCS 4098,Springer,F. Pfenning,B Gramlich,S Lucas,66,80,2006,2006
ref14,Context-sensitive computations in functional and functional logic programs,Journal of Functional and Logic Programming,S Lucas,1,1998-01,1998,1
ref15,Termination of on-demand rewriting and termination of OBJ programs,Proc. PPDP'01, September 5-7, 2001, Florence, Italy,ACM,S Lucas,82,93,2001,2001
ref16,Context-sensitive rewriting strategies,Information and Computation,S Lucas,178,1,294,343,2002,2002
ref17,Lazy rewriting and context-sensitive rewriting,Electr. Notes Theor. Comput. Sci.,S Lucas,64,Proc.WFLP'01, Kiel, Germany, September 13-15, 2001, Selected Papers, M. Hanus, ed.,234,254,2001,2001
ref18,Computing in systems described by equations,LNCS,Springer,M J O'Donnell,58,1977,1977
ref19,Termination of lazy rewriting revisited,Electronic Notes in Theoretical Computer Science,F Schernhammer,B Gramlich,204,Final Proc. WRS'07, Jüurgen Giesl, ed.,35,51,2008-04,2008,4
ref20,Characterizing and proving operational termination of deterministic conditional term rewriting systems,Journal of Logic and Algebraic Programming,F Schernhammer,B Gramlich,Selected revised papers of NWPT'08, to appear,2009,2009
ref21,VMTL – a modular termination laboratory,Proc. RTA'09,Springer,R. Treinen,F Schernhammer,B Gramlich,Proc. RTA'09, Brasilia, Brazil, June 29 - July 1, 2009, LNCS 5595,285,294,2009-06,2009,6
ref22,On some implementation aspects of VMTL,Proc. WST'09,A. Geser and J. Waldmann,F Schernhammer,B Gramlich,Proc. WST’09, Leipzig, Germany,72,75,2009-06,2009,6</t>
  </si>
  <si>
    <t>ref1,Improving context-sensitive dependency pairs,Proc. LPAR'08,Springer,B Alarcón,F Emmes,C Fuhs,J Giesl,R Gutiérrez,S Lucas,P Schneider-Kamp,R Thiemann,636,651,2008,2008,m
ref2,On-demand strategy annotations revisited: An improved on-demand evaluation Strategy,Theoretical Computer Science,M Alpuente,S Escobar,B Gramlich,S Lucas,411,2,504,541,2010,2010,j
ref3,A sequential reduction strategy,Theoretical Computer Science,S Antoy,A Middeldorp,165,1,75,95,1996,1996,j
ref4,,Term rewriting and All That,Cambridge University Press,F Baader,T Nipkow,1998,1998,m
ref5,,Term Rewriting Systems. Cambridge Tracts in Theoretical Computer Science 55,Cambridge University Press,M Bezem,J Klop,R De Vrijer,2003-03,2003,03,m
ref6,Proving operational termination of membership equational programs. Higher-Order and Symbolic Computation,F Durán,S Lucas,C Marché,J Meseguer,X Urbain,59,88,2008,2008,m
ref7,Term rewriting with operator evaluation strategies,Proc. WRLA'98,S Eker,311,330,1998-09,1998,09,m
ref8,From outermost to context-sensitive rewriting,Proc. RTA'09,Springer,J Endrullis,D Hendriks,305,319,2009-06,2009,06,m
ref9,Lazy rewriting on eager machinery,ACM Transactions on Programming Languages and Systems (TOPLAS),W Fokkink,J Kamperman,P Walters,22,1,45,86,2000,2000,j
ref10,Principles of OBJ2,Conference Record of the 12th Annual ACM Symposium on Principles of Programming Languages (POPL'85),ACM Press,K Futatsugi,J Goguen,J.-P Jouannaud,J Meseguer,52,66,1985,1985,m
ref11,Transformation techniques for context-sensitive rewrite systems,Journal of Functional Programming,J Giesl,A Middeldorp,14,4,379,427,2004-07,2004,07,j
ref12,AProVE 1.2: Automatic termination proofs in the dependency pair framework,Proc. IJCAR'06,Springer,J Giesl,P Schneider-Kamp,R Thiemann,281,286,2006,2006,m
ref13,Generalizing Newman's Lemma for left-linear rewrite systems,Proc. RTA'06,Springer,B Gramlich,S Lucas,66,80,2006,2006,m
ref14,Context-sensitive computations in functional and functional logic programs,Journal of Functional and Logic Programming,S Lucas,1,1998-01,1998,01,j
ref15,Termination of on-demand rewriting and termination of OBJ programs,Proc. PPDP'01,ACM,S Lucas,82,93,2001,2001,m
ref16,Context-sensitive rewriting strategies. Information and Computation,S Lucas,294,343,2002,2002,m
ref17,Lazy rewriting and context-sensitive rewriting,Proc. WFLP'01,S Lucas,234,254,2001,2001,m
ref18,Computing in systems described by equations,LNCS,Springer,M J O &amp;apos;donnell,58,1977,1977,j
ref19,Termination of lazy rewriting revisited,Final Proc. WRS'07, Jürgen Giesl,F Schernhammer,B Gramlich,35,51,2008-04,2008,04,m
ref20,Characterizing and proving operational termination of deterministic conditional term rewriting systems,Journal of Logic and Algebraic Programming,F Schernhammer,B Gramlich,2009,2009,j
ref21,VMTL-a modular termination laboratory,Proc. RTA'09,Springer,F Schernhammer,B Gramlich,285,294,2009-06,2009,06,m
ref22,On some implementation aspects of VMTL,Proc. WST'09,F Schernhammer,B Gramlich,72,75,2009-06,2009,06,m</t>
  </si>
  <si>
    <t>TUW-194660</t>
  </si>
  <si>
    <t>ref1,Interaction nets,Proceedings of the 17th ACM symposium on Principles of programming languages (POPL),J Lafont,95,108,1990,1990
ref2,Interaction nets with nested pattern matching,Electr. Notes Theor. Comput. Sci,A Hassan,S Sato,203,1,79,92,2008,2008
ref3,The inets project,,http://www.interaction-nets.org
ref4,Interaction nets with nested patterns: An implementation. ,Proceedings: 10th Int. Workshop on Rule-Based Programming (RULE'09),A Hassan,E Jiresch,S Sato,Brasìlia, Brazil,Prelim,14,25,2009-06,2009,6
ref5,Interaction nets with nested patterns: An implementation,Proceedings of RULE'09: Electr. Proceed. in Theor. Comp. Sci. (EPTCS),A Hassan,E Jiresch,S Sato,Full version of [4], to appear,2010,2010</t>
  </si>
  <si>
    <t>ref1,A rule is found in the AST. If the rule has a nested pattern, its well-formedness is verified,,m
ref2,If the rule is well-formed, it is translated: The first nested argument is removed from the rule and an auxiliary rule is generated,,m
ref3,The remaining nested agents are not (yet) translated. They are resolved by translating the auxiliary rule,,m
ref4,The AST is traversed until the next (unprocessed) rule is found,,m
ref5,This algorithm allows for an arbitrary number of nested patterns (i.e., the number of nested agents in a nested rule) and an arbitrary pattern depth,,m
ref6,Interaction nets,Proceedings of the 17th ACM symposium on Principles of programming languages (POPL),Y Lafont,95,108,1990,1990,m
ref7,Interaction nets with nested pattern matching,Electr. Notes Theor. Comput. Sci,A Hassan,S Sato,203,1,79,92,2008,2008,j
ref8,Interaction nets with nested patterns: An implementation,Prelim. Proceedings: 10th Int. Workshop on Rule-Based Programming (RULE'09),A Hassan,E Jiresch,S Sato,14,25,2009-06,2009,06,m
ref9,Interaction nets with nested patterns: An implementation. Full version of [4,Proceedings of RULE'09: Electr. Proceed. in Theor. Comp. Sci. (EPTCS),A Hassan,E Jiresch,S Sato,2010,2010,m</t>
  </si>
  <si>
    <t>TUW-197422</t>
  </si>
  <si>
    <t>ref1,[Byr03],Cognitive Architecture,Lawrence Erlbaum Associates,M D Byrne,Hillsdale, NJ,97,117,2003
ref2,[CNM83],The Psychology of Human-Computer Interaction,Lawrence Erlbaum Associates,S K Card,A Newell,T P Moran,Hillsdale, NJ,1983
ref3,[Dou01],Where the Action Is: The Foundations of Embodied Interaction,The MIT Press,P Dourish,Cambridge,2001
ref4,[DRC10],Capturing Reasoning Process Through User Interaction,Proc. IEEE EuroVAST (2010),W Dou,W Ribarsky,R Chang,2010
ref5,[GRF08],Visual Analytics for Complex Concepts Using a Human Cognition Model,Proc. IEEE VAST (2008),T Green,W Ribarsky,B Fisher,91,98,2008
ref6,[HHN85],Direct Manipulation Interfaces,E L Hutchins,J D Hollan,D A Norman,1,4,311,338,1985
ref7,[Hut96],Cognition in the Wild,The MIT Press,E Hutchins,Cambridge,1996
ref8,[Kee10],Integrating Visualization and Interaction Research to Improve Scientific Workflows,IEEE CGA0,D Keefe,30,2,8,13,2010
ref9,[KN06],Acting with Technology: Activity Theory and Interaction Design,The MIT Press,V Kaptelinin,B A Nardi,Cambridge,2006
ref10,[Lam08],A Framework of Interaction Costs in Information Visualization,H Lam,14,2008
ref11,[LNS08],Distributed Cognition as a Theoretical Framework for Information Visualization,IEEE TVCG,Z Liu,N J Nersessian,J T Stasko,14,6,1173,1180,2008
ref12,[LS10],Mental Models, Visual Reasoning and Interaction in Information Visualization: A Top-down Perspective,IEEE TVCG,Z Liu,J Stasko,16,6,999,1008,2010
ref13,[Nor88],Psychology of Everyday Things,Basic Books,D A Norman,1,1149,1156,1988
ref14,[Nor93],Things That Make Us Smart: Defending Human Attributes In The Age Of The Machine,Basic Books,D Norman,1993
ref15,[PSCO09],The Science of Interaction,Information Visualization,W A Pike,J T Stasko,R Chang,T A O’Connell,8,4,263,274,2009
ref16,[Ric06],Is Interactivity Actually Important?,Proc. Australasian Conf. on Interactive Entertainment,D Richards,59,66,2006
ref17,[SC06],Guest Editors’ Introduction: Interacting with Digital Tabletops,IEEE CGA,S Scott,S Carpendale,26,5,24,27,2006
ref18,[SNLD06],An Insight-Based Longitudinal Study of Visual Analytics,IEEETVCG,P Saraiya,C North,V Lam,K A Duca,12,6,1511,1522,2006
ref19,[Spe07],Information Visualization: Design for Interaction,Prentice Hall,R Spence,2,Upper Saddle River, NJ,2007
ref20,[Ste92],Defining Virtual Reality: Dimensions Determining Telepresence,Journal of Communication,J Steuer,42,4,73,93,1992
ref21,[Str04],Interactivity-as-Product and Interactivity-as-Process,The Information Society,J Stromer-Galley,20,5,391,394,2004
ref22,[Suc87],Plans and Situated Actions: The Problem of Human-Machine Communication,Cambridge University Press,L A Suchman,Cambridge,1987
ref23,[TC05],Illuminating the Path: The Research and Development Agenda for Visual Analytics,IEEE Press,J J Thomas,K A Cook,2005
ref24,[Tha96],Mind: Introduction to Cognitive Science,The MIT Press,P Thagard,Cambridge,1996
ref25,[War04],Information Visualization: Perception for Design, 2nd edition ed,Interactive Technologies,Morgan Kaufmann,C Ware,2,San Francisco,2004
ref26,[YKSJ07],Toward a Deeper Understanding of the Role of Interaction in Information Visualization,IEEE TVCG,J S Yi,Y A Kang,J Stasko,J Jacko,13,6,1224,1231,2007</t>
  </si>
  <si>
    <t>ref1,Acting with Technology: Activity Theory and Interaction Design,The MIT Press,Kaptelinin V Nardi,B A ,Cambridge,2006,2006,m
ref2,A Framework of Interaction Costs in Information Visualization,IEEE TVCG,Lam H ,14,1,1149,1156,2008,2008,j
ref3,Distributed Cognition as a Theoretical Framework for Information Visualization,IEEE TVCG,Liu Z Nersessian,N J Stasko,J T ,14,2008,2008,j
ref4,Mental Models, Visual Reasoning and Interaction in Information Visualization: A Top-down Perspective,IEEE TVCG,Liu Z Stasko,J ,16,2,999,1008,2010,2010,j
ref5,Psychology of Everyday Things. Basic Books,Norman D A ,1988,1988,m
ref6,Things That Make Us Smart: Defending Human Attributes In The Age Of The Machine. Basic Books,Norman D ,1993,1993,m
ref7,The Science of Interaction,Information Visualization,A Pike W,J T Stasko,Chang R A O &amp;apos;connell T,8,1,263,274,2009,2009,j
ref8,Is Interactivity Actually Important?,Proc. Australasian Conf. on Interactive Entertainment,Richards D ,59,66,2006,2006,m
ref9,Guest Editors' Introduction: Interacting with Digital Tabletops,IEEE CGA,Scott S ,26,5,24,27,2006,2006,j
ref10,An Insight-Based Longitudinal Study of Visual Analytics,IEEE TVCG,Saraiya P North,C Lam V,K A Duca,12,6,2006,2006,j
ref11,,Information Visualization: Design for Interaction,Prentice Hall,Spence R ,2007,2007,m
ref12,Defining Virtual Reality: Dimensions Determining Telepresence,Journal of Communication,Steuer J ,42,2,73,93,1992,1992,j
ref13,Plans and Situated Actions: The Problem of Human-Machine Communication,Cambridge University Press,Suchman L A ,Cambridge,1987,1987,m
ref14,Cognitive Architecture,Lawrence Erlbaum Associates,D Byrne M,Hillsdale, NJ,97,117,2003,2003,m
ref15,Illuminating the Path: The Research and Development Agenda for Visual Analytics,IEEE Press,[ Tc05 ] Thomas J J Cook,K A ,2005,2005,m
ref16,The Psychology of Human-Computer Interaction,Lawrence Erlbaum Associates,Card S K Newell A,T P Moran,Hillsdale, NJ,1983,1983,m
ref17,Mind: Introduction to Cognitive Science,The MIT Press,] Thagard P Tha96,Cambridge,1996,1996,m
ref18,Where the Action Is: The Foundations of Embodied Interaction,The MIT Press,Dourish P ,Cambridge,2001,2001,m
ref19,Information Visualization: Perception for Design,Morgan Kaufmann,[ War04,] Ware C,San Francisco,2004,2004,m
ref20,Capturing Reasoning Process Through User Interaction,Proc. IEEE EuroVAST,Dou W Ribarsky,W ,Chang R ,2010,2010,m
ref21,Toward a Deeper Understanding of the Role of Interaction in Information Visualization,IEEE TVCG,Yi J S Kang,Y A Stasko,J Jacko,J ,13,1,1224,1231,2007,2007,j</t>
  </si>
  <si>
    <t>TUW-197852</t>
  </si>
  <si>
    <t>ref1,[Abb83],Program Design by Informal English Descriptions,Bibliography Communications of the ACM,R J Abbott,26,11,882,894,1983,1983
ref2,[APL08],A Diagnosis Method that Matches Class Diagrams in a Learning Environment for Object-Oriented Modeling,ICALT '08: Proc. of the 2008 Eighth IEEE International Conference on Advanced Learning Technologies,IEEE Computer Society,L Auxepaules,T Py,Lemeunier,26,30,2008,2008
ref3,[BM06],A Constraint-Based Collaborative Environment for Learning UML Class Diagrams,Proc. Intelligent Tutoring Systems,Springer,N Baghaei,A Mitrovic,LNCS 4053,176,186,2006,2006
ref4,[BSW+08],Teaching Models @ BIG-How to Give 1000 Students an Understanding of the UML,Promoting Software Modeling Through Active Education, Educators Symposium Models'08,Warsaw University of Technology,M Brandsteidl,M Seidl,M Wimmer,C Huemer,G Kappel,64,68,2008,2008
ref5,[FKM05],From Textual Scenarios to a Conceptual Schema,Data &amp; Knowledge Engineering,G Fliedl,C Kop,H C Mayr,55,1,20,37,2005,2005
ref6,[SM04],An Intelligent Tutoring System for Entity Relationship Modelling,International Journal of Artificial Intelligence in Education (IJAIED),P Suraweera,A Mitrovic,14,3-4,375,417,2004,2004
ref7,[WKH08],A Combined Similarity Measure for Determining Similarity of Model-based and Descriptive Requirements,Artificial Intelligence Techniques in Software Engineering (ECAI 2008 Workshop),K Wolter,T Krebs,L Hotz,11,15,2008,2008</t>
  </si>
  <si>
    <t>ref1,Program Design by Informal English Descriptions,Communications of the ACM,R J Abbott,26,11,882,894,1983,1983,j
ref2,A Diagnosis Method that Matches Class Diagrams in a Learning Environment for Object-Oriented Modeling,ICALT '08: Proc. of the 2008 Eighth IEEE International Conference on Advanced Learning Technologies,IEEE Computer Society,L Auxepaules,D Py,T Lemeunier,26,30,2008,2008,m
ref3,A Constraint-Based Collaborative Environment for Learning UML Class Diagrams,Proc. Intelligent Tutoring Systems,Springer,N Baghaei,A Mitrovic,176,186,2006,2006,m
ref4,Teaching Models @ BIG-How to Give 1000 Students an Understanding of the UML,Promoting Software Modeling Through Active Education, Educators Symposium Models'08,M Brandsteidl,M Seidl,M Wimmer,C Huemer,G Kappel,64,68,2008,2008,m
ref5,From Textual Scenarios to a Conceptual Schema,Data &amp; Knowledge Engineering,G Fliedl,C Kop,H C Mayr,55,1,20,37,2005,2005,j
ref6,An Intelligent Tutoring System for Entity Relationship Modelling,International Journal of Artificial Intelligence in Education (IJAIED),P Suraweera,A Mitrovic,14,3-4,375,417,2004,2004,j
ref7,A Combined Similarity Measure for Determining Similarity of Model-based and Descriptive Requirements,Artificial Intelligence Techniques in Software Engineering (ECAI 2008 Workshop,K Wolter,T Krebs,L Hotz,11,15,2008,2008,m</t>
  </si>
  <si>
    <t>TUW-198400</t>
  </si>
  <si>
    <t>ref1,Software engineering for security: a roadmap,ICSE '00: Proceedings of the Conference on The Future of Software Engineering,ACM,P T Devanabu,S Stubblebine,227,239,2000,2000
ref2,Cyberwarfare is becoming scarier,The Economist,,2007,2007
ref3,Secure Systems Development with UML,Springer,J Juerjens,2005,2005
ref4,Model-driven development for secure information systems,Information and Software Technology,E Fernandez-Medina,J Juerjens,J Trujillo,S Jajodia,2008,2008
ref5,Model-driven engineering,IEEE Computer,D C Schmidt,39,2,2006,2006
ref6,Aspect-oriented programming,G Kiczales,J Lamping,A Mendhekar,C Maeda,C Lopes,J.-M Loingtier,J Irwin,220,242,1997,1997
ref7,Architecting secure software systems using an aspect-oriented approach: A survey of current research,Iowa State University, Tech. Rep.,J Dehlinger,N Subramanian,2006,2006
ref8,UMLsec: Extending UML for secure systems development,UML '02: Proceedings of the 5th International Conference on The Unified Modeling Language,J Juerjens,2002,2002
ref9,Model driven security for process-oriented systems,SACMAT ’03: Proceedings of the eighth ACM Symposium on Access
control models and technologies,ACM,D Basin,J Doser,T Lodderstedt,100,109,2003,2003
ref10,Automated security protocol analysis with the AVISPA tool,Electronic Notes in Theoretical Computer Science,L Vigano,155,61,86,2006,2006
ref11,A synthesis of evaluation criteria for software specifications and specification techniques,International Journal of Software Engineering and Knowledge Engineering,A Khwaja,J Urban,2002,2002
ref12,Evaluation: Methods for Studying Programs and Policies,Prentice-Hall,C H Weiss,1998,1998
ref13,Assumptions underlying evaluation models,Educational Researcher,H E R,1978,1978
ref14,Secure information systems development-a survey and comparison,Computers &amp; Security,R Villarroel,E Fernandez-Medina,M Piattini,2005,2005
ref15,Introducing security aspects with model transformations,ECBS ’05: Proceedingsof the 12th IEEE International Conference andWorkshops on Engineering of Computer-Based Systems,IEEE Computer Society,J Fox,J Juerjens,2005,2005
ref16,Is UML an architectural description language,D Coleman,G Booch,D Garlan,S Iyengar,C Kobryn,V Stavridou,1999,1999
ref17,Model-based security engineering of distributed information systems using UMLsec,ICSE '07: Proceedings of the 29th international conference on Software Engineering,B Best,J Juerjens,B Nuseibeh
ref18,UML analysis tools,J Juerjens,http://mcs.open.ac.uk/jj2924/umlsectool/index.html
ref19,Developing secure embedded systems: Pitfalls and how to avoid them,J Juerjens,2007,2007
ref20,Secure software architectures design by aspect orientation,ICECCS '05: Proceedings of the 10th IEEE International Conference on Engineering of Complex Computer Systems,IEEE Computer Society,H Yu,D Liu,X He,L Yang,S Gao,47,55,2005,2005
ref21,Recognizing safety and liveness,Distributed Computing,B Alpern,B Alpera,F B Schneider,F B Schneider,2,117,126,1987,1987
ref22,A model-based aspect-oriented framework for building intrusion-aware software systems,Information and Software Technology,Z J Zhu,M Zulkernine,2008,2008
ref23,Threat classification,WASC Tech. Rep,Web Application Security Consortium, Tech. Rep.,,2008,2008,http://www.webappsec.org/projects/threat
ref24,The AVISPA tool for the automated validation of internet security protocols and applications,Lecture Notes in Computer Science,A Armando,D Basin,Y Boichut,Y Chevalier,L Compagna,J Cuellar,P H Drielsma,P Heam,O Kouchnarenko,J Mantovani,S Moedersheim,D von Oheimb,M Rusinowitch,J Santiago,M Turuani,L Vigano,L Vigneron,,3576,2005,2005
ref25,The temporal logic of actions,ACM Transactions on Programming Languages and Systems,L Lamport,16,872,923,1994,1994
ref26,The state explosion problem,Lectures on Petri Nets I: Basic Models Advances in Petri Nets, the volumes are based on the Advanced Course on Petri Nets,Springer Verlag,A Valmari,London, UK,429,528,1998,1998
ref27,Logic in Computer Science,Cambridge University Press The MIT Press,M Huth,M Ryan,2004,2004
ref28,Software abstractions: Logic, Language, and Analysis,The MIT Press,D Jackson,2006,2006</t>
  </si>
  <si>
    <t>ref1,Software engineering for security: a roadmap,ICSE '00: Proceedings of the Conference on The Future of Software Engineering,ACM,P T Devanabu,S Stubblebine,227,239,2000,2000,m
ref2,The Economist,The Economist,,2007,2007,j
ref3,Secure Systems Development with UML,Springer,J Juerjens,2005,2005,m
ref4,Model-driven development for secure information systems,Information and Software Technology,E Fernandez-Medina,J Juerjens,J Trujillo,S Jajodia,2008,2008,m
ref5,Model-driven engineering,IEEE Computer,D C Schmidt,39,2,2006,2006,j
ref6,Aspect-oriented programming,G Kiczales,J Lamping,A Mendhekar,C Maeda,C Lopes,J.-M Loingtier,J Irwin,220,242,1997,1997,m
ref7,Architecting secure software systems using an aspect-oriented approach: A survey of current research,J Dehlinger,N Subramanian,2006,2006,m
ref8,UMLsec: Extending UML for secure systems development,UML '02: Proceedings of the 5th International Conference on The Unified Modeling Language,J Juerjens,2002,2002,m
ref9,Model driven security for process-oriented systems,SACMAT '03: Proceedings of the eighth ACM Symposium on Access control models and technologies,ACM,D Basin,J Doser,T Lodderstedt,2003,2003,m
ref10,Automated security protocol analysis with the AVISPA tool,Electronic Notes in Theoretical Computer Science,L Vigano,155,61,86,2006,2006,j
ref11,A synthesis of evaluation criteria for software specifications and specification techniques,International Journal of Software Engineering and Knowledge Engineering,A Khwaja,J Urban,2002,2002,j
ref12,Evaluation: Methods for Studying Programs and Policies,Prentice-Hall,C H Weiss,1998,1998,m
ref13,Assumptions underlying evaluation models,Educational Researcher,H E R ,1978,1978,j
ref14,Secure information systems development-a survey and comparison,Computers &amp; Security,R Villarroel,E Fernandez-Medina,M Piattini,2005,2005,j
ref15,Introducing security aspects with model transformations,ECBS '05: Proceedings of the 12th IEEE International Conference and,IEEE Computer Society,J Fox,J Juerjens,2005,2005,m
ref16,Is UML an architectural description language,D Coleman,G Booch,D Garlan,S Iyengar,C Kobryn,V Stavridou,1999,1999,m
ref17,Model-based security engineering of distributed information systems using UMLsec,ICSE '07: Proceedings of the 29th international conference on Software Engineering,B Best,J Juerjens,B Nuseibeh,2007,2007,http://mcs.open.ac.uk/jj2924/umlsectool/index.html,m
ref18,Developing secure embedded systems: Pitfalls and how to avoid them,J Juerjens,2007,2007,m
ref19,Secure software architectures design by aspect orientation,ICECCS '05: Proceedings of the 10th IEEE International Conference on Engineering of Complex Computer Systems,IEEE Computer Society,H Yu,D Liu,X He,L Yang,S Gao,47,55,2005,2005,m
ref20,Recognizing safety and liveness,Distributed Computing,B Alpern,B Alpera,F B Schneider,F B Schneider,2,117,126,1987,1987,j
ref21,A model-based aspect-oriented framework for building intrusion-aware software systems,Information and Software Technology,Z J Zhu,M Zulkernine,2008,2008,m
ref22,Threat classification,Web Application Security Consortium,Wasc,2008,2008,j
ref23,The AVISPA tool for the automated validation of internet security protocols and applications,Lecture Notes in Computer Science,A Armando,D Basin,Y Boichut,Y Chevalier,L Compagna,J Cuellar,P H Drielsma,P Heam,O Kouchnarenko,J Mantovani,S Moedersheim,D Oheimb,M Rusinowitch,J Santiago,M Turuani,L Vigano,L Vigneron,3576,2005,2005,j
ref24,The temporal logic of actions,ACM Transactions on Programming Languages and Systems,L Lamport,16,872,923,1994,1994,j
ref25,The state explosion problem,Lectures on Petri Nets I: Basic Models,Springer Verlag,A Valmari,1998,1998,m
ref26,,Logic in Computer Science,Cambridge University Press,M Huth,M Ryan,2004,2004,m
ref27,,Software abstractions: Logic, Language, and Analysis,The MIT Press,D Jackson,2006,2006,m</t>
  </si>
  <si>
    <t>TUW-198401</t>
  </si>
  <si>
    <t>ref1,Security attribute evaluation method: a cost-benefit approach,ICSE '02: Proceedings of the 24th International Conference on Software Engineering,ACM Press,S A Butler,New York, NY, USA,232,240,2002,2002
ref2,Octave,CERT,,2007,2007,http://www.cert.org/octave/index.html
ref3,Cramm,InsightConsulting,Octave,2007-05,2007,5,http://www.cramm.com
ref4,Acquiring COTS software selection requirements,IEEE Software,N A Maiden,C Ncube,15,2,46,56,1998,1998
ref5,Using process models to analyze health care security requirements,International Conference Advances in Infrastructure for e-Business, eEducation, e-Science, and e-Medicine on the Internet,S Röhrig,Italy,2002,2002
ref6,The Analytic Hierarchy Process,McGraw-Hill,T L Saaty,1980,1980</t>
  </si>
  <si>
    <t>ref1,Security attribute evaluation method: a cost-benefit approach,ICSE '02: Proceedings of the 24th International Conference on Software Engineering,ACM Press,S A Butler,232,240,2002,2002,m
ref2,,Insightconsulting,2007-05,2007,05
ref3,Acquiring COTS software selection requirements,IEEE Software,N A Maiden,C Ncube,15,2,46,56,1998,1998,j
ref4,Using process models to analyze health care security requirements,International Conference Advances in Infrastructure for e-Business, eEducation, e-Science, and e-Medicine on the Internet,S Röhrig,2002,2002,m
ref5,The Analytic Hierarchy Process,McGraw-Hill,T L Saaty,1980,1980,m</t>
  </si>
  <si>
    <t>TUW-198405</t>
  </si>
  <si>
    <t>ref1,Information Security: An Integrated Collection of Essays,IEEE Computer Society Press,M D Abrams,S Jajodia,1995,1995
ref2,Basic concepts and taxonomy of dependable and secure computing,IEEE Transactions on Dependable and Secure Computing,A Avizienis,J.-C Laprie,B Randell,C Landwehr,01,1,11,33,2004,2004
ref3,Using abuse case models for security requirements analysis,Proceedings of the 15th Annual Computer Security Applications ConferenceACSAC '99),J Mcdermott,C Fox,55,64,1999-12-10,1999,12,6-10
ref4,Secure Business Process Management: A Roadmap,Procs. The First International Conference on Availability, Reliability and Security, 2006,T Neubauer,M Klemen,S Biffl,ARES 2006,2006-04-22,2006,4,20-22
ref5,Eliciting security requirements by misuse cases,Proceedings of the 37th International Conference on Technology of Object-Oriented Languages and Systems, 2000,G Sindre,A L Opdahl,TOOLS-Pacific,120,131,2000-11,2000,11,20-23
ref6,Business process management: a boundaryless approach to modern competitiveness,Business Process Management,M Zairi,3,1,64,80,1997,1997</t>
  </si>
  <si>
    <t>ref1,Information Security: An Integrated Collection of Essays,IEEE Computer Society Press,M D Abrams,S Jajodia,1995,1995,m
ref2,Basic concepts and taxonomy of dependable and secure computing,IEEE Transactions on Dependable and Secure Computing,A Avizienis,J.-C Laprie,B Randell,C Landwehr,01,1,11,33,2004,2004,j
ref3,Using abuse case models for security requirements analysis,Proceedings of the 15th Annual Computer Security Applications Conference, 1999. (ACSAC '99),J Mcdermott,C Fox,55,64,1999-12-10,1999,12,10,m
ref4,Secure Business Process Management: A Roadmap,Procs. The First International Conference on Availability, Reliability and Security,T Neubauer,M Klemen,S Biffl,20,22,2006-04,2006,04,m
ref5,Eliciting security requirements by misuse cases,Proceedings of the 37th International Conference on Technology of Object-Oriented Languages and Systems,TOOLS-Pacific,G Sindre,A L Opdahl,20,23,2000-11,2000,11,m
ref6,Business process management: a boundaryless approach to modern competitiveness,Business Process Management,M Zairi,3,1,64,80,1997,1997,j</t>
  </si>
  <si>
    <t>TUW-198408</t>
  </si>
  <si>
    <t>ref1,[Alves2001],CRE: A systematic method for COTS components selection,Proceedings of the XV Brazilian Symposium on Software Engineering,C Alves,J Castro,2001,2001
ref2,[Alves2003],Investigating conflicts in COTS decisionmaking,International Journal of Software Engineering and Knowledge Engineering,C Alves,A Finkelstein,13,5,473,495,2003,2003
ref3,[Andrews2005],A COTS component comprehension process,Proceedings of the 13th International Workshop on Program Comprehension (IWPC'05),IEEE,A A Andrews,A Stefik,N Picone,S Ghosh,135,144,2005,2005
ref4,[Basili1987],Tailoring the software process to project goals and environments,Proceedings of the 9th International Conference on Software Engineering,IEEE,V R Basili,A Rombach,345,357,1987,1987
ref5,[Basili1996],How reuse influences productivity in object-oriented systems,Communications of the ACM,V R Basili,L C Briand,W L Melo,39,10,104,116,1996,1996
ref6,[Doerner2006],Natureinspired metaheuristics for multiobjective activity crashing,Omega,K F Doerner,W J Gutjahr,R F Hartl,C Strauss,C Stummer,im Druck,2006,2006
ref7,[Ehrgott2000],A survey and annotated bibliography of multiobjective combinatorial optimization,OR Spectrum,M Ehrgott,X Gandibleux,22,4,425,460,2000,2000
ref8,[Ehrgott2004],Approximative solution methods for multiobjective combinatorial optimization,TOP,M Ehrgott,X Gandibleux,12,1,1,63,2004,2004
ref9,[Kontio1995],OTSO: A systematic process for reusable software component selection,Institute for Advanced Computer Studies and Department of Computer Science, University of Maryland,J Kontio,Arbeitspapier,Arbeitspapier,1995,1995
ref10,[Kunda2003],STACE: Social technical approach to COTS software evaluation,Component-Based Software Quality: Methods and Techniques,Springer,D Kunda,LNCS 2693,64,84,2003,2003
ref11,[Lozanotello2002],BAREMO: How to choose the appropriate software component using the Analytic Hierarchy Process,Proceedings of the 14th International Conference on Software Engineering and Knowledge Engineering, ACM Proceedings 27,A Lozano-Tello,A Gomez-Perez,781,788,2002,2002
ref12,[Maiden1998],Acquiring COTS software selection requirements,IEEE Software,N Maiden,C Ncube,15,2,46,56,1998,1998
ref13,[Maiden2002],Rethinking process guidance for selecting software components,Proceedings of the First International Conference on COTS-Based Software Systems (ICCBSS 2002),Springer,N Maiden,H Kim,C Ncube,LNCS 2255,151,164,2002,2002
ref14,[Martinsons1998],The balanced scorecard: A foundation for the strategic management of information systems,Decision Support Systems Journal,M Martinsons,R Davidson,D Tse,25,1,71,78,1998,1998
ref15,[Medaglia2006],A multiobjective evolutionary approach for linearly constrained project selection under uncertainty,European Journal of Operational Research,A Medaglia,S Graves,J Ringuest,im Druck,2006,2006
ref16,[Morisio2002],Definition and classification of COTS: A proposal,Proceedings of the First International Conference on COTS-Based Software Systems (ICCBSS 2002),Springer,M Morisio,M Torchiano,LNCS 2255,165,175,2002,2002
ref17,[Navarrete2005],How agile COTS selection methods are (and can be)?,Proceedings of the 31st EUROMICROConference on Software Engineering and Advanced Applications (EUROMICRO-SEAA'05),IEEE,F Navarrete,P Botella,X Franch,160,167,2005,2005
ref18,[Ncube2002],The limitations of current decision-making techniques in the procurement of COTS software components,Proceedings of the First International Conference on COTS-Based Software Systems (ICCBSS
2002),Springer,C Ncube,J C Dean,LNCS 2255,176,187,2002,2002
ref19,[Neubauer2006],Workshop-based multiobjective security safeguard selection,Proceedings of the First International Conference on Availability, Reliability and Security (ARES'06),IEEE,T Neubauer,C Stummer,E Weippl,366,373,2006,2006
ref20,[Ruhe2002],Intelligent support for selection of COTS products,Revised Papers from the Workshop on Web, Web-Services, and Database Systems (NODe 2002),Springer,G Ruhe,LNCS 2593,34,45,2002,2002
ref21,[Ruhe2003],Software engineering decision support: A new paradigm for learning software organizations,Proceedings of the 4th International Workshop on Advances in Learning Software Organizations (LSO 2002),Springer,G Ruhe,LNCS 2640,104,113,2003,2003
ref22,[Ryan2004],Inclusion of social sub-system issues in ITinvestment decisions: An empiricial assessment,Information Resources Management Journal,S D Ryan,M S Gates,17,1,1,18,2004,2004
ref23,[Torchiano2004],Overlooked aspects of COTS-based development,IEEE Software,M Torchiano,M Morisio,21,2,88,93,2004,2004
ref24,[Tran1997],Component-based systems development: challenges and lessons learned,Software Technology and Engineering Practice,IEEE,V Tran,D.-B Liu,B Hummel,452,462,1997,1997
ref25,[Stummer2003],Interactive R&amp;D portfolio analysis with project interdependencies and time profiles of multiple objectives,IEEE Transactions on Engineering Management,C Stummer,K Heidenberger,50,2,175,183,2003,2003
ref26,[Stummer2005],New multiobjective metaheuristic solution procedures for capital investment planning,Journal of Heuristics,C Stummer,M Sun,11,3,183,199,2005,2005
ref27,[Wanyama2005],Towards providing decision support for COTS selection,Proceedings of the 18th IEEE Canadian Conference on Electrical and Computer Engineering (CCECE 2005),IEEE,T Wanyama,B Homayoun,908,911,2005,2005</t>
  </si>
  <si>
    <t>ref1,Investigating conflicts in COTS decisionmaking,International Journal of Software Engineering and Knowledge Engineering,C Alves,A Finkelstein,13,5,473,495,2003,2003,j
ref2,A COTS component comprehension process,Proceedings of the 13th International Workshop on Program Comprehension (IWPC'05),IEEE,A A Andrews,A Stefik,N Picone,S Ghosh,135,144,2005,2005,m
ref3,Tailoring the software process to project goals and environments,Proceedings of the 9th International Conference on Software Engineering,IEEE,V R Basili,H Rombach,345,357,1987,1987,m
ref4,How reuse influences productivity in object-oriented systems,Communications of the ACM,V R Basili,L C Briand,W L Melo,39,1996,1996,j
ref5,Stummer (2006) Natureinspired metaheuristics for multiobjective activity crashing,K F Doerner,W J Gutjahr,R F Hartl,C Strauss,C ,Omega, im Druck,m
ref6,A survey and annotated bibliography of multiobjective combinatorial optimization,OR Spectrum,M Ehrgott,X Gandibleux,22,2000,2000,j
ref7,Approximative solution methods for multiobjective combinatorial optimization,M Ehrgott,X Gandibleux,2004,2004,m
ref8,OTSO: A systematic process for reusable software component selection,Arbeitspapier,J Kontio,1995,1995,m
ref9,STACE: Social technical approach to COTS software evaluation,Component-Based Software Quality: Methods and Techniques, Springer LNCS 2693,D Kunda,64,84,2003,2003,m
ref10,BAREMO: How to choose the appropriate software component using the Analytic Hierarchy Process,Proceedings of the 14th International Conference on Software Engineering and Knowledge Engineering,A Lozano-Tello,A Gomez-Perez,781,788,2002,2002,m
ref11,Acquiring COTS software selection requirements,IEEE Software, 15. Jg,N Maiden,C Ncube,46,56,1998,1998,m
ref12,Rethinking process guidance for selecting software components,Springer LNCS 2255,N Maiden,H Kim,C Ncube,2002,2002,m
ref13,The balanced scorecard: A foundation for the strategic management of information systems,Decision Support Systems Journal,M Martinsons,R Davidson,D Tse,25,1,71,78,1998,1998,j
ref14,A multiobjective evolutionary approach for linearly constrained project selection under uncertainty,European Journal of Operational Research,A Medaglia,S Graves,J Ringuest,2006,2006,j
ref15,Definition and classification of COTS: A proposal,Proceedings of the First International Conference on COTS-Based Software Systems (ICCBSS 2002). Springer LNCS 2255,M Morisio,M Torchiano,165,175,2002,2002,m
ref16,How agile COTS selection methods are (and can be,Proceedings of the 31st EUROMICROConference on Software Engineering and Advanced Applications (EUROMICRO-SEAA'05),IEEE,F Navarrete,P Botella,X Franch,160,167,2005,2005,m
ref17,The limitations of current decision-making techniques in the procurement of COTS software components,Springer LNCS 2255,C Ncube,J C Dean,176,187,2002,2002,m
ref18,Workshop-based multiobjective security safeguard selection,Proceedings of the First International Conference on Availability, Reliability and Security (ARES'06,IEEE,T Neubauer,C Stummer,E Weippl,366,373,2006,2006,m
ref19,Intelligent support for selection of COTS products. Revised Papers from the Workshop on Web, Web-Services, and Database Systems,Springer LNCS 2593,G Ruhe,34,45,2002,2002,m
ref20,Software engineering decision support: A new paradigm for learning software organizations,Proceedings of the 4th International Workshop on Advances in Learning Software Organizations,Springer,G Ruhe,104,113,2002,2002,m
ref21,Inclusion of social sub-system issues in ITinvestment decisions: An empiricial assessment. Information Resources Management Journal,S D Ryan,M S Gates,1,18,2004,2004,m
ref22,Overlooked aspects of COTS-based development,IEEE Software,M Torchiano,M Morisio,2,88,93,2004,2004,j
ref23,Component-based systems development: challenges and lessons learned. Software Technology and Engineering Practice,IEEE,V Tran,D.-B Liu,B Hummel,452,462,1997,1997,j
ref24,Interactive R&amp;D portfolio analysis with project interdependencies and time profiles of multiple objectives,IEEE Transactions on Engineering Management,C Stummer,K Heidenberger,50,2,175,183,2003,2003,j
ref25,New multiobjective metaheuristic solution procedures for capital investment planning,Journal of Heuristics,C Stummer,M Sun,11,2005,2005,j
ref26,Towards providing decision support for COTS selection,Proceedings of the 18th IEEE Canadian Conference on Electrical and Computer Engineering,IEEE,T Wanyama,B Homayoun,908,911,2005,2005,m</t>
  </si>
  <si>
    <t>TUW-200745</t>
  </si>
  <si>
    <t>ref1,Generalized Spanning Trees and Extensions,Diss.,Universite Libre de Bruxelles,C Feremans,2001,2001
ref2,Solving medium to large sized Euclidean generalized minimum spanning tree problems,Forschungsbericht,Indian Institute of Management, Research and Publication Department,D Ghosh,2003,2003
ref3,Computing Generalized Minimum Spanning Trees with Variable Neighborhood Search,Proceedings of the 18th Mini Euro Conference on Variable Neighborhood Search,HANSEN, P. (Hrsg.) ; MLADENOVIĆ, N. (Hrsg.) ; PÉREZ, J. A. M. (Hrsg.) ; BATISTA, B. M. (Hrsg.) ; MORENOVEGA, J. M. (Hrsg.),B Hu,M Leitner,G R Raidl,Teneriffa, Spanien,2005,2005
ref4,Combining Variable Neighborhood Search with Integer Linear Programming for the Generalized Minimum Spanning Tree Problem,Journal of Heuristics,B Hu,M Leitner,G R Raidl,14,5,473,499,2008,2008
ref5,An Evolutionary Algorithm with Solution Archive for the Generalized Minimum Spanning Tree Problem,Proceedings of EUROCAST 2011-13th International Conference on Computer Aided Systems Theory,QUESADA-ARENCIBIA, A. (Hrsg.),B Hu,G R Raidl,Las Palmas de Gran Canaria, Spain,256,259,2011-02,2011,02,6-11
ref6,An efficient algorithm for generalized minimum spanning tree problem,GECCO '10: Proceedings of the 12th annual conference on Genetic and evolutionary computation,ACM,H Jiang,Y Chen,New York, NY, USA,ISBN 978–1–4503–0072–8,217,224,2010,2010
ref7,Solving Two Generalized Network Design Problems with Exact and Heuristic Methods,Diplomarbeit,Technische Universität Wien,M Leitner,supervised by G. Raidl and B. Hu,2006,2006
ref8,On the Generalized Minimum Spanning Tree Problem,Networks,Y S Myung,C H Lee,D W Tcha,26,231,241,1995,1995
ref9,Einführung in Evolutionäre Algorithmen.: Optimierung nach dem Vorbild der Evolution,Vieweg,V Nissen,1997,1997
ref10,A hybrid heuristic approach for solving the generalized traveling salesman problem,GECCO,ACM,KRASNOGOR, Natalio (Hrsg.) ; LANZI, Pier L. (Hrsg.),P C Pop,S Iordache,Natalio (Hrsg.,481,488,2011,2011
ref11,Generalized Minimum Spanning Tree Problem,Diss.,University of Twente,P C Pop,2002,2002
ref12,Enhancing Genetic Algorithms by a Trie-Based Complete Solution Archive,Evolutionary Computation in Combinatorial Optimisation-EvoCOP,Springer,G R Raidl,B Hu,6022,LNCS,239,251,2010,2010
ref13,Ein neues Lösungsarchiv für das Generalized Minimum Spanning Tree-Problem,Diplomarbeit,Technische Universität Wien,M Sonnleitner,2010,2010
ref14,Enhancing a Genetic Algorithm by a Complete Solution Archive Based on a Trie Data Structure,Technische Universität Wien,A Šramko,Diplomarbeit,2009,2009
ref15,Ein Lösungsarchiv-unterstützter evolutionärer Algorithmus für das Generalized Minimum Spanning Tree-Problem,M Wolf,Diplomarbeit,2009,2009
ref16,A Complete Archive Genetic Algorithm for the Multidimensional Knapsack Problem,Technische Universität Wien,S Zaubzer,Diplomarbeit,2008,2008</t>
  </si>
  <si>
    <t>ref1,Generalized Spanning Trees and Extensions,Feremans ,C ,2001,2001,m
ref2,Solving medium to large sized Euclidean generalized minimum spanning tree problems / Indian Institute of Management, Research and Publication Department,Ghosh ,D ,2003,2003,m
ref3,Computing Generalized Minimum Spanning Trees with Variable Neighborhood Search,Hu ,B ; Leitner,M ; Raidl,G R ,Hrsg.,m
ref4,,Mladenovi´novi´
ref5,,C ,N ,Hrsg.
ref6,,Pérez ,J A M ,Hrsg.
ref7,,B M Batista,Hrsg.
ref8,,Proceedings of the 18th Mini Euro Conference on Variable Neighborhood Search. Teneriffa, Spanien,J M Vega,Hrsg,2005,2005,m
ref9,Combining Variable Neighborhood Search with Integer Linear Programming for the Generalized Minimum Spanning Tree Problem,Journal of Heuristics,Hu ,B ; Leitner,M ; Raidl,G R ,14,5,473,499,2008,2008,j
ref10,An Evolutionary Algorithm with Solution Archive for the Generalized Minimum Spanning Tree Problem,Proceedings of EUROCAST 2011-13th International Conference on Computer Aided Systems Theory,Hu ,B ; Raidl,G R ,256,259,2011,2011,m
ref11,An efficient algorithm for generalized minimum spanning tree problem,GECCO '10: Proceedings of the 12th annual conference on Genetic and evolutionary computation,ACM,Jiang ,H Chen,Y ,217,224,2010,2010,m
ref12,Solving Two Generalized Network Design Problems with Exact and Heuristic Methods,Leitner ,M ,Diplomarbeit,2006,2006,m
ref13,On the Generalized Minimum Spanning Tree Problem,Networks,Myung ,Y S Lee,C H Tcha,D W ,26,231,241,1995,1995,j
ref14,Einführung in Evolutionäre Algorithmen.: Optimierung nach dem Vorbild der Evolution,Vieweg,Nissen ,V ,1997,1997,m
ref15,A hybrid heuristic approach for solving the generalized traveling salesman problem,KRASNOGOR,Pop ,P C Iordache,S ,Natalio (Hrsg.,m
ref16,,GECCO, ACM,Pier L Lanzi,Hrsg,481,488,2011,2011,m
ref17,Generalized Minimum Spanning Tree Problem,Pop ,P C ,Diss,2002,2002,m
ref18,Enhancing Genetic Algorithms by a Trie-Based Complete Solution Archive,Evolutionary Computation in Combinatorial Optimisation-EvoCOP,Springer,Raidl ,G R Hu,B ,239,251,2010,2010,j
ref19,Ein neues Lösungsarchiv für das Generalized Minimum Spanning Tree-Problem,Sonnleitner ,M ,Diplomarbeit,2010,2010,m
ref20,Enhancing a Genetic Algorithm by a Complete Solution Archive Based on a Trie Data Structure,Šramko ,A ,Diplomarbeit,2009,2009,m
ref21,Ein Lösungsarchiv-unterstützter evolutionärer Algorithmus für das Generalized Minimum Spanning Tree-Problem,Wolf ,M ,Diplomarbeit,2009,2009,m
ref22,A Complete Archive Genetic Algorithm for the Multidimensional Knapsack Problem,Zaubzer ,S ,Diplomarbeit,2008,2008,m</t>
  </si>
  <si>
    <t>TUW-200748</t>
  </si>
  <si>
    <t>ref1,Steiner minimal trees,SIAM Journal on Applied Mathematics,E N Gilbert,H O And Pollak,16,1,1,29,1968,1968
ref2,Steiner's problem in graphs and its implications,Networks,S L Hakimi,1,2,113,133,1971,1971
ref3,Reducibility among combinatorial problems,Complexity of Computer Computations,Plenum Press,R. Miller and J. Thatcher,R Karp,85,103,1972,1972
ref4,Multicasting for multimedia applications,INFOCOM '92. Eleventh Annual Joint Conference of the IEEE Computer and Communications Societies,IEEE,V P Kompella,J C Pasquale,G C And Polyzos,2078,2085,1992-05,1992,5
ref5,A fast and high quality multilevel scheme for partitioning irregular graphs,SIAM J. Sci. Comput,G Karypis,V Kumar,20,359,392,1998-12,1998,12
ref6,A multi-level algorithm for partitioning graphs,SC Conference,B Hendrickson,R Leland,0,28,1995,1995
ref7,Coarsening, sampling, and smoothing: Elements of the multilevel method,Algorithms for Parallel Processing,S Teng,105,247,276,1999,1999
ref8,Variable Neighborhood Search and Ant Colony Optimization for the Rooted Delay-Constrained Minimum Spanning Tree Problem,Proceedings of the 11th International Conference on Parallel Problem Solving from Nature: Part II,Springer,R. Schaefer et al.,M Ruthmair,G R And Raidl,6239,of LNCS,391,400,2010,2010
ref9,Solving Steiner tree problems in graphs to optimality,Networks,T Koch,A Martin,32,207,232,1998,1998
ref10,A fast algorithm for Steiner trees,Acta Informatica,L Kou,G Markowsky,L Berman,15,2,141,145,1981,1981
ref11,A source-based algorithm for delay-constrained minimum-cost multicasting,INFOCOM'95. Fourteenth Annual Joint Conference of the IEEE Computer and Communications Societies. Bringing Information to People,IEEE,Q Zhu,M Parsa,377,385,1995,1995
ref12,A delay-constrained least-cost multicast routing heuristic for dynamic multicast groups,Electronic Commerce Research,W ZHENGYING,S Bingxin,Z Ling,2,4,323,335,2002,2002
ref13,Dclc routing algorithm based on selective function,Mini-Micro Computer Systems,W Zhengying,S Bingxin,M Tao,21,12,1267,1269,2000,2000
ref14,Bandwidth-delay-constrained least-cost multicast routing based on heuristic genetic algorithm,Computer communications,W Zhengying,S Bingxin,Z Erdun,24,7,8,2001,2001
ref15,A path relinking approach for delay-constrained least-cost multicast routing problem,Tools with Artificial Intelligence, 2007. ICTAI 2007. 19th IEEE International Conference,IEEE,N Ghaboosi,A Haghigha,1,383,390,2007,2007
ref16,A grasp heuristic for the delay-constrained multicast routing problem,Telecommunication Systems,N Skorin-Kapov,M Kos,32,1,55,69,2006,2006
ref17,A GRASP approach for the Delay-constrained Multicast routing problem,Proceedings of the 4th Multidisplinary International Scheduling Conference (MISTA4),Y Xu,R Qu,Dublin, Ireland, 2009,93,104,2009,2009
ref18,A Variable Neighborhood Descent Search Algorithm for Delay-Constrained Least-Cost Multicast Routing,Proceedings of Learning and Intelligent OptimizatioN (LION3),Springer,R Qu,Y Xu,G Kendall,15,29,2009,2009
ref19,A hybrid scatter search meta-heuristic for delay-constrained multicast routing problems,Applied Intelligence,Y Xu,R Qu,1,13,2010,2010
ref20,Optimum routing of multicast streams,INFOCOM'94. Networking for Global Communications., 13th Proceedings IEEE,IEEE,C Noronha Jr,F Tobagi,865,873,1994,1994
ref21,Multicast problems in telecommunication networks,PhD thesis,Università del Salento,V Leggieri,Lecce, Italy,2007,2007
ref22,The steiner tree problem with delays: a tight compact formulation and reduction procedures,Tech. rep., Technical report,Universita del Salento,V Leggieri,M Haouari,C Triki,Lecce, Italy,2010,2010
ref23,An Exact Algorithm for the Steiner Tree Problem with Delays,Electronic Notes in Discrete Mathematics,V Leggieri,M Haouari,C Triki,36,223,230,2010,2010
ref24,A Layered Graph Model and an Adaptive Layers Framework to Solve Delay-Constrained Minimum Tree Problems,Proceedings of the 15th Conference on Integer Programming and Combinatorial Optimization (IPCO XV),Springer,O. Günlük and G. Woeginger,M Ruthmair,G R Raidl,6655,of LNCS,376,388,2011,2011
ref25,Stabilized Branch-and-Price for the Rooted Delay-Constrained Steiner Tree Problem,Network Optimization: 5th International Conference, INOC 2011,Springer,J. Pahl, T. Reiners, and S. Voß,M Leitner,M Ruthmair,G R Raidl,Hamburg, Germany,6701,LNCS,124,138,2011-06,2011,6
ref26,Stabilized Column Generation for the Rooted Delay-Constrained Steiner Tree Problem,Proceedings of the VII ALIO/EURO – Workshop on Applied Combinatorial Optimization,M Leitner,M Ruthmair,G R Raidl,Porto, Portugal,250,253,2011-05,2011,5
ref27,Multilevel computations: Review and recent developments,Multigrid methods: theory, applications, and supercomputing;[papers from the 3. Copper Mountain Conference on Multigrid Methods, held at Copper Mountain, Colo., April 5-10, 1987],A Brandt,110,35,1988,1988
ref28,A multilevel approach to the travelling salesman problem,Operations Research,C Walshaw,862,877,2002,2002
ref29,Experimental analysis of heuristics for the stsp,The Traveling Salesman Problem and its Variations,D Johnson,L Mcgeoch,369,443,2004,2004
ref30,A multilevel approach to the graph colouring problem,SE10 9LS,Citeseer,C Walshaw,2001,2001
ref31,Multilevel Heuristiken für das Rooted Delay-Constrained Minimum Spanning Tree Problem,Master's thesis,Vienna University of Technology, Institute of Computer Graphics and Algorithms,M Berlakovich,Vienna, Austria,supervised by G. Raidl and M. Ruthmair,2010-07,2010,7
ref32,A Multilevel Heuristic for the Rooted Delay-Constrained Minimum Spanning Tree Problem,Extended Abstracts of the 13th International Conference on Computer Aided Systems Theory (2011),A. Quesada-Arencibia et al.,M Berlakovich,M Ruthmair,G R Raidl,247,249
ref33,A Kruskal-Based Heuristic for the Rooted Delay-Constrained Minimum Spanning Tree Problem,Proceedings of the 12th International Conference on Computer Aided Systems Theory,Springer,R. Moreno-Díaz, F. Pichler, and A. Quesada-Arencibia,M Ruthmair,G R Raidl,5717,of LNCS,713,720,2009,2009
ref34,Steiner's problem in graphs: heuristic methods,Discrete Applied Mathematics,S Voss,40,1,45,72,1992,1992
ref35,Solving Two Network Design Problems by Mixed Integer Programming and Hybrid Optimization Methods,PhD thesis,Vienna University of Technology, Institute of Computer Graphics and Algorithms,M Leitner,Vienna, Austria,35,2,600,613,2010,2010
ref36,Modeling and Solving the Rooted Distance-Constrained Minimum Spanning Tree Problem,Computers and Operations Research,L GOUVEIA,A PAIAS,D SHARMA,35,2,600,613,2008,2008
ref37,A note on two problems in connexion with graphs,Numerische mathematik,E Dijkstra,1,1,269,271,1959,1959
ref38,Network flows: theory, algorithms, and applications,Prentice Hall,R Ahuja,T Magnanti,J Orlin,New York,1993,1993
ref39,C++-Framework for Solving Delay-Constrained Tree Problems,M Ruthmair,2011,2011
ref40,Test instances for the RDCMSTP,M Ruthmair,2011,2011,https://www.ads.tuwien.ac.at/~marior/instances/random/
ref41,A hybrid GRASP with perturbations for the Steiner problem in graphs,INFORMS Journal on Computing,C Ribeiro,E Uchoa,R Werneck,14,3,228,246,2003,2003</t>
  </si>
  <si>
    <t>ref1,Steiner minimal trees,SIAM Journal on Applied Mathematics,Gilbert ,E N And,Pollak ,H O ,16,1,29,1968,1968,j
ref2,Steiner's problem in graphs and its implications,Networks,Hakimi ,S L ,1,113,133,1971,1971,j
ref3,Reducibility among combinatorial problems,Complexity of Computer Computations,Plenum Press,Karp ,R ,85,103,1972,1972,m
ref4,Multicasting for multimedia applications,INFOCOM '92. Eleventh Annual Joint Conference of the IEEE Computer and Communications Societies,Kompella ,V P Pasquale,J C And,Polyzos ,G C ,2078,2085,1992-05,1992,05,m
ref5,A fast and high quality multilevel scheme for partitioning irregular graphs,SIAM J. Sci. Comput,Karypis ,G And,Kumar ,V ,20,359,392,1998-12,1998,12,j
ref6,A multi-level algorithm for partitioning graphs,SC Conference 0,Hendrickson ,B And,Leland ,R ,1995,1995,m
ref7,Coarsening, sampling, and smoothing: Elements of the multilevel method,Algorithms for Parallel Processing,Teng ,S ,105,247,276,1999,1999,j
ref8,Variable Neighborhood Search and Ant Colony Optimization for the Rooted Delay-Constrained Minimum Spanning Tree Problem,Proceedings of the 11th International Conference on Parallel Problem Solving from Nature: Part II,Springer,Ruthmair ,M And Raidl,G R ,391,400,2010,2010,m
ref9,Solving Steiner tree problems in graphs to optimality,Networks,Koch ,T And,Martin ,A ,32,207,232,1998,1998,j
ref10,A fast algorithm for Steiner trees,Acta Informatica,Kou ,L Markowsky,G And,L Berman,15,141,145,1981,1981,j
ref11,A source-based algorithm for delay-constrained minimum-cost multicasting,INFOCOM'95. Fourteenth Annual Joint Conference of the IEEE Computer and Communications Societies,IEEE,Zhu ,Q And,Parsa ,M ,377,385,1995,1995,m
ref12,A delay-constrained least-cost multicast routing heuristic for dynamic multicast groups,Electronic Commerce Research,Zhengying ,W Bingxin,S And,Ling ,Z ,2,323,335,2002,2002,j
ref13,Dclc routing algorithm based on selective function. Mini-Micro Computer Systems,Zhengying ,W Bingxin,S And,Tao ,M ,1267,1269,2000,2000,m
ref14,Bandwidth-delay-constrained least-cost multicast routing based on heuristic genetic algorithm,Computer communications,Zhengying ,W Bingxin,S And,Erdun ,Z ,24,685,692,2001,2001,j
ref15,A path relinking approach for delay-constrained least-cost multicast routing problem,Tools with Artificial Intelligence, 2007. ICTAI 2007. 19th IEEE International Conference on,IEEE,Ghaboosi ,N And,Haghigha ,A ,383,390,2007,2007,m
ref16,A grasp heuristic for the delay-constrained multicast routing problem,Telecommunication Systems,Skorin-Kapov ,N And,Kos ,M ,32,1,55,69,2006,2006,j
ref17,A GRASP approach for the Delay-constrained Multicast routing problem,Proceedings of the 4th Multidisplinary International Scheduling Conference (MISTA4),Xu ,Y And,Qu ,R ,93,104,2009,2009,m
ref18,A Variable Neighborhood Descent Search Algorithm for Delay-Constrained Least-Cost Multicast Routing,Proceedings of Learning and Intelligent OptimizatioN,Springer,Qu ,R Xu,Y And,Kendall ,G ,15,29,2009,2009,m
ref19,A hybrid scatter search meta-heuristic for delay-constrained multicast routing problems,Applied Intelligence,Xu ,Y And,Qu ,R ,1,13,2010,2010,j
ref20,Optimum routing of multicast streams,INFOCOM'94. Networking for Global Communications., 13th Proceedings IEEE,IEEE,C Noronha Jr,Tobagi And,F ,865,873,1994,1994,m
ref21,Multicast problems in telecommunication networks,Leggieri ,V ,Lecce, Italy,2007,2007,m
ref22,The steiner tree problem with delays: a tight compact formulation and reduction procedures,Leggieri ,V Haouari,M And,Triki ,C ,Lecce, Italy,2010,2010,m
ref23,An Exact Algorithm for the Steiner Tree Problem with Delays,Electronic Notes in Discrete Mathematics,Leggieri ,V Haouari,M And,Triki ,C ,36,223,230,2010,2010,j
ref24,A Layered Graph Model and an Adaptive Layers Framework to Solve Delay-Constrained Minimum Tree Problems,Proceedings of the 15th Conference on Integer Programming and Combinatorial Optimization (IPCO XV,Springer,Ruthmair ,M And Raidl,G R ,376,388,2011,2011,m
ref25,Stabilized Branch-and-Price for the Rooted Delay-Constrained Steiner Tree Problem,Network Optimization: 5th International Conference, INOC 2011,Springer,Leitner ,M Ruthmair,M And Raidl,G R ,124,138,2011-06,2011,06,m
ref26,Stabilized Column Generation for the Rooted Delay-Constrained Steiner Tree Problem,Proceedings of the VII ALIO/EURO-Workshop on Applied Combinatorial Optimization,Leitner ,M Ruthmair,M And Raidl,G R ,250,253,2011-05,2011,05,m
ref27,Multilevel computations: Review and recent developments,Copper Mountain Conference on Multigrid Methods, held at Copper Mountain,Dekker,Brandt ,A ,1987,1987,m
ref28,A multilevel approach to the travelling salesman problem,Operations Research,Walshaw ,C ,862,877,2002,2002,j
ref29,Experimental analysis of heuristics for the stsp. The Traveling Salesman Problem and its Variations,Johnson ,D And,Mcgeoch ,L ,369,443,2004,2004,m
ref30,A multilevel approach to the graph colouring problem,SE10 9LS,Citeseer,Walshaw ,C ,2001,2001,m
ref31,Multilevel Heuristiken für das Rooted Delay-Constrained Minimum Spanning Tree Problem,M Ruthmair,Vienna, Austria,2010-07,2010,07,m
ref32,A Multilevel Heuristic for the Rooted Delay-Constrained Minimum Spanning Tree Problem,Extended Abstracts of the 13th International Conference on Computer Aided Systems Theory,Berlakovich ,M Ruthmair,M And Raidl,G R ,247,249,2011,2011,m
ref33,A Kruskal-Based Heuristic for the Rooted Delay-Constrained Minimum Spanning Tree Problem,Proceedings of the 12th International Conference on Computer Aided Systems Theory,Springer,Ruthmair ,M And Raidl,G R ,713,720,2009,2009,m
ref34,Steiner's problem in graphs: heuristic methods,Discrete Applied Mathematics,Voss ,S ,40,45,72,1992,1992,j
ref35,Solving Two Network Design Problems by Mixed Integer Programming and Hybrid Optimization Methods,Leitner ,M ,Vienna, Austria,2010,2010,m
ref36,Modeling and Solving the Rooted Distance-Constrained Minimum Spanning Tree Problem,Computers and Operations Research,Gouveia ,L Paias,A And,Sharma ,D ,35,600,613,2008,2008,j
ref37,A note on two problems in connexion with graphs,Numerische mathematik,Dijkstra ,E ,1,269,271,1959,1959,j
ref38,Network flows: theory, algorithms, and applications,Prentice Hall,Ahuja ,R Magnanti,T And,Orlin ,J ,New York,1993,1993,m
ref39,C++-Framework for Solving Delay-Constrained Tree Problems,Ruthmair ,M ,2011,2011,m
ref40,Test instances for the RDCMSTP,Ruthmair ,M ,2011,2011,m
ref41,A hybrid GRASP with perturbations for the Steiner problem in graphs,INFORMS Journal on Computing,Ribeiro ,C Uchoa,E And,Werneck ,R ,14,228,246,2003,2003,j</t>
  </si>
  <si>
    <t>TUW-200948</t>
  </si>
  <si>
    <t>ref1,Voting paradoxes and digraphs realizations,Advances in Applied Math,N Alon,29,126,135,2002,2002
ref2,Algorithms with large domination ratio,J. Algorithms,N Alon,G Gutin,M Krivelevich,50,1,118,131,2004,2004
ref3,Digraphs: Theory, Algorithms and Applications,Springer-Verlag,J Bang-Jensen,G Gutin,2,London,2009,2009
ref4,Basic Linear Algebra,Springer,T S Blyth,E F Robertson,2000,2000
ref5,Walsh subspaces of L p-product spaces,Seminar on Functional Analysis, 1979-1980 (French),Ecole Polytech.,J Bourgain,Palaiseau,Exp. No. 4A, 9,9,1980,1980
ref6,Solving linear systems over GF(2): block Lanczos algorithm,Lin. Algebra Applic,D Coppersmith,192,33,60,1993,1993
ref7,Parameterized Complexity,Springer,R G Downey,M R Fellows,1999,1999
ref8,Parameterized Complexity Theory,Texts in Theoretical Computer Science. An EATCS Series,Springer Verlag,J Flum,M Grohe,XIV,2006,2006
ref9,Ordinal Embedding Relaxations Parameterized Above Tight Lower BoundTech,Report arXiv:0907.5427,G Gutin,E J Kim,M Mnich,A Yeo
ref10,The linear arrangement problem parameterized above guaranteed value,Theory Comput. Syst,G Gutin,A Rafiey,S Szeider,A Yeo,41,521,538,2007,2007
ref11,Fixed-parameter complexity of minimum profile problems,Algorithmica,G Gutin,S Szeider,A Yeo,52,2,133,152,2008,2008
ref12,On the advantage over a random assignment,Proceedings of the Thirty-Fourth Annual ACM Symposium on Theory of Computing,ACM,J Håstad,S Venkatesh,New York,Full version appeared in Random Structures
Algorithms 25(2) (2004), pp. 117-149.,42,52,2002,2002
ref13,Interval completion with few edges,STOC'07-Proceedings of the 39th Annual ACM Symposium on Theory of Computing,ACM,P Heggernes,C Paul,J A Telle,Y Villanger,Full version appeared in SIAM J. Comput. 38(5), 2008/09,374,381,2007,2007
ref14,Parameterizing above guaranteed values: MaxSat and MaxCut,J. Algorithms,M Mahajan,V Raman,31,2,335,354,1999,1999
ref15,Parameterizing above or below guaranteed values,J. of Computer and System Sciences,M Mahajan,V Raman,S Sikdar,75,2,137,153,2009,2009
ref16,Invitation to Fixed-Parameter Algorithms,Oxford Lecture Series in Mathematics and its Applications,Oxford University Press,R Niedermeier,2006,2006
ref17,Private communication,V Vovk,2009-08,2009,08</t>
  </si>
  <si>
    <t>ref1,Voting paradoxes and digraphs realizations,Advances in Applied Math,N Alon,29,126,135,2002,2002,j
ref2,Algorithms with large domination ratio,J. Algorithms,N Alon,G Gutin,M Krivelevich,50,1,118,131,2004,2004,j
ref3,Digraphs: Theory, Algorithms and Applications,Springer-Verlag,J Bang-Jensen,G Gutin,London,2009,2009,m
ref4,Basic Linear Algebra,Springer,T S Blyth,E F Robertson,2000,2000,m
ref5,Walsh subspaces of L p-product spaces,Seminar on Functional Analysis,French,J Bourgain,1980,1980,m
ref6,Solving linear systems over GF(2): block Lanczos algorithm,Lin. Algebra Applic,D Coppersmith,192,33,60,1993,1993,j
ref7,,Parameterized Complexity,Springer,R G Downey,M R Fellows,1999,1999,j
ref8,Parameterized Complexity Theory, volume XIV of Texts in Theoretical Computer Science,An EATCS Series,Springer Verlag,J Flum,M Grohe,2006,2006,j
ref9,Ordinal Embedding Relaxations Parameterized Above Tight Lower Bound,G Gutin,E J Kim,M Mnich,A Yeo,m
ref10,The linear arrangement problem parameterized above guaranteed value,Theory Comput. Syst,G Gutin,A Rafiey,S Szeider,A Yeo,41,521,538,2007,2007,j
ref11,Fixed-parameter complexity of minimum profile problems,Algorithmica,G Gutin,S Szeider,A Yeo,52,2,133,152,2008,2008,j
ref12,On the advantage over a random assignment,Proceedings of the Thirty-Fourth Annual ACM Symposium on Theory of Computing,J Håstad,S Venkatesh,117,149,2002,2002,m
ref13,Interval completion with few edges,STOC'07-Proceedings of the 39th Annual ACM Symposium on Theory of Computing,ACM,P Heggernes,C Paul,J A Telle,Y Villanger,374,381,2007,2007,m
ref14,Parameterizing above guaranteed values: MaxSat and MaxCut,J. Algorithms,M Mahajan,V Raman,31,2,335,354,1999,1999,j
ref15,Parameterizing above or below guaranteed values,J. of Computer and System Sciences,M Mahajan,V Raman,S Sikdar,75,2,137,153,2009,2009,j
ref16,Invitation to Fixed-Parameter Algorithms,Oxford Lecture Series in Mathematics and its Applications,Oxford University Press,R Niedermeier,2006,2006,m
ref17,,V Vovk,2009-08,2009,08</t>
  </si>
  <si>
    <t>TUW-200950</t>
  </si>
  <si>
    <t>ref1,[Al00],Restricted colorings of graphs,Surveys in Combinatorics,Cambridge Univ. Press,K. Walker,N Alon,187,London Math. Soc. Lecture Notes Series,1,33,1993,1993
ref2,[ALS91],Easy problems for tree-decomposable graphs,J. Algorithms,S Arnborg,J Lagergren,D Seese,12,308,340,1991,1991
ref3,[BF05],Equitable colorings of bounded treewidth graphs,Theoretical Computer Science,H L Bodlaender,F V Fomin,349,22,30,2005,2005
ref4,[BFLRRW06],Quadratic kernelization for convex recoloring of trees,Proceedings COCOON,Springer-Verlag,H L Bodlaender,M Fellows,M Langston,M A Ragan,F Rosamond,M Weyer,Lecture Notes in Computer Science, to appear,2007,2007
ref5,[BPT92],Automatic generation of linear-time algorithms from predicate calculus descriptions of problems on recursively generated graph families,Algorithmica,R B Borie,R G Parker,C A Tovey,7,555,581,1992,1992
ref6,[CFRRRS07],Connected coloring completion for general graphs: algorithms and complexity,Proceedings COCOON,Springer-Verlag,B Chor,M Fellows,M A Ragan,I Razgon,F Rosamond,S Snir,Lecture Notes in Computer Science, to appear,2007,2007
ref7,[Cou90],The monadic second-order logic of graphs I: Recognizable sets of finite graphs,Information and Computation,B Courcelle,85,12,75,1990,1990
ref8,[DF99],Parameterized Complexity,Springer-Verlag,D G Downey,M R Fellows,1999,1999
ref9,[ERT80],Choosability in graphs,Congressus Numerantium,P Erdös,A L Rubin,H Taylor,26,122,157,1980,1980
ref10,[FG06],Parameterized Complexity Theory,Springer-Verlag,J Flum,M Grohe,2006,2006
ref11,[FGKPRWY07],The lawnmower and other problems: applications of MSO logic in geometry,Manuscript,M Fellows,P Giannopoulos,C Knauer,C Paul,F Rosamond,S Whitesides,N Yu,2007,2007
ref12,[FHR07],On the fixed-parameter intractability and tractability of multiple-interval graph properties,Manuscript,M Fellows,D Hermelin,F Rosamond,2007,2007
ref13,[JS97],Generalized colorings for tree-like graphs,Discrete Applied Mathematics,K Jansen,P Scheffler,75,135,155,1997,1997
ref14,[JT95],Graph Coloring Problems,Wiley Interscience,T R Jensen,B Toft,1995,1995
ref15,[KPW03],A list analogue of equitable coloring,Journal of Graph Theory,A V Kostochka,M J Pelsmajer,D B West,44,166,177,2003,2003
ref16,[KTV98],New trends in the theory of graph colorings: choosability and list coloring,Contemporary Trends in Discrete Mathematics (from DIMACS and DIMATIA to the future),AMS, Providence,R. Graham, et al.,J Kratochvil,Z Tuza,M Voigt,49,DIMACS Series in Discrete Mathematics and Theoretical Computer Science,183,197,1999,1999
ref17,[Ma04],Graph coloring with local and global constraints,Ph.D. dissertation,Department of Computer Science and Information Theory, Budapest University of Technology and Economics,D Marx,2004,2004
ref18,[Mey73],Equitable coloring,American Mathematical Monthly,W Mayer,80,920,922,1973,1973
ref19,[Nie06],Invitation to Fixed Parameter Algorithms,Oxford University Press,R Niedermeier,2006,2006
ref20,[Th94],Every planar graph is 5-choosable,J. Combinatorial Theory Ser. B,C Thomassen,62,180,181,1994,1994
ref21,[Tu97],Graph colorings with local constraints — A survey,Discussiones Mathematicae – Graph Theory,Z Tuza,17,161,228,1997,1997
ref22,[Viz76],Coloring the vertices of a graph in prescribed colors,Metody Diskret. Anal. v Teorii Kodov i Schem,V G Vizing,29,In. Russian,3,10,1976,1976
ref23,[Wo01],List colourings of graphs,Surveys in Combinatorics,Cambridge Univ. Press,J. W. P. Hirschfeld,D R Woodall,288,London Math. Soc. Lecture Notes Series,269,301,2001,2001</t>
  </si>
  <si>
    <t>ref1,Restricted colorings of graphs,Surveys in Combinatorics,Cambridge Univ. Press,N Alon,1,33,1993,1993,m
ref2,Easy problems for tree-decomposable graphs,J. Algorithms,S Arnborg,J Lagergren,D Seese,12,308,340,1991,1991,j
ref3,Equitable colorings of bounded treewidth graphs,Theoretical Computer Science,H L Bodlaender,F V Fomin,349,22,30,2005,2005,j
ref4,Quadratic kernelization for convex recoloring of trees,Proceedings COCOON,Springer-Verlag,H L Bodlaender,M Fellows,M Langston,M A Ragan,F Rosamond,M Weyer,2007,2007,m
ref5,Automatic generation of linear-time algorithms from predicate calculus descriptions of problems on recursively generated graph families,Algorithmica,R B Borie,R G Parker,C A Tovey,7,555,581,1992,1992,j
ref6,Connected coloring completion for general graphs: algorithms and complexity,Proceedings COCOON,Springer-Verlag,B Chor,M Fellows,M A Ragan,I Razgon,F Rosamond,S Snir,2007,2007,m
ref7,The monadic second-order logic of graphs I: Recognizable sets of finite graphs. Information and Computation,B Courcelle,12,75,1990,1990,m
ref8,,Parameterized Complexity,Springer-Verlag,R G Downey,M R Fellows,1999,1999,m
ref9,Choosability in graphs,Congressus Numerantium,P Erdös,A L Rubin,H Taylor,26,122,157,1980,1980,j
ref10,,Parameterized Complexity Theory,Springer-Verlag,J Flum,M Grohe,2006,2006,m
ref11,The lawnmower and other problems: applications of MSO logic in geometry,M Fellows,P Giannopoulos,C Knauer,C Paul,F Rosamond,S Whitesides,N Yu,2007,2007,m
ref12,On the fixed-parameter intractability and tractability of multiple-interval graph properties,M Fellows,D Hermelin,F Rosamond,2007,2007,m
ref13,Generalized colorings for tree-like graphs,Discrete Applied Mathematics,K Jansen,P Scheffler,75,135,155,1997,1997,j
ref14,Graph Coloring Problems,Wiley Interscience,T R Jensen,B Toft,1995,1995,m
ref15,A list analogue of equitable coloring,Journal of Graph Theory,A V Kostochka,M J Pelsmajer,D B West,44,166,177,2003,2003,j
ref16,New trends in the theory of graph colorings: choosability and list coloring,Contemporary Trends in Discrete Mathematics (from DIMACS and DIMATIA to the future,AMS,J Kratochvil,Z Tuza,M Voigt,1999,1999,m
ref17,Graph coloring with local and global constraints,D Marx,2004,2004,m
ref18,Equitable coloring,American Mathematical Monthly,W Meyer,80,920,922,1973,1973,j
ref19,Invitation to Fixed Parameter Algorithms,Oxford University Press,R Niedermeier,2006,2006,m
ref20,Every planar graph is 5-choosable,J. Combinatorial Theory Ser. B,C Thomassen,62,180,181,1994,1994,j
ref21,Graph colorings with local constraints-A survey,Discussiones Mathematicae-Graph Theory,Z Tuza,17,161,228,1997,1997,j
ref22,Coloring the vertices of a graph in prescribed colors,Metody Diskret. Anal. v Teorii Kodov i Schem,V G Vizing,29,3,10,1976,1976,j
ref23,List colourings of graphs, in: Surveys in Combinatorics,London Math. Soc. Lecture Notes Series,Cambridge Univ. Press,D R Woodall,288,269,301,2001,2001,j</t>
  </si>
  <si>
    <t>TUW-200959</t>
  </si>
  <si>
    <t>ref1,Directed tree-width examples,J. Combin. Theory Ser. B,I Adler,97,5,718,725,2007,2007
ref2,Searching and sweeping graphs: A brief survey,COMBINATORICS,B Alspach,04,2004,2004
ref3,Digraphs-Theory, Algorithms and Applications,Springer,J Bang-Jensen,G Gutin,2001,2001
ref4,Directed path-width and monotonicity in digraph searching,Graphs Combin,J Barát,22,2,161,172,2006,2006
ref5,DAG-width and parity games,STACS 2006, volume 3884 of Lecture Notes in Comput. Sci.,Springer,D Berwanger,A Dawar,P Hunter,S Kreutzer,Berlin,524,536,2006,2006
ref6,Entanglement – A measure for the complexity of directed graphs with applications to logic and games,LPAR,D Berwanger,E Grädel,209,223,2004,2004
ref7,Monotonicity in graph searching,Journal of Algorithms,D Bienstock,P Seymour,12,239,245,1991,1991
ref8,Treewidth: Algorithmic techniques and results,MFCS'97,H L Bodlaender,1295,19,36,1997,1997
ref9,A partial k-arboretum of graphs with bounded treewidth,Theoretical Computer Science,H L Bodlaender,209,1,45,1998,1998
ref10,Fugitive-search games on graphs and related parameters,TCS,N D Dendris,L M Kirousis,D M Thilikos,172,12,233,254,1997,1997
ref11,Graph theory,Graduate Texts in Mathematics,Springer-Verlag,R ,3,Berlin,173,2005,2005
ref12,Graph searching, and a min-max theorem for tree-width,Journal of Combinatorial Theory, Series B,P D Seymour,R Thomas,58,22,33,1993,1993
ref13,Sweeping Graphs and Digraphs,PhD thesis,Simon Fraser University,D Dyer,2004,2004
ref14,On the monotonicity of games generated by symmetric submodular functions,Lecture Notes in Computer Science,F V Fomin,D M Thilikos,2204,177+,2001,2001
ref15,Computers and Intractibility,W. H. Freeman and Company,M R Garey,D S Johnson,1979,1979
ref16,Digraph measures: Kelly decompositions, games, and orderings,Proc. of the 18th ACM-SIAM Symp. on Discrete Algorithms (SODA),P Hunter,S Kreutzer,637,644,2007,2007
ref17,Directed tree-width,J. Combin. Theory Ser. B,T Johnson,N Robertson,P D Seymour,R Thomas,82,1,138,154,2001,2001
ref18,Directed tree-width,Journal of Combinatorial Theory, Series B,T Johnson,N Robertson,P D Seymour,R Thomas,82,1,138,154,2001,2001
ref19,Complexity of Computer Science,Plenum Press,Rm M Karp,New York,1972,1972
ref20,Recontamination does not help to search a graph,Journal of the ACM,A S Lapaugh,40,224,254,1993,1993
ref21,Monotonicity property of non-deterministic graph searching,Proceedings of the 33rd International Workshop on Graph-Theoretic Concepts in Computer Science (WG 2007),F Mazoit,N Nisse,to appear,2007,2007
ref22,An algorithm for finding a minimum equivalent graph of a digraph,J. ACM,D M Moyles,G L Thompson,16,3,455,460,1969,1969
ref23,DAG-width: connectivity measure for directed graphs,Proceedings of the 17th Annual ACM-SIAM Symposium on Discrete Algorithms (SODA),J Obdržálek,814,821,2006,2006
ref24,Introducing directed tree width,6th Twente Workshop on Graphs and Combinatorial Optimization (Enschede, 1999), volume 3 of Electron. Notes Discrete Math.,Elsevier,B Reed,Amsterdam,8,1999,1999
ref25,d-width: a more natural measure for directed tree width,Mathematical foundations of computer science 2005, volume 3618 of Lecture Notes in Comput. Sci.,Springer,M A Safari,Berlin,745,756,2005,2005
ref26,Having a grundy-numbering is np-complete,Technical report,Pennsylvania State University,J van Leeuwen,1976,1976
ref27,Digraph strong searching: Monotonicity and complexity,AAIM,B Yang,Y Cao,37,46,2007,2007</t>
  </si>
  <si>
    <t>ref1,Directed tree-width examples,J. Combin. Theory Ser. B,I Adler,97,5,718,725,2007,2007,j
ref2,Searching and sweeping graphs: A brief survey,COMBINATORICS 04,B Alspach,2004,2004,m
ref3,Digraphs-Theory, Algorithms and Applications,Springer,J Bang-Jensen,G Gutin,2001,2001,m
ref4,Directed path-width and monotonicity in digraph searching,Graphs Combin,J Barát,22,2,161,172,2006,2006,j
ref5,DAG-width and parity games,STACS 2006,Springer,D Berwanger,A Dawar,P Hunter,S Kreutzer,524,536,2006,2006,m
ref6,Entanglement-A measure for the complexity of directed graphs with applications to logic and games,LPAR,D Berwanger,E Grädel,209,223,2004,2004,m
ref7,Monotonicity in graph searching,Journal of Algorithms,D Bienstock,P Seymour,12,239,245,1991,1991,j
ref8,Treewidth: Algorithmic techniques and results,MFCS'97,H L Bodlaender,19,36,1997,1997,m
ref9,A partial k-arboretum of graphs with bounded treewidth,Theoretical Computer Science,H L Bodlaender,209,1,45,1998,1998,j
ref10,Fugitive-search games on graphs and related parameters,TCS,N D Dendris,L M Kirousis,D M Thilikos,172,1-2,233,254,1997,1997,j
ref11,Graph theory,Graduate Texts in Mathematics,Springer-Verlag,R Diestel,173,2005,2005,j
ref12,Graph searching, and a min-max theorem for tree-width,Journal of Combinatorial Theory, Series B,P D Seymour,R Thomas,58,22,33,1993,1993,j
ref13,Sweeping Graphs and Digraphs,D Dyer,2004,2004,m
ref14,On the monotonicity of games generated by symmetric submodular functions,Lecture Notes in Computer Science,F V Fomin,D M Thilikos,2204,2001,2001,j
ref15,Computers and Intractibility,W. H. Freeman and Company,M R Garey,D S Johnson,1979,1979,m
ref16,Digraph measures: Kelly decompositions, games, and orderings,Proc. of the 18th ACM-SIAM Symp. on Discrete Algorithms (SODA),P Hunter,S Kreutzer,637,644,2007,2007,m
ref17,Directed tree-width,J. Combin. Theory Ser. B,T Johnson,N Robertson,P D Seymour,R Thomas,82,1,138,154,2001,2001,j
ref18,Directed tree-width,Journal of Combinatorial Theory, Series B,T Johnson,N Robertson,P D Seymour,R Thomas,82,1,138,154,2001,2001,j
ref19,Complexity of Computer Science,Plenum Press,M Rm,Karp,New York,1972,1972,m
ref20,Recontamination does not help to search a graph,Journal of the ACM,A S Lapaugh,40,224,254,1993,1993,j
ref21,Monotonicity property of non-deterministic graph searching,Proceedings of the 33rd International Workshop on Graph-Theoretic Concepts in Computer Science,F Mazoit,N Nisse,2007,2007,m
ref22,An algorithm for finding a minimum equivalent graph of a digraph,J. ACM,D M Moyles,G L Thompson,16,3,455,460,1969,1969,j
ref23,DAG-width: connectivity measure for directed graphs,Proceedings of the 17th Annual ACM-SIAM Symposium on Discrete Algorithms (SODA),J Obdr˘,814,821,2006,2006,m
ref24,Introducing directed tree width,6th Twente Workshop on Graphs and Combinatorial Optimization,Elsevier,B Reed,1999,1999,m
ref25,d-width: a more natural measure for directed tree width,Mathematical foundations of computer science 2005,Springer,M A Safari,745,756,2005,2005,m
ref26,Having a grundy-numbering is np-complete,J Van Leeuwen,1976,1976,m
ref27,Digraph strong searching: Monotonicity and complexity,AAIM,B Yang,Y Cao,37,46,2007,2007,m</t>
  </si>
  <si>
    <t>TUW-201066</t>
  </si>
  <si>
    <t>ref1,Modeling and solving the rooted distanceconstrained minimum spanning tree problem,Computers and Operations Research,L Gouveia,A Paias,D Sharma,35,2,600,613,2008,2008
ref2,A Kruskal-Based Heuristic for the Rooted DelayConstrained Minimum Spanning Tree Problem,EUROCAST 2009,Springer,Moreno-Díaz, R., Pichler, F., Quesada-Arencibia, A.,M Ruthmair,G R Raidl,LNCS, vol. 5717,713,720,2009,2009
ref3,The delay-constrained minimum spanning tree problem,Proceedings of the 2nd IEEE Symposium on Computers and Communications – ISCC '97,Blum, C., Roli, A., Sampels, M.,H F Salama,D S Reeves,Y Viniotis,699,703,1997,1997
ref4,Multilevel refinement for combinatorial optimisation problems,Annals of Operations Research,C Walshaw,131,1,325,372,2004,2004</t>
  </si>
  <si>
    <t>ref1,Modeling and solving the rooted distanceconstrained minimum spanning tree problem,Computers and Operations Research,L Gouveia,A Paias,D Sharma,35,2,600,613,2008,2008,j
ref2,A Kruskal-Based Heuristic for the Rooted DelayConstrained Minimum Spanning Tree Problem,EUROCAST 2009,Springer,M Ruthmair,G R Raidl,713,720,2009,2009,m
ref3,The delay-constrained minimum spanning tree problem,Proceedings of the 2nd IEEE Symposium on Computers and Communications-ISCC '97,H F Salama,D S Reeves,Y Viniotis,699,703,1997,1997,m
ref4,Multilevel refinement for combinatorial optimisation problems,Annals of Operations Research,C Walshaw,131,1,325,372,2004,2004,j</t>
  </si>
  <si>
    <t>TUW-201160</t>
  </si>
  <si>
    <t>ref1,Combining Lagrangian decomposition with very large scale neighborhoood search for capacitated connected facility location,PostConference Book of the Eight Metaheuristics International Conference – MIC 2009,M Leitner,G R Raidl,to appear
ref2,Branch-and-cut-and-price for capacitated connected facility location,Technical Report TR 186–1–10–01,Vienna University of Technology,M Leitner,G R Raidl,Vienna, Austria,2010,2010
ref3,Dynamic programming and strong bounds for the 0–1 knapsack problem,Management Science,S Martello,D Pisinger,P Toth,45,3,414,424,1999,1999
ref4,Variable neighborhood search: Principles and applications,European Journal of Operational Research,P Hansen,N Mladenović,130,3,449,467,2001,2001
ref5,Steiner's problem in graphs: heuristic methods,Discrete Applied Mathematics,S Voß,40,45,72,1992,1992
ref6,Scatter search for the single source capacitated facility location problem,Annals of Operations Research,I A Contreras,J A Diaz,157,1,73,89,2008,2008
ref7,Greedy randomized adaptive search procedures,Journal of Global Optimization,T Feo,M Resende,6,2,109,133,1995,1995</t>
  </si>
  <si>
    <t>ref1,Combining Lagrangian decomposition with very large scale neighborhoood search for capacitated connected facility location,PostConference Book of the Eight Metaheuristics International Conference-MIC,M Leitner,G R Raidl,2009,2009,m
ref2,Branch-and-cut-and-price for capacitated connected facility location,M Leitner,G R Raidl,Vienna, Austria,2010,2010,m
ref3,Dynamic programming and strong bounds for the 0-1 knapsack problem,Management Science,S Martello,D Pisinger,P Toth,45,3,414,424,1999,1999,j
ref4,Variable neighborhood search: Principles and applications,European Journal of Operational Research,P Hansen,N Mladenovi´cmladenovi´c,130,3,449,467,2001,2001,j
ref5,Steiner's problem in graphs: heuristic methods,Discrete Applied Mathematics,S Voß,40,45,72,1992,1992,j
ref6,Scatter search for the single source capacitated facility location problem,Annals of Operations Research,I A Contreras,J A Diaz,157,1,73,89,2008,2008,j
ref7,Greedy randomized adaptive search procedures,Journal of Global Optimization,T Feo,M Resende,6,2,109,133,1995,1995,j</t>
  </si>
  <si>
    <t>TUW-201167</t>
  </si>
  <si>
    <t>ref1,Modeling and Solving the Rooted DistanceConstrained Minimum Spanning Tree Problem,Computers and Operations Research,L Gouveia,A Paias,D Sharma,35,2,600,613,2008,2008
ref2,Improving Performances of the Genetic Algorithm by Caching,Computers and Artificial Intelligence,J Kratica,18,3,271,283,1999,1999
ref3,Enhancing Genetic Algorithms by a Trie-Based Complete Solution Archive,Evolutionary Computation in Combinatorial Optimisation { EvoCOP 2010. LNCS, vol. 6022,Springer,Cowling, P., Merz, P.,G R Raidl,B Hu,239,251,2010,2010
ref4,A Kruskal-Based Heuristic for the Rooted DelayConstrained Minimum Spanning Tree Problem,EUROCAST 2009. LNCS, vol. 5717,Springer,Moreno-Díaz, R., Pichler, F., Quesada-Arencibia, A.,M Ruthmair,G R Raidl,713,720,2009,2009
ref5,Variable Neighborhood Search and Ant Colony Optimization for the Rooted Delay-Constrained Minimum Spanning Tree Problem,PPSN XI, Part II. LNCS, vol. 6239,,Springer,et al., R.S.,M Ruthmair,G R Raidl,391,400,2010,2010
ref6,The Delay-Constrained Minimum Spanning Tree Problem,Proceedings of the 2nd IEEE Symposium on Computers and Communications,Blum, C., Roli, A., Sampels, M.,H F Salama,D S Reeves,Y Viniotis,699,703,1997,1997</t>
  </si>
  <si>
    <t>ref1,Modeling and Solving the Rooted DistanceConstrained Minimum Spanning Tree Problem,Computers and Operations Research,L Gouveia,A Paias,D Sharma,35,2,600,613,2008,2008,j
ref2,Improving Performances of the Genetic Algorithm by Caching,Computers and Artificial Intelligence,J Kratica,18,3,271,283,1999,1999,j
ref3,Enhancing Genetic Algorithms by a Trie-Based Complete Solution Archive,Evolutionary Computation in Combinatorial Optimisation-EvoCOP 2010,Springer,G R Raidl,B Hu,239,251,2010,2010,m
ref4,A Kruskal-Based Heuristic for the Rooted DelayConstrained Minimum Spanning Tree Problem,EUROCAST 2009,Springer,M Ruthmair,G R Raidl,713,720,2009,2009,m
ref5,Variable Neighborhood Search and Ant Colony Optimization for the Rooted Delay-Constrained Minimum Spanning Tree Problem,PPSN XI, Part II,Springer,M Ruthmair,G R Raidl,391,400,2010,2010,m
ref6,The Delay-Constrained Minimum Spanning Tree Problem,Proceedings of the 2nd IEEE Symposium on Computers and Communications,H F Salama,D S Reeves,Y Viniotis,699,703,1997,1997,m</t>
  </si>
  <si>
    <t>TUW-201821</t>
  </si>
  <si>
    <t>ref1,MWeb: A principled framework for modular web rule bases and its semantics,ACM Trans. Comput. Logic,A Analyti,G Antoniou,C V Damasio,12,2,2011,2011,j
ref2,Logic programs with consistency-restoring rules,International Symposium on Logical Formalization of Commonsense Reasoning, AAAI 2003 Spring Symposium Series,M Balduccini,M Gelfond,9,18,2003,2003,m
ref3,Bridging possibilistic conditional knowledge bases and partially ordered bases,JELIA,S Benferhat,S Lagrue,S Yahi,38,50,2010,2010,m
ref4,Contextual argumentation in ambient intelligence,LPNMR,A Bikakis,G Antoniou,30,43,2009,2009,m
ref5,Alternative strategies for conflict resolution in multi-context systems,AIAI,A Bikakis,G Antoniou,P Hassapis,31,40,2009,2009,m
ref6,Data fusion,ACM Comput. Surv,J Bleiholder,F Naumann,41,1,1,41,2008,2008,j
ref7,Equilibria in heterogeneous nonmonotonic multi-context systems,AAAI,G Brewka,T Eiter,385,390,2007,2007,m
ref8,Managed multi-context systems,IJCAI,G Brewka,T Eiter,M Fink,A Weinzierl,to appear,2011,2011,j
ref9,Contextual default reasoning,IJCAI,G Brewka,F Roelofsen,L Serafini,268,273,2007,2007,m
ref10,Inconsistency tolerance in p2p data integration: An epistemic logic approach,Inf. Syst,D Calvanese,G D Giacomo,D Lembo,M Lenzerini,R Rosati,33,4-5,360,384,2008,2008,j
ref11,Ultimate approximation and its application in nonmonotonic knowledge representation systems,Inf. Comput,M Denecker,V W Marek,M Truszczynski,192,1,84,121,2004,2004,j
ref12,Finding explanations of inconsistency in multi-context systems,KR,T Eiter,M Fink,P Schüller,A Weinzierl,2010,2010,m
ref13,Preference-based inconsistency assessment in multi-context systems,JELIA,T Eiter,M Fink,A Weinzierl,143,155,2010,2010,j
ref14,Relational information exchange and aggregation in multi-context systems,LPNMR,M Fink,L Ghionna,A Weinzierl,120,133,2011,2011,m
ref15,Classical negation in logic programs and disjunctive databases,New Generation Comput,M Gelfond,V Lifschitz,9,3/4,365,386,1991,1991,j
ref16,Abstract contextual reasoning,F Giunchiglia,1993,1993,m
ref17,Multilanguage hierarchical logics or: How we can do without modal logics,Artif. Intell,F Giunchiglia,L Serafini,65,1,29,70,1994,1994,j
ref18,Focusing on probable diagnoses,AAAI,J de Kleer,842,848,1991,1991,m
ref19,Notes on formalizing context,IJCAI,J McCarthy,555,562,1993,1993,j
ref20,A theory of diagnosis from first principles,Artif. Intell,R Reiter,32,1,57,95,1987,1987,j
ref21,Minimal and absent information in contexts,IJCAI,F Roelofsen,L Serafini,558,563,2005,2005,j
ref22,Minimality and non-determinism in multi-context systems,CONTEXT,F Roelofsen,L Serafini,424,435,2005,2005,m
ref23,Semantic reasoning with sparql in heterogeneous multicontext systems,Semantic Search over the Web,P Schüller,A Weinzierl,to appear,2011,2011,m
ref24,Local relational model: A logical formalization of database coordination,CONTEXT,L Serafini,F Giunchiglia,J Mylopoulos,P Bernstein,286,299,2003,2003,m</t>
  </si>
  <si>
    <t>ref1,MWeb: A principled framework for modular web rule bases and its semantics,ACM Trans. Comput. Logic,A Analyti,G Antoniou,C V Damasio,12,2,2011,2011,j
ref2,Logic programs with consistency-restoring rules,International Symposium on Logical Formalization of Commonsense Reasoning, AAAI 2003 Spring Symposium Series,M Balduccini,M Gelfond,9,18,2003,2003,m
ref3,Bridging possibilistic conditional knowledge bases and partially ordered bases,JELIA. pp,S Benferhat,S Lagrue,S Yahi,38,50,2010,2010,m
ref4,Contextual argumentation in ambient intelligence,LPNMR. pp,A Bikakis,G Antoniou,30,43,2009,2009,m
ref5,Alternative strategies for conflict resolution in multi-context systems,AIAI. pp,A Bikakis,G Antoniou,P Hassapis,31,40,2009,2009,m
ref6,Data fusion,ACM Comput. Surv,J Bleiholder,F Naumann,41,1,1,41,2008,2008,j
ref7,Equilibria in heterogeneous nonmonotonic multi-context systems,AAAI. pp,G Brewka,T Eiter,385,390,2007,2007,m
ref8,Managed multi-context systems,In: IJCAI,G Brewka,T Eiter,M Fink,A Weinzierl,2011,2011,j
ref9,,Contextual default reasoning. In: IJCAI. pp,G Brewka,F Roelofsen,L Serafini,268,273,2007,2007,m
ref10,Inconsistency tolerance in p2p data integration: An epistemic logic approach,Inf. Syst,D Calvanese,G D Giacomo,D Lembo,M Lenzerini,R Rosati,33,4-5,360,384,2008,2008,j
ref11,Ultimate approximation and its application in nonmonotonic knowledge representation systems,Inf. Comput,M Denecker,V W Marek,M Truszczynski,192,1,84,121,2004,2004,j
ref12,Finding explanations of inconsistency in multi-context systems,KR,T Eiter,M Fink,P Schüller,A Weinzierl,2010,2010,m
ref13,Preference-based inconsistency assessment in multi-context systems,JELIA. pp,T Eiter,M Fink,A Weinzierl,143,155,2010,2010,j
ref14,Relational information exchange and aggregation in multi-context systems,LPNMR. pp,M Fink,L Ghionna,A Weinzierl,120,133,2011,2011,m
ref15,Classical negation in logic programs and disjunctive databases,New Generation Comput,M Gelfond,V Lifschitz,9,365,386,1991,1991,j
ref16,,Abstract contextual reasoning,F Giunchiglia,1993,1993,m
ref17,Multilanguage hierarchical logics or: How we can do without modal logics,Artif. Intell,F Giunchiglia,L Serafini,65,1,29,70,1994,1994,j
ref18,Focusing on probable diagnoses,AAAI. pp,J De Kleer,842,848,1991,1991,m
ref19,Notes on formalizing context,IJCAI. pp,J Mccarthy,555,562,1993,1993,j
ref20,A theory of diagnosis from first principles,Artif. Intell,R Reiter,32,1,57,95,1987,1987,j
ref21,Minimal and absent information in contexts,IJCAI. pp,F Roelofsen,L Serafini,558,563,2005,2005,j
ref22,Minimality and non-determinism in multi-context systems,CONTEXT. pp,F Roelofsen,L Serafini,424,435,2005,2005,m
ref23,Semantic reasoning with sparql in heterogeneous multicontext systems,Semantic Search over the Web,P Schüller,A Weinzierl,2011,2011,m
ref24,Local relational model: A logical formalization of database coordination,CONTEXT. pp,L Serafini,F Giunchiglia,J Mylopoulos,P Bernstein,286,299,2003,2003,m</t>
  </si>
  <si>
    <t>TUW-202034</t>
  </si>
  <si>
    <t>ref1,The multi-level network design problem,Working papers 3366-91,Massachusetts Institute of Technology (MIT), Sloan School of Management,A Balakrishnan,T L Magnanti,P Mirchandani,1991,1991
ref2,Programming pearls: a sample of brilliance,Communications ACM,J Bentley,B Floyd,30,754,757,1987,1987
ref3,Optimization over Integers,Dynamic Ideas,D Bertsimas,R Weismantel,1,2005,2005
ref4,A faster algorithm for betweenness centrality,Journal of Mathematical Sociology,U Brandes,25,163,177,2001,2001
ref5,The hierarchical network design problem,European Journal of Operational Research,J R Current,C S ReVelle,J L Cohon,27,1,57,66,1986,1986
ref6,Networks, Crowds, and Markets: Reasoning About a Highly Connected World,Cambridge University Press,D Easley,J Kleinberg,2010,2010
ref7,Development of sampling plans by using sequential (item by item) selection techniques and digital computers,Journal of the American Statistical Association,C T Fan,M E Muller,I Rezucha,57,387,402,1962,1962
ref8,Design of Survivable Networks with Bounded Rings,PhD thesis,Universite libre de Bruxelles,B Fortz,2000,2000
ref9,Community structure in social and biological networks,Proceedings of the National Academy of Science,M Girvan,M E J Newman,99,7821,7826,2002,2002
ref10,A note on sampling a tape-file,Communications ACM,T G Jones,5,343,1962,1962
ref11,An Efficient Heuristic Procedure for Partitioning Graphs,The Bell system technical journal,B W Kernighan,S Lin,49,1,291,307,1970,1970
ref12,Hub location in backbone/tributary network design: a review,Location Science,J G Klincewicz,6,1-4,307,335,1998,1998
ref13,Locating a cycle in a transportation or a telecommunications network,Networks,G Laporte,I R Martín,50,92,108,2007,2007
ref14,The Traveling Salesman Problem: A Guided Tour of Combinatorial Optimization,Wiley,E L Lawler,J K Lenstra,A H G R Kan,D B Shmoys,New York,1985,1985
ref15,A design of the minimum cost ring-chain network with dualhoming survivability: A tabu search approach,Computers &amp; Operations Research,C Y Lee,S J Koh,24,9,883,897,1997,1997
ref16,An effective heuristic algorithm for the travelling-salesman problem,Operations Research,S Lin,B W Kernighan,21,498,516,1973,1973
ref17,Fast k-means algorithm clustering,CoRR, abs/1108.1351,R Salman,V Kecman,Q Li,R Strack,E Test,2011,2011
ref18,Hierarchical Network Design,PhD thesis,Technical University of Denmark,T Thomadsen,2005,2005
ref19,An efficient algorithm for sequential random sampling,ACM Transactions Mathematical Software,ACM,J S Vitter,New York, NY, USA,13,58,67,1987,1987
ref20,Multilevel refinement for combinatorial optimisation problems,Annals of Operations Research,C Walshaw,131,325,372,2004,2004
ref21,Overlapping community detection in networks: the state of the art and comparative study,CoRR, abs/1110.5813,J Xie,S Kelley,B K Szymanski,2011,2011</t>
  </si>
  <si>
    <t>ref1,The multi-level network design problem. Working papers 3366-91,Massachusetts Institute of Technology (MIT),A Balakrishnan,T L Magnanti,P Mirchandani,1991,1991,m
ref2,Programming pearls: a sample of brilliance,Communications ACM,J Bentley,B Floyd,30,754,757,1987,1987,j
ref3,,Optimization over Integers. Dynamic Ideas,D Bertsimas,R Weismantel,2005,2005,m
ref4,A faster algorithm for betweenness centrality,Journal of Mathematical Sociology,U Brandes,25,163,177,2001,2001,j
ref5,The hierarchical network design problem,European Journal of Operational Research,J R Current,C S Revelle,J L Cohon,27,1,57,66,1986,1986,j
ref6,,Networks, Crowds, and Markets: Reasoning About a Highly Connected World,Cambridge University Press,D Easley,J Kleinberg,2010,2010,m
ref7,Development of sampling plans by using sequential (item by item) selection techniques and digital computers,Journal of the American Statistical Association,C T Fan,M E Muller,I Rezucha,57,387,402,1962,1962,j
ref8,Design of Survivable Networks with Bounded Rings,B Fortz,2000,2000,m
ref9,Community structure in social and biological networks,Proceedings of the National Academy of Science,M Girvan,M E J Newman,99,7821,7826,2002,2002,j
ref10,A note on sampling a tape-file,Communications ACM,T G Jones,5,1962,1962,j
ref11,An Efficient Heuristic Procedure for Partitioning Graphs. The Bell system technical journal,B W Kernighan,S Lin,291,307,1970,1970,m
ref12,Hub location in backbone/tributary network design: a review,Location Science,J G Klincewicz,6,1-4,307,335,1998,1998,j
ref13,Locating a cycle in a transportation or a telecommunications network,Networks,G Laporte,I R Martín,50,92,108,2007,2007,j
ref14,The Traveling Salesman Problem: A Guided Tour of Combinatorial Optimization,Wiley,E L Lawler,J K Lenstra,A H G R Kan,D B Shmoys,New York,1985,1985,m
ref15,A design of the minimum cost ring-chain network with dualhoming survivability: A tabu search approach,Computers &amp; Operations Research,C Y Lee,S J Koh,24,9,883,897,1997,1997,j
ref16,An effective heuristic algorithm for the travelling-salesman problem,Operations Research,S Lin,B W Kernighan,21,498,516,1973,1973,j
ref17,Fast k-means algorithm clustering,CoRR,R Salman,V Kecman,Q Li,R Strack,E Test,2011,2011,m
ref18,Hierarchical Network Design,T Thomadsen,2005,2005,m
ref19,An efficient algorithm for sequential random sampling,ACM Transactions Mathematical Software,ACM,J S Vitter,58,67,1987,1987,m
ref20,Multilevel refinement for combinatorial optimisation problems,Annals of Operations Research,C Walshaw,131,325,372,2004,2004,j
ref21,Overlapping community detection in networks: the state of the art and comparative study,CoRR,J Xie,S Kelley,B K Szymanski,2011,2011,m</t>
  </si>
  <si>
    <t>TUW-202824</t>
  </si>
  <si>
    <t>ref1,The Case for Cloud Computing,IT-Professional,R L Grossman,Case,Cloud,11,2,23,27,2009,2009
ref2,The Cloudy Future of Government IT: Cloud Computing and the Public Sector Around the World,International Journal of Web &amp; Semantic Technology,D C Wyld,1,1,2010,2010
ref3,E-Governance challenges and cloud benefits,Proceedings of the IEEE International Conference on Computer Science and Automation Engineering (CSAE),A Tripathi,B Parihar,2011,2011
ref4,State of Public Sector Cloud Computing,Washington, D.C.: CIO Council,V Kundra,2010-05-20,2010,5,20</t>
  </si>
  <si>
    <t>ref1,,ITPROFESSIONAL,R L Grossman,&amp;quot; The Case For Cloud Computing,11,2,23,27,2009,2009,j
ref2,The Cloudy Future of Government IT: Cloud Computing and the Public Sector Around the World,The obstacles for integration of Cloud computing in the Austrian Public sector can be summarized as follows,D C Wyld,2010,2010,m
ref3,E-Governance challenges and cloud benefits,Proceedings of the IEEE International Conference on Computer Science and Automation Engineering (CSAE),A Tripathi,B Parihar,2011,2011,m
ref4,State of Public Sector Cloud Computing,CIO Council,V Kundra,Washington, D.C.,2010-05-20,2010,05,20,m</t>
  </si>
  <si>
    <t>TUW-203409</t>
  </si>
  <si>
    <t>none expected</t>
  </si>
  <si>
    <t>NA</t>
  </si>
  <si>
    <t>TUW-203924</t>
  </si>
  <si>
    <t>ref1,Genetic diversity and new therapeutic concepts,Journal of Human Genetics,B S Shastry,50,321,328,2005,2005
ref2,Pharmacogenomic Biomarker Information in Drug Labels Approved by the United States Food and Drug Administration: Prevalence of Related Drug Use,Pharmacotherapy,F W Frueh,S Amur,P Mummaneni,R S Epstein,R E Aubert,T M DeLuca,R R Verbrugge,G J Burckart,L J Lesko,28,992,998,2008,2008
ref3,Semantic Web Health Care and Life Sciences (HCLS) Interest Group,,http://www.w3.org/2001/sw/hcls/
ref4,World Wide Web Consortium (W3C),,http://www.w3.org/
ref5,OWL Web Ontology Language Overview,,http://www.w3.org/TR/owl-features/
ref6,The pharmacogenetics and pharmacogenomics knowledge base: accentuating the knowledge,Nucleic Acids Research,T Hernandez-Boussard,M Whirl-Carrillo,J M Hebert,L Gong,R Owen,M Gong,W Gor,F Liu,C Truong,R Whaley,M Woon,T Zhou,R B Altman,T E Klein,36,D913,D918,2008-01,2008,1
ref7,DrugBank and its relevance to pharmacogenomics,Pharmacogenomics,D S Wishart,9,1155,1162,2008-08,2008,8
ref8,OMIM Home,http://www.ncbi.nlm.nih.gov/omim
ref9,dbSNP Home Page,http://www.ncbi.nlm.nih.gov/projects/SNP/
ref10,SNPedia,http://www.SNPedia.com/
ref11,Using text to build semantic networks for pharmacogenomics,Journal of Biomedical Informatics,A Coulet,N H Shah,Y Garten,M Musen,R B Altman,43,1009,1019,2010-12,2010,12
ref12,Horizon scanning for new genomic tests,Genetics in Medicine: Official Journal of the American College of Medical Genetics,M Gwinn,D A Grossniklaus,W Yu,S Melillo,A Wulf,J Flome,W D Dotson,M J Khoury,2011-01,2011,1
ref13,The Evaluation of Genomic Applications in Practice and Prevention (EGAPP) initiative: methods of the EGAPP Working Group,S M Teutsch,L A Bradley,G E Palomaki,J E Haddow,M Piper,N Calonge,W D Dotson,M P Douglas,A O Berg,11,3,14,2009-01,2009,1
ref14,The Translational Medicine Ontology: Driving personalized medicine by bridging the gap from bedside to bench,Proceedings of the 13th Annual Bio-Ontologies Meeting,M Dumontier,B Andersson,C Batchelor,C Denney,C Domarew,A Jentzsch,J Luciano,E Pichler,E Prud&amp;apos;hommeaux,P L Whetzel,O Bodenreider,T Clark,L Harland,V Kashyap,P Kos,J Kozlovsky,J McGurk,C Ogbuji,M Samwald,L Schriml,P J Tonellato,J Zhao,S Stephens,2010,2010
ref15,Suggested Ontology for Pharmacogenomics (SO-Pharm): Modular Construction and Preliminary Testing,A Coulet,M Smaïl-Tabbone,A Napoli,M.-D Devignes,2006,2006
ref16,The Sequence Ontology: a tool for the unification of genome annotations,Genome Biology,K Eilbeck,S E Lewis,C J Mungall,M Yandell,L Stein,R Durbin,M Ashburner,6,R44,2005,2005
ref17,Health Level Seven International-Homepage,,http://www.hl7.org/
ref18,Feasibility of incorporating genomic knowledge into electronic medical records for pharmacogenomic clinical decision support,C L Overby,P Tarczy-Hornoch,J I Hoath,I J Kalet,D L Veenstra,11,S10,S10
ref19,Arden Syntax,,http://www.hl7.org/implement/standards/ardensyntax.cfm
ref20,Fuzzy Arden Syntax: A fuzzy programming language for medicine,Artificial Intelligence in Medicine,T Vetterlein,H Mandl,K.-P Adlassnig,49,1,10,2010-05,2010,5
ref21,Pronto-A Probabilistic Reasoner for OWL DL and,,http://pellet.owldl.com/pronto
ref22,Improving clinical practice using clinical decision support systems: a systematic review of trials to identify features critical to success,BMJ,K Kawamoto,330,765,0,2005,2005</t>
  </si>
  <si>
    <t>ref1,Genetic diversity and new therapeutic concepts,Journal of Human Genetics,B S Shastry,50,321,328,2005,2005,j
ref2,Pharmacogenomic Biomarker Information in Drug Labels Approved by the United States Food and Drug Administration: Prevalence of Related Drug Use,Pharmacotherapy,F W Frueh,S Amur,P Mummaneni,R S Epstein,R E Aubert,T M Deluca,R R Verbrugge,G J Burckart,L J Lesko,28,992,998,2008,2008,j
ref3,Semantic Web Health Care and Life Sciences (HCLS) Interest Group,,m
ref4,World Wide Web Consortium (W3C,,m
ref5,OWL Web Ontology Language Overview,,m
ref6,,The pharmacogenetics and pharmacogenomics knowledge base: accentuating the knowledge,T Hernandez-Boussard,M Whirl-Carrillo,J M Hebert,L Gong,R Owen,M Gong,W Gor,F Liu,C Truong,R Whaley,M Woon,T Zhou,R B Altman,T E Klein,913,918,2008-01,2008,01,m
ref7,DrugBank and its relevance to pharmacogenomics,Pharmacogenomics,D S Wishart,9,1155,1162,2008-08,2008,08,j
ref8,Available,&amp;quot; Omim Home,m
ref9,,&amp;quot; Dbsnp Home
ref10,Using text to build semantic networks for pharmacogenomics,Journal of Biomedical Informatics,A Coulet,N H Shah,Y Garten,M Musen,R B Altman,43,1009,1019,2010,2010,j
ref11,Horizon scanning for new genomic tests,Genetics in Medicine: Official Journal of the American College of Medical Genetics,M Gwinn,D A Grossniklaus,W Yu,S Melillo,A Wulf,J Flome,W D Dotson,M J Khoury,2011-01,2011,01,j
ref12,The Evaluation of Genomic Applications in Practice and Prevention (EGAPP) initiative: methods of the EGAPP Working Group,S M Teutsch,L A Bradley,G E Palomaki,J E Haddow,M Piper,N Calonge,W D Dotson,M P Douglas,A O Berg,3,14,2009-01,2009,01,m
ref13,,M Dumontier,B Andersson,C Batchelor,C Denney,C Domarew,A Jentzsch,J Luciano,E Pichler,E Prud &amp;apos;hommeaux,P L Whetzel,O Bodenreider,T Clark,L Harland,V Kashyap,P Kos,J Kozlovsky,J Mcgurk,C Ogbuji,M Samwald,L Schriml,P J Tonellato,J Zhao
ref14,The Translational Medicine Ontology: Driving personalized medicine by bridging the gap from bedside to bench,Proceedings of the 13th Annual Bio-Ontologies Meeting,Stephens,2010,2010,m
ref15,Suggested Ontology for Pharmacogenomics (SO-Pharm): Modular Construction and Preliminary Testing,A Coulet,M Smaïl-Tabbone,A Napoli,M.-D Devignes,2006,2006,m
ref16,The Sequence Ontology: a tool for the unification of genome annotations,Genome Biology,K Eilbeck,S E Lewis,C J Mungall,M Yandell,L Stein,R Durbin,Und M Ashburner,6,2005,2005,j
ref17,,Health Level Seven International-Homepage,,http://www.hl7.org/,j
ref18,Feasibility of incorporating genomic knowledge into electronic medical records for pharmacogenomic clinical decision support,C L Overby,P Tarczy-Hornoch,J I Hoath,I J Kalet,D L Veenstra,10,10,m
ref19,Available,Arden Syntax,,http://www.hl7.org/implement/standards/ardensyntax.cfm,j
ref20,Fuzzy Arden Syntax: A fuzzy programming language for medicine,Artificial Intelligence in Medicine,T Vetterlein,H Mandl,K.-P Adlassnig,49,1,10,2010-05,2010,05,j
ref21,Pronto-A Probabilistic Reasoner for OWL DL and,,m
ref22,Improving clinical practice using clinical decision support systems: a systematic review of trials to identify features critical to success,BMJ,K Kawamoto,330,765,765,2005,2005,j</t>
  </si>
  <si>
    <t>TUW-204724</t>
  </si>
  <si>
    <t>ref1,(Król, Ludwiczyński, 2007),Human Resource Management,PWN,H. Król,A. Ludwiczyński,Warszawa,(in polish),2007
ref2,(Barthelme, Ermine, Rosenthal-Sabroux, 1998),An architecture for knowledge evolution in organisations,European Journal of Operational Research,F. Barthelme,J. L Ermine,C Rosenthal-Sabroux,1998
ref3,(Basu, 1998),Perspectives on operations research in data and knowledge management,European Journal of Operational Research,A. Basu,1998
ref4,(Carayannis, 1998),The strategic management of technological learning in project/program management: the role of extranets, intranets and intelligent agents in knowledge generation, diffusion, and leveraging,Technovation,Elsevier,E. G. Carayannis,18,11,697,703,1998
ref5,(Drew, 1999),Building knowledge management into strategy. Making sense of a new perspective,Long Range Plan,S. Drew,1999
ref6,(Chen, Liang, 1999),Design and implementation of a collaborative engineering information system for allied concurrent engineering,Int J Comput Integrated Manuf,YM Chen,MW Liang,1999
ref7,(Senn, 1990),Information Systems in Management,J. A Senn,Wadsworth CA,1990
ref8,(Chrisman, Chua, Zahra, 2003),Creating wealth in family firms through managing resources: Comments and extensions,Entrepreneurship Theory and Practice,J. J. Chrisman,J. H. Chua,S. A. Zahra,27,4,359,365,2003
ref9,(McGrath, MacMillan, 2000),The entrepreneurial mindset,Harvard Business School Press,R. McGrath,MacMillan,Boston,2000
ref10,(Sirmon, Hitt, 2003),A. Managing resources: linking unique resources, management and wealth creation in family firms,Entrepreneurship Theory and Practice,D. G. Sirmon,M. A Hitt,27,4,339,358,2003
ref11,(Berio, Harzallah, 2005),Knowledge management for competence management,Journal of Universal Knowledge Management,G. Berio,M Harzallah,0,1,21,38,2005
ref12,(Patalas-Maliszewska, Republic, 2009),The concept of system supporting decision making enabling to asses and forecast of knowledge in SMEs - research results,Applied Computer Science,J Patalas-Maliszewska,Zilina, Slovak Republic,2009</t>
  </si>
  <si>
    <t>TUW-205557</t>
  </si>
  <si>
    <t>ref1,An Evaluation of WCET Analysis using Symbolic Loop Bounds,Pre-Proceedings of the 11th International Workshop on Worst-Case Execution Time Analysis (WCET 2011),J. Knoop,L. Kovacs,J. Zwirchmayr,Porto, Portugal,2011,2011,m
ref2,Symbolic Loop Bound Computation for WCET Analysis,Proceedings of the 8th International Andrei Ershov Memorial ConferencePerspectives of System Informatics (PSI 2011),J. Knoop,L. Kovacs,J. Zwirchmayr,Akademgorodok/Novosibirsk, Russia,to. appear,2011-06-27,2011,6,27,m</t>
  </si>
  <si>
    <t>ref1,An Evaluation of WCET Analysis using Symbolic Loop Bounds,Pre-Proceedings of the 11th International Workshop on Worst-Case Execution Time Analysis,J Knoop,L Kovacs,J Zwirchmayr,2011,2011,m
ref2,Symbolic Loop Bound Computation for WCET Analysis,Proceedings of the 8th International Andrei Ershov Memorial ConferencePerspectives of System Informatics,J Knoop,L Kovacs,J Zwirchmayr,2011-07-01,2011,07,01,m
ref3,,This work is based on material that was presented at the 8th Ershov Informatics Conference 2011 [2] and the Workshop on Worst Case Execution Time,,m
ref4,This research is supported by the CeTAT project of TU Vienna. The second author is supported by an FWF Hertha Firnberg Research grant,,425,448,m</t>
  </si>
  <si>
    <t>TUW-205933</t>
  </si>
  <si>
    <t>ref1,[Bateson, 1973],Steps to an Ecology of Mind,Ballantine,G. Bateso,Ballantine, New York,1973,1973,m
ref2,[Bishop, 2008],Downward causation in fluid convection,Synthese,R. C. Bishop,160,229,248,2008
ref3,[Fenzl and Hofkirchner, 1997],Information Processing in Evolutionary Systems. An Outline Conceptual Framework for a Unified Information Theory,Self-Organization of Complex Structures: From Individual to Collective Dynamics,Gordon &amp; Breach,F. Schweitzer,N. Fenzl,W. Hofkirchner,London,59,70,1997
ref4,[Haken, 1988],Information and self-organization,Springer,H. Haken,Berlin,1988
ref5,[Halley and Winkler, 2008],Consistent concepts of Self-organization and Self-assembly,Complexity,J. D. Halley,D. A. Winkler,14,2,10,17,2008
ref6,[Hofkirchner, 2011],Four ways of thinking in information,triple-c,W. Hofkirchner,9,1,in print,2011
ref7,[Lenin, 1977],Materialismus und Empiriokritizismus,W. I. Lenin,Dietz, Berlin,1977
ref8,[Mayr, 1974],Teleological and Teleonomic: A New Analysis,Boston Studies in the Philosophy of Science,E. Mayr,XIV,91,117,1974
ref9,[Morin, 1992],The nature of nature,Morin,Lang, New York,1992
ref10,[Peirce, 1983],Phänomen und Logik der Zeichen,C. S. Peirce,Suhrkamp, Frankfurt,1992
ref11,[Peirce, 2000],Semiotische Schriften,1, 2, 3,C. S. Peirce,Suhrkamp, Frankfurt,2000
ref12,[Ursul, 1970],Information, Eine philosophische Studie,A. D. Ursul,Dietz, Berlin,1970</t>
  </si>
  <si>
    <t>ref1,Steps to an Ecology of Mind,Synthese, 160,Ballantine,R C Bishop,229,248,1973,1973,m
ref2,Information Processing in Evolutionary Systems. An Outline Conceptual Framework for a Unified Information Theory,Self-Organization of Complex Structures: From Individual to Collective Dynamics,N Fenzl,W Hofkirchner,59,70,1997,1997,m
ref3,Information and self-organization,Complexity,Springer,J D Halley,D A Winkler,14,2,10,17,1988,1988,j
ref4,Four ways of thinking in information,Teleological and Teleonomic: A New Analysis. In: Boston Studies in the Philosophy of Science, XIV,W Hofkirchner,91,117,1977,1977,m
ref5,The nature of nature,C S Peirce,Lang, New York; Frankfurt; Berlin,1970,1970,m</t>
  </si>
  <si>
    <t>TUW-213513</t>
  </si>
  <si>
    <t>ref1,Fuzz revisited: A re-examination of the reliability of unix utilities and services,Technical Report CS-TR-1995-1268,University of Wisconsin,B. Miller,D. Koski,C. Pheow,L. V. Maganty,R. Murthy,A. Natarajan,J. Steidl,1995,1995,m
ref2,Guided merging of sequence diagrams,Pre-proceedings of SLE 2012,M. Widl,A. Biere,P. Brosch,U. Egly,M. Heule,G. Kappel,M. Seidl,H. Tompits,163,182,2012,2012,http://modelevolution.org/publications/sle12.pdf,m</t>
  </si>
  <si>
    <t>ref1,Fuzz revisited: A re-examination of the reliability of unix utilities and services,B Miller,D Koski,C Pheow,L V Maganty,R Murthy,A Natarajan,J Steidl,1995,1995,m
ref2,Guided merging of sequence diagrams,Pre-proceedings of SLE 2012,M Widl,A Biere,P Brosch,U Egly,M Heule,G Kappel,M Seidl,H Tompits,163,182,2012,2012,http://modelevolution.org/publications/sle12.pdf,m</t>
  </si>
  <si>
    <t>TUW-216744</t>
  </si>
  <si>
    <t>ref1,How Well Do Physicians Use Electronic Information Retrieval Systems? A Framework for Investigation and Systematic Review,JAMA: The Journal of the American Medical Association,W. R. Hersh,D. H. Hickam,280,1347,1352,1998-10,1998,10,j
ref2,Patient-Care Questions that Physicians Are Unable to Answer,Journal of the American Medical Informatics Association : JAMIA,J W Ely,J A Osheroff,S M Maviglia,M E Rosenbaum,14,407,414,2007,2007,j
ref3,The information-seeking behaviour of doctors: a review of the evidence,Health Information and Libraries Journal,K Davies,24,78,94,2007,2007,j
ref4,Information Seeking in Primary Care,Medical Decision Making,P N Gorman,M Helfand,15,113,119,1995-06,1995,6,j
ref5,Finding and Applying Evidence During Clinical Rounds,JAMA: The Journal of the American Medical Association,D L Sackett,S E Straus,280,1336,1338,1998-10,1998,10,j
ref6,Answers to Questions Posed During Daily Patient Care Are More Likely to Be Answered by UpToDate Than PubMed,Journal of Medical Internet Research,A Hoogendam,A F Stalenhoef,P F De Vries Robbé,A J P Overbeke,10,j
ref7,Clever searching for evidence,BMJ,S Sanders,330,1162,1163,2005,2005,j
ref8,Analysis of queries sent to PubMed at the point of care: Observation of search behaviour in a medical teaching hospital,BMC Medical Informatics and Decision Making,A Hoogendam,A F Stalenhoef,P F De Vries Robbé,A J P Overbeke,8,42,42,j
ref9,Follow up of quality of public oriented health information on the world wide web: systematic re-evaluation,BMJ,C Pandolfini,M Bonati,324,582,583,2002-03,2002,3,j
ref10,Real-time information-seeking behavior of residency physicians,Family Medicine,K Ramos,R Linscheid,S Schafer,35,257,260,2003-04,2003,4,j
ref11,Information Needs and Information-Seeking Behavior of Primary Care Physicians,Ann Fam Med,A I Gonzales-Gonzales,M Dawes,J Sanchez-Mateos,R Riesgo-Fuertes,E Escortell-Mayor,T Sanz-Cuesta,T Hernandez-Fernandez,5,345,352,2007-07,2007,7,j
ref12,What resources do Auckland general practitioners use for answering immediate clinical questions and for lifelong learning?,Journal of Primary Health Care,Z B H Gravatt,B Arroll,2,100,104,2010-06,2010,6,j
ref13,Connecting with physicians online: searching for answers,Hall and Partners,2009,2009,m
ref14,A cognitive evaluation of four online search engines for answering definitional questions posed by physicians,Pacific Symposium on Biocomputing. Pacific Symposium on Biocomputing,H Yu,D Kaufman,328,339,2007,2007,m
ref15,Googling for a diagnosis—use of Google as a diagnostic aid: internet based study,BMJ,H Tang,J H K Ng,333,1143,1145,2006-12,2006,12,j
ref16,Websites Most Frequently Used by Physician for Gathering Medical Information,G De Leo,E C Leroug,C Ceriani,F Niederman,902,902,2006,2006,m
ref17,Does general practice Google?,Australian Family Physician,M G Sim,E Khong,M Jiwa,37,471,474,2008-06,2008,6,j
ref18,GATE: A Framework and Graphical Development Environment for Robust NLP Tools and Applications,H Cunningham,D Maynard,K Bontcheva,V Tablan,2002,2002,m</t>
  </si>
  <si>
    <t>ref1,How Well Do Physicians Use Electronic Information Retrieval Systems? A Framework for Investigation and Systematic Review,JAMA: The Journal of the American Medical Association,Hersh ,W R ,Hickam ,D H ,280,1347,1352,1998,1998,j
ref2,Patient-Care Questions that Physicians Are Unable to Answer,Journal of the American Medical Informatics Association : JAMIA,Ely ,J W Osheroff,J A Maviglia,S M Rosenbaum,M E ,14,407,414,2007,2007,j
ref3,The information-seeking behaviour of doctors: a review of the evidence,Health Information and Libraries Journal,Davies ,K ,24,78,94,2007,2007,j
ref4,Information Seeking in Primary Care,Medical Decision Making,Gorman ,P N Helfand,M ,15,113,119,1995,1995,j
ref5,Finding and Applying Evidence During Clinical Rounds,JAMA: The Journal of the American Medical Association,Sackett ,D L Straus,S E ,280,1336,1338,1998,1998,j
ref6,Answers to Questions Posed During Daily Patient Care Are More Likely to Be Answered by UpToDate Than PubMed,Journal of Medical Internet Research,Hoogendam ,A Stalenhoef,A F De Vries Robbé,P F Overbeke,A J P ,10,j
ref7,Clever searching for evidence,BMJ,Sanders ,S ,330,1162,1163,2005,2005,j
ref8,Analysis of queries sent to PubMed at the point of care: Observation of search behaviour in a medical teaching hospital,BMC Medical Informatics and Decision Making,Hoogendam ,A Stalenhoef,A F De Vries Robbé,P F Overbeke,A J P ,8,42,42,j
ref9,Follow up of quality of public oriented health information on the world wide web: systematic re-evaluation,BMJ,Pandolfini ,C Bonati,M ,324,582,583,2002-03,2002,03,j
ref10,Real-time information-seeking behavior of residency physicians,Family Medicine,Ramos ,K Linscheid,R Schafer,S ,35,257,260,2003-04,2003,04,j
ref11,Information Needs and Information-Seeking Behavior of Primary Care Physicians,Ann Fam Med,Gonzales-Gonzales ,A I Dawes,M Sanchez-Mateos,J Riesgo-Fuertes,R Escortell-Mayor,E Sanz-Cuesta,T Hernandez-Fernandez,T ,5,345,352,2007-07,2007,07,j
ref12,What resources do Auckland general practitioners use for answering immediate clinical questions and for lifelong learning?,Journal of Primary Health Care,Gravatt ,Z B H Arroll,B ,2,100,104,2010-06,2010,06,j
ref13,Connecting with physicians online: searching for answers,Hall And Partners,2009,2009,m
ref14,A cognitive evaluation of four online search engines for answering definitional questions posed by physicians,Pacific Symposium on Biocomputing. Pacific Symposium on Biocomputing,Yu H Kaufman D,328,339,2007,2007,m
ref15,Googling for a diagnosis-use of Google as a diagnostic aid: internet based study,BMJ,Tang ,H Ng,J H K ,333,1143,1145,2006,2006,j
ref16,Websites Most Frequently Used by Physician for,Gathering Medical Information,De Leo,G Leroug,E C Ceriani,C Niederman,F ,902,902,2006,2006,j
ref17,Does general practice Google?,Australian Family Physician,Sim ,M G Khong,E Jiwa,M ,37,471,474,2008-06,2008,06,j
ref18,GATE: A Framework and Graphical Development Environment for Robust NLP Tools and Applications,Cunningham ,H Maynard,D Bontcheva,K Tablan,V ,2002,2002,m</t>
  </si>
  <si>
    <t>TUW-217690</t>
  </si>
  <si>
    <t>ref1,Parallel Tracking and Mapping for Small AR Workspaces,Proc. International Symposium on Mixed and Augmented Reality (ISMAR'07, Nara),Georg Klein,David Murray,2007,2007,m
ref2,Video-rate localization in multiple maps for wearable augmented reality,Proc. 12th IEEE Int. Symp. on Wearable Computing,R O Castle,G Klein,D W Murray,Pittsburgh PA,15,22,2008,2008,m</t>
  </si>
  <si>
    <t>ref1,Parallel Tracking and Mapping for Small AR Workspaces,Proc. International Symposium on Mixed and Augmented Reality (ISMAR'07,Georg Klein,David Murray,2007,2007,m
ref2,Video-rate localization in multiple maps for wearable augmented reality,Proc. 12th IEEE Int. Symp. on Wearable Computing,R O Castle,G Klein,D W Murray,15,22,2008,2008,m</t>
  </si>
  <si>
    <t>TUW-217971</t>
  </si>
  <si>
    <t>ref1,Visualization of Time and Time-Oriented Information: Challenges and Conceptual Design,Theses,Vienna University of Technology,W Aigner,2006-02,2006,2,m
ref2,Time Granularities in Databases, Data Mining and Temporal Reasoning,Springer-Verlag New York,C Bettini,S Jajodia,S Wang,Secaucus, NJ, USA,2000,2000,m
ref3,Readings in Information Visualization: Using Vision to Think,Morgan Kaufmann Publishers,S Card,J Mackinlay,B Shneiderman,San Francisco,1999,1999,m
ref4,Visualizing Data,Hobart Press,W Cleveland,Summit, NJ, USA,1993,1993,m
ref5,An ObjectOriented Framework for Temporal Data Models,Springer,I A Goralwalla,M T Ozsu,D Szafron,1,35,1998,1998,m
ref6,A Comparison of Programming Platforms for Interactive Visualization in Web Browser Based Applications,Proceedings of 12th International Conference on Information Visualisation (IV08),T Lammarsch,W Aigner,A Bertone,J Gärtner,S Miksch,T Turic,forthcoming,2008-07,2008,7,m
ref7,An Insight-Based Longitudinal Study of Visual Analytics,IEEE Transactions on Visualization and Computer Graphics,P Saraiya,C North,V Lam,K Duca,12,6,1,2006,2006,j
ref8,Coordinated Views to Assist Exploration of SpatioTemporal Data: A Case Study,Proceedings of the 2nd International Conference on Coordinated and Multiple Views in Exploratory Visualization (CMV04),IEEE,M Shimabukuro,E Flores,M de Oliveira,H Levkowitz,107,117,2004-07-13,2004,7,13,m
ref9,Information Visualization: Design for Interaction,Prentice-Hall, Inc,R Spence,Upper Saddle River, NJ, USA,2007,2007,m
ref10,Cluster and Calendar Based Visualization of Time Series Data,Proceedings of the IEEE Symposium on Information Visualization 1999 (InfoVis99),J J van Wijk,E R van Selow,4,9,1999,1999,m</t>
  </si>
  <si>
    <t>ref1,,Visualization of Time and Time-Oriented Information: Challenges and Conceptual Design. Theses,W Aigner,2006,2006,m
ref2,Time Granularities in Databases, Data Mining and Temporal Reasoning,SpringerVerlag,C Bettini,S Jajodia,S Wang,New York, Secaucus, NJ, USA,2000,2000,m
ref3,Readings in Information Visualization: Using Vision to Think,Morgan Kaufmann Publishers,S Card,J Mackinlay,B Shneiderman,San Francisco,1999,1999,m
ref4,Visualizing Data,Hobart Press,W Cleveland,Summit, NJ, USA,1993,1993,m
ref5,An ObjectOriented Framework for Temporal Data Models,Springer,I A Goralwalla,M T Ozsu,D Szafron,1,35,1998,1998,m
ref6,A Comparison of Programming Platforms for Interactive Visualization in Web Browser Based Applications,Proceedings of 12th International Conference on Information Visualisation (IV08),T Lammarsch,W Aigner,A Bertone,J Gärtner,S Miksch,T Turic,2008-07,2008,07,m
ref7,An Insight-Based Longitudinal Study of Visual Analytics,IEEE Transactions on Visualization and Computer Graphics,P Saraiya,C North,V Lam,K Duca,12,6,2006,2006,j
ref8,Coordinated Views to Assist Exploration of SpatioTemporal Data: A Case Study,Proceedings of the 2nd International Conference on Coordinated and Multiple Views in Exploratory Visualization (CMV04),IEEE,M Shimabukuro,E Flores,M De Oliveira,H Levkowitz,107,117,2004-07-13,2004,07,13,m
ref9,Information Visualization: Design for Interaction,Prentice-Hall, Inc. Upper Saddle River,R Spence,NJ, USA,2007,2007,m
ref10,Cluster and Calendar Based Visualization of Time Series Data,Proceedings of the IEEE Symposium on Information Visualization 1999 (InfoVis99),J J Van Wijk,E R Van Selow,4,9,1999,1999,m</t>
  </si>
  <si>
    <t>TUW-221215</t>
  </si>
  <si>
    <t>ref1,On colouring the nodes of a network,Proceedings of the Cambridge Philosophical Society,R Brooks,W Tutte,37,2,194,197,1941,1941,j
ref2,Chromatic scheduling and the chromatic number problem,Management Science,J Brown,19,4,456,463,1972,1972,j
ref3,Reducibility Among Combinatorial Problems,Complexity of Computer Computations,R Karp,85,103,1972,1972,m
ref4,Every Planar Map is Four Colorable,Illinois Journal of Mathematics,K Appel,W Haken,21,429,567,1977,1977,j
ref5,A Graph Coloring Algorithm for Large Scheduling Problems,Journal of Research of the National Bureau of Standards,F Leighton,84,6,489,506,1979,1979,j
ref6,A correction to Brelaz's modification of Brown's coloring algorithm,Communications of the ACM,J Peemöller,26,8,593,597,1983,1983,j
ref7,A generalized implicit enumeration algorithm for graph coloring,Communications of the ACM,M Kubale,B Jackowski,28,4,412,418,1985,1985,j
ref8,Using Tabu Search Techniques for Graph Coloring. Computing,A Hertz,D de Werra,39,345,351,1987,1987,m
ref9,Efficient routing in all-optical networks,Proc 26th ACM Symp. on Theory of Computing,P Raghavan,E Upfal,134,143,1994,1994,m
ref10,A Column Generation Approach For Graph Coloring,INFORMS Journal on Computing,A Mehrotra,M Trick,8,344,354,1995,1995,j
ref11,No Free Lunch Theorems for Search,Technical Report SFI-TR-95-02-010,Santa Fe Institute,D Wolpert,W Macready,1995,1995,m
ref12,Distributed Coloration Neighborhood Search,DIMACS Series in Discrete Mathematics and Theoretical Computer Science,C Morgenstern,26,335,357,1996,1996,m
ref13,Routing and wavelength assignment in alloptical networks,IEEE/ACM Trans. Networking,R Ramaswami,K Sivarajan,3,5,489,500,1995,1995,j
ref14,Genetic and hybrid algorithms for graph coloring,Annals of Operations Research,C Fleurent,J Ferland,63,3,437,461,1996,1996,j
ref15,Some principles for designing a wide-area WDM optical network,IEEE/ACM Trans. Networking,B Mukherjee,4,5,684,696,1996,1996,j
ref16,Variable neighborhood search,Computers and Operations Research,N Mladenovic,P Hansen,24,11,1097,1100,1997,1997,j
ref17,Routing and wavelength assignment in all-optical WDM wavelength-routed networks,PhD thesis,George Washington University,E Harder,1998,1998,m
ref18,Optical communication networks,Morgan-Kaufmann,R Ramaswami,K Sivarajan,1998,1998
ref19,Hybrid Evolutionary Algorithms for Graph Coloring,Journal of Combinatoral Optimization,P Galinier,J Hao,3,4,379,397,1999,1999,j
ref20,Routing and Scheduling I/O Transfers on WormholeRouted Mesh Networks,J. Parallel and Distributed Computing,B Narahari,et al.,57,1,1,13,1999,1999,j
ref21,Improvements and comparison of heuristics for solving the multisource Weber problem,Operational Research,J Brimberg,48,444,460,2000,2000,j
ref22,The Partition Coloring Problem and its Application to Wavelength Routing and Assignment,Proceedings of the First Workshop on Optical Networks,G Li,R Simha,2000,2000,m
ref23,A functional classification of routing and wavelength assignment schemes in DWDM networks: Static case,Proceedings of the 7th International Conference on Optical Communication and Networks,J Choi,et al.,Paris,1109,1115,2000,2000,m
ref24,Constructive Genetic Algorithm and Column Generation: an Application to Graph Coloring,G Filho,et al.,paper published on the Internet,2000,2000,m
ref25,Optimization Is Easy and Learning Is Hard in the Typical Function,Proceedings of the 2000 Congress on Evolutionary Computation: CEC00,T English,924,931,2000,2000,m
ref26,Finding the chromatic number by means of critical graphs,ACM Journal of Experimental Algorithmics,F Herrmann,A Hertz,7,10,1,9,2002,2002,j
ref27,A Variable Neighborhood Search for Graph Coloring,European Journal of Operational Research,C Avanthay,A Hertz,N Zufferey,151,379,388,2003,2003,j
ref28,Cliques, holes and the vertex coloring polytope,Information Processing Letters,R Correa,M Campelo,Y Frota,89,159,164,2004,2004,m
ref29,On the asymmetric representatives formulation for the vertex coloring problem,Proceedings of the 2th Brazilian Symposium on Graphs, Algorithms and Combinatorics,M Campelo,V Campos,R Correa,Angra dos Reis,19,Electronic Notes in Discrete Mathematics,337,343,2005,2005,m
ref30,Efficient algorithms for finding critical subgraphs,Discrete Applied mathematics,C Desrosiers,P Galinier,A Hertz,156,2,244,266,2005,2005,j
ref31,An Adaptive Memory Algorithm for the Graph Coloring Problem,Discrete Applied Mathematics,A Hertz,P Galinier,N Zufferey,156,2,267,279,2005,2005,j
ref32,A Metaheuristic Approach for the Vertex Coloring Problem,Technical Report OR/05/3,University of Bologna,E Malaguti,M Monaci,P Thot,Italy,2005,2005,m
ref33,A Branch-and-Cut Algorithm for Graph Coloring,Discrete Applied Mathematics,I Diaz,P Zabala,154,5,826,847,2006,2006,j
ref34,Routing and wavelength assignment by partition colouring,European Journal of Operational Research,T Noronha,C Ribeiro,171,3,797,810,2006,2006,j
ref35,Tremaux Trees and Planarity,European Journal of Combinatorics,H de Fraysseix,P Ossona de Mendez,P Rosenstiehl,33,3,2798,293,2012,2012,m
ref36,A graph coloring heuristic using partial solutions and a reactive tabu scheme,Computers &amp; Operations Research,I Blöchliger,N Zufferey,35,3,960,975,2008,2008,j
ref37,Variable space search for graph coloring,Discrete Applied Mathematics,A Hertz,et al.,156,13,2551,1560,2008,2008,j
ref38,Essentials of Metaheuristics,Lulu,S Luke,2009,2009,http://cs.gmu.edu/~sean/book/metaheuristics/,m
ref39,A branch-and-cut algorithm for partition coloring,Networks,Y Frota,et al.,55,3,194,204,2010,2010,m
ref40,Instances for the partition Coloring Problem,Y Frota,et al.,www.ic.uff.br/~celso/grupo/pcp.htm,m
ref41,A memetic algorithm for graph coloring,European Journal of Operational Research,Z Lü,J Hao,203,1,241,250,2010,2010,j
ref42,Safe Lower Bounds For Graph Coloring,IPCO 2011,S Held,et al.,261,273,2011,2011,m
ref43,Efficieny issues in the RLF heuristic for graph coloring,MIC 2011 (The IX Metaheuristics International Conference),M Chiarandini,G Galbiati,S Gualandi,461,469,2011,2011,m
ref44,Exact Solution of Graph Coloring Problems via Constraint Programming and Column Generation,INFORMS Journal on Computing,S Gualandi,F Malucelli,24,1,81,100,2012,2012,j
ref45,An evolutionary algorithm with solution archive for the generalized minimum spanning tree problem,Proceedings of the 13th International Conference on Computer Aided Systems Theory: Part I,Springer,B Hu,G Raidl,6927,of LNCS,287,294,2012,2012,m</t>
  </si>
  <si>
    <t>ref1,On colouring the nodes of a network,Proceedings of the Cambridge Philosophical Society,R Brooks,W Tutte,37,2,194,197,1941,1941,j
ref2,Chromatic scheduling and the chromatic number problem,Management Science,J Brown,19,456,463,1972,1972,j
ref3,,Reducibility Among Combinatorial Problems,R Karp,85,103,1972,1972,m
ref4,Every Planar Map is Four Colorable,Illinois Journal of Mathematics,K Appel,W Haken,21,429,567,1977,1977,j
ref5,A Graph Coloring Algorithm for Large Scheduling Problems,Journal of Research of the National Bureau of Standards,F Leighton,84,6,489,506,1979,1979,j
ref6,A correction to Brelaz's modification of Brown's coloring algorithm,Communications of the ACM,J Peemöller,26,8,1983,1983,j
ref7,A generalized implicit enumeration algorithm for graph coloring,Communications of the ACM,M Kubale,B Jackowski,28,412,418,1985,1985,j
ref8,Using Tabu Search Techniques for Graph Coloring. Computing,A Hertz,D De Werra,345,351,1987,1987,m
ref9,Efficient routing in all-optical networks,Proc 26th ACM Symp. on Theory of Computing,P Raghavan,E Upfal,134,143,1994,1994,m
ref10,A Column Generation Approach For Graph Coloring,INFORMS Journal on Computing,A Mehrotra,M Trick,8,344,354,1995,1995,j
ref11,No Free Lunch Theorems for Search,D Wolpert,W Macready,Santa Fe Institute,m
ref12,,Distributed Coloration Neighborhood Search. DIMACS Series in Discrete Mathematics and Theoretical Computer Science,C Morgenstern,335,357,1996,1996,m
ref13,Routing and wavelength assignment in alloptical networks,IEEE/ACM Trans. Networking,R Ramaswami,K Sivarajan,3,5,489,500,1995,1995,j
ref14,Genetic and hybrid algorithms for graph coloring,Annals of Operations Research,C Fleurent,J Ferland,63,437,461,1996,1996,j
ref15,Some principles for designing a wide-area WDM optical network,IEEE/ACM Trans. Networking,B Mukherjee,4,5,684,696,1996,1996,j
ref16,Variable neighborhood search,Computers and Operations Research,N Mladenovic,P Hansen,24,11,1097,1100,1997,1997,j
ref17,Routing and wavelength assignment in all-optical WDM wavelength-routed networks,E Harder,1998,1998,m
ref18,,Morgan-Kaufmann,R Ramaswami,K Sivarajan,1998,1998
ref19,Hybrid Evolutionary Algorithms for Graph Coloring,Journal of Combinatoral Optimization,P Galinier,J Hao,3,379,397,1999,1999,j
ref20,Routing and Scheduling I/O Transfers on WormholeRouted Mesh Networks,J. Parallel and Distributed Computing,B Narahari,57,1,1,13,1999,1999,j
ref21,Improvements and comparison of heuristics for solving the multisource Weber problem,Operational Research, issue,J Brimberg,48,2000,2000,j
ref22,The Partition Coloring Problem and its Application to Wavelength Routing and Assignment,Proceedings of the First Workshop on Optical Networks,G Li,R Simha,2000,2000,m
ref23,A functional classification of routing and wavelength assignment schemes in DWDM networks: Static case,Proceedings of the 7th International Conference on Optical Communication and Networks,J Choi,1109,1115,2000,2000,m
ref24,Constructive Genetic Algorithm and Column Generation: an Application to Graph Coloring,G Filho,2000,2000,m
ref25,Optimization Is Easy and Learning Is Hard in the Typical Function,Proceedings of the 2000 Congress on Evolutionary Computation: CEC00,T English,924,931,2000,2000,m
ref26,Finding the chromatic number by means of critical graphs,ACM Journal of Experimental Algorithmics,F Herrmann,A Hertz,7,10,1,9,2002,2002,j
ref27,A Variable Neighborhood Search for Graph Coloring,European Journal of Operational Research,C Avanthay,A Hertz,N Zufferey,151,379,388,2003,2003,j
ref28,,Cliques, holes and the vertex coloring polytope. Information Processing Letters,R Correa,M Campelo,Y Frota,159,164,2004,2004,m
ref29,On the asymmetric representatives formulation for the vertex coloring problem,Proceedings of the 2th Brazilian Symposium on Graphs, Algorithms and Combinatorics,M Campelo,V Campos,R Correa,337,343,2005,2005,m
ref30,Efficient algorithms for finding critical subgraphs,Discrete Applied mathematics,C Desrosiers,P Galinier,A Hertz,156,2,244,266,2005,2005,j
ref31,An Adaptive Memory Algorithm for the Graph Coloring Problem,Discrete Applied Mathematics,A Hertz,P Galinier,N Zufferey,156,2,267,279,2005,2005,j
ref32,A Metaheuristic Approach for the Vertex Coloring Problem,E Malaguti,M Monaci,P Thot,University of Bologna, Italy,2005,2005,m
ref33,A Branch-and-Cut Algorithm for Graph Coloring,Discrete Applied Mathematics,I Diaz,P Zabala,154,5,826,847,2006,2006,j
ref34,Routing and wavelength assignment by partition colouring,European Journal of Operational Research,T Noronha,C Ribeiro,171,797,810,2006,2006,j
ref35,,Tremaux Trees and Planarity,H De Fraysseix,P Ossona De Mendez,P Rosenstiehl,2798,293,2012,2012,m
ref36,A graph coloring heuristic using partial solutions and a reactive tabu scheme,Computers &amp; Operations Research,I Blöchliger,N Zufferey,35,3,960,975,2008,2008,j
ref37,Variable space search for graph coloring,Discrete Applied Mathematics,A Hertz,156,2551,1560,2008,2008,j
ref38,,Essentials of Metaheuristics. Lulu,S Luke,2009,2009,http://cs.gmu.edu/∼sean/book/metaheuristics/,m
ref39,A branch-and-cut algorithm for partition coloring,Y Frota,194,204,2010,2010,m
ref40,Instances for the partition Coloring Problem,Y Frota,m
ref41,A memetic algorithm for graph coloring,European Journal of Operational Research,Z Lü,J Hao,203,1,241,250,2010,2010,j
ref42,Safe Lower Bounds For Graph Coloring,S Held,261,273,2011,2011,m
ref43,,Efficieny issues in the RLF heuristic for graph coloring. MIC 2011 (The IX Metaheuristics International Conference),M Chiarandini,G Galbiati,S Gualandi,461,469,2011,2011,m
ref44,Exact Solution of Graph Coloring Problems via Constraint Programming and Column Generation,INFORMS Journal on Computing,S Gualandi,F Malucelli,24,1,81,100,2012,2012,j
ref45,An evolutionary algorithm with solution archive for the generalized minimum spanning tree problem,Proceedings of the 13th International Conference on Computer Aided Systems Theory: Part I,Springer,B Hu,G Raidl,287,294,2012,2012,m
ref46,Variable Neighborhood Descent (input: solution L, output: solution L),,m
ref47,Variable Neighborhood Search (input: solution L, output: solution L) 16,,m
ref48,16 6 Greedy Coloring (input: S = G(W ), output: chromatic number upper bound,,m
ref49,31 5.2 Preliminary Results: Instances with 40 nodes,36 5.7 Preliminary Results: Instances with 90 nodes, density 0.1. .. .. 37 5.8 Preliminary Results: Instances with 90 nodes, density 0.2. .. .. 38 5.9 Preliminary Results: Instances with 90 nodes, density 0.3. .. .. 39 5.10 Preliminary Results: Instances with 90 nodes,,m
ref50,Final Results including data from Frota's and Noronha's papers,,m
ref51,for Frota's instances, these are aggregated results,,m</t>
  </si>
  <si>
    <t>TUW-223906</t>
  </si>
  <si>
    <t>ref1,Learning similarity metrics for event identification in social media,ACM WSDM,H Becker,M Naaman,L Gravano,291,300,2010,2010,m
ref2,Social event detection using multimodal clustering and integrating supervisory signals,ACM ICMR,G Petkos,S Papadopoulos,Y Kompatsiaris,23,1,8,2012,2012,m
ref3,Event-based classification of social media streams,ACM ICMR,T Reuter,P Cimiano,22,1,8,2012,2012,m
ref4,Social Event Detection at MediaEval 2013: Challenges, datasets, and evaluation,MediaEval 2013 Workshop,T Reuter,S Papadopoulos,V Mezaris,P Cimiano,C de Vries,S Geva,2013,2013,m
ref5,Event detection via LDA for the MediaEval2012 SED Task,MediaEval 2012 Workshop,K N Vavliakis,F A Tzima,P A Mitkas,2012,2012,m</t>
  </si>
  <si>
    <t>ref1,To estimate the numbers of topics, we assume that each topic is constituted in average by 100200 photos. Additionally, we evaluate different values of βT corresponding to an event duration of 2-6 hours. The results of the proposed approach for both sets demonstrate its excellent generalization ability (see Table 1). Results for the test set are even better than for the development set. The clustering performance is comparable to (more complex) supervised state-of-the-art methods. The approach by Petkos,EXPERIMENTS AND RESULTS We use the same parameters for experiments on the development and test set,,m
ref2,Learning similarity metrics for event identification in social media,ACM WSDM,H Becker,M Naaman,L Gravano,291,300,2010,2010,m
ref3,Social event detection using multimodal clustering and integrating supervisory signals,ACM ICMR,G Petkos,S Papadopoulos,Y Kompatsiaris,1,8,2012,2012,m
ref4,Event-based classification of social media streams,ACM ICMR,T Reuter,P Cimiano,1,8,2012,2012,m
ref5,Social Event Detection at MediaEval 2013: Challenges, datasets, and evaluation,T Reuter,S Papadopoulos,V Mezaris,P Cimiano,C De Vries,S Geva,2013,2013,m
ref6,Event detection via LDA for the MediaEval2012 SED Task,K N Vavliakis,F A Tzima,P A Mitkas,2012,2012,m</t>
  </si>
  <si>
    <t>TUW-223973</t>
  </si>
  <si>
    <t>ref1,Automatic extraction of semantic relations between medical entities: a rule based approach,Journal of Biomedical Semantics,A B Abacha,P Zweigenbaum,2,Suppl. 5,4,2011,2011,j
ref2,An overview of MetaMap: historical perspective and recent advances,Journal of the American Medical Informatics Association : JAMIA,A R Aronson,F M M Lang,17,3,229,236,2010-05,2010,5,j
ref3,GATE: A framework and graphical development environment for robust NLP tools and applications,Proceedings of the 40th Anniversary Meeting of the Association for Computational Linguistics,H Cunningham,D Maynard,K Bontcheva,V Tablan,2002,2002,m
ref4,Text Processing with GATE,University of Sheffield Department of Computer Science,H Cunningham,D Maynard,K Bontcheva,V Tablan,N Aswani,I Roberts,G Gorrell,A Funk,A Roberts,D Damljanovic,T Heitz,M A Greenwood,H Saggion,J Petrak,Y Li,W Peters,Version 6,2011,2011,http://tinyurl.com/gatebook,j
ref5,Semantic structuring of and information extraction from medical documents using the UMLS,Methods of Information in Medicine,K Denecke,47,5,425,434,2008,2008,j
ref6,Clinical Practice Guidelines: Directions for a New Program,National Academies Press, Institute of Medicine,M J Field,K N Lohr,Washington DC,1990,1990,m
ref7,Computer-based execution of clinical guidelines: A review,International Journal of Medical Informatics,D Isern,A Moreno,77,12,787,808,2008,2008,j
ref8,How can information extraction ease formalizing treatment processes in clinical practice guidelines? A method and its evaluation,Artificial Intelligence in Medicine,K Kaiser,C Akkaya,S Miksch,39,2,151,163,2007,2007,j
ref9,Versioning computer-interpretable guidelines: Semiautomatic modeling of 'Living Guidelines' using an information extraction method,Artificial Intelligence in Medicine,K Kaiser,S Miksch,46,1,55,66,2009,2009,j
ref10,Identifying treatment activities for modelling computer-interpretable clinical practice guidelines,Knowledge Representation for Health-Care, Lecture Notes in Computer Science,Springer Berlin Heidelberg,Riao, D., Teije, A., Miksch, S., Peleg, M.,K Kaiser,A Seyfang,S Miksch,6512,114,125,2011,2011,j
ref11,The Unified Medical Language System,Methods of Information in Medicine,D Lindberg,B Humphreys,A McCray,32,4,281,291,1993,1993,j
ref12,Foundations of statistical natural language processing,MIT Press,C D Manning,H Schütze,Cambridge, MA, USA,1999,1999,m
ref13,UMLS Semantic Network,Proc. of the 13th Annual Symposium on Computer Applications in Medical Care(SCAMC),A McCray,503,507,1989,1989,m
ref14,Improving clinical guideline implementation through prototypical design patterns,Artificial Intelligence in Medicine, Lecture Notes in Computer Science,Springer Berlin Heidelberg,Miksch, S., Hunter, J., Keravnou, E.,M Moser,S Miksch,3581,126,130,2005,2005,j
ref15,Comparing Computer-Interpretable Guideline Models: A Case-Study Approach,The Journal of the American Medical Informatics Association (JAMIA),M Peleg,S Tu,J Bury,P Ciccarese,J Fox,R Greenes,R Hall,P D Johnson,N Jones,A Kumar,S Miksch,S Quaglini,A Seyfang,E H Shortliffe,M Stefanelli,10,1,52,68,2003,1-2,j
ref16,Remine: Documentation of formalized guidelines,,2010,2010,http://www.remineproject.eu/,m
ref17,British Guideline on the Management of Asthma. A national clinical guideline,Scottish Intercollegiate Guidelines Network (SIGN),,2011-05,2011,5,m
ref18,Extraction and use of linguistic patterns for modelling medical guidelines,Artif. Intell. Med,R Serban,A ten Teije,F van Harmelen,M Marcos,C Polo-Conde,39,2,137,149,2007-02,2007,2,j
ref19,MHB-F Specification,A Seyfang,K Kaiser,2011,2011
ref20,Maintaining formal models of living guidelines efficiently,Proc. of the 11th Conference on Artificial Intelligence in Medicine (AIME07),Springer Verlag,A Seyfang,B Martnez-Salvador,R Serban,A Wittenberg,S Miksch,M Marcos,A T Teije,K Rosenbrand,2007,2007,m
ref21,Bridging the gap between informal and formal guideline representations,European Conference on Artificial Intelligence (ECAI-2006),IOS Press,Brewka, G., Coradeschi, S., Perini, A., Traverso, P.,A Seyfang,S Miksch,M Marcos,J Wittenberg,C Polo-Conde,K Rosenbrand,Riva del Garda, Italy,41,447,451,2006,2006,m
ref22,Computer-interpretable clinical practice guidelines. where are we and where are we going ?,Yearb Med Inform,F A Sonnenberg,C G Hagerty,145,58,2006,2006,j
ref23,From natural language descriptions in clinical guidelines to relationships in an ontology,Proceedings of the 2009 AIME international conference on Knowledge Representation for Health-Care: data, Processes and Guidelines,Springer-Verlag,M Taboada,M Meizoso,D Riaño,A Alonso,D Martínez,Berlin, Heidelberg,KR4HC’09,26,37,2010,2010,m</t>
  </si>
  <si>
    <t>ref1,Automatic extraction of semantic relations between medical entities: a rule based approach,Journal of Biomedical Semantics,A B Abacha,P Zweigenbaum,2,2011,2011,j
ref2,An overview of MetaMap: historical perspective and recent advances,Journal of the American Medical Informatics Association : JAMIA,A R Aronson,F M M Lang,17,3,229,236,2010-05,2010,05,j
ref3,GATE: A framework and graphical development environment for robust NLP tools and applications,Proceedings of the 40th Anniversary Meeting of the Association for Computational Linguistics,H Cunningham,D Maynard,K Bontcheva,V Tablan,2002,2002,m
ref4,Text Processing with GATE (Version 6),H Cunningham,D Maynard,K Bontcheva,V Tablan,N Aswani,I Roberts,G Gorrell,A Funk,A Roberts,D Damljanovic,T Heitz,M A Greenwood,H Saggion,J Petrak,Y Li,W Peters,2011,2011,m
ref5,Semantic structuring of and information extraction from medical documents using the UMLS,Methods of Information in Medicine,K Denecke,47,5,425,434,2008,2008,j
ref6,,Clinical Practice Guidelines: Directions for a New Program,National Academies Press,,1990,1990,m
ref7,Computer-based execution of clinical guidelines: A review,International Journal of Medical Informatics,D Isern,A Moreno,77,12,787,808,2008,2008,j
ref8,How can information extraction ease formalizing treatment processes in clinical practice guidelines? A method and its evaluation,Artificial Intelligence in Medicine,K Kaiser,C Akkaya,S Miksch,39,2,151,163,2007,2007,j
ref9,Versioning computer-interpretable guidelines: Semiautomatic modeling of 'Living Guidelines' using an information extraction method,Artificial Intelligence in Medicine,K Kaiser,S Miksch,46,1,55,66,2009,2009,j
ref10,Identifying treatment activities for modelling computer-interpretable clinical practice guidelines,Lecture Notes in Computer Science,Springer,K Kaiser,A Seyfang,S Miksch,6512,114,125,2011,2011,j
ref11,The Unified Medical Language System,Methods of Information in Medicine,D Lindberg,B Humphreys,A Mccray,32,4,281,291,1993,1993,j
ref12,Foundations of statistical natural language processing,MIT Press,C D Manning,H Schütze,Cambridge, MA, USA,1999,1999,m
ref13,UMLS Semantic Network,Proc. of the 13th Annual Symposium on Computer Applications in Medical Care(SCAMC),A Mccray,503,507,1989,1989,m
ref14,Improving clinical guideline implementation through prototypical design patterns,Artificial Intelligence in Medicine,Springer,M Moser,S Miksch,3581,2005,2005,j
ref15,Comparing Computer-Interpretable Guideline Models: A Case-Study Approach,The Journal of the American Medical Informatics Association (JAMIA),M Peleg,S Tu,J Bury,P Ciccarese,J Fox,R Greenes,R Hall,P D Johnson,N Jones,A Kumar,S Miksch,S Quaglini,A Seyfang,E H Shortliffe,M Stefanelli,10,1,52,68,2003-02,2003,02,j
ref16,,Remine: Documentation of formalized guidelines,,2010,2010,http://www.remineproject.eu/,m
ref17,Scottish Intercollegiate Guidelines Network (SIGN): British Guideline on the Management of Asthma. A national clinical guideline. Scottish Intercollegiate Guidelines Network (SIGN),,2011-05,2011,05,m
ref18,Extraction and use of linguistic patterns for modelling medical guidelines,Artif. Intell. Med,R Serban,A Ten Teije,F Van Harmelen,M Marcos,C Polo-Conde,39,2,137,149,2007-02,2007,02,j
ref19,,MHB-F Specification,A Seyfang,K Kaiser,2011,2011
ref20,Maintaining formal models of living guidelines efficiently,Proc. of the 11th Conference on Artificial Intelligence in Medicine (AIME07),Springer Verlag,A Seyfang,B Martnez-Salvador,R Serban,A Wittenberg,S Miksch,M Marcos,A T Teije,K Rosenbrand,2007,2007,m
ref21,Bridging the gap between informal and formal guideline representations,European Conference on Artificial Intelligence (ECAI-2006),IOS Press,A Seyfang,S Miksch,M Marcos,J Wittenberg,C Polo-Conde,K Rosenbrand,447,451,2006,2006,m
ref22,Computer-interpretable clinical practice guidelines. where are we and where are we going,Yearb Med Inform,F A Sonnenberg,C G Hagerty,145,58,2006,2006,j
ref23,From natural language descriptions in clinical guidelines to relationships in an ontology,Proceedings of the 2009 AIME international conference on Knowledge Representation for Health-Care: data, Processes and Guidelines,SpringerVerlag,M Taboada,M Meizoso,D Riaño,A Alonso,D Martínez,26,37,2010,2010,m</t>
  </si>
  <si>
    <t>TUW-225252</t>
  </si>
  <si>
    <t>ref1,An evolutionary algorithm with solution archives and bounding extension for the generalized minimum spanning tree problem,Proceedings of the 14th Annual Conference on Genetic and Evolutionary Computation (GECCO),ACM Press,B Hu,G R Raidl,Philadelphia, PA, USA,393,400,2012,2012,m
ref2,Strip shredded document reconstruction using optical character recognition,4th International Conference on Imaging for Crime Detection and Prevention 2011 (ICDP 2011),J Perl,M Diem,F Kleber,R Sablatnig,1,6,2011,2011,m
ref3,Meta-Heuristics for Reconstructing Cross Cut Shredded Text Documents,Proceedings of the 11th Annual Conference on Genetic and Evolutionary Computation (GECCO),ACM Press,M Prandtstetter,G R Raidl,349,356,2009,2009,m
ref4,Enhancing genetic algorithms by a trie-based complete solution archive,Evolutionary Computation in Combinatorial Optimization,Springer Berlin Heidelberg,Cowling, P., Merz, P.,G R Raidl,B Hu,LNCS, vol. 6022,239,251,2010,2010,m
ref5,A memetic algorithm for reconstructing cross-cut shredded text documents,Proceedings of the 7th international conference on Hybrid metaheuristics,Springer-Verlag,C Schauer,M Prandtstetter,G R Raidl,HM2010,,103,117,2010,2010,m
ref6,An alternative clustering approach for reconstructing cross cut shredded text documents,Telecommunication Systems,A Sleit,Y Massad,M Musaddaq,1,11,2011,2011,j</t>
  </si>
  <si>
    <t>ref1,An evolutionary algorithm with solution archives and bounding extension for the generalized minimum spanning tree problem,Proceedings of the 14th Annual Conference on Genetic and Evolutionary Computation (GECCO),ACM Press,B Hu,G R Raidl,393,400,2012,2012,m
ref2,Strip shredded document reconstruction using optical character recognition,4th International Conference on Imaging for Crime Detection and Prevention,J Perl,M Diem,F Kleber,R Sablatnig,1,6,2011,2011,m
ref3,Meta-Heuristics for Reconstructing Cross Cut Shredded Text Documents,Proceedings of the 11th Annual Conference on Genetic and Evolutionary Computation (GECCO),ACM Press,M Prandtstetter,G R Raidl,349,356,2009,2009,m
ref4,Enhancing genetic algorithms by a trie-based complete solution archive,Evolutionary Computation in Combinatorial Optimization,Springer,G R Raidl,B Hu,239,251,2010,2010,m
ref5,A memetic algorithm for reconstructing cross-cut shredded text documents,Proceedings of the 7th international conference on Hybrid metaheuristics,Springer-Verlag,C Schauer,M Prandtstetter,G R Raidl,103,117,2010,2010,m
ref6,An alternative clustering approach for reconstructing cross cut shredded text documents,Telecommunication Systems,A Sleit,Y Massad,M Musaddaq,1,11,2011,2011,j</t>
  </si>
  <si>
    <t>TUW-226000</t>
  </si>
  <si>
    <t>ref1,A theoretical survey of user interface description languages: Preliminary results,Web Congress LAWEB'09. Latin American,J Guerrero-Garcia,J M Gonzalez-Calleros,J Vanderdonckt,J Muoz-Arteaga,36,43,2009,2009,m
ref2,Universal remote console – prototyping for the alternate interface access standard,Proceedings of the User interfaces for all 7th international conference on Universal access: theoretical perspectives, practice, and experience, ERCIM'02,Springer-Verlag,G Zimmermann,G Vanderheiden,A Gilman,524,531,2003,2003,m
ref3,Information technology-user interfaces-universal remote console,International Organization for Standardization, ISO/IEC 24752,,2008,2008,m
ref4,XIML: A universal language for user interfaces,Technical report,RedWhale Software,A Puerta,J Eisenstein,2001,2001,m
ref5,Voice extensible markup language (VoiceXML) version 2.1,W3C recommendation,W3C,M Oshry,R J Auburn,P Baggia,M Bodell,D Burke,D C Burnett,E Candell,J Carter,S McGlashan,A Lee,B Porter,K Rehor,2007,2007,m
ref6,Synchronized multimedia integration language (SMIL 3.0),W3C recommendation,W3C,D Bulterman,2008,2008,m
ref7,Web services description language (WSDL) version 2.0 part 1: Core language,W3C recommendation,W3C,R Chinnici,J.-J. Moreau,A Ryman,S Weerawarana,2007,2007,m
ref8,USIXML: A language supporting multi-path development of user interfaces,Proceedings of the 9th IFIP Working Conference on Engineering for Human-Computer Interaction jointly with the 11th Int. Workshop on Design, Specification, and Verification of Interactive Systems,Springer Verlag,Q Limbourg,J Vanderdonckt,B Michotte,L Bouillon,V López-Jaquero,3425,of EHCI-DSVIS’2004,200,220,2004,2004,m
ref9,The relationship of the UIML 3.0 spec. to other standards/working groups,Technical report,Organization for the Advancement of Structured Information Standards (OASIS),,2003,2003,m
ref10,Dialog modeling for multiple devices and multiple interaction modalities,Proceedings of the 5th international conference on task models and diagrams for users interface design, TAMODIA'06,Springer Verlag,R Schaefer,S Bleul,W Mueller,39,53,2007,2007,m
ref11,MARIA: A universal, declarative, multiple abstraction-level language for service-oriented applications in ubiquitous environments,ACM Transactions on ComputerHuman Interaction,F Paternó,C Santoro,L D Spano,16,4,Article 19,200),j
ref12,HTML 4.01 specification,W3C recommendation,W3C,D Raggett,Le Hors,A Jacobs,I ,1999,1999
ref13,XHTML TM 1.0 the extensible hypertext markup language,W3C recommendation,W3C,S Pemberton,2,2002,2002,m
ref14,Comparison of SGML and XML,W3C note,W3C,J Clark,1997,1997,m</t>
  </si>
  <si>
    <t>ref1,A theoretical survey of user interface description languages: Preliminary results,J Guerrero-Garcia,J M Gonzalez-Calleros,J Vanderdonckt,J Muoz-Arteaga,36,43,2009,2009,m
ref2,Universal remote console-prototyping for the alternate interface access standard,Proceedings of the User interfaces for all 7th international conference on Universal access: theoretical perspectives, practice, and experience, ERCIM'02. SpringerVerlag,G Zimmermann,G Vanderheiden,A Gilman,524,531,2003,2003,m
ref3,Information technology-user interfaces-universal remote console. International Organization for Standardization, ISO/IEC 24752,,2008,2008,m
ref4,XIML: A universal language for user interfaces,A Puerta,J Eisenstein,2001,2001,m
ref5,,M Oshry,R J Auburn,P Baggia,M Bodell,D Burke,D C Burnett,E Candell,J Carter,S Mcglashan,A Lee,B Porter,K Rehor,2007,2007
ref6,Synchronized multimedia integration language (SMIL 3.0). W3C recommendation,D Bulterman,2008,2008,m
ref7,Web services description language (WSDL) version 2.0 part 1: Core language. W3C recommendation,R Chinnici,J.-J Moreau,A Ryman,S ( Weerawarana,2007,2007,m
ref8,USIXML: A language supporting multi-path development of user interfaces,Proceedings of the 9th IFIP Working Conference on Engineering for Human-Computer Interaction jointly with the 11th Int. Workshop on Design, Specification, and Verification of Interactive Systems,Springer Verlag,Q Limbourg,J Vanderdonckt,B Michotte,L Bouillon,V López-Jaquero,200,220,2004,2004,m
ref9,The relationship of the UIML 3.0 spec. to other standards/working groups,,2003,2003,m
ref10,Dialog modeling for multiple devices and multiple interaction modalities,Proceedings of the 5th international conference on task models and diagrams for users interface design, TAMODIA'06,Springer Verlag,R Schaefer,S Bleul,W Mueller,39,53,2007,2007,m
ref11,MARIA: A universal, declarative, multiple abstraction-level language for service-oriented applications in ubiquitous environments,ACM Transactions on ComputerHuman Interaction,F Paternó,C Santoro,L D Spano,16,4,j
ref12,,D Raggett,A Le Hors,Jacobs,1999,1999
ref13,,W3C recommendation,S Pemberton,2002,2002,m
ref14,Comparison of SGML and XML. W3C note,J Clark,1997,1997,m</t>
  </si>
  <si>
    <t>TUW-226016</t>
  </si>
  <si>
    <t>ref1,[AAR09],Efficient Generation of Craig Interpolants in Satisfiability Modulo Theories,In ACM Transactions on Computational Logic,A Cimatti,A Griggio,R Sebastiani,12,2009-10,2009,10,j
ref2,[And02],An Introduction to Mathematical Logic and Type Theory: To Truth Through Proof,Peter B Andrews,2002,2002,m
ref3,[BCC+03],Ofer Strichman, and Yunshan Zhu,Bounded Model Checking,Armin Biere,Alessandro Cimatti,Edmund M Clarke,58,2003,2003,m
ref4,[BCD+05],Boogie: A Modular Reusable Verifier for Object-Oriented Programs,FMCO,Michael Barnett,Bor-Yuh Evan Chang,Robert DeLine,Bart Jacobs,K Rustan,M Leino,4111,364,387,2005,2005,m
ref5,[BMSW10],HOL-Boogie—An Interactive Prover-Backend for the Verifying C Compiler,Sascha Böhme,Michał Moskal,Wolfram Schulte,Burkhart Wolff,44,111,144,2010-02,2010,2,m
ref6,[CC77],Abstract Interpretation: A Unified Lattice Model for Static Analysis of Programs by Construction or Approximation of Fixpoints,Patrick Cousot,Radhia Cousot,238,252,1977,1977,m
ref7,[Coo71],The complexity of theorem-proving procedures,Stephen A Cook,151,158,1971,1971,m
ref8,[DdM06],A Fast Linear-Arithmetic Solver for DPLL(T),Bruno Dutertre,Leonardo de Moura,81,94,2006,2006,m
ref9,[Dij75],Guarded Commands, Nondeterminacy and Formal Derivation of Programs,E W Dijkstra,18,453,457,1975,1975,m
ref10,[DL62],A machine program for theorem-proving,Martin Davis,George Logemann,Donald Loveland,5,394,397,1962-07,1962,7,m
ref11,[dMB11],Satisfiability modulo theories: introduction and applications,Leonardo de Moura,Nikolaj Bjørner,54,69,77,2011,2011,m
ref12,[DP60],A Computing Procedure for Quantification Theory,Martin Davis,Hilary Putnam,7,201,215,1960-07,1960,07,m
ref13,[DW50],Principles of Mathematical Logic,Chelsea Publishing Company,D Ackermann,W Ackermann,1950,1950,m
ref14,[ES04],An Extensible SAT-solver,Niklas Eén,Niklas Sörensson,2919,502,518,2004,2004,m
ref15,[FM10],Inferring Loop Invariants using Postconditions,Fields of Logic and Computation: Essays Dedicated to Yuri Gurevich on the Occasion of His 70th Birthday,Carlo A Furia,Bertrand Meyer,2010,2010,m
ref16,[G.S83],On the Complexity of Derivation in Propositional Calculus,G S Tseitin,466,483,1983,1983,m
ref17,[HHKR10],Aligators for Arrays (Tool Paper),Thomas A Henzinger,Thibaud Hottelier,Laura Kovács,Andrey Rybalchenko,6397,348,356,2010,2010,m
ref18,[HKV11],Case Studies on Invariant Generation Using a Saturation Theorem Prover,10th Mexican International Conference on Artificial Intelligence, MICAI,Krystof Hoder,Laura Kovacs,Andrei Voronkov,2011,2011,m
ref19,[KV09],Finding Loop Invariants for Programs over Arrays Using a Theorem Prover,International Symposium on Symbolic and Numeric Algorithms for Scientific Computing, SYNASC,Laura Kovacs,Andrei Voronkov,2009,2009,m
ref20,[KVar],First-Order Theorem Proving and Vampire,Proceedings of the International Conference on Computer Aided Veri cation (CAV), LNCS,Laura Kovacs,Andrei Voronkov,to appear,2013,2013,m
ref21,[LRCR13],SMT-Based Array Invariant Generation,14th International Conference Verification, Model Checking, and Abstract Interpretation, VMCAI,Daniel Larraz,Enric Rodriguez-Carbonell,Albert Rubio,2013,2013,m
ref22,[MMZ+11],Lintao Zhang, and Sharad Malik. Chaff: Engineering an Efficient SAT Solver,Matthew W Moskewicz,Conor F Madigan,Ying Zhao,2011,2011,m
ref23,[MP92],The Temporal Logic of Reactive and Concurrent Systems,Springer,Z Manna,A Pnueli,1992,1992,m
ref24,[MSS99],GRASP: a search algorithm for propositional satisfiability,J Marques-Silva,K Sakallah,506,521,1999-05,1999,5,m
ref25,[SS09],Program Verification using Template over Predicate Abstraction,Proc. of PLDI,S Strivastava,S Gulwani,2009,2009,m
ref26,[TH06],FaCT++ Description Logic Reasoner: System Description,Dmitry Tsarkov,Ian Horrocks,4130,292,297,2006,2006,m
ref27,[Wan95],A branching heuristic for testing propositional satisfiability,Jinchang Wang,1995-10-05,1995,10,05,m</t>
  </si>
  <si>
    <t>ref1,,Thanks to Tanya! 981. $false (0:0),,m
ref2,,aa(sK2(X0)),aa(X0))),~ $ Lesseq,m
ref3,,,i) | sP5 (0:4),~ $ Lesseq,m
ref4,$uminus(i)) | ~sP5 (0:5),~ $ Lesseq,m
ref5,$sum(0,$uminus(i))) |,~ $ Lesseq,m
ref6,,i) | ~$lesseq(0,$sum(0,$uminus(i))) (0:9,~ $ Lesseq,m
ref7,,i) | ~$lesseq(i0,$sum(i0,$uminus(i))) (0:9,~ $ Lesseq,m
ref8,$sum(i0,$uminus(i))) | ~$lesseq(1,i),~ $ Lesseq,m
ref9,$sum(i0,$uminus(i))) | ~$lesseq(1,i),~ $ Lesseq,m
ref10,,$sum(0,X0) = X0 (1:5),,m
ref11,,~ $ Lesseq
ref12,X1) &amp; $lesseq(X1,c) &amp; bb(sK0) = aa(sK0)&amp; cc(X1) != sK0 &amp; cc(X1) != cc0(X1)),,m
ref13,,,X49) &amp; $lesseq(X49,c) &amp; bb(X48) = aa(X48)) =&gt; (cc(X49) = X48 | cc(X49) = cc0(X49))),,m
ref14,,c) | ~$lesseq(c,0) (0:6),~ $ Lesseq,m
ref15,0) | ~$lesseq(1,$sum(c,0)) (0:8),~ $ Lesseq,m
ref16,,a = $sum(c,0) (0:5),,m
ref17,,~ $ Lesseq
ref18,,c0,a0) | $lesseq(c,a) (0:6),~ $ Lesseq,m
ref19,$lesseq(c,a) | ~$lesseq(c0,a0),,m
ref20,,a = $sum(c,0) (0:8),~ $ Lesseq,m
ref21,,~ $ Lesseq
ref22,0) | ~$lesseq($sum(c,$uminus(0)),a) | a = $sum(c,$uminus(0))(0:15),~ $ Lesseq,m
ref23,0) | ~$lesseq($sum(c,$uminus(c0)),a) | a = $sum(c,$uminus(c0)) (0:15),~ $ Lesseq,m
ref24,a = $sum(c,$uminus(c0)) | ~$lesseq($sum(c,$uminus(c0)),a) |,,m
ref25,,~ $ Lesseq
ref26,a = $sum(c,$uminus(c0)) | ~$lesseq($sum(c,$uminus(c0)),a) |,,m
ref27,,~ $ Lesseq
ref28,,~$lesseq(1,$sum(c,0)) (0:8),~ $ Lesseq,m
ref29,~$lesseq(1,$sum(c,$uminus(0))) (0:9,~ $ Lesseq,m
ref30,,~$lesseq(1,$sum(c,$uminus(c0))) (0:9,~ $ Lesseq,m
ref31,,~ $ Lesseq
ref32,,| ~ $ Lesseq
ref33,,~ $ Lesseq
ref34,,| ~ $ Lesseq
ref35,$uminus(c)) | $lesseq(c,0) (0:7),~ $ Lesseq,m
ref36,,$sum(0,X0) = X0 (0:5),,m
ref37,X0))) (0:12),$sum(0,X0) = $sum(c,$sum(0,$sum($uminus,,m
ref38,X0))) (0:12),$sum(0,X0) = $sum(a,$sum(0,$sum($uminus,,m
ref39,X0))) (0:12),$sum(a0,X0) = $sum(a,$sum(c0,$sum($uminus,,m
ref40,,$sum(a0,X0) = $sum(a,$sum(c0,$sum($uminus,,m
ref41,,$sum(a0,X1) = $sum(a,$sum(c0,$sum($uminus,,m
ref42,X0))) = X0 (0:10),$sum(c,$sum(0,$sum($uminus,,m
ref43,X0))) (0:12),$sum(X0,0) = $sum(c,$sum(0,$sum($uminus,,m
ref44,X0))) (0:12),$sum(X0,0) = $sum(a,$sum(0,$sum($uminus,,m
ref45,X0))) (0:12 Refutation found. Thanks to Tanya! 1898. $false (2:0),$sum(X0,a0) = $sum(a,$sum(c0,$sum($uminus,,m
ref46,1))),0),$sum(aa(l),$sum(aa(u),$sum($uminus,~ $ Lesseq,m
ref47,,$sum(aa(l),$sum(aa(u),$sum($uminus,~ $ Lesseq,m
ref48,,~ $ Lesseq
ref49,,,X3) &amp; $lesseq(X3,l)) =&gt; $lesseq($sum(aa(l),$sum(aa(u),$sum($uminus,,m
ref50,,X16,sK0) | $lesseq(X16,l) (1:6),~ $ Lesseq,m
ref51,,X1,X2) | ~$lesseq(X0,X1) | $lesseq(X0,X2) (0:9,~ $ Lesseq,m
ref52,:3) [subsumption resolution 1889,~ $ Lesseq,m
ref53,,~ $ Lesseq
ref54,$sum(aa(u),aa(l)))),0) (0:12),$sum(1,$sum($uminus(x),~ $ Lesseq,m
ref55,$sum(1,$sum($uminus(x),$sum(aa(l),aa(u)))),0) (0:12),~ $ Lesseq,m
ref56,aa(u)),$uminus(x))),0) (0:12),$sum(1,$sum($sum(aa(l),~ $ Lesseq,m
ref57,,$sum(X0,$sum(X1,X2)) = $sum($sum(X0,X1),X2) (0:11),,m
ref58,$sum(1,$sum(aa(l),aa(u)))),0) (0:12),$sum($uminus(x),~ $ Lesseq,m
ref59,1))),0) (0:12),$sum($uminus(x),$sum(aa(l),$sum,~ $ Lesseq,m
ref60,$sum($sum(aa(u),1),aa(l))),0) (0:12),$sum($uminus(x),~ $ Lesseq,m
ref61,1))),0) (0:12),$sum(aa(l),$sum($uminus(x),$sum,~ $ Lesseq,m
ref62,$sum(aa(u),$sum(1,$uminus(x)))),0) (0:12),$sum(aa(l),~ $ Lesseq,m
ref63,,$sum(aa(l),$sum(aa(u),$sum($uminus,~ $ Lesseq,m
ref64,,$lesseq($sum(1,$sum($uminus(x),$sum(aa(u),aa(X0)))),0) |,,m
ref65,,X0,l) | ~$lesseq(0,X0) (1:18),~ $ Lesseq,m
ref66,,$lesseq($sum(1,$sum($uminus(x),$sum(aa(X0),aa(u)))),0) |,,m
ref67,,X0,l) | ~$lesseq(0,X0) (0:18),~ $ Lesseq,m
ref68,,$lesseq($sum(1,$sum($sum(aa(X0),aa(u)),$uminus(x))),0) |,,m
ref69,,X0,l) | ~$lesseq(0,X0) (0:18),~ $ Lesseq,m
ref70,$sum(1,$sum(aa(X0),aa(u)))),0) |,$lesseq($sum($uminus(x),,m
ref71,,X0,l) | ~$lesseq(0,X0) (0:18),~ $ Lesseq,m
ref72,,$lesseq($sum($uminus(x),$sum(aa(u),$sum(1,aa(X0)))),0) |,,m
ref73,,X0,l) | ~$lesseq(0,X0) (0:18),~ $ Lesseq,m
ref74,,$lesseq($sum($uminus(x),$sum($sum(aa(u),1),aa(X0))),0) |,,m
ref75,,X0,l) | ~$lesseq(0,X0) (0:18),~ $ Lesseq,m
ref76,,$lesseq($sum(aa(X0),$sum($uminus(x),$sum(aa(u),1))),0) |,,m
ref77,,X0,l) | ~$lesseq(0,X0) (0:18),~ $ Lesseq,m
ref78,$sum(aa(u),$sum(1,$uminus(x)))),0) |,$lesseq($sum(aa(X0),,m
ref79,,X0,l) | ~$lesseq(0,X0) (0:18),~ $ Lesseq,m
ref80,,$lesseq($sum(aa(X0),$sum(aa(u),$sum($uminus,,m
ref81,,X0,l) | ~$lesseq(0,X0) (0:18),~ $ Lesseq,m
ref82,X0) | ~$lesseq(X0,l) | $lesseq($sum(aa(X0),$sum(aa(u),$sum($uminus(x),1))),0)),,m
ref83,X0) | ~$lesseq(X0,l)) | Refutation found. Thanks to Tanya! 5511. $false (0:0),,m
ref84,,$sum,,m
ref85,,$sum(i0,sK0(sK0)) != sK0 (0:6),,m
ref86,$sum(i,$uminus(i0)),sK0(sK0)),$ Lesseq,m
ref87,sK0(sK0))!= sK0 &amp; ~$lesseq(0,sK0(sK0)) &amp; $lesseq(m,$sum(i0,sK0(sK0))) &amp; aa(sK0) != $sum(aa($sum(sK0,$uminus(1))),1),&amp;amp; $ Sum,m
ref88,,~$sum(i0,sK0(X37)) = X37 &amp; ~$lesseq(0,sK0(X37)) &amp; $lesseq(m,$sum(i0,sK0(X37)))) =&gt; aa(X37) = $sum(aa($sum(X37,$uminus,,m
ref89,,~ $ Lesseq
ref90,,$lesseq(0,sK0(sK0)) | $sum(1,sK0(sK0)) = sK0,,m
ref91,$lesseq(m,$sum(i0,sK0(sK0))) (0:6),,m
ref92,,~ $ Lesseq
ref93,sK0(sK0)) | $sum(1,sK0(sK0)) = sK0 (1:16),| $ Lesseq,m
ref94,,i),sK0(sK0)) (0:6),,m
ref95,,$sum(X0,X1) = $sum(X1,X0) (0:7),,m
ref96,$sum(i,-1),sK0(sK0)) (0:6),$ Lesseq,m
ref97,,$lesseq($sum(i,$uminus(i0)),sK0(sK0)) (0:7),,m
ref98,,$sum(-1,i),sK0(X0)) | ~$lesseq(m,$sum,~ $ Lesseq,m
ref99,,| $ Lesseq
ref100,,sK0(X0)) = X0 (0:22),| $ Sum,m
ref101,,~ $ Lesseq
ref102,,sK0(X0)) | $sum(1,sK0(X0)) = X0 | ~$lesseq($sum(i,-1),| $ Lesseq,m
ref103,X0))) | aa(X0) = aa0(X0) (0:11),~ $ Lesseq ( M,m
ref104,,~$lesseq(m,$sum(i0,sK0(X0))) | aa(X0) = aa0(X0) (0:11),,m
ref105,,aa(X0) != aa0(X0) | ~$lesseq(m,$sum(1,sK0(X0))) | $lesseq,,m
ref106,,| $sum(1,sK0(X0)) = X0 | ~$lesseq($sum(i,-1),,m
ref107,,~$sum(i0,sK0(X37)) = X37 &amp; ~$lesseq(0,sK0(X37)) &amp; $lesseq(m,$sum(i0,sK0(X37)))) =&gt; ~aa(X37) = aa0(X37),,m
ref108,,Thanks to Tanya! 1299. $false (1:0),,m
ref109,,~ $ Lesseq,j,j
ref110,X0,j) | $lesseq(X0,j0) (3:6),~ $ Lesseq,m
ref111,,X1,X2) | ~$lesseq(X0,X1) | $lesseq(X0,X2) (0:9,~ $ Lesseq,m
ref112,,~ $ Lesseq
ref113,,~ $ Lesseq
ref114,,~$lesseq(X0,j) &amp; $lesseq(X0,j0) &amp; $lesseq(aa(X0),x)),,m
ref115,,aa(X0),x)),~ $ Lesseq,m
ref116,,aa(X0),x)),~ $ Lesseq,m
ref117,,aa(X36),x)),~ $ Lesseq,m
ref118,,~ $ Lesseq
ref119,,aa(X36),x)),~ $ Lesseq,m
ref120,,X24,sK0) | $lesseq(X24,j0) (1:6),~ $ Lesseq,m
ref121,j,j0) | ~$lesseq(j,j) (1:6),~ $ Lesseq,m
ref122,aa(X0),aa(j)) | ~$lesseq(X0,j0) | ~$lesseq(j,X0) (0:11),~ $ Lesseq,m
ref123,aa(X0),aa(j))),~ $ Lesseq,m
ref124,,~ $ Lesseq
ref125,aa(X36),aa(j))),~ $ Lesseq,m
ref126,X36) | ~$lesseq(X36,j0) | $less(aa(j),aa(X36))),,m
ref127,Efficient Generation of Craig Interpolants in Satisfiability Modulo Theories,In ACM Transactions on Computational Logic,A Cimatti,A Griggio,R Sebastiani,12,2009-10,2009,10,j
ref128,An Introduction to Mathematical Logic and Type Theory: To Truth Through Proof,B Peter,Andrews,2002,2002,m
ref129,,Bounded Model Checking,Armin Biere,Alessandro Cimatti,Edmund M Clarke,Ofer Strichman,Yunshan Zhu,58,2003,2003,j
ref130,Boogie: A Modular Reusable Verifier for Object-Oriented Programs,FMCO,Bcd + 05 ] Michael Barnett,Bor-Yuh Evan Chang,Robert Deline,Bart Jacobs,K Rustan,M Leino,4111,364,387,2005,2005,j
ref131,HOL-Boogie-An Interactive Prover-Backend for the Verifying C Compiler,Sascha Böhme,Wolfram Michaa L Moskal,Burkhart Schulte,Wolff,111,144,2010-02,2010,02,m
ref132,Abstract Interpretation: A Unified Lattice Model for Static Analysis of Programs by Construction or Approximation of Fixpoints,Patrick Cousot,Radhia Cousot,238,252,1977,1977,m
ref133,The complexity of theorem-proving procedures,A Stephen,Cook,151,158,1971,1971,m
ref134,A Fast LinearArithmetic Solver for DPLL(T),Bruno Dutertre,Leonardo De Moura,81,94,2006,2006,m
ref135,Guarded Commands, Nondeterminacy and Formal Derivation of Programs,E W Dijkstra,453,457,1975,1975,m
ref136,A machine program for theorem-proving,Martin Davis,George Logemann,Donald Loveland,394,397,1962-07,1962,07,m
ref137,Satisfiability modulo theories: introduction and applications,Leonardo De Moura,Nikolaj Bjørner,69,77,2011,2011,m
ref138,A Computing Procedure for Quantification Theory,Martin Davis,Hilary Putnam,201,215,1960-07,1960,07,m
ref139,Principles of Mathematical Logic,Chelsea Publishing Company,D Hilbert,W Ackermann,1950,1950,m
ref140,An Extensible SAT-solver,Niklas Eén,Niklas Sörensson,502,518,2004,2004,m
ref141,Inferring Loop Invariants using Postconditions,Fields of Logic and Computation: Essays Dedicated to Yuri Gurevich on the Occasion of His 70th Birthday,Carlo A Furia,Bertrand Meyer,2010,2010,m
ref142,On the Complexity of Derivation in Propositional Calculus,G S Tseitin,466,483,1983,1983,m
ref143,Aligators for Arrays (Tool Paper),Thomas A Henzinger,Thibaud Hottelier,Laura Kovács,Andrey Rybalchenko,348,356,2010,2010,m
ref144,Case Studies on Invariant Generation Using a Saturation Theorem Prover,10th Mexican International Conference on Artificial Intelligence, MICAI,Krystof Hoder,Laura Kovacs,Andrei Voronkov,2011,2011,m
ref145,Finding Loop Invariants for Programs over Arrays Using a Theorem Prover,International Symposium on Symbolic and Numeric Algorithms for Scientific Computing, SYNASC,Laura Kovacs,Andrei Voronkov,2009,2009,m
ref146,First-Order Theorem Proving and Vampire,Proceedings of the International Conference on Computer Aided Veri cation (CAV),Laura Kovacs,Andrei Voronkov,2013,2013,m
ref147,SMT-Based Array Invariant Generation,14th International Conference Verification, Model Checking, and Abstract Interpretation,VMCAI,Daniel Larraz,Enric Rodriguez-Carbonell,Albert Rubio,2013,2013,m
ref148,Chaff: Engineering an Efficient SAT Solver,W Mmz + 11 ] Matthew,Conor F Moskewicz,Ying Madigan,Lintao Zhao,Sharad Zhang,Malik,2011,2011,m
ref149,The Temporal Logic of Reactive and Concurrent Systems,Springer,Z Manna,A Pnueli,1992,1992,m
ref150,GRASP: a search algorithm for propositional satisfiability,J Marques-Silva,K Sakallah,506,521,1999-05,1999,05,m
ref151,Program Verification using Template over Predicate Abstraction,Proc. of PLDI,S Strivastava,S Gulwani,2009,2009,m
ref152,FaCT++ Description Logic Reasoner: System Description,Dmitry Tsarkov,Ian Horrocks,292,297,2006,2006,m
ref153,A branching heuristic for testing propositional satisfiability,Jinchang Wang,1995-10,1995,10,m</t>
  </si>
  <si>
    <t>TUW-228620</t>
  </si>
  <si>
    <t>ref1,(acatech 2011),Cyber-physical systems. Driving force for innovation in mobility, health, energy and production,acatech POSITION PAPER,acatech,,2011,http://www.acatech.de/fileadmin/user_upload/Baumstruktur_nach_Website/Acatech/root/de/Publikationen/Stellungnahmen/acatech_POSITION_CPS_Englisch_WEB.pdf,m
ref2,(Accorsi 2011),BBox: A distributed secure log architecture,7th European Conference on Public-Key Infrastructures, Services and Applications (EuroPKI'10),R Accorsi,109,124,2011,2011,m
ref3,(Asokan et al. 2013),Mobile platform security-Synthesis lectures on information security, privacy, and trust,Morgan &amp; Claypool Publishers,N Asokan,L Davi,A Dmitrienko,S Heuser,K Kostiainen,E Reshetova,et al.,2013,2013,m
ref4,(Avizienis et al. 2004),Basic concepts and taxonomy of dependable and secure computing,IEEE Transactions on Dependable and Secure Computing,IEEE,A Avizienis,J.-C. Laprie,B Randell,C Landwehr,1,1,11,33,2004,2004,j
ref5,(Biggio et al. 2012),Poisoning attacks against support vector machines,29th Int. Conf. on Machine Learning (ICML),B Biggio,B Nelson,P Laskov,2012,2012,m
ref6,(Bons et al. 2012),Banking in the internet and mobile era,EM - Electronic Markets,Springer,R W H Bons,R Alt,H G Lee,B Weber,22,4,197,202,2012,2012,j
ref7,(BSI 2011),The IT security situation in Germany in 2011,BSI,Bundesamt für Sicherheit in der Informationstechnik (BSI)-Federal Office for Information Security,,2011,https://www.bsi.bund.de/EN/Publications/SecuritySituation/SecuritySituation_node.html.,m
ref8,(Buneman et al. 2001),Why and where: A characterization of data provenance,ICDT 2001,Springer,P Buneman,S Khanna,W C Tan,LNCS 1973,316,330,2001,2001,m
ref9,(Camenisch and Lysanskaya 2001),An efficient system for nontransferable anonymous credentials with optional anonymity revocation,EUROCRYPT'01,Springer,J Camenisch,A Lysanskaya,LNCS 2045,93,118,2001,2001,m
ref10,(Chaum 1985),Security without identification: transaction systems to make big brother obsolete,Communications of the ACM,ACM,D Chaum,28,10,1030,1044,1985,1985,j
ref11,(Dekker et al. 2013),Annual incident reports 2012-analysis of article 13a incident reports,European Union Agency for Network and Information Security (ENISA),M Dekker,C Karsberg,M Lakka,2013,http://www.enisa.europa.eu/activities/Resilience-and-CIIP/Incidentsreporting/annual-reports/annual-incident-reports-2012,j
ref12,(DIVSI 2012),DIVSI Milieu study on trust and security on the Internet, condensed version,Deutsches Institut für Vertrauen und Sicherheit im Internet (DIVSI),,2012,https://www.divsi.de/publikationen/studien/divsi-milieu-studie/,m
ref13,(Dolev and Yao 1983),On the security of public key protocols,IEEE Transactions on Information Theory,IEEE Computer Society,D Dolev,A C Yao,29,2,198,208,1983,1983,j
ref14,(Domingos 2012),A few useful things to know about machine learning,Communications of the ACM,ACM,P Domingos,55,10,78,87,2012,2012,j
ref15,(European Commission 2009),Directive 2009/140/EC of the European Parliament and of the Council of 25 November 2009 amending Directives 2002/21/EC on a common regulatory framework for electronic communications networks and services, 2002/19/EC on access to, and interconnection of, electronic communications networks and associated facilities, and 2002/20/EC on the authorisation of electronic communications networks and services.,Official Journal of the European Communities, L 337,European Commission,,25,37,69,2009,2009,j
ref16,(European Commission 2010),A digital agenda for Europe,Communication from the Commission to the European Parliament, the Council, the European Economic and Social Committee and the Committee of the Regions, COM 245 final/2.,European Commission,,2010,2010,j
ref17,(Fischer et al. 1985),Impossibility of distributed consensus with one faulty process,Journal of the ACM,ACM,M J Fischer,N A Lynch,M S Paterson,32,2,374,382,1985,1985,j
ref18,(Freire et al. 2013),Non-interactive key exchange,PKC 2013. LNCS 7778,Springer,E Freire,D Hofheinz,E Kiltz,K Paterson,254,271,2013,2013,m
ref19,(Furubotn and Richter 2005),Institutions and economic theory: The contribution of the new institutional economics,University of Michigan Press,E G Furubotn,R Richter,2,Ann Arbor,2005,2005
ref20,(Gärtner 1999),Fundaments of fault-tolerant distributed computing in asynchronous environments,ACM Computing Surveys,ACM,F Gärtner,31,1,1,26,1999,1999,j
ref21,(Gilliot et al. 2009),Privacy and identity,The Future of Identity on the Information Society,Springer,M Gilliot,V Matyas,S Wohlgemuth,351,390,2009,2009,m
ref22,(Haimes 2009),On the definition of resilience in systems,Risk Analysis,Society for Risk Analysis,Y Y Haimes,29,4,498,501,2009,2009,j
ref23,(Hilty et al. 2005),On obligations,ESORICS'05, LNCS 3679,Springer,M Hilty,D Basin,A Pretschner,98,117,2005,2005,m
ref24,(Holling 2001),Understanding the complexity of economic, ecological, and social systems,Ecosystems,Springer,C S Holling,4,5,390,405,2001,2001,j
ref25,(Huang et al. 2011),AdversarialMachine Learning,4th ACM Workshop on Security and Artificial Intelligence,ACM,L Huang,A D Joseph,B Nelson,I Rubenstein,J Tygar,43,58,2011,2011
ref26,(IBM Corporation 2008),A mandate for change is a mandate for smart,IBM Smarter Planet,IBM Corporation,2008,https://www.ibm.com/smarterplanet/global/files/us__en_us__overview__68655_08_522_11092012.pdf,j
ref27,(Karjoth et al. 2002),Platform for enterprise privacy practices: Privacy-enabled management of customer data,2nd International Conference on Privacy-Enhancing Technologies (PET'02),Springer,G Karjoth,M Schunter,M Waidner,69,84,2002,2002,m
ref28,(Naehrig et al. 2011),Can homomorphic encryption be practical?,3rd ACM Workshop on Cloud Computing Security (CCSW'11),ACM,M Naehrig,K Lauter,V Vaikuntanathan,113,124,2011,2011,m
ref29,(Pfitzmann and Hansen 2010),Anonymity, unlinkability, unobservability, pseudonymity, and identity management-A consolidated proposal for terminology,Anon Terminology v0.34,TU Dresden and ULD Schleswig-Holstein,A Pfitzmann,M Hansen,2010,http://dud.inf.tu-dresden.de/Anon_Terminology.shtml,m
ref30,(Pfitzmann and Waidner 1992),Unconditional byzantine agreement for any number of faulty processes,STACS'92, LNCS 577,Springer,B Pfitzmann,M Waidner,339,350,1992,1992,m
ref31,(Pretschner et al. 2006),Distributed usage control,Communications of the ACM,ACM,A Pretschner,M Hilty,D Basin,49,9,39,44,2006,2006,j
ref32,(Prime Minister of Japan and His Cabinet 2013),Declaration to be the world’s most advanced IT nation,Strategic headquarters for the promotion of an advanced information and telecommunications network society,Prime Minister of Japan and His Cabinet,,2013,http://japan.kantei.go.jp/policy/it/2013/0614_declaration.pdf,m
ref33,(Rannenberg et al. 1999),IT security and multilateral security,Multilateral Security in CommunicationsTechnology, Infrastructure, Economy,Addison-Wesley-Longman,K Rannenberg,A Pfitzmann,G Müller,21,29,1999,1999,m
ref34,(Riemer et al. 2009),eCollaboration: on the nature and emergence of communication and collaboration technologies,EM - Electronic Markets,Springer,K Riemer,C Steinfield,D Vogel,19,4,181,188,2009,2009,j
ref35,(Ristenpart et al. 2009),Hey, you, get off of my cloud: Exploring information leakage in third-party compute clouds,16th ACM CCS,ACM,T Ristenpart,E Tromer,H Shacham,S Savage,199,212,2009,2009,m
ref36,(Sackmann et al. 2006),Personalization in privacy-aware highly dynamic systems,Communications of the ACM,ACM,S Sackmann,J Strüker,R Accorsi,49,9,32,38,2006,2006,j
ref37,(Samarati and de Capitani di Vimercati 2001),Access control: Policies, models, and mechanisms,FOSAD 2000, LNCS 2171,Springer,P Samarati,S de Capitani di Vimercati,2171,134,196,2001,2001,m
ref38,(Sonehara et al. 2011),Isolation in cloud computing and privacy-enhancing technologies,Special Issue‘Sustainable Cloud Computing’ BISE,Gabler,N Sonehara,I Echizen,S Wohlgemuth,3,3,155,162,2011,2011,m
ref39,(Van der Aalst 2012),Process mining,Communications of the ACM,ACM,A Van der Aalst,55,8,76,83,2012,2012
ref40,(Wahlster and Müller 2013),Placing humans in the feedback loop of social infrastructures - NII research strategies on cyber-physical systems,Informatik Spektrum,Springer,W Wahlster,G Müller,36,6,520,529,2013,2013,j
ref41,(Wang and Ju 2006),The dilemma of covert channels searching,Information Security and Cryptology - ICISC 2005, LNCS 3935,Springer,C Wang,S Ju,3935,169,174,2006,2006,m
ref42,(Weitzner et al. 2008),Information accountability,Communications of the ACM,ACM,D J Weitzner,H Abelson,T Berners-Lee,J Feigenbaum,J Hendler,G J Sussman,51,6,82,87,2008,2008,j
ref43,(Whitten and Tygar 1999),Why Johnny can't encrypt: A usability evaluation of PGP 5.0',8th USENIX Security Symposium (SSYM’99),A Whitten,J D Tygar,8,SSYM'99),169,184,1999,1999,m
ref44,(Wohlgemuth and Müller 2006),Privacy with delegation of rights by identity management,ETRICS 2006, LNCS 3995,Springer,S Wohlgemuth,G Müller,175,190,2006,2006,m
ref45,(Wohlgemuth et al. 2010),Tagging disclosures of personal data to third parties to preserve privacy,SEC 2010,S Wohlgemuth,I Echizen,N Sonehara,G Müller,330,IFIP AICT 330, IFIP,241,252,2010,2010,j</t>
  </si>
  <si>
    <t>ref1,Cyber-physical systems. Driving force for innovation in mobility, health, energy and production,,2011,2011,m
ref2,BBox: A distributed secure log architecture,7th European Conference on Public-Key Infrastructures, Services and Applications (EuroPKI'10),R Accorsi,109,124,2011,2011,m
ref3,Mobile platform security-Synthesis lectures on information security, privacy, and trust,Morgan &amp; Claypool Publishers,N Asokan,L Davi,A Dmitrienko,S Heuser,K Kostiainen,E Reshetova,2013,2013,m
ref4,Basic concepts and taxonomy of dependable and secure computing,IEEE Transactions on Dependable and Secure Computing,IEEE,A Avizienis,J.-C Laprie,B Randell,C Landwehr,1,1,11,33,2004,2004,j
ref5,Poisoning attacks against support vector machines,29th Int. Conf. on Machine Learning (ICML),B Biggio,B Nelson,P Laskov,2012,2012,m
ref6,Banking in the internet and mobile era,EM-Electronic Markets,Springer,R W H Bons,R Alt,H G Lee,B Weber,22,4,197,202,2012,2012,j
ref7,Bundesamt für Sicherheit in der Informationstechnik (BSI)-Federal Office for Information Security,,2011,2011,m
ref8,Why and where: A characterization of data provenance,ICDT 2001,Springer,P Buneman,S Khanna,W C Tan,316,330,1973,1973,m
ref9,,An efficient system for nontransferable anonymous credentials with optional anonymity revocation. EUROCRYPT'01, LNCS 2045,Springer,J Camenisch,A Lysanskaya,93,118,2001,2001,m
ref10,Security without identification: transaction systems to make big brother obsolete,Communications of the ACM,ACM,D Chaum,28,10,1030,1044,1985,1985,j
ref11,Annual incident reports 2012-analysis of article 13a incident reports,European Union Agency for Network and Information Security (ENISA,M Dekker,C Karsberg,M Lakka,2013,2013,http://www.enisa.europa.eu/activities/Resilience-and-CIIP/Incidentsreporting/annual-reports/annual-incident-reports-2012.Accessed27Feb,j
ref12,,DIVSI Milieu study on trust and security on the Internet, condensed version,,2012,2012,https://www.divsi.de/publikationen/studien/divsi-milieu-studie/.Accessed27Feb,m
ref13,On the security of public key protocols,IEEE Transactions on Information Theory,IEEE Computer Society,D Dolev,A C Yao,29,2,198,208,1983,1983,j
ref14,A few useful things to know about machine learning,Communications of the ACM,ACM,P Domingos,55,10,78,87,2012,2012,j
ref15,/19/EC on access to, and interconnection of, electronic communications networks and associated facilities, and 2002/20/EC on the authorisation of electronic communications networks and services,Official Journal of the European Communities,,25,37,69,2002,2002,j
ref16,A digital agenda for Europe. Communication from the Commission to the European Parliament, the Council, the European Economic and Social Committee and the Committee of the Regions,European Commission,,2010,2010,j
ref17,Impossibility of distributed consensus with one faulty process,Journal of the ACM,ACM,M J Fischer,N A Lynch,M S Paterson,32,2,374,382,1985,1985,j
ref18,Non-interactive key exchange,PKC 2013,Springer,E Freire,D Hofheinz,E Kiltz,K Paterson,254,271,2013,2013,m
ref19,Institutions and economic theory: The contribution of the new institutional economics,University of Michigan Press,E G Furubotn,R Richter,Ann Arbor,2005,2005,m
ref20,Fundaments of fault-tolerant distributed computing in asynchronous environments,ACM Computing Surveys,ACM,F Gärtner,31,1,1,26,1999,1999,j
ref21,Privacy and identity. The Future of Identity on the Information Society,Springer,M Gilliot,V Matyas,S Wohlgemuth,2009,2009,m
ref22,On the definition of resilience in systems,Risk Analysis,Y Y Haimes,29,4,498,501,2009,2009,j
ref23,,On obligations. ESORICS'05,Springer,M Hilty,D Basin,A Pretschner,98,117,2005,2005,m
ref24,Understanding the complexity of economic, ecological, and social systems,Ecosystems,Springer,C S Holling,4,5,390,405,2001,2001,j
ref25,,L Huang,A D Joseph,B Nelson,I Rubenstein,J Tygar,2011,2011
ref26,,Adversarial Machine Learning. 4th ACM Workshop on Security and Artificial Intelligence,ACM,,43,58,j
ref27,A mandate for change is a mandate for smart,IBM Smarter Planet,Ibm Corporation,2008,2008,https://www.ibm.com/smarterplanet/global/files/us__en_us__overview__68655_08_522_11092012.pdf.Accessed27Feb,j
ref28,Platform for enterprise privacy practices: Privacy-enabled management of customer data,2nd International Conference on Privacy-Enhancing Technologies (PET'02,Springer,G Karjoth,M Schunter,M Waidner,69,84,2002,2002,m
ref29,Can homomorphic encryption be practical?,3rd ACM Workshop on Cloud Computing Security (CCSW'11,ACM,M Naehrig,K Lauter,V Vaikuntanathan,113,124,2011,2011,m
ref30,Anonymity, unlinkability, unobservability, pseudonymity, and identity management-A consolidated proposal for terminology. Anon Terminology v0,A Pfitzmann,M Hansen,2010,2010,m
ref31,Unconditional byzantine agreement for any number of faulty processes,STACS'92,Springer,B Pfitzmann,M Waidner,339,350,1992,1992,m
ref32,Distributed usage control,Communications of the ACM,ACM,A Pretschner,M Hilty,D Basin,49,9,39,44,2006,2006,j
ref33,Declaration to be the world's most advanced IT nation. Strategic headquarters for the promotion of an advanced information and telecommunications network society,Prime Minister of Japan and His Cabinet,,2013,2013,http://japan.kantei.go.jp/policy/it/2013/0614_declaration.pdf.Accessed27Feb,m
ref34,IT security and multilateral security. Multilateral Security in CommunicationsTechnology, Infrastructure, Economy,Addison-Wesley-Longman,K Rannenberg,A Pfitzmann,G Müller,21,29,1999,1999,m
ref35,eCollaboration: on the nature and emergence of communication and collaboration technologies,EM-Electronic Markets,Springer,K Riemer,C Steinfield,D Vogel,19,4,181,188,2009,2009,j
ref36,Hey, you, get off of my cloud: Exploring information leakage in third-party compute clouds,16th ACM CCS, ACM,T Ristenpart,E Tromer,H Shacham,S Savage,199,212,2009,2009,m
ref37,Personalization in privacy-aware highly dynamic systems,Communications of the ACM,ACM,S Sackmann,J Strüker,R Accorsi,49,9,32,38,2006,2006,j
ref38,Access control: Policies, models, and mechanisms,FOSAD 2000,Springer,P Samarati,S De Capitani Di Vimercati,134,196,2001,2001,m
ref39,Isolation in cloud computing and privacy-enhancing technologies,Process mining,ACM,N Sonehara,I Echizen,S Wohlgemuth,76,83,2011,2011,m
ref40,Placing humans in the feedback loop of social infrastructures-NII research strategies on cyber-physical systems,Informatik Spektrum,Springer,W Wahlster,G Müller,36,6,520,529,2013,2013,j
ref41,The dilemma of covert channels searching,Information Security and Cryptology-ICISC 2005,Springer,C Wang,S Ju,169,174,2006,2006,m
ref42,Information accountability,Communications of the ACM,ACM,D J Weitzner,H Abelson,T Berners-Lee,J Feigenbaum,J Hendler,G J Sussman,51,6,82,87,2008,2008,j
ref43,,SSYM'99),A Whitten,J D Tygar,169,184,1999,1999,m
ref44,Privacy with delegation of rights by identity management,ETRICS 2006,Springer,S Wohlgemuth,G Müller,175,190,2006,2006,m
ref45,Tagging disclosures of personal data to third parties to preserve privacy,IFIP AICT,S Wohlgemuth,I Echizen,N Sonehara,G Müller,330,241,252,2010,2010,j</t>
  </si>
  <si>
    <t>TUW-231707</t>
  </si>
  <si>
    <t>ref1,VRVIS,2014,www.vrvis.at</t>
  </si>
  <si>
    <t>TUW-233317</t>
  </si>
  <si>
    <t>ref1,Sensemaking in visual analytics: Processes and challenges,EuroVAST 2010: Intern. Symp. on VAST,Eurographics Association,J. Kohlhammer and D. Keim,S J Attfield,S K Hara,B L W Wong,Bordeaux, France,1,6,2010,2010,m
ref2,Data Quality: Concepts, Methodologies and Techniques (Data-Centric Systems and Applications),Springer Verlag New York, Inc.,C Batini,M Scannapieco,Secaucus, NJ, USA,2006,2006,m
ref3,Why and where: A characterization of data provenance,Intern. Conf. DB Theory,Springer,J. V. d. Bussche and V. Vianu,P Buneman,S Khanna,W C Tan,LNCS 1973,316,330,2001,2001,m
ref4,A primer on provenance,Queue,L Carata,S Akoush,N Balakrishnan,T Bytheway,R Sohan,M Seltzer,A Hopper,12,3,10:10–10:23,2014-03,2014,3,j
ref5,Using web data provenance for quality assessment,CEUR Workshop Proceedings. CEUR-WS.org,J. Freire, P. Missier, and S. S. Sahoo,O Hartig,J Zhao,526,SWPM;CEUR-WS.org,2009-10,2009,10,m
ref6,Contextifier: Automatic generation of annotated stock visualizations,Proc. SIGCHI Conf. Human Factors in Computing Systems, CHI '13,ACM,J Hullman,N Diakopoulos,E Adar,New York, NY, USA,2707,2716,2013,2013,m
ref7,Research directions in data wrangling: Visualizations and transformations for usable and credible data,Inf. Vis. Journal,S Kandel,J Heer,C Plaisant,J Kennedy,F van Ham,N H Riche,C Weaver,B Lee,D Brodbeck,P Buono,10,4,271,288,2011,2011,j
ref8,Profiler: Integrated statistical analysis and visualization for data quality assessment,Proc. Intern. Working Conf. Advanced Visual Interfaces, AVI '12,ACM,S Kandel,R Parikh,A Paepcke,J M Hellerstein,J Heer,New York, NY, USA,547,554,2012,2012,m
ref9,User-centric annotation management for biological data,Provenance and Annotation of Data and Processes,Springer Berlin Heidelberg,J. Freire, D. Koop, and L. Moreau,Q Li,A Labrinidis,P Chrysanthis,volume 5272 of Lecture Notes in Computer Science,54,61,2008,2008,m
ref10,Analytic trails: Supporting provenance, collaboration, and reuse for visual data analysis by business users,Proc. 13th IFIP TC 13 Int. Conf. HCI-Vol. IV, INTERACT'11,J Lu,Z Wen,S Pan,J Lai,Berlin, Heidelberg,256,273,2011,2011,m
ref11,The open provenance model core spec. (v1.1),Future Gen. Computer Systems,L Moreau,B Clifford,J Freire,J Futrelle,Y Gil,P Groth,N Kwasnikowska,S Miles,P Missier,J Myers,B Plale,Y Simmhan,E Stephan,J V d Bussche,27,6,743,756,2011,2011,j
ref12,Handbook of Data Quality,Springer Verlag,S. Sadiq,,Berlin, Heidelberg,2013,2013,m
ref13,Supporting the analytical reasoning process in information visualization,Proc. SIGCHI Conference on Human Factors in Computing Systems, CHI '08,ACM,Y B Shrinivasan,J J van Wijk,New York, NY, USA,1237,1246,2008,2008,m
ref14,A survey of data provenance in e-science,SIGMOD Rec,Y L Simmhan,B Plale,D Gannon,34,3,31,36,2005-09,2005,9,j</t>
  </si>
  <si>
    <t>ref1,Sensemaking in visual analytics: Processes and challenges,EuroVAST 2010: Intern. Symp. on VAST,Eurographics Association,S J Attfield,S K Hara,B L W Wong,1,6,2010,2010,m
ref2,,Data Quality: Concepts, Methodologies and Techniques (Data-Centric Systems and Applications),C Batini,M Scannapieco,m
ref3,Why and where: A characterization of data provenance,Intern. Conf. DB Theory,Springer,P Buneman,S Khanna,W C Tan,316,330,1973,1973,m
ref4,A primer on provenance,Queue,L Carata,S Akoush,N Balakrishnan,T Bytheway,R Sohan,M Seltzer,A Hopper,12,3,2014-03,2014,03,j
ref5,Using web data provenance for quality assessment,CEUR Workshop Proceedings. CEUR-WS.org,O Hartig,J Zhao,2009-10,2009,10,m
ref6,Contextifier: Automatic generation of annotated stock visualizations,Proc. SIGCHI Conf. Human Factors in Computing Systems, CHI '13,ACM,J Hullman,N Diakopoulos,E Adar,2707,2716,2013,2013,m
ref7,Research directions in data wrangling: Visualizations and transformations for usable and credible data,Inf. Vis. Journal,S Kandel,J Heer,C Plaisant,J Kennedy,F Van Ham,N H Riche,C Weaver,B Lee,D Brodbeck,P Buono,10,4,271,288,2011,2011,j
ref8,Profiler: Integrated statistical analysis and visualization for data quality assessment,Proc. Intern. Working Conf. Advanced Visual Interfaces, AVI '12,ACM,S Kandel,R Parikh,A Paepcke,J M Hellerstein,J Heer,547,554,2012,2012,m
ref9,User-centric annotation management for biological data,Provenance and Annotation of Data and Processes,Springer,Q Li,A Labrinidis,P Chrysanthis,54,61,2008,2008,m
ref10,Analytic trails: Supporting provenance, collaboration, and reuse for visual data analysis by business users,Proc. 13th IFIP TC 13 Int. Conf. HCI-Vol. IV, INTERACT'11,J Lu,Z Wen,S Pan,J Lai,256,273,2011,2011,m
ref11,The open provenance model core spec. (v1.1),Future Gen. Computer Systems,L Moreau,B Clifford,J Freire,J Futrelle,Y Gil,P Groth,N Kwasnikowska,S Miles,P Missier,J Myers,B Plale,Y Simmhan,E Stephan,J V D Bussche,27,6,743,756,2011,2011,j
ref12,Handbook of Data Quality,Springer Verlag,S Sadiq,Berlin, Heidelberg,2013,2013,m
ref13,Supporting the analytical reasoning process in information visualization,Proc. SIGCHI Conference on Human Factors in Computing Systems, CHI '08,ACM,Y B Shrinivasan,J J Van Wijk,1237,1246,2008,2008,m
ref14,A survey of data provenance in e-science,SIGMOD Rec,Y L Simmhan,B Plale,D Gannon,34,3,31,36,2005-09,2005,09,j</t>
  </si>
  <si>
    <t>TUW-233657</t>
  </si>
  <si>
    <t>ref1,Assessing the Role and Value of Interactivity in Visual Business Intelligence - A User's Perspective,masterstheses,Danube University Krems,W Aigner,Austria,2009,2009,m
ref2,Useful junk?: The effects of visual embellishment on comprehension and memorability of charts,Proceedings of the SIGCHI Conference on Human Factors in Computing Systems, CHI '10,ACM,S Bateman,R L Mandryk,C Gutwin,A Genest,D McDine,C Brooks,New York, NY, USA,2573,2582,2010,2010,m
ref3,The persuasive phase of visualization,Proceedings of the 14th ACM SIGKDD international conference on Knowledge discovery and data mining,ACM,C H Chih,D S Parker,884,892,2008,2008,m
ref4,Persuasive technology: using computers to change what we think and do,Ubiquity,,B J Fogg,2002,December,5,2002,2002,m
ref5,Grand challenges for information visualization,Panel at IEEE VisWeek,G Grinstein,D Keim,T Munzner,2008,2008,m
ref6,Designing for persuasion: toward ambient eco-visualization for awareness,Persuasive technology,Springer,T Kim,H Hong,B Magerko,106,116,2010,2010,m
ref7,Storytelling: The next step for visualization,Computer,R Kosara,J Mackinlay,46,5,44,50,2013,2013,j
ref8,Sketchstory: Telling more engaging stories with data through freeform sketching,Visualization and Computer Graphics, IEEE Transactions on,B Lee,R H Kazi,G Smith,19,12,2416,2425,2013,2013,j
ref9,Effectiveness of animation in trend visualization,Visualization and Computer Graphics, IEEE Transactions on,G Robertson,R Fernandez,D Fisher,B Lee,J Stasko,14,6,1325,1332,2008,2008,j
ref10,Representation and misrepresentation: Tufte and the morton thiokol engineers on the challenger,Science and Engineering Ethics,W Robison,8,1,59,81,2002,2002,j
ref11,Narrative visualization: Telling stories with data,Visualization and Computer Graphics, IEEE Transactions on,E Segel,J Heer,16,6,1139,1148,2010-11,2010,11,j
ref12,The Visual Display of Quantitative Information,Graphics Press,E R Tufte,Cheshire, CT,1983,1983,m
ref13,Visual explanations: images and quantities, evidence and narrative,Graphics Press Cheshire,E R Tufte,E Weise Moeller,CT,36,1997,1997,m</t>
  </si>
  <si>
    <t>ref1,Assessing the Role and Value of Interactivity in Visual Business Intelligence-A User's Perspective. masterstheses,W Aigner,Danube University Krems, Austria,2009,2009,m
ref2,Useful junk?: The effects of visual embellishment on comprehension and memorability of charts,Proceedings of the SIGCHI Conference on Human Factors in Computing Systems, CHI '10,ACM,S Bateman,R L Mandryk,C Gutwin,A Genest,D Mcdine,C Brooks,2573,2582,2010,2010,m
ref3,The persuasive phase of visualization,Proceedings of the 14th ACM SIGKDD international conference on Knowledge discovery and data mining,ACM,C H Chih,D S Parker,884,892,2008,2008,m
ref4,Persuasive technology: using computers to change what we think and do,Ubiquity,B J Fogg,2002-12,2002,12,m
ref5,Grand challenges for information visualization. Panel at IEEE VisWeek,G Grinstein,D Keim,T Munzner,2008,2008,m
ref6,Designing for persuasion: toward ambient eco-visualization for awareness,Persuasive technology,Springer,T Kim,H Hong,B Magerko,106,116,2010,2010,m
ref7,Storytelling: The next step for visualization,Computer,R Kosara,J Mackinlay,46,5,2013,2013,j
ref8,Sketchstory: Telling more engaging stories with data through freeform sketching. Visualization and Computer Graphics,IEEE Transactions on,B Lee,R H Kazi,G Smith,19,12,2416,2425,2013,2013,j
ref9,Effectiveness of animation in trend visualization. Visualization and Computer Graphics,IEEE Transactions on,G Robertson,R Fernandez,D Fisher,B Lee,J Stasko,14,6,1325,1332,2008,2008,j
ref10,Representation and misrepresentation: Tufte and the morton thiokol engineers on the challenger,Science and Engineering Ethics,W Robison,8,1,59,81,2002,2002,j
ref11,Narrative visualization: Telling stories with data. Visualization and Computer Graphics,IEEE Transactions on,E Segel,J Heer,16,6,2001,2001,j
ref12,The Visual Display of Quantitative Information,Graphics Press,E R Tufte,Cheshire, CT,1983,1983,m
ref13,Visual explanations: images and quantities, evidence and narrative,Graphics Press Cheshire,E R Tufte,E Weise Moeller,1997,1997,m</t>
  </si>
  <si>
    <t>TUW-236063</t>
  </si>
  <si>
    <t>ref1,Seeing what others don΄t: The remarkable ways we gain insights,PublicAffairs, a Member of the Perseus Book Group,G A Klein,New York, USA,2013,2013,m
ref2,A data-frame theory of sensemaking,Expertise Out of Context: Proc. of the Sixth International Conf. on Naturalistic Decision Making,G Klein,J Phillips,E Rall,D Peluso,Pensacola Beach, Florida,2003-05,2003,5,m
ref4,Psychology of intelligence analysis,Novinka/Nova Science,R J Heuer,New York, USA,1999,1999,m</t>
  </si>
  <si>
    <t>ref1,Klein further recommends that systems designed for,Events,m
ref2,Seeing what others don't: The remarkable ways we gain insights,PublicAffairs, a Member of the Perseus Book Group,G A Klein,New York, USA,2013,2013,m
ref3,A data-frame theory of sensemaking,Expertise Out of Context: Proc. of the Sixth International Conf. on Naturalistic Decision Making,G Klein,J Phillips,E Rall,D Peluso,2003-05,2003,05,m
ref4,Psychology of intelligence analysis,Novinka/Nova Science,R J Heuer,1999,1999,m</t>
  </si>
  <si>
    <t>TUW-236120</t>
  </si>
  <si>
    <t>ref1,Educational standards for vocational schools,Austria,http://www.bildungsstandards.berufsbildendeschulen.at/en/leitideen.html
ref2,EQF-European Qualifications Framework,2008,2008,http://eur-lex.europa.eu/LexUriServ/LexUriServ.do?uri=CELEX:32008H0506%2801%29:EN:NOT
ref3,Empirical refinement of a theoretically derived competence model for informatics modelling and system comprehension,Proceedings of IFIP-Conference Addressing Educational Challenges: The Role of ICT (AECRICT),Manchester Metropolitan University,B Linck,J Magenheim,W Nelles,J Neugebauer,L Ohrndorf,N Schaper,S Schubert,2012-07,2012,07,2-5,m
ref4,Grundsätze und Standards für die Informatik in der Schule,LOG IN Nr. 150/151,,2008,2008,m
ref5,Concept of Competence: A Conceptual Clarification,Defining and Selecting Key Competencies. Hofgrefe &amp; Huber,Hofgrefe &amp; Huber,Rychen, D., Sal-ganik, L.,F E Weinert,2001,2001,m
ref6,Curricula for HTL,Bundesgesetzblatt Nr. 300/2011,Austria,http://www.htl.at/fileadmin/content/Lehrplan/HTL_VO_2011/BGBl_II_Nr_300_2011.pdf
ref7,Bildungsstandards in der Berufsbildung - Projekthandbuch,http://www.bildungsstandards.berufsbildendeschulen.at/fileadmin/content/bbs/Handbuch_BIST_25.03.2013.pdf
ref8,On Competence-Orientation and Learning Informatics,Informatics in Schools: Situation, Evolution and Perspectives, Proceedings of ISSEP 2011, Selected Papers (on CD),Library and Publishing Centre Comenius University,Bezakova, D., Kalas, I.,P Antonitsch,Bratislava,2011,2011,m
ref9,Methodenpool,Reich, K.,http://methodenpool.uni-koeln.de,j
ref10,Kompetenzfördernd unterrichten – 22 Schritte von der Theorie zur Praxis,Pädagogik,R Lersch,12,2007,2007,j
ref11,Kompetenzorientiertes Unterrichten - Grundlagenpapier,bm:ukk,U Fritz,2011,2011,http://www.berufsbildendeschulen.at/fileadmin/content/bbs/KU/Grundlagenpapier_KU_Maerz2011.pdf,m
ref12,A Taxonomy for Learning, Teaching, and Assessing: A Revision of Bloom's Taxonomy of Educational Objectives,Allyn &amp; Bacon,Anderson, L. W., David R., Krathwohl, D. R., et al,Boston, MA,2001,2001,m
ref13,Höhere technische Lehranstalt für Informationstechnologie – Bildungsstandards in der Berufsbildung,http://www.berufsbildendeschulen.at/fileadmin/content/bbs/AGBroschueren/IT_V8.pdf
ref14,Höhere technische Lehranstalt für Informationstechnologie - Fachrichtungsstandard,,http://www.bildungsstandards.berufsbildendeschulen.at/fileadmin/content/bbs/AGBroschueren/Fachrichtungsstandard_IT_08-09-2011_Druck.pdf,j
ref15,Mittelfristige Perspektiven der HTL - Erhebung und Analysen zur Sicherung und Weiterentwicklung der Ausbildungsqualität,A Schneeberger,2008-06,2008,6,http://www.ibw.at/html/rb/pdf/rb_43_schneeberger.pdf,m
ref16,HTL und Qualifikationsbedarf der Wirtschaft - Analysen zur Arbeitsmarktlage und europäischer Vergleiche,A Schneeberger,A Petanovitsch,2009-03,2009,3,http://www.ibw.at/de/pruefungsunterlagen?page=shop.getfile&amp;file_id=306&amp;product_id=288,m
ref17,International Standard Classification of Education,UNESCO,,1997,1997,http://www.unesco.org/education/information/nfsunesco/doc/isced_1997.htm,j
ref18,Internationale Einstufung der österreichischen Berufsbildung - Adäquate ISCED-Positionierung als bildungspolitische Herausforderung,A Schneeberger,2010-05,2010,5,http://www.ibw.at/de/pruefungsunterlagen?page=shop.getfile&amp;file_id=404&amp;product_id=365,m
ref19,Lehre von Software-Verifikation in der Berufsbildung unter dem Aspekt von Bildungsstandards,Master thesis,Vienna University of Technology,T Reinbacher,2010,2010,m</t>
  </si>
  <si>
    <t>ref1,,EQF-European Qualifications Framework,,2008,2008,http://eur-lex.europa.eu/LexUriServ/LexUriServ.do?uri=CELEX,m
ref2,Empirical refinement of a theoretically derived competence model for informatics modelling and system comprehension,Proceedings of IFIP-Conference Addressing Educational Challenges: The Role of ICT (AECRICT),B Linck,J Magenheim,W Nelles,J Neugebauer,L Ohrndorf,N Schaper,S Schubert,2012-05,2012,05,m
ref3,Grundsätze und Standards für die Informatik in der Schule,,2008,2008,m
ref4,Concept of Competence: A Conceptual Clarification,Defining and Selecting Key Competencies. Hofgrefe &amp; Huber,F E Weinert,2001,2001,m
ref5,,HTL_VO_2011/BGBl_II_Nr_300_2011.pdf 7. Bildungsstandards in der BerufsbildungProjekthandbuch,Htl ( Bundesgesetzblatt Curricula For,Nr,2011,2011,http://www.bildungsstandards.berufsbildendeschulen.at/fileadmin/content/bbs/Handbuch_BIST_25.03.2013.pdf,m
ref6,On Competence-Orientation and Learning Informatics,Informatics in Schools: Situation, Evolution and Perspectives, Proceedings of ISSEP 2011,P Antonitsch,2011,2011,m
ref7,Kompetenzfördernd unterrichten-22 Schritte von der Theorie zur Praxis,In: Pädagogik,R Lersch,12,2007,2007,http://methodenpool.uni-koeln.de10,j
ref8,,Kompetenzorientiertes Unterrichten-Grundlagenpapier. bm:ukk,U Fritz,2011,2011,http://www.berufsbildendeschulen.at/fileadmin/content/bbs/KU/Grundlagenpapier_KU_Maerz2011.pdf,m
ref9,,A Taxonomy for Learning, Teaching, and Assessing: A Revision of Bloom's Taxonomy of Educational Objectives,L W Anderson,R David,D R Krathwohl,m
ref10,,Allyn &amp;amp; Bacon,Ma Boston,2001,2001
ref11,,Höhere technische Lehranstalt für Informationstechnologie-Bildungsstandards in der Berufsbildung,,http://www.berufsbildendeschulen.at/fileadmin/content/bbs/AGBroschueren/IT_V8.pdf,m
ref12,,Höhere technische Lehranstalt für Informationstechnologie-Fachrichtungsstandard,,http://www.bildungsstandards.berufsbildendeschulen.at/fileadmin/content/bbs/AGBroschueren/Fachrichtungsstandard_IT_08-09-2011_Druck.pdf,j
ref13,Mittelfristige Perspektiven der HTL-Erhebung und Analysen zur Sicherung und Weiterentwicklung der Ausbildungsqualität,A Schneeberger,2008-06,2008,06,m
ref14,HTL und Qualifikationsbedarf der Wirtschaft-Analysen zur Arbeitsmarktlage und europäischer Vergleiche,A Schneeberger,A Petanovitsch,2009-03,2009,03,m
ref15,,UNESCO. International Standard Classification of Education,,1997,1997,http://www.unesco.org/education/information/nfsunesco/doc/isced_1997.htm,j
ref16,,Internationale Einstufung der österreichischen Berufsbildung-Adäquate ISCED-Positionierung als bildungspolitische Herausforderung,A Schneeberger,2010-05,2010,05,http://www.ibw.at/de/pruefungsunterlagen?page=shop.getfile&amp;file_id=404&amp;product_id=365,m
ref17,Lehre von Software-Verifikation in der Berufsbildung unter dem Aspekt von Bildungsstandards,T Reinbacher,2010,2010,m</t>
  </si>
  <si>
    <t>TUW-237297</t>
  </si>
  <si>
    <t>ref1,How People Learn: Brain, Mind, Experience and School,National Academic Press,J D Bransford,A L Brown,R R Cocking,Washington,2000,2000,m
ref2,360-degree Evaluation Framework for Doctoral Programs,Vienna University of Technology,M d C Calatrava Moreno,2014,2014,m
ref2,Mind Over Machine: The power of Human Intuition and Expertise in the Era of the Computer,Free Press,H L Dreyfus,S E Dreyfus,New York,1986,1986,m
ref3,Constructivism: New Implications for Instructional Technology,Constructivism and the Technology of Instruction: A Conversation,Duffy, T. M. and Jonassen, D. H.,T M Duffy,D H Jonassen,Hillsdale,1,16,1992,1992,m
ref4,Self-Regulation and Learning,Handbook of Psychology. Part Two: Cognitive Contributions to Learning, Development, and Instruction,D H Schunk,B J Zimmerman,4,59,78,2003,2003
ref5,,Handbook of Psychology. Part Two: Cognitive Contributions to Learning, Development, and Instruction,,59,78,m
ref6,Is eLearning the Solution for Individual Learning,Electronic Journal of e-Learning,D Tavangarian,M Leypold,K Nölting,M Röser,D Voigt,2,2,273,280,2004,2004,j
ref7,Bericht zur Spezialauswertung: Zeugnisse zu den Lehrveranstaltungen der Studieneingangs- und Orientierungsphase (StEOP) der Bachelorstudien Informatik für die Beginnkohorten der Wintersemester 2011-2012 an der TU Wien,Stabstelle Studienbezogene Daten, Vizerektorat für Lehre, Technische Universität Wien,Sh M Tauböck,2014,2014,m
ref8,Modes of classroom assessment in computer science,Proceedings of the 12th International Conference on Computer Systems and Technologies, CompSysTech'11,ACM,H Tellioğlu,New York, USA,546,551,2011,2011,m</t>
  </si>
  <si>
    <t>ref1,How People Learn: Brain, Mind, Experience and School,National Academic Press,J D Bransford,A L Brown,R R Cocking,Washington,2000,2000,m
ref2,A 360-degree Evaluation Framework for Doctoral Programs,Calatrava Moreno,M D C ,2014,2014,m
ref3,Mind Over Machine: The power of Human Intuition and Expertise in the Era of the Computer,Free Press,H L Dreyfus,S E Dreyfus,New York,1986,1986,m
ref4,Constructivism: New Implications for Instructional Technology,Constructivism and the Technology of Instruction: A Conversation. Hillsdale,T M Duffy,D H Jonassen,1,16,1992,1992,m
ref5,Self-Regulation and Learning,Handbook of Psychology. Part Two: Cognitive Contributions to Learning, Development, and Instruction,D H Schunk,B J Zimmerman,59,78,2003,2003,m
ref6,Is eLearning the Solution for Individual Learning,Electronic Journal of e-Learning,D Tavangarian,M Leypold,K Nölting,M Röser,D Voigt,2,2,273,280,2004,2004,j
ref7,Bericht zur Spezialauswertung: Zeugnisse zu den Lehrveranstaltungen der Studieneingangs-und Orientierungsphase (StEOP) der,Sh M Tauböck,2014,2014,m
ref8,,Bachelorstudien Informatik für die Beginnkohorten der Wintersemester 2011-2012 an der TU Wien, Stabstelle Studienbezogene Daten,,m
ref9,Modes of classroom assessment in computer science,Proceedings of the 12th International Conference on Computer Systems and Technologies, CompSysTech'11,H Tellioğlu,546,551,2011-06-16,2011,06,16,m</t>
  </si>
  <si>
    <t>TUW-240858</t>
  </si>
  <si>
    <t>ref1,Chase termination for guarded existential rules,PODS,M Calautti,G Gottlob,A Pieris,to appear,2015,2015,m
ref2,Taming the infinite chase: Query answering under expressive relational constraints,J. Artif. Intell. Res,A Calì,G Gottlob,M Kifer,48,115,174,2013,2013,j
ref3,A general Datalog-based framework for tractable query answering over ontologies,J. Web Sem,A Calì,G Gottlob,T Lukasiewicz,14,57,83,2012,2012,j
ref4,The chase revisisted,PODS,A Deutsch,A Nash,J B Remmel,149,158,2008,2008,m
ref5,Data exchange: Semantics and query answering,Theor. Comput. Sci,R Fagin,P G Kolaitis,R J Miller,L Popa,336,1,89,124,2005,2005,j
ref6,All-instances termination of chase is undecidable,ICALP,T Gogacz,J Marcinkowski,293,304,2014,2014,m
ref7,Anatomy of the chase. CoRR abs/1303.6682,G Grahne,A Onet,2013,2013,http://arxiv.org/abs/1303.6682,m
ref8,Acyclicity conditions and their application to query answering in description logics,KR,B C Grau,I Horrocks,M Krötzsch,C Kupke,D Magka,B Motik,Z Wang,2012,2012,m
ref9,Incomplete Data and Data Dependencies in Relational Databases,Morgan &amp; Claypool Publishers,S Greco,C Molinaro,F Spezzano,2012,2012,m
ref10,Stratification criteria and rewriting techniques for checking chase termination,PVLDB,S Greco,F Spezzano,I Trubitsyna,4,11,1158,1168,2011,2011,j
ref11,CWA-solutions for data exchange settings with target dependencies,PODS,A Hernich,N Schweikardt,113,122,2007,2007,m
ref12,Generalized schema-mappings: From termination to tractability,PODS,B Marnette,13,22,2009,2009,m
ref13,On chase termination beyond stratification,PVLDB,M Meier,M Schmidt,G Lausen,2,1,970,981,2009,2009,j</t>
  </si>
  <si>
    <t>ref1,Chase termination for guarded existential rules,PODS (2015),M Calautti,G Gottlob,A Pieris,m
ref2,Taming the infinite chase: Query answering under expressive relational constraints,J. Artif. Intell. Res,A Caì I,G Gottlob,M Kifer,48,115,174,2013,2013,j
ref3,A general Datalog-based framework for tractable query answering over ontologies,J. Web Sem,A Caì I,G Gottlob,T Lukasiewicz,14,57,83,2012,2012,j
ref4,The chase revisisted,PODS. pp,A Deutsch,A Nash,J B Remmel,149,158,2008,2008,m
ref5,Data exchange: Semantics and query answering,Theor. Comput. Sci,R Fagin,P G Kolaitis,R J Miller,L Popa,336,1,89,124,2005,2005,j
ref6,All-instances termination of chase is undecidable,ICALP. pp,T Gogacz,J Marcinkowski,293,304,2014,2014,j
ref7,Anatomy of the chase,G Grahne,A Onet,2013,2013,m
ref8,Acyclicity conditions and their application to query answering in description logics,KR,B C Grau,I Horrocks,M Krötzsch,C Kupke,D Magka,B Motik,Z Wang,2012,2012,m
ref9,Incomplete Data and Data Dependencies in Relational Databases,Morgan &amp; Claypool Publishers,S Greco,C Molinaro,F Spezzano,2012,2012,m
ref10,Stratification criteria and rewriting techniques for checking chase termination,PVLDB,S Greco,F Spezzano,I Trubitsyna,4,11,1158,1168,2011,2011,j
ref11,CWA-solutions for data exchange settings with target dependencies,PODS. pp,A Hernich,N Schweikardt,113,122,2007,2007,m
ref12,Generalized schema-mappings: From termination to tractability,PODS. pp,B Marnette,13,22,2009,2009,m
ref13,On chase termination beyond stratification,PVLDB,M Meier,M Schmidt,G Lausen,2,1,970,981,2009,2009,j</t>
  </si>
  <si>
    <t>TUW-245336</t>
  </si>
  <si>
    <t>ref1,The Reality of Homes Fit for Heroes: Design Challenges for Rehabilitation Technology at Home,Journal of Assistive Technologies,L Axelrod,G Fitzpatrick,J Burridge,S Mawson,P Smith,T Rodden,I Ricketts,3,2,35,43,2009,2009,j
ref2,Negotiating Boundaries: Managing Disease at Home,CHI 2010: Proceedings of the 28th International Conference on Human Factors in Computing Systems,R Aarhus,S Ballegaard,New York,1223,1232,2010,2010,m
ref3,Motivating mobility: designing for lived motivation in stroke rehabilitation,CHI 2011: Proceedings of the SIGCHI Conference on Human Factors in Computing Systems,M Balaam,S Rennick Egglestone,G Fitzpatrick,T Rodden,A M Hughes,A Wilkinson,T Nind,L Axelrod,E Harris,I Ricketts,S Mawson,J Burridge,New York,3073,3082,2011,2011,m
ref4,Socially Dependable Design: The Challenge of Ageing Populations for HCI,Interacting with Computers,M Blythe,A Monk,K Doughty,17,6,672,689,2005,2005,j
ref5,A Systematic Review of Lifestyle Monitoring Technologies,Journal of Telemedicine and Telecare,S Brownsell,D Bradley,S Blackburn,F Cardinaux,M Hawley,17,4,185,189,2011,2011,j
ref6,Building a National Health IT System from the Middle Out,Journal of the American Medical Informatics Association,E Coiera,16,271,273,2009,2009,j
ref7,Preventative Telehealth Supported Services for Early Stage Chronic Obstructive Pulmonary Disease: a Protocol for a Pragmatic Randomized Controlled Trial Pilot,Trials,D A Fitzsimmons,J Thompson,M Hawley,G A Mountain,12,6,2011,2011,j
ref8,Telecare, Remote Monitoring and Care,Bioethics 9702,H Draper,T Sorell,195,200,2012,2012,m
ref9,Design for Agency, Adaptivity and Reciprocity: Re-imagining AAL and Telecare Agendas,Designing Socially Embedded Technologies in the Real-World,G Fitzpatrick,A Huldtgren,L Malmborg,D Harely,W Ijsselsteijn,London,305,340,2015,2015,m
ref10,From Gardens to Fridges: Technology Design Considerations for Less Food Waste,PhD Thesis,Vienna University of Technology,E Ganglbauer,Vienna,2014,2014,m
ref11,Negotiating Food Waste: Using a Practice Lens to Inform Design,ACM Transactions on Computer-Human Interaction,E Ganglbauer,G Fitzpatrick,R Comber,20,2,Article 11,2013,2013,j
ref12,Think Globally, Act Locally: a Case Study of a Free Food Sharing Community and Social Networking,CSCW 2014: Proceedings of the 17th ACM Conference on Computer Supported Cooperative Work &amp; Social Computing,E Ganglbauer,G Fitzpatrick,Ö Subasi,F Güldenpfennig,New York,911,921,2014,2014,m
ref13,Towards a Closer Dialogue Between Policy and Practice: Responsible Design in HCI,CHI 2014: Proceedings of the SIGCHI Conference on Human Factors in Computing Systems,G Grimpe,M Hartswood,M Jirotka,2965,2974,2014,2014,m
ref14,Cutting Food Waste to Feed the World Global Food Losses and Food Waste,United Nations Food and Agriculture Organisation,J Gustavsson,C Cederberg,U Sonesson,Rome,2011,2011,m
ref15,Cost Effectiveness of Telehealth for Patients with Long Term Conditions (Whole Systems Demonstrator Telehealth Questionnaire Study): Nested Economic Evaluation in a Pragmatic, Cluster Randomised Controlled Trial,BMJ,C Henderson,M Knapp,J.-L. Fernández,J Beecham,S P Hirani,M Cartwright,L Rixon,M Beynon,A Rogers,P Bower,H Doll,R Fitzpatrick,A Steventon,M Bardsley,J Hendy,S P Newman,346,f1035,2013,2013,j
ref16,Self, Society and the “New Gerontology”,The Gerontologist,M Holstein,M Minkler,43,6,787,796,2003,2003,m
ref17,Designing for Elders: Exploring the Complexity of Relationships in Later Life,BCS: Proceedings of the 22nd British HCI Group Annual Conference on People and Computers: Culture, Creativity, Interaction,S Lindley,R Harper,A Sellen,Liverpool,1,77,86,2008,2008,m
ref18,Realistic Evaluation,R Pawson,N Tilley,London,1997,1997,m
ref19,The Day-to-Day Co-Production of Ageing in Place,Computer Supported Cooperative Work (CSCW),R Procter,T Greenhalgh,J Wherton,P Sugarhood,M Rouncefield,S Hinder,23,3,245,267,2014,2014,m
ref20,Exploring Barriers to Participation and Adoption of Telehealth and Telecare within the Whole System Demonstrator Trial: a Qualitative Study,BMC Health Services Research,C Sanders,A Rogers,R Bowen,P Bower,S P Hirani,M Cartwright,R Fitzpatrick,M Knapp,J Barlow,J Hendy,T Chrysanthaki,M Bardsley,S P Newman,12,220,2012,2012,j
ref21,Reflecting Human Values in the Digital Age,Communications of the ACM,A Sellen,Y Rogers,R Harper,R Rodden,52,3,58,66,2009,2009,j
ref22,Nurses' and Community Support Workers' Experience of Telehealth: a Longitudinal Case Study,BMC Health Services Research,U Sharma,M Clarke,14,164,2014,2014,j
ref23,Gerotranscendence. A Developmental Theory of Positive Aging,L Tornstam,New York,2005,2005,m</t>
  </si>
  <si>
    <t>ref1,The Reality of Homes Fit for Heroes: Design Challenges for Rehabilitation Technology at Home,Journal of Assistive Technologies,L Axelrod,G Fitzpatrick,J Burridge,S Mawson,P Smith,T Rodden,I Ricketts,3,2,35,43,2009,2009,j
ref2,Negotiating Boundaries: Managing Disease at Home,CHI 2010: Proceedings of the 28th International Conference on Human Factors in Computing Systems,R Aarhus,S Ballegaard,1223,1232,2010,2010,m
ref3,Motivating mobility: designing for lived motivation in stroke rehabilitation,CHI 2011: Proceedings of the SIGCHI Conference on Human Factors in Computing Systems,M Balaam,S Rennick Egglestone,G Fitzpatrick,T Rodden,A M Hughes,A Wilkinson,T Nind,L Axelrod,E Harris,I Ricketts,S Mawson,J Burridge,3073,3082,2011,2011,m
ref4,Socially Dependable Design: The Challenge of Ageing Populations for HCI,Interacting with Computers,M Blythe,A Monk,K Doughty,17,6,672,689,2005,2005,j
ref5,A Systematic Review of Lifestyle Monitoring Technologies,Journal of Telemedicine and Telecare,S Brownsell,D Bradley,S Blackburn,F Cardinaux,M Hawley,17,4,185,189,2011,2011,j
ref6,Building a National Health IT System from the Middle Out,Journal of the American Medical Informatics Association,E Coiera,16,271,273,2009,2009,j
ref7,Preventative Telehealth Supported Services for Early Stage Chronic Obstructive Pulmonary Disease: a Protocol for a Pragmatic Randomized Controlled Trial Pilot,In: Trials,D A Fitzsimmons,J Thompson,M Hawley,G A Mountain,12,6,2011,2011,j
ref8,Telecare, Remote Monitoring and Care,Bioethics 9702,H Draper,T Sorell,195,200,2012,2012,m
ref9,,Design for Agency, Adaptivity and Reciprocity: Re-imagining AAL and Telecare Agendas,G Fitzpatrick,A Huldtgren,L Malmborg,D Harely,W Ijsselsteijn,305,340,2015,2015,m
ref10,From Gardens to Fridges: Technology Design Considerations for Less Food Waste,E Ganglbauer,Vienna,2014,2014,m
ref11,Negotiating Food Waste: Using a Practice Lens to Inform Design,ACM Transactions on Computer-Human Interaction,E Ganglbauer,G Fitzpatrick,R Comber,20,2,2013,2013,j
ref12,Act Locally: a Case Study of a Free Food Sharing Community and Social Networking,CSCW 2014: Proceedings of the 17th ACM Conference on Computer Supported Cooperative Work &amp; Social Computing,E Ganglbauer,G Fitzpatrick,Ö Subasi,F Güldenpfennig,911,921,2014,2014,m
ref13,Towards a Closer Dialogue Between Policy and Practice: Responsible Design in HCI,CHI 2014: Proceedings of the SIGCHI Conference on Human Factors in Computing Systems,G Grimpe,M Hartswood,M Jirotka,2965,2974,2014,2014,m
ref14,Cutting Food Waste to Feed the World Global Food Losses and Food Waste. United Nations Food and Agriculture Organisation,J Gustavsson,C Cederberg,U Sonesson,Rome,2011,2011,m
ref15,Cost Effectiveness of Telehealth for Patients with Long Term Conditions (Whole Systems Demonstrator Telehealth Questionnaire Study): Nested Economic Evaluation in a Pragmatic,Cluster Randomised Controlled Trial,C Henderson,M Knapp,J.-L Fernández,J Beecham,S P Hirani,M Cartwright,L Rixon,M Beynon,A Rogers,P Bower,H Doll,R Fitzpatrick,A Steventon,M Bardsley,J Hendy,S P Newman,346,2013,2013,j
ref16,,Self, Society and the,M Holstein,M Minkler,787,796,2003,2003,m
ref17,Designing for Elders: Exploring the Complexity of Relationships in Later Life,BCS: Proceedings of the 22nd British HCI Group Annual Conference on People and Computers: Culture, Creativity, Interaction,S Lindley,R Harper,A Sellen,77,86,2008,2008,m
ref18,Realistic Evaluation,Computer Supported Cooperative Work,CSCW,London Procter,R Greenhalgh,T Wherton,J Sugarhood,P Rouncefield,M Hinder,S ,245,267,1997,1997,m
ref19,Exploring Barriers to Participation and Adoption of Telehealth and Telecare within the Whole System Demonstrator Trial: a Qualitative Study,BMC Health Services Research,C Sanders,A Rogers,R Bowen,P Bower,S P Hirani,M Cartwright,R Fitzpatrick,M Knapp,J Barlow,J Hendy,T Chrysanthaki,M Bardsley,S P Newman,12,2012,2012,j
ref20,Reflecting Human Values in the Digital Age,Communications of the ACM,A Sellen,Y Rogers,R Harper,R Rodden,52,3,58,66,2009,2009,j
ref21,Nurses' and Community Support Workers' Experience of Telehealth: a Longitudinal Case Study,BMC Health Services Research,U Sharma,M Clarke,14,2014,2014,j
ref22,,Gerotranscendence. A Developmental Theory of Positive Aging,L Tornstam,2005,2005,m</t>
  </si>
  <si>
    <t>TUW-245799</t>
  </si>
  <si>
    <t>ref1,Application of model based diagnosis for steady state power systems operation. Theory and basic concepts,Proceedings of the Fifth International Power Conference,B Luştrea,I Borlea,Timişoara,2003,2003,m
ref2,A theory of diagnosis from first principles,Journal Artificial Intelligence,Elsevier BV,R Reiter,32,1,57,95,1987,1987,j
ref3,Electrodynamic centralization and automatic line block,A I Stan,S David,1,1983,1983,m
ref4,Development of an Expert System to fault diagnosis of three phase induction motor drive system,Power System Conference, 2008. MEPCON 2008,A M Elasaadawi,12th International Middle-East,2008,2008,m
ref5,Diagnostic Expert Systems: From Expert's Knowledge to Real-Time Systems,TMRF e-Book Advanced Knowledge Based Systems: Model, Applications &amp; Research,Sajja &amp; Akerkar,C Angeli,1,50,73,2010,2010,m
ref6,Fuzzy systems and neural,Publishing house Polytechnica,C Voloşencu,Timişoara,2007,2007,m
ref7,Diagnosis Charts for Regular Inversion Failures of an Automatic Block Signal Installation,International Conference on Applied and Theoretical Electricity ICATE,E Spunei,a o.,Craiova,2014-10,2014,10,23-25,m</t>
  </si>
  <si>
    <t>ref1,Application of model based diagnosis for steady state power systems operation. Theory and basic concepts,Proceedings of the Fifth International Power Conference,B Luştrea,I Borlea,2003,2003,m
ref2,A theory of diagnosis from first principles,Journal Artificial Inteligence,R Reiter,32,1,57,95,1987,1987,j
ref3,Electrodynamic centralization and automatic line block,E D București,1983,1983,m
ref4,Development of an Expert System to fault diagnosis of three phase induction motor drive system,Power System Conference,A M Elasaadawi,2008,2008,m
ref5,Diagnostic Expert Systems: From Expert's Knowledge to Real-Time Systems,TMRF e-Book Advanced Knowledge Based Systems: Model, Applications &amp; Research (Eds. Sajja &amp; Akerkar),C Angeli,2010,2010,m
ref6,Fuzzy systems and neural. Publishing house Polytechnica,C Voloşencu,Timişoara,2007,2007,m
ref7,Diagnosis Charts for Regular Inversion Failures of an Automatic Block Signal Installation,International Conference on Applied and Theoretical Electricity ICATE,E Spunei,23,25,2014-10,2014,10,m
ref8,Eftimie Murgu,Dr. Eng. Ec. Ion Piroi,Lect,Dr,Eng,Spunei,1-4,320085,j
ref9,Institute of Software Technology and Interactive Systems,Dr,Techn,Florina Piroi,Austria,m</t>
  </si>
  <si>
    <t>TUW-247301</t>
  </si>
  <si>
    <t>ref1,A general Datalog-based framework for tractable query answering over ontologies,J. Web Sem,A Calì,G Gottlob,T Lukasiewicz,14,57,83,2012,2012,j
ref2,The price of query rewriting in ontology-based data access,Artif. Intell,G Gottlob,S Kikot,R Kontchakov,V V Podolskii,T Schwentick,M Zakharyaschev,213,42,59,2014,2014,j
ref3,Polynomial combined rewritings for existential rules,KR,G Gottlob,M Manna,A Pieris,2014,2014,m
ref4,Polynomial rewritings for linear existential rules,IJCAI,G Gottlob,M Manna,A Pieris,2015,2015,j
ref5,The combined approach to query answering in DL-Lite,KR,KR,R Kontchakov,C Lutz,D Toman,F Wolter,M Zakharyaschev,2010,2010,m
ref6,The combined approach to ontology-based data access,IJCAI,R Kontchakov,C Lutz,D Toman,F Wolter,M Zakharyaschev,2656,2661,2011,2011,j
ref7,Conjunctive query answering in the description logic EL using a relational database system,IJCAI,C Lutz,D Toman,F Wolter,2070,2075,2009,2009,j</t>
  </si>
  <si>
    <t>ref1,A general Datalog-based framework for tractable query answering over ontologies,J. Web Sem,A Caì I,G Gottlob,T Lukasiewicz,14,57,83,2012,2012,j
ref2,The price of query rewriting in ontology-based data access,Artif. Intell,G Gottlob,S Kikot,R Kontchakov,V V Podolskii,T Schwentick,M Zakharyaschev,213,42,59,2014,2014,j
ref3,Polynomial combined rewritings for existential rules,KR,G Gottlob,M Manna,A Pieris,2014,2014,m
ref4,Polynomial rewritings for linear existential rules,IJCAI,G Gottlob,M Manna,A Pieris,2015,2015,j
ref5,The combined approach to query answering in DL-Lite,KR,R Kontchakov,C Lutz,D Toman,F Wolter,M Zakharyaschev,2010,2010,m
ref6,The combined approach to ontology-based data access,IJCAI. pp,R Kontchakov,C Lutz,D Toman,F Wolter,M Zakharyaschev,2656,2661,2011,2011,j
ref7,Conjunctive query answering in the description logic EL using a relational database system,IJCAI. pp,C Lutz,D Toman,F Wolter,2070,2075,2009,2009,j</t>
  </si>
  <si>
    <t>TUW-247741</t>
  </si>
  <si>
    <t>ref1,Analysis of distance/similarity measures for diffusion tensor imaging,Visualization and Processing of Tensor Fields: Advances and Perspectives,Springer,T H J M Peeters,P R Rodrigues,A Vilanova,B M ter Haar Romeny,Berlin,2008,2008,m
ref2,Comparison of evaluation metrics in classification applications with imbalanced datasets,ICMLA,Mehrdad Fatourechi,Rabab K Ward,Steven G Mason,Jane Huggins,Alois Schloegl,Gary E Birch,777,782,2009,2009,m
ref3,Valmet: A new validation tool for assessing and improving 3D object segmentation,Proceedings of the 4th International Conference on Medical Image Computing and Computer-Assisted Intervention,Guido Gerig,Matthieu Jomier,Miranda Chakos,516,523,2001,2001,m
ref4,Image similarity using mutual information of regions,8th European Conference on Computer Vision, ECCV,Daniel B Russakoff,Carlo Tomasi,Torsten Rohlfing,Calvin R Maurer,Jr. ,596,607,2004,2004,m
ref5,Information theoretic measures for clusterings comparison: is a correction for chance necessary?,Proceedings of the 26th Annual International Conference on Machine Learning,ACM,Nguyen Xuan Vinh,Julien Epps,James Bailey,1073,1080,2009,2009,j
ref6,Evaluation: From precision, recall and F-factor to ROC, informedness, markedness correlation,Journal of Machine Learning Technologies,David M W Powers,2,37,63,2011,2011,j
ref7,Evaluating evaluation measure stability,Proceedings of the 23rd annual international ACM SIGIR conference on Research and development in information retrieval,ACM,Chris Buckley,Ellen M Voorhees,33,40,2000,2000,m
ref8,A subjective experiment for 3d-mesh segmentation evaluation,IEEE International Workshop on Multimedia Signal Processing (MMSP),Halim Benhabiles,Guillaume Lavoue,Jean Phillipe Vandeborre,Mohamed Daoudi,2010,2010,m
ref9,Comparing the sensitivity of information retrieval metrics,Proceedings of the 33rd international ACM SIGIR conference on Research and development in information retrieval,Filip Radlinski,Nick Craswell,2010,2010,m
ref10,Beware of relatively large but meaningless improvements,Tech. Rep.,Yahoo! Research,R Blanco,H Zaragoza,2011-001,2011,2011,m
ref11,Evaluating evaluation metrics based on the bootstrap,Proceedings of the 29th annual international ACM SIGIR conference on Research and development in information retrieval,ACM,Tetsuya Sakai,525,532,2006,2006,m
ref12,Using AUC and accuracy in evaluating learning algorithms,IEEE Transactions on Knowledge and Data Engineering,Jin Huang,Charles X Ling,17,299,310,2005,2005,j
ref13,A comparison of extrinsic clustering evaluation metrics based on formal constraints,Inf. Retr,Enrique Amigo,Julio Gonzalo,Javier Artiles,Felisa Verdejo,12,4,461,486,2009-08,2009,8,j
ref14,Information theoretic measures for clusterings comparison: Variants, properties, normalization and correction for chance,J. Mach. Learn. Res,Nguyen Xuan Vinh,Julien Epps,James Bailey,9999,2837,2854,2010-12,2010,12,j
ref15,Axiometrics: An axiomatic approach to information retrieval effectiveness metrics,Proceedings of the 2013 Conference on the Theory of Information Retrieval,Luca Busin,Stefano Mizzaro,New York, NY, USA,8:22,8:29,2013,2013,m
ref16,On the reliability of information retrieval metrics based on graded relevance,Information Processing Management,Tetsuya Sakai,2007,2007,j
ref17,The effect of topic set size on retrieval experiment error,Proceedings of the 25th annual international ACM SIGIR conference on Research and development in information retrieval,Ellen M Voorhees,Chris Buckley,316,323,2002,2002,m
ref18,On a test of whether one of two random variables is stochastically larger than the other,The Annals of Mathematical sStatistics,ACM,H B Mann,D R Whitney,18,1,50,60,1947,1947,m
ref19,Statistical comparisons of classifiers over multiple data sets,J. Mach. Learn. Res.,ACM,Janez Demsar,17,30,2006,2006,m
ref17,Test data and results of the automatic metric selection method,Tech. Rep.,Vienna University of Technology,Abdel Aziz Taha,Allan Hanbury,Oscar Jimenez,2014,2014,http://publik.tuwien.ac.at/files/PubDat 229008.pdf,,j</t>
  </si>
  <si>
    <t>ref1,Analysis of distance/similarity measures for diffusion tensor imaging,Visualization and Processing of Tensor Fields: Advances and Perspectives,Springer,T H J M Peeters,P R Rodrigues,A Vilanova,B Ter Haar Romeny,2008,2008,m
ref2,Beware of relatively large but meaningless improvements,Tech. Rep., Yahoo! Research,R Blanco,H Zaragoza,2011,2011,j
ref3,Evaluating evaluation metrics based on the bootstrap,Proceedings of the 29th annual international ACM SIGIR conference on Research and development in information retrieval,ACM,Tetsuya Sakai,525,532,2006,2006,m
ref4,Comparison of evaluation metrics in classification applications with imbalanced datasets,ICMLA,Mehrdad Fatourechi,Rabab K Ward,Steven G Mason,Jane Huggins,Alois Schloegl,Gary E Birch,777,782,2009,2009,m
ref5,Using AUC and accuracy in evaluating learning algorithms,IEEE Transactions on Knowledge and Data Engineering,Jin Huang,Charles X Ling,17,299,310,2005,2005,j
ref6,Valmet: A new validation tool for assessing and improving 3D object segmentation,Proceedings of the 4th International Conference on Medical Image Computing and Computer-Assisted Intervention,Guido Gerig,Matthieu Jomier,Miranda Chakos,516,523,2001,2001,m
ref7,A comparison of extrinsic clustering evaluation metrics based on formal constraints,Inf. Retr,Enrique Amigo,Julio Gonzalo,Javier Artiles,Felisa Verdejo,12,4,461,486,2009-08,2009,08,j
ref8,Image similarity using mutual information of regions,8th European Conference on Computer Vision, ECCV,Daniel B Russakoff,Carlo Tomasi,Torsten Rohlfing,Calvin R Maurer,Jr ,596,607,2004,2004,m
ref9,Information theoretic measures for clusterings comparison: Variants, properties, normalization and correction for chance,J. Mach. Learn. Res,Julien Nguyen Xuan Vinh,James Epps,Bailey,9999,2837,2854,2010-12,2010,12,j
ref10,Information theoretic measures for clusterings comparison: is a correction for chance necessary?,Proceedings of the 26th Annual International Conference on Machine Learning,ACM,Julien Nguyen Xuan Vinh,James Epps,Bailey,1073,1080,2009,2009,m
ref11,Axiometrics: An axiomatic approach to information retrieval effectiveness metrics,Proceedings of the 2013 Conference on the Theory of Information Retrieval,Luca Busin,Stefano Mizzaro,2013,2013,m
ref12,On the reliability of information retrieval metrics based on graded relevance,Tetsuya Sakai,2007,2007,m
ref13,Evaluation: From precision, recall and F-factor to ROC, informedness, markedness correlation,Journal of Machine Learning Technologies,M W David,Powers,2,37,63,2011,2011,j
ref14,Evaluating evaluation measure stability,Proceedings of the 23rd annual international ACM SIGIR conference on Research and development in information retrieval,ACM,Chris Buckley,Ellen M Voorhees,33,40,2000,2000,m
ref15,The effect of topic set size on retrieval experiment error,Proceedings of the 25th annual international ACM SIGIR conference on Research and development in information retrieval,Ellen M Voorhees,Chris Buckley,316,323,2002,2002,m
ref16,On a test of whether one of two random variables is stochastically larger than the other,The Annals of Mathematical Statistics,H B Mann,D R Whitney,18,1,50,60,1947,1947,j
ref17,A subjective experiment for 3d-mesh segmentation evaluation,IEEE International Workshop on Multimedia Signal Processing (MMSP),Halim Benhabiles,Guillaume Lavoue,Jean Phillipe Vandeborre,Mohamed Daoudi,2010,2010,m
ref18,Statistical comparisons of classifiers over multiple data sets,J. Mach. Learn. Res,Janez Demsar,17,2006,2006,j
ref19,Comparing the sensitivity of information retrieval metrics,Proceedings of the 33rd international ACM SIGIR conference on Research and development in information retrieval,Filip Radlinski,Nick Craswell,2010,2010,m
ref20,Test data and results of the automatic metric selection method,Abdel Aziz Taha,Allan Hanbury,Oscar Jimenez,2014,2014,m</t>
  </si>
  <si>
    <t>TUW-247743</t>
  </si>
  <si>
    <t>ref1,[AJ99],Data clustering: a review,ACM Computing Surveys,P J Flynn Anil Jain,M N Murty,31,3,264,323,1999-09,1999,09
ref2,[AS92],A simple on-line randomized incremental algorithm for computing higher order voronoi diagrams,Annual Symposium on Computational Geometry, Proceedings of the seventh annual symposium on Computational geometry,ACM Press,Franz Aurenhammer,Otfried Schwarzkopf,New York, NY, USA,363,381,1992,1992
ref3,[Aup03],High-dimensional labeled data analysis with gabriel graphs,Proceedings Intl. European Symp. on Articial Neural Networks (ESANN'03),Dside publications,Michael Aupetit,Bruges, Belgium,2003,2003
ref4,[Dev98],Improved incremental randomized delaunay triangulation,Proceedings 14th Annu. ACM Sympos. Computer Geometry,Olivier Devillers,106,115,1998,1998
ref5,[For86],A sweepline algorithm for voronoi diagrams,SCG 86: Proceedings of the second annual symposium on Computational geometry,ACM Press,Steven Fortune,New York, NY, USA,313,322,1986,1986
ref6,[For97],Voronoi diagrams and delaunay triangulations,Steven Fortune,377,388,1997,1997
ref7,[Kas97],Data exploration using self-organizing maps,Acta Polytechnica Scandinavica, Mathematics, Computing and Management in Engineering Series,Samuel Kaski,82,1997-03,1997,03
ref8,[Koh97],Exploration of very large databases by self-organizing maps,Proceedings of ICNN'97, International Conference on Neural Networks,IEEE Service Center,Teuvo Kohonen,Piscataway, NJ,PL1,PL6,1997,1997
ref9,[LR06],Visually proling radio stations,Proceedings of the 7th International Conference on Music Information Retrieval (ISMIR 2006),Thomas Lidy,Andreas Rauber,10,2006,2006
ref10,[PDR],Advanced visualization of self-organizingmaps with vector fields,Georg Pölzlbauer,Michael Dittenbach,Andreas Rauber
ref11,[PRM02],Using smoothed data histograms for cluster visualization in self-organizing maps,Proceedings of the International Conference on Artical Neural Networks (ICANN'02),Elias Pampalk,Andreas Rauber,Dieter Merkl,Madrid, Spain,Springer Lecture Notes in Computer Science,2002,2002
ref12,[RPM03],The som-enhanced jukebox organization and visualization of music collections based on perceptual models,New Music Research,Andreas Rauber,Elias Pampalk,Dieter Merkl,32,2,193,210,2003-06,2003,06
ref13,[Sam69],A nonlinear mapping for data structure analysis,In IEEE Trans. Computer,John Sammon,18,401,409,1969-05,1969,05
ref14,[SC02],A large benchmark dataset for web document clustering,Soft Computing Systems: Design, Management and Applications, Volume 87 of Frontiers in Artificial Intelligence and Applications,Mark Sinka,David Corne,881,890,2002,2002
ref15,[Sof],Geometry algorithms. about lines and distance of a point to a line (2d 3d),Softsurfer.com,http://softsurfer.com/Archive/algorithm_0102/algorithm_0102.htm
ref16,[Ult03a],Maps for the visualization of high dimensional data spaces,Proceedings Workshop on Self organizing Maps(WSOM'03),Alfred Ultsch,Kyushu, Japan,2003,2003
ref17,[Ult03b],Pareto density estimation: Probability density estimation for knowledge discovery,Proceedings Conf. Soc. for Information and Classication,Alfred Ultsch,Cottbus, Germany,2003,2003
ref18,[Ult05],Esom-maps: tools for clustering, visualization, and classication with emergent som,Technical Report 46, Dept. of Mathematics and Computer Science,Alfred Ultsch,D-35032 Marburg, Germany,46,2005-03,2005,03
ref19,[VA00],Clustering of the self-organizing map,IEEE-NN,Juha Vesanto,E Alhoniemi,11,3,586,2000-05,2000,05
ref20,[Ves99],SOM-based data visualization methods,IntelligentData-Analysis,Juha Vesanto,3,111,26,1999,1999
ref21,[Yin03],Nonlinear multidimensional data projection and visualisation,Lecture Notes in Computer Science 2690,Hujun Yin,Manchester, M60 1QD, UK,60,2003,2003</t>
  </si>
  <si>
    <t>ref1,Data clustering: a review,ACM Computing Surveys,P J Flynn Anil Jain,M N Murty,31,3,1999-09,1999,09,j
ref2,A simple on-line randomized incremental algorithm for computing higher order voronoi diagrams,Annual Symposium on Computational Geometry, Proceedings of the seventh annual symposium on Computational geometry,ACM Press,Franz Aurenhammer,Otfried Schwarzkopf,1992,1992,m
ref3,High-dimensional labeled data analysis with gabriel graphs,Proceedings Intl. European Symp. on Articial Neural Networks (ESANN'03),Michael Aupetit,2003,2003,m
ref4,Improved incremental randomized delaunay triangulation,Proceedings 14th Annu. ACM Sympos. Computer Geometry,Olivier Devillers,1998,1998,m
ref5,A sweepline algorithm for voronoi diagrams,SCG 86: Proceedings of the second annual symposium on Computational geometry,ACM Press,Steven Fortune,1986,1986,m
ref6,Voronoi diagrams and delaunay triangulations,Steven Fortune,1997,1997,m
ref7,Data exploration using self-organizing maps,Acta Polytechnica Scandinavica, Mathematics, Computing and Management in Engineering Series No,Samuel Kaski,82,1997-03,1997,03,j
ref8,Exploration of very large databases by self-organizing maps,Proceedings of ICNN'97, International Conference on Neural Networks,Teuvo Kohonen,1,6,1997,1997,m
ref9,Visually proling radio stations,Proceedings of the 7th International Conference on Music Information Retrieval (ISMIR 2006),Thomas Lidy,Andreas Rauber,2006,2006,m
ref10,Advanced visualization of self-organizingmaps with vector elds,Georg Pölzlbauer,Michael Dittenbach,Andreas Rauber,m
ref11,Using smoothed data histograms for cluster visualization in self-organizing maps,Proceedings of the International Conference on Artical Neural Networks (ICANN'02),Springer,Elias Pampalk,Andreas Rauber,Dieter Merkl,2002,2002,m
ref12,The som-enhanced jukebox organization and visualization of music collections based on perceptual models,New Music Research,Andreas Rauber,Elias Pampalk,Dieter Merkl,32,2,2003-06,2003,06,j
ref13,A nonlinear mapping for data structure analysis,In IEEE Trans. Computer,John Sammon,18,1969-05,1969,05,j
ref14,A large benchmark dataset for web,Mark Sinka,David Corne,m
ref15,Pareto density estimation: Probability density estimation for knowledge discovery,Proceedings Conf. Soc. for Information and Classication,Alfred Ultsch,2003,2003,m
ref16,Esom-maps: tools for clustering, visualization, and classication with emergent som,Technical Report,Alfred Ultsch,2005-03,2005,03,m
ref17,Clustering of the self-organizing map,IEEE-NN,Juha Vesanto,E Alhoniemi,11,3,2000-05,2000,05,j
ref18,SOM-based data visualization methods,IntelligentData-Analysis,Juha Vesanto,3,1999,1999,j
ref19,Nonlinear multidimensional data projection and visualisation,Lecture Notes in Computer Science 2690,Hujun Yin,m
ref20,,Uk 1qd,2003,2003</t>
  </si>
  <si>
    <t>TUW-251544</t>
  </si>
  <si>
    <t>ref1,[BLS11],Zauberschule Informatik- Einblick in die Welt der Informatik für Kinder im Grundschulalter,Informatik mit Kopf, Herz und Hand - Praxisbeiträge zur INFOS 2011,ZfL-Verlag,N Bergner,T Leonhardt,U Schroeder,Berlin,132,141,2011,2011,m
ref2,[CSU15],Computer Science Unplugged,,2015,2015,http://csunplugged.org/books/,j
ref3,[CTO16],Cryptool-Online,http://www.cryptool-online.org
ref4,[DF08],Bebras international contest on informatics and computer literacy: Criteria for good tasks,Informatics Education-Supporting Computational Thinking,Springer Berlin Heidelberg,V Dagiene,G Futschek,19,30,2008,2008,m
ref5,[Eu16],Schlüsselkompetenzen,Europäische Kommission,http://ec.europa.eu/education/policy/school/competences_de.htm
ref6,[FM10],Developing algorithmic thinking by inventing and playing algorithms,Constructionist Approaches to Creative Learning, Thinking and Education: Lessons for the 21st Century (Constructionism 2010),G Futschek,J Moschitz,2010,2010,m
ref7,[Ga16a],Was ist binär? Zahlendarstellung im Binärsystem einfach erklärt,c’t,J Gallenbacher,7,2016,2016,m
ref8,[Ga16b],Malnehmen leichtgemacht. Multiplikation im Binärsystem mit Kindern ausprobieren,c’t,J Gallenbacher,10,158,2016,2016,m
ref9,[IV15],Informatiktag: Volksschultanz,https://www.youtube.com/watch?v=WHdHq0aoqXU
ref10,[OCG13],Projekt-Homepage ITAKE,2013,2013,http://www.ocg.at/de/itake
ref11,[SPR14],Informatics-A Child's Play?!, Informatics-A Child's Play,Proceedings of the 6th International Conference on Education and New Learning Technologies (EDULEARN),B Sabitzer,S Pasterk,E Reçi,2014,2014,m</t>
  </si>
  <si>
    <t>ref1,Zauberschule Informatik-Einblick in die Welt der Informatik für Kinder im Grundschulalter. Informatik mit Kopf, Herz und Hand-Praxisbeiträge zur INFOS,Berlin, ZfL-Verlag,N Bergner,T Leonhardt,U Schroeder,132,141,2011,2011,m
ref2,,Computer Science Unplugged,,2015,2015,http://csunplugged.org/books/,j
ref3,,Cryptool-Online,2016,2016
ref4,,Bebras international contest on informatics and computer literacy: Criteria for good tasks. In: Informatics Education-Supporting Computational Thinking,Springer,V Dagiene,G Futschek,19,30,2008,2008,m
ref5,,Europäische Kommission,2016,2016
ref6,Developing algorithmic thinking by inventing and playing algorithms,Constructionist Approaches to Creative Learning, Thinking and Education: Lessons for the 21st Century,G Futschek,J Moschitz,2010,2010,m
ref7,Was ist binär? Zahlendarstellung im Binärsystem einfach erklärt,J Gallenbacher,m
ref8,Malnehmen leichtgemacht. Multiplikation im Binärsystem mit Kindern ausprobieren,J Gallenbacher,m
ref9,,Itake Projekt-Homepage,2013,2013
ref10,Informatics-A Child's Play?!, Informatics-A Child's Play,Proceedings of the 6th International Conference on Education and New Learning Technologies (EDULEARN),B Sabitzer,S Pasterk,E Reçi,2014,2014,m</t>
  </si>
  <si>
    <t>TUW-252847</t>
  </si>
  <si>
    <t>ref1,Content-based Image Retrieval at the End of the Early Years,IEEE Transactions on Pattern Analysis and Machine Intelligence,A W M Smeulders,M Worring,S Santini,A Gupta,R Jain,22,12,1349,1380,2000,2000,j
ref2,Image Retrieval: Ideas, Influences, and Trends of the New Age,ACM Computing Surveys,R Datta,D Joshi,J Li,J Z Wang,40,2,1,60,2008,2008,j
ref3,Association Based Image Retrieval: A Survey,Mobile Communication and Power Engineering, Springer Communications in Computer and Information Science,R Priyatharshini,S Chitrakala,296,17,26,2013,2013,m
ref4,Visual Diversification of Image Search Results",ACM World Wide Web,R H van Leuken,L Garcia,X Olivares,R van Zwol,341,350,2009,2009,m
ref5,Diversity in Photo Retrieval: Overview of the ImageCLEF Photo Task 2009,ImageCLEF,M L Paramita,M Sanderson,P Clough,2009,2009,m
ref6,Gathering and Ranking Photos of Named Entities with High Precision, High Recall, and Diversity,ACM Web Search and Data Mining,B Taneva,M Kacimi,G Weikum,431,440,2010,2010,j
ref7,Generating Visual Summaries of Geographic Areas Using Community-Contributed Images,IEEE Transactions on Multimedia,S Rudinac,A Hanjalic,M A Larson,15,4,921,932,2013,2013,j
ref8,Diversifying Search Results,ACM International Conference on Web Search and Data Mining,R Agrawal,S Gollapudi,A Halverson,S Ieong,5,14,2009,2009,m
ref9,Learning for Search Result Diversification,ACM SIGIR Conference on Research and Development in Information Retrieval,Y Zhu,Y Lan,J Guo,X Cheng,S Niu,293,302,2014,2014,m
ref10,Search Result Diversification via Filling up Multiple Knapsacks,ACM International Conference on Conference on Information and Knowledge Management,H.-T. Yu,F Ren,609,618,2014,2014,m
ref11,A Hybrid Approach for Retrieving Diverse Social Images of Landmarks,IEEE International Conference on Multimedia and Expo,D.-T. Dang-Nguyen,L Piras,G Giacinto,G Boato,F G B De Natale,1,6,2015,2015,m
ref12,Div400: A Social Image Retrieval Result Diversification Dataset,ACM MMSys,B Ionescu,A.-L. Radu,M Menéndez,H Müller,A Popescu,B Loni,Singapore,2014,2014,j
ref13,Div150Cred: A Social Image Retrieval Result Diversification with User Tagging Credibility Dataset,ACM MMSys,B Ionescu,A Popescu,M Lupu,A L Gînscăa,B Boteanu,H Müller,Portland, Oregon, USA,2015,2015,j
ref14,Div150Multi: A Social Image Retrieval Result Diversification Dataset with Multi-topic Queries,ACM MMSys,B Ionescu,A L Gînscăa,B Boteanu,M Lupu,A Popescu,H Müller,Klagenfurt, Austria,2016,2016,j
ref15,Result Diversification in Social Image Retrieval: A Benchmarking Framework,Multimedia Tools and Applications,B Ionescu,A Popescu,A.-L. Radu,H Müller,2014,2014,m
ref16,Improving Diversity in Image Search via Supervised Relevance Scoring,ACM International Conference on Multimedia Retrieval,ACM,E Spyromitros-Xioufis,S Papadopoulos,A L Gînscăa,A Popescu,I Kompatsiaris,I Vlahavas,Shanghai, China,2015,2015,m
ref17,Retrieving Diverse Social Images at MediaEval 2014: Challenge, Dataset and Evaluation,CEUR-WS,B Ionescu,A Popescu,M Lupu,A L Gînscăa,H Müller,Spain,1263,2014,2014,http://ceur-ws.org/Vol-1263/mediaeval2014_submission_1.pdf,j
ref18,Image Tag Clarity: in Search of Visual-Representative Tags for Social Images,SIGMM workshop on Social media,A Sun,S S Bhowmick,2009,2009,m</t>
  </si>
  <si>
    <t>ref1,Content-based Image Retrieval at the End of the Early Years,IEEE Transactions on Pattern Analysis and Machine Intelligence,A W M Smeulders,M Worring,S Santini,A Gupta,R Jain,22,12,2000,2000,j
ref2,Image Retrieval: Ideas, Influences, and Trends of the New Age,ACM Computing Surveys,R Datta,D Joshi,J Li,J Z Wang,40,2,1,60,2008,2008,j
ref3,Association Based Image Retrieval: A Survey,Springer Communications in Computer and Information Science,R Priyatharshini,S Chitrakala,296,17,26,2013,2013,j
ref4,Visual Diversification of Image Search Results,ACM World Wide Web,R H Van Leuken,L Garcia,X Olivares,R Van Zwol,341,350,2009,2009,j
ref5,Diversity in Photo Retrieval: Overview of the ImageCLEF Photo Task,M L Paramita,M Sanderson,P Clough,2009,2009,m
ref6,Gathering and Ranking Photos of Named Entities with High Precision, High Recall, and Diversity,ACM Web Search and Data Mining,B Taneva,M Kacimi,G Weikum,431,440,2010,2010,j
ref7,Generating Visual Summaries of Geographic Areas Using Community-Contributed Images,IEEE Transactions on Multimedia,S Rudinac,A Hanjalic,M A Larson,15,4,921,932,2013,2013,j
ref8,Diversifying Search Results,ACM International Conference on Web Search and Data Mining,R Agrawal,S Gollapudi,A Halverson,S Ieong,5,14,2009,2009,m
ref9,Learning for Search Result Diversification,ACM SIGIR Conference on Research and Development in Information Retrieval,Y Zhu,Y Lan,J Guo,X Cheng,S Niu,293,302,2014,2014,m
ref10,Search Result Diversification via Filling up Multiple Knapsacks,ACM International Conference on Conference on Information and Knowledge Management,H.-T Yu,F Ren,609,618,2014,2014,m
ref11,A Hybrid Approach for Retrieving Diverse Social Images of Landmarks,IEEE International Conference on Multimedia and Expo,D.-T Dang-Nguyen,L Piras,G Giacinto,G Boato,F G B De Natale,1,6,2015,2015,m
ref12,Div400: A Social Image Retrieval Result Diversification Dataset,ACM MMSys,B Ionescu,A.-L Radu,M Menéndez,H Müller,A Popescu,B Loni,2014,2014,j
ref13,Div150Cred: A Social Image Retrieval Result Diversification with User Tagging Credibility Dataset,ACM MMSys,B Ionescu,A Popescu,M Lupu,A L ,B Boteanu,H Müller,2015,2015,j
ref14,Div150Multi: A Social Image Retrieval Result Diversification Dataset with Multi-topic Queries,ACM MMSys,B Ionescu,A L ,B Boteanu,M Lupu,A Popescu,H Müller,2016,2016,j
ref15,Result Diversification in Social Image Retrieval: A Benchmarking Framework,Multimedia Tools and Applications,B Ionescu,A Popescu,A.-L Radu,H Müller,2014,2014,m
ref16,Improving Diversity in Image Search via Supervised Relevance Scoring,ACM International Conference on Multimedia Retrieval,ACM,E Spyromitros-Xioufis,S Papadopoulos,A Gˆınsc˘gˆınsc˘ A,A Popescu,I Kompatsiaris,I Vlahavas,2015,2015,m
ref17,Retrieving Diverse Social Images at MediaEval 2014: Challenge, Dataset and Evaluation,CEUR-WS,B Ionescu,A Popescu,M Lupu,A L Gˆınsc˘gˆınsc˘ A,H Müller,1263,2014,2014,http://ceur-ws.org/Vol-1263/mediaeval2014_submission_1.pdf,j
ref18,Image Tag Clarity: in Search of Visual-Representative Tags for Social Images,SIGMM workshop on Social media,A Sun,S S Bhowmick,2009,2009,m</t>
  </si>
  <si>
    <t>TUW-255712</t>
  </si>
  <si>
    <t>ref1,(Amgoud and Vesic 2011),A new approach for preference-based argumentation frameworks,Annals of Mathematics and Artificial Intelligence,L Amgoud,S Vesic,63,149,183,2011,2011,j
ref2,(Atkinson, Bench-Capon, and McBurney 2006),PARMENIDES: Facilitating deliberation in democracies,Artificial Intelligence and Law,K Atkinson,T J M Bench-Capon,P McBurney,14,4,261,275,2006,2006,j
ref3,(Baroni et al. 2011),AFRA: Argumentation framework with recursive attacks,International Journal of Approximate Reasoning,P Baroni,F Cerutti,M Giacomin,G Guida,52,1,19,37,2011,2011,j
ref4,(Bench-Capon, Prakken, and Sartor 2009),Argumentation in legal reasoning,Argumentation in Artificial Intelligence,Springer,Simari, G., and Rahwan, I.,T J M Bench-Capon,H Prakken,G Sartor,363,382,2009,2009,j
ref5,(Bench-Capon 2003),Persuasion in practical argument using value-based argumentation frameworks,Journal of Logic and Computation,T J M Bench-Capon,13,3,429,448,2003,2003,j
ref6,(Brewka and Woltran 2010),Abstract Dialectical Frameworks,Proceedings of the Twelfth International Conference on Principles of Knowledge Representation and Reasoning, KR,AAAI Press,Lin, F.; Sattler, U.; and Truszczynski, M.,G Brewka,S Woltran,Toronto, Ontario, Canada,2010,2010,m
ref7,(Brewka et al. 2013),Abstract Dialectical Frameworks Revisited,Proceedings of the 23rd International Joint Conference on Artificial Intelligence, IJCAI 2013,AAAI Press / IJCAI,Rossi, F.,G Brewka,S Ellmauthaler,H Strass,J P Wallner,S Woltran,Beijing, China,803,809,2013,2013,m
ref8,(Brewka, Polberg, and Woltran 2014),Generalizations of Dung frameworks and their role in formal argumentation,Intelligent Systems, IEEE,G Brewka,S Polberg,S Woltran,29,1,30,38,2014,2014,m
ref9,(Cayrol and Lagasquie-Schiex 2009),Bipolar abstract argumentation systems,Argumentation in Artificial Intelligence,Springer,Simari, G., and Rahwan, I.,C Cayrol,M.-C. Lagasquie-Schiex,65,84,2009,2009,m
ref10,(Cayrol and Lagasquie-Schiex 2013),Bipolarity in argumentation graphs: Towards a better understanding,International Journal of Approximate Reasoning,C Cayrol,M.-C. Lagasquie-Schiex,54,7,876,899,2013,2013,j
ref11,(Dung 1995),On the acceptability of arguments and its fundamental role in nonmonotonic reasoning, logic programming and n-person games,Artificial Intelligence,P M Dung,77,321,357,1995,1995,j
ref12,(Dunne et al. 2015),Characteristics of multiple viewpoints in abstract argumentation,Artificial Intelligence,P E Dunne,W Dvok,T Linsbichler,S Woltran,228,153,178,2015,2015,j
ref13,(Dyrkolbotn 2014),How to argue for anything: Enforcing arbitrary sets of labellings using afs,Principles of Knowledge Representation and Reasoning: Proceedings of the Fourteenth International Conference, KR 2014,S K Dyrkolbotn,Vienna, Austria,2014,07,20-24,m
ref14,(Egly, Gaggl, and Woltran 2010),Answer-set programming encodings for argumentation frameworks,Argument and Computation,U Egly,S A Gaggl,S Woltran,1,2,147,177,2010,2010,m
ref15,(Ellmauthaler and Strass 2014),The DIAMOND system for computing with abstract dialectical frameworks,International Conference on Computational Models of Argument (COMMA 2014), volume 266 of Frontiers in Artificial Intelligence and Applications,IOS Press,Parsons, S.; Oren, N.; Reed, C.; and Cerutti, F.,S Ellmauthaler,H Strass,233,240,2014,2014,m
ref16,(Fox et al. 2010),Delivering clinical decision support services: There is nothing as practical as a good theory,Journal of Biomedical Informatics,J Fox,D Glasspool,V Patkar,M Austin,L Black,M South,D Robertson,C Vincent,43,5,831,843,2010,2010,j
ref17,(Hunter and Williams 2012),Aggregating evidence about the positive and negative effects of treatments,Artificial Intelligence in Medicine,A Hunter,M Williams,56,3,173,190,2012,2012,j
ref18,(McBurney and Parsons 2009),Dialogue games for agent argumentation,Argumentation in Artificial Intelligence,Springer,Simari, G., and Rahwan, I.,P McBurney,S Parsons,261,280,2009,2009,m
ref19,(Modgil and Bench-Capon 2011),Metalevel argumentation,Journal of Logic and Computation,S Modgil,T J M Bench-Capon,21,6,959,1003,2011,2011,j
ref20,(Modgil 2009),Reasoning about preferences in argumentation frameworks,Artificial Intelligence,S Modgil,173,9-10,901,934,2009,2009,j
ref21,(Nielsen and Parsons 2007),Argumentation in Multi-Agent Systems: Third International Workshop, ArgMAS 2006 Hakodate, Japan, May 8, 2006 Revised Selected and Invited Papers,Springer Berlin Heidelberg,S H Nielsen,S Parsons,Berlin, Heidelberg,A Generalization of Dung’s Abstract Framework for Argumentation: Arguing with Sets of Attacking Arguments,54,73,2007,m
ref22,(Nouioua 2013),Scalable uncertainty management: 7th international conference, sum 2013, washington, dc, usa, september 16-18, 2013. proceedings,LNCS,Springer Berlin Heidelberg,F Nouioua,Berlin, Heidelberg,8078,AFs with Necessities: Further Semantics and Labelling Characterization,120,133,2013,m
ref23,(Oren, Reed, and Luck 2010),Moving between argumentation frameworks,Proceedings of the 2010 conference on Computational Models of Argument: Proceedings of COMMA 2010,IOS Press,N Oren,C Reed,M Luck,Amsterdam, The Netherlands,379,390,2010,2010,m
ref24,(Polberg and Oren 2014),Revisiting support in abstract argumentation systems,Computational Models of Argument-Proceedings of COMMA 2014, volume 266 of Frontiers in Artificial Intelligence and Applications,IOS Press,Parsons, S.; Oren, N.; Reed, C.; and Cerutti, F.,S Polberg,N Oren,369,376,2014,2014,m
ref25,(Prakken 2009),Models of persuasion dialogue,Argumentation in Artificial Intelligence,Springer,Simari, G., and Rahwan, I.,H Prakken,281,301,2009,2009,m</t>
  </si>
  <si>
    <t>ref1,A new approach for preference-based argumentation frameworks,Annals of Mathematics and Artificial Intelligence,L Amgoud,S Vesic,63,149,183,2011,2011,j
ref2,PARMENIDES: Facilitating deliberation in democracies,Artificial Intelligence and Law,K Atkinson,T J M Bench-Capon,P Mcburney,14,4,261,275,2006,2006,j
ref3,AFRA: Argumentation framework with recursive attacks,International Journal of Approximate Reasoning,Springer,T J M Prakken,H Sartor,G ,52,1,363,382,2009,2009,j
ref4,Persuasion in practical argument using value-based argumentation frameworks,Journal of Logic and Computation,T J M Bench-Capon,13,3,429,448,2003,2003,j
ref5,Abstract Dialectical Frameworks,Proceedings of the Twelfth International Conference on Principles of Knowledge Representation and Reasoning, KR 2010,AAAI Press,G Brewka,S Woltran,2010,2010,m
ref6,Abstract Dialectical Frameworks Revisited,Proceedings of the 23rd International Joint Conference on Artificial Intelligence, IJCAI 2013,AAAI Press / IJCAI,G Brewka,S Polberg,S Woltran,30,38,2013,2013,m
ref7,Bipolar abstract argumentation systems,Argumentation in Artificial Intelligence,Springer,C Cayrol,M.-C Schiex,2009,2009,m
ref8,Bipolarity in argumentation graphs: Towards a better understanding,International Journal of Approximate Reasoning,C Cayrol,M.-C Schiex,54,7,2013,2013,j
ref9,On the acceptability of arguments and its fundamental role in nonmonotonic reasoning, logic programming and n-person games,Artificial Intelligence,P M Dung,77,321,357,1995,1995,j
ref10,Characteristics of multiple viewpoints in abstract argumentation,Artificial Intelligence,P E Dunne,W Dvok,T Linsbichler,S Woltran,228,153,178,2015,2015,j
ref11,How to argue for anything: Enforcing arbitrary sets of labellings using afs,Principles of Knowledge Representation and Reasoning: Proceedings of the Fourteenth International Conference,U Egly,S A Gaggl,S Woltran,147,177,2010,2010,m
ref12,The DIAMOND system for computing with abstract dialectical frameworks,International Conference on Computational Models of Argument,IOS Press,S Ellmauthaler,H Strass,233,240,2014,2014,m
ref13,Delivering clinical decision support services: There is nothing as practical as a good theory,Journal of Biomedical Informatics,J Fox,D Glasspool,V Patkar,M Austin,L Black,M South,D Robertson,C Vincent,43,5,831,843,2010,2010,j
ref14,Aggregating evidence about the positive and negative effects of treatments,Artificial Intelligence in Medicine,A Hunter,Williams ,M ,56,3,173,190,2012,2012,j
ref15,Dialogue games for agent argumentation,Argumentation in Artificial Intelligence,Springer,P Mcburney,S Parsons,261,280,2009,2009,m
ref16,Metalevel argumentation,Journal of Logic and Computation,S Modgil,T J M Bench-Capon,21,6,2011,2011,j
ref17,Reasoning about preferences in argumentation frameworks,Artificial Intelligence,S Modgil,173,9,2009,2009,j
ref18,Argumentation in Multi-Agent Systems: Third International Workshop,ArgMAS,Springer,S H Nielsen,S Parsons,54,73,2006-05-08,2006,05,08,j
ref19,,Scalable uncertainty management: 7th international conference, sum 2013,F Nouioua,16,18,2013,2013,m
ref20,,chapter AFs with Necessities: Further Semantics and Labelling Characterization,Springer,Heidelberg Berlin,120,133,m
ref21,Moving between argumentation frameworks,Proceedings of the 2010 conference on Computational Models of Argument: Proceedings of COMMA 2010,IOS Press,N Oren,C Reed,M Luck,379,390,2010,2010,m
ref22,Revisiting support in abstract argumentation systems,Computational Models of Argument-Proceedings of COMMA 2014,IOS Press,S Polberg,Oren ,N ,2014,2014,m
ref23,Models of persuasion dialogue,Springer,H Prakken,281,301,2009,2009,m</t>
  </si>
  <si>
    <t>TUW-256654</t>
  </si>
  <si>
    <t>ref1,[Ert16],Recognizers: Arguments and design decisions,32nd EuroForth Conference,M Anton Ertl,2016
ref2,[Lev00],Linkers and Loaders,Morgan Kaufmann,Levine,San Francisco,2000</t>
  </si>
  <si>
    <t>TUW-257397</t>
  </si>
  <si>
    <t>ref1,A survey on context-aware systems,International Journal of Ad Hoc and Ubiquitous Computing,M Baldauf,S Dustdar,F Rosenberg,2,4,263,277,2007,2007,j
ref2,What is a feature?: a qualitative study of features in industrial software product lines,Proceedings of the 19th International Conference on Software Product Line,ACM,T Berger,D Lettner,J Rubin,P Grünbacher,A Silva,M Becker,M Chechik,K Czarnecki,16,25,2015,2015,m
ref3,Efficient control flow quantification,ACM SIGPLAN Notices,ACM,C Bockisch,S Kanthak,M Haupt,M Arnold,M Mezini,41,125,138,2006,2006,j
ref4,Efficient layer activation for switching contextdependent behavior,Modular Programming Languages, Lecture Notes in Computer Science,Springer,D. Lightfoot, C. Szyperski,P Costanza,R Hirschfeld,W De Meuter,4228,84,103,2006,2006,http://dx.doi.org/10.1007/11860990_7,m
ref5,The what, who, where, when, why and how of context-awareness,CHI '00 Extended Abstracts on Human Factors in Computing Systems, CHI EA '00,ACM,A K Dey,G D Abowd,NY,2000,2000,ftp://ftp.cc.gatech.edu/pub/gvu/tr/1999/99-22.pdf,m
ref6,Selecting empirical methods for software engineering research,Guide to Advanced Empirical Software Engineering,Springer,F. Shull, J. Singer, D. Sjøberg,S Easterbrook,J Singer,M A Storey,D Damian,285,311,2008,2008,http://dx.doi.org/10.1007/978-1-84800-044-5_11,m
ref7,Theory building from cases: opportunities and challenges,Academy of management journal,K M Eisenhardt,M E Graebner,50,1,25,32,2007,2007,j
ref8,A comprehensive solution for application-level adaptation,Software: Practice and Experience,K Geihs,P Barone,F Eliassen,J Floch,R Fricke,E Gjorven,S Hallsteinsen,G Horn,M U Khan,A Mamelli,G A Papadopoulos,N Paspallis,R Reichle,E Stav,39,4,385,422,2009,2009,http://dx.doi.org/10.1002/spe.900,j
ref9,A middleware for building context-aware mobile services,Vehicular Technology Conference,IEEE,T Gu,H K Pung,D Q Zhang,5,VTC 2004-Spring. 2004 IEEE 59th,2656,2660,2004,2004,m
ref10,Software variability: the design space of configuration languages,Proceedings of the 6th Workshop on Variability Modeling of SoftwareIntensive Systems,ACM,S Günther,T Cleenewerck,V Jonckers,157,164,2012,2012,m
ref11,A declarative approach to automated configuration,LISA,J A Hewson,P Anderson,A D Gordon,12,51,66,2012,2012,m
ref12,Context-aware systems: A literature review and classification,Expert Systems with Applications,H Jong-Yi,S Eui-Ho,K Sung-Jin,36,4,8509,8522,2009,2009,http://dx.doi.org/10.1016/j.eswa.2008.10.071,j
ref13,Context-oriented software engineering: A modularity vision,Proceedings of the 13th International Conference on Modularity, MODULARITY’14,ACM,T Kamina,T Aotani,H Masuhara,T Tamai,New York, NY, USA,85,98,2014,2014,m
ref14,Context-oriented programming: Beyond layers,Proceedings of the 2007 International Conference on Dynamic Languages, ICDL '07,ACM,M von Löwis,M Denker,O Nierstrasz,NY, USA,143,156,2007,2007,http://dx.doi.org/10.1145/1352678.1352688,m
ref15,Primitive component architecture description language,Informatics and Systems (INFOS), 2010 The 7th International Conference on,B Magableh,S Barrett,1,7,2010,2010,m
ref16,Mining configuration constraints: Static analyses and empirical results,Proceedings of the 36th International Conference on Software Engineering, ICSE 2014,ACM,S Nadi,T Berger,C Kästner,K Czarnecki,New York, NY, USA,140,151,2014,2014,10.1145/2568225.2568283,http://dx.doi.org/10.1145/2568225.2568283,m
ref17,Wif4inl: Web-based integration framework for indoor location,International Journal of Pervasive Computing and Communications,L Niu,S Saiki,S Matsumoto,M Nakamura,2016,2016,j
ref18,A modular approach to configuration storage,Master’s thesis,Vienna University of Technology,M Raab,2010,2010,m
ref19,Global and thread-local activation of contextual program execution environments,Proceedings of the IEEE 18th International Symposium on Real-Time Distributed Computing Workshops (ISORCW/SEUS),M Raab,34,41,2015,2015,10.1109/ISORCW.2015.52,m
ref20,Sharing software configuration via specified links and transformation rules,Technical Report from KPS 2015,Vienna University of Technology, Complang Group,M Raab,18,2015,2015,m
ref21,Program execution environments as contextual values,Proceedings of 6th International Workshop on Context-Oriented Programming,ACM,M Raab,F Puntigam,NY, USA,8:1,8:2,2014,2014,http://dx.doi.org/10.1145/2637066.2637074,m
ref22,Static extraction of program configuration options,Software Engineering (ICSE), 2011 33rd International Conference on,IEEE,A Rabkin,R Katz,131,140,2011,2011,m
ref23,Unearthing design patterns to support context-awareness,Pervasive Computing and CommunicationsWorkshops, 2006. PerCom Workshops 2006. Fourth Annual IEEE International Conference on,O Riva,C di Flora,S Russo,K Raatikainen,5,387,2006,2006,http://dx.doi.org/10.1109/PERCOMW.2006.138,m
ref24,Context-oriented programming: A software engineering perspective,Journal of Systems and Software,G Salvaneschi,C Ghezzi,M Pradella,85,8,1801,1817,2012,2012,http://dx.doi.org/10.1016/j.jss.2012.03.024,j
ref25,Formal methods in software product line engineering,IEEE Computer,I Schaefer,R Hähnle,44,2,82,85,2011,2011,j
ref26,A graph-based operational semantics for contextoriented programming,Proceedings of the 2Nd International Workshop on ContextOriented Programming, COP '10,ACM,H Schippers,T Molderez,D Janssens,NY, USA,2010,2010,10.1145/1930021.1930027,http://dx.doi.org/10.1145/1930021.1930027,m
ref27,Contextual values,Proceedings of the 2008 Symposium on Dynamic Languages, DLS '08,ACM,E Tanter,NY, USA,3:1,3:1,2008,2008,10.1145/1408681.1408684,http://dx.doi.org/10.1145/1408681.1408684,m
ref28,An empirical study on configuration errors in commercial and open source systems,Proceedings of the Twenty-Third ACM Symposium on Operating Systems Principles, SOSP '11,ACM,Z Yin,X Ma,J Zheng,Y Zhou,L N Bairavasundaram,S Pasupathy,New York, NY, USA,159,172,2011,2011,10.1145/2043556.2043572,m
ref29,Characterizing logging practices in open-source software,Proceedings of the 34th International Conference on Software Engineering, ICSE '12,IEEE Press,D Yuan,S Park,Y Zhou,Piscataway, NJ, USA,102,112,2012,2012,http://dl.acm.org/citation.cfm?id=2337223.2337236,m</t>
  </si>
  <si>
    <t>ref1,A survey on context-aware systems,International Journal of Ad Hoc and Ubiquitous Computing,M Baldauf,S Dustdar,F Rosenberg,2,4,263,277,2007,2007,j
ref2,What is a feature?: a qualitative study of features in industrial software product lines,Proceedings of the 19th International Conference on Software Product Line,ACM,T Berger,D Lettner,J Rubin,P Grünbacher,A Silva,M Becker,M Chechik,K Czarnecki,16,25,2015,2015,m
ref3,Efficient control flow quantification,ACM SIGPLAN Notices,ACM,C Bockisch,S Kanthak,M Haupt,M Arnold,M Mezini,41,125,138,2006,2006,j
ref4,Efficient layer activation for switching contextdependent behavior,Modular Programming Languages,Springer,P Costanza,R Hirschfeld,W De Meuter,84,103,2006,2006,http://dx.doi.org/10.1007/11860990_7,m
ref5,The what, who, where, when, why and how of context-awareness,CHI '00 Extended Abstracts on Human Factors in Computing Systems, CHI EA '00,ACM,A K Dey,G D Abowd,2000,2000,ftp://ftp.cc.gatech.edu/pub/gvu/tr/1999/99-22.pdf,m
ref6,Selecting empirical methods for software engineering research,Guide to Advanced Empirical Software Engineering,Springer,S Easterbrook,J Singer,M A Storey,D Damian,285,311,2008,2008,http://dx.doi.org/10.1007/978-1-84800-044-5_11,m
ref7,Theory building from cases: opportunities and challenges,Academy of management journal,K M Eisenhardt,M E Graebner,50,1,25,32,2007,2007,j
ref8,A comprehensive solution for application-level adaptation,Software: Practice and Experience,K Geihs,P Barone,F Eliassen,J Floch,R Fricke,E Gjorven,S Hallsteinsen,G Horn,M U Khan,A Mamelli,G A Papadopoulos,N Paspallis,R Reichle,E Stav,39,4,385,422,2009,2009,http://dx.doi.org/10.1002/spe.900,j
ref9,A middleware for building context-aware mobile services,Vehicular Technology Conference,IEEE,T Gu,H K Pung,D Q Zhang,2656,2660,2004,2004,m
ref10,Software variability: the design space of configuration languages,Proceedings of the 6th Workshop on Variability Modeling of SoftwareIntensive Systems,ACM,S Günther,T Cleenewerck,V Jonckers,157,164,2012,2012,m
ref11,A declarative approach to automated configuration,J A Hewson,P Anderson,A D Gordon,51,66,2012,2012,m
ref12,Context-aware systems: A literature review and classification,Expert Systems with Applications,H Jong-Yi,S Eui-Ho,K Sung-Jin,36,4,8509,8522,2009,2009,http://dx.doi.org/10.1016/j.eswa.2008.10.071,j
ref13,Context-oriented software engineering: A modularity vision,Proceedings of the 13th International Conference on Modularity,ACM,T Kamina,T Aotani,H Masuhara,T Tamai,85,98,2014,2014,m
ref14,Context-oriented programming: Beyond layers,Proceedings of the 2007 International Conference on Dynamic Languages, ICDL '07,ACM,M Von Löwis,M Denker,O Nierstrasz,143,156,2007,2007,http://dx.doi.org/10.1145/1352678.1352688,m
ref15,Primitive component architecture description language,The 7th International Conference on,B Magableh,S Barrett,1,7,2010,2010,m
ref16,Mining configuration constraints: Static analyses and empirical results,Proceedings of the 36th International Conference on Software Engineering,ACM,S Nadi,T Berger,C Kästner,K Czarnecki,140,151,2014,2014,http://dx.doi.org/10.1145/2568225.2568283,m
ref17,Wif4inl: Web-based integration framework for indoor location,International Journal of Pervasive Computing and Communications,L Niu,S Saiki,S Matsumoto,M Nakamura,2016,2016,j
ref18,A modular approach to configuration storage,M Raab,2010,2010,m
ref19,Global and thread-local activation of contextual program execution environments,Proceedings of the IEEE 18th International Symposium on Real-Time Distributed Computing Workshops (ISORCW/SEUS),M Raab,34,41,2015,2015,m
ref20,Sharing software configuration via specified links and transformation rules,M Raab,2015,2015,m
ref21,Program execution environments as contextual values,Proceedings of 6th International Workshop on Context-Oriented Programming,ACM,M Raab,F Puntigam,1,8,2014,2014,http://dx.doi.org/10.1145/2637066.2637074,m
ref22,Static extraction of program configuration options,Software Engineering (ICSE), 2011 33rd International Conference on,IEEE,A Rabkin,R Katz,131,140,2011,2011,m
ref23,Unearthing design patterns to support context-awareness,Fourth Annual IEEE International Conference on,O Riva,C Di Flora,S Russo,K Raatikainen,5,387,2006,2006,http://dx.doi.org/10.1109/PERCOMW.2006.138,m
ref24,Context-oriented programming: A software engineering perspective,Journal of Systems and Software,G Salvaneschi,C Ghezzi,M Pradella,85,8,1801,1817,2012,2012,http://dx.doi.org/10.1016/j.jss.2012.03.024,j
ref25,Formal methods in software product line engineering,IEEE Computer,I Schaefer,R Hähnle,44,2,82,85,2011,2011,j
ref26,A graph-based operational semantics for contextoriented programming,Proceedings of the 2Nd International Workshop on ContextOriented Programming, COP '10,ACM,H Schippers,T Molderez,D Janssens,2010,2010,http://dx.doi.org/10.1145/1930021.1930027,m
ref27,Contextual values,Proceedings of the 2008 Symposium on Dynamic Languages, DLS '08,E Tanter,2008,2008,http://dx.doi.org/10.1145/1408681.1408684,m
ref28,An empirical study on configuration errors in commercial and open source systems,Proceedings of the Twenty-Third ACM Symposium on Operating Systems Principles, SOSP '11,ACM,Z Yin,X Ma,J Zheng,Y Zhou,L N Bairavasundaram,S Pasupathy,159,172,2011,2011,m
ref29,Characterizing logging practices in open-source software,Proceedings of the 34th International Conference on Software Engineering, ICSE '12,IEEE Press,D Yuan,S Park,Y Zhou,2012,2012,http://dl.acm.org/citation.cfm?id=2337223.2337236,m</t>
  </si>
  <si>
    <t>TUW-257870</t>
  </si>
  <si>
    <t>ref1,Why do few assistive technology systems make it to market? The case of the HandyHelper project,UAIS,Jean D Hallewell Haslwanter,Geraldine Fitzpatrick,in press,2016,2016,j
ref2,What matters to older people with assisted living needs? A phenomenological analysis of the use and non-use of telehealth and telecare,Soc Sci Med,Trisha Greenhalgh,Joe Wherton,Paul Sugarhood,Sue Hinder,Rob Procter,Rob Stones,93,86,94,2013,2013,http://dx.doi.org/10.1016/j.socscimed.2013.05.036
ref3,"Grandma, You Should Do It - It's Cool" - Older Adults and the Role of Family Members in Their Acceptance of Technology,IJERPH,Katrien Luijkx,Sebastiaan Peek,Eveline Wouters,12,12,15470,15485,2015,2015,http://dx.doi.org/10.3390/ijerph121214999,j</t>
  </si>
  <si>
    <t>ref1,Why do few assistive technology systems make it to market? The case of the HandyHelper project,UAIS,Jean D Haslwanter,Geraldine Fitzpatrick,2016,2016,j
ref2,Sue Hinder, Rob Procter, and Rob Stones,Soc Sci Med,Trisha Greenhalgh,Joe Wherton,Paul Sugarhood,93,86,94,2013,2013,j
ref3,,
ref4,Grandma, You Should Do It-It's Cool"-Older Adults and the Role of Family Members in Their Acceptance of,Technology. IJERPH,Katrien Luijkx,Sebastiaan Peek,Eveline Wouters,12,12,15470,15485,2015,2015,j
ref5,,</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</si>
</sst>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55.0" customWidth="true" bestFit="true"/>
    <col min="6" max="6" width="255.0"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HYPERLINK("D:\Java\git\MethodDemosGit\MethodDemos\output\extracted\grobid\grobid-TUW-137078-xstream.xml")</f>
      </c>
      <c r="E1" t="s" s="5">
        <v>1</v>
      </c>
      <c r="F1" t="s" s="6">
        <v>2</v>
      </c>
      <c r="G1" t="n" s="7">
        <v>1.0</v>
      </c>
      <c r="H1" t="n" s="8">
        <v>1.0</v>
      </c>
      <c r="I1" t="n" s="9">
        <v>1.0</v>
      </c>
    </row>
    <row r="2">
      <c r="A2" t="s" s="10">
        <v>3</v>
      </c>
      <c r="B2" s="11">
        <f>HYPERLINK("D:\Java\git\MethodDemosGit\MethodDemos\output\groundtruth\TUW-138011.pdf")</f>
      </c>
      <c r="C2" s="12">
        <f>HYPERLINK("D:\Java\git\MethodDemosGit\MethodDemos\output\result\result-TUW-138011-xstream.xml")</f>
      </c>
      <c r="D2" s="13">
        <f>HYPERLINK("D:\Java\git\MethodDemosGit\MethodDemos\output\extracted\grobid\grobid-TUW-138011-xstream.xml")</f>
      </c>
      <c r="E2" t="s" s="14">
        <v>4</v>
      </c>
      <c r="F2" t="s" s="15">
        <v>5</v>
      </c>
      <c r="G2" t="n" s="16">
        <v>1.0</v>
      </c>
      <c r="H2" t="n" s="17">
        <v>1.0</v>
      </c>
      <c r="I2" t="n" s="18">
        <v>1.0</v>
      </c>
    </row>
    <row r="3">
      <c r="A3" t="s" s="19">
        <v>6</v>
      </c>
      <c r="B3" s="20">
        <f>HYPERLINK("D:\Java\git\MethodDemosGit\MethodDemos\output\groundtruth\TUW-138447.pdf")</f>
      </c>
      <c r="C3" s="21">
        <f>HYPERLINK("D:\Java\git\MethodDemosGit\MethodDemos\output\result\result-TUW-138447-xstream.xml")</f>
      </c>
      <c r="D3" s="22">
        <f>HYPERLINK("D:\Java\git\MethodDemosGit\MethodDemos\output\extracted\grobid\grobid-TUW-138447-xstream.xml")</f>
      </c>
      <c r="E3" t="s" s="23">
        <v>7</v>
      </c>
      <c r="F3" t="s" s="24">
        <v>8</v>
      </c>
      <c r="G3" t="n" s="25">
        <v>1.0</v>
      </c>
      <c r="H3" t="n" s="26">
        <v>1.0</v>
      </c>
      <c r="I3" t="n" s="27">
        <v>1.0</v>
      </c>
    </row>
    <row r="4">
      <c r="A4" t="s" s="28">
        <v>9</v>
      </c>
      <c r="B4" s="29">
        <f>HYPERLINK("D:\Java\git\MethodDemosGit\MethodDemos\output\groundtruth\TUW-138544.pdf")</f>
      </c>
      <c r="C4" s="30">
        <f>HYPERLINK("D:\Java\git\MethodDemosGit\MethodDemos\output\result\result-TUW-138544-xstream.xml")</f>
      </c>
      <c r="D4" s="31">
        <f>HYPERLINK("D:\Java\git\MethodDemosGit\MethodDemos\output\extracted\grobid\grobid-TUW-138544-xstream.xml")</f>
      </c>
      <c r="E4" t="s" s="32">
        <v>10</v>
      </c>
      <c r="F4" t="s" s="33">
        <v>11</v>
      </c>
      <c r="G4" t="n" s="34">
        <v>1.0</v>
      </c>
      <c r="H4" t="n" s="35">
        <v>0.86</v>
      </c>
      <c r="I4" t="n" s="36">
        <v>0.92</v>
      </c>
    </row>
    <row r="5">
      <c r="A5" t="s" s="37">
        <v>12</v>
      </c>
      <c r="B5" s="38">
        <f>HYPERLINK("D:\Java\git\MethodDemosGit\MethodDemos\output\groundtruth\TUW-138547.pdf")</f>
      </c>
      <c r="C5" s="39">
        <f>HYPERLINK("D:\Java\git\MethodDemosGit\MethodDemos\output\result\result-TUW-138547-xstream.xml")</f>
      </c>
      <c r="D5" s="40">
        <f>HYPERLINK("D:\Java\git\MethodDemosGit\MethodDemos\output\extracted\grobid\grobid-TUW-138547-xstream.xml")</f>
      </c>
      <c r="E5" t="s" s="41">
        <v>13</v>
      </c>
      <c r="F5" t="s" s="42">
        <v>14</v>
      </c>
      <c r="G5" t="n" s="43">
        <v>0.86</v>
      </c>
      <c r="H5" t="n" s="44">
        <v>0.86</v>
      </c>
      <c r="I5" t="n" s="45">
        <v>0.86</v>
      </c>
    </row>
    <row r="6">
      <c r="A6" t="s" s="46">
        <v>15</v>
      </c>
      <c r="B6" s="47">
        <f>HYPERLINK("D:\Java\git\MethodDemosGit\MethodDemos\output\groundtruth\TUW-139299.pdf")</f>
      </c>
      <c r="C6" s="48">
        <f>HYPERLINK("D:\Java\git\MethodDemosGit\MethodDemos\output\result\result-TUW-139299-xstream.xml")</f>
      </c>
      <c r="D6" s="49">
        <f>HYPERLINK("D:\Java\git\MethodDemosGit\MethodDemos\output\extracted\grobid\grobid-TUW-139299-xstream.xml")</f>
      </c>
      <c r="E6" t="s" s="50">
        <v>16</v>
      </c>
      <c r="F6" t="s" s="51">
        <v>17</v>
      </c>
      <c r="G6" t="n" s="52">
        <v>0.75</v>
      </c>
      <c r="H6" t="n" s="53">
        <v>0.82</v>
      </c>
      <c r="I6" t="n" s="54">
        <v>0.78</v>
      </c>
    </row>
    <row r="7">
      <c r="A7" t="s" s="55">
        <v>18</v>
      </c>
      <c r="B7" s="56">
        <f>HYPERLINK("D:\Java\git\MethodDemosGit\MethodDemos\output\groundtruth\TUW-139761.pdf")</f>
      </c>
      <c r="C7" s="57">
        <f>HYPERLINK("D:\Java\git\MethodDemosGit\MethodDemos\output\result\result-TUW-139761-xstream.xml")</f>
      </c>
      <c r="D7" s="58">
        <f>HYPERLINK("D:\Java\git\MethodDemosGit\MethodDemos\output\extracted\grobid\grobid-TUW-139761-xstream.xml")</f>
      </c>
      <c r="E7" t="s" s="59">
        <v>19</v>
      </c>
      <c r="F7" t="s" s="60">
        <v>20</v>
      </c>
      <c r="G7" t="n" s="61">
        <v>0.79</v>
      </c>
      <c r="H7" t="n" s="62">
        <v>1.0</v>
      </c>
      <c r="I7" t="n" s="63">
        <v>0.88</v>
      </c>
    </row>
    <row r="8">
      <c r="A8" t="s" s="64">
        <v>21</v>
      </c>
      <c r="B8" s="65">
        <f>HYPERLINK("D:\Java\git\MethodDemosGit\MethodDemos\output\groundtruth\TUW-139769.pdf")</f>
      </c>
      <c r="C8" s="66">
        <f>HYPERLINK("D:\Java\git\MethodDemosGit\MethodDemos\output\result\result-TUW-139769-xstream.xml")</f>
      </c>
      <c r="D8" s="67">
        <f>HYPERLINK("D:\Java\git\MethodDemosGit\MethodDemos\output\extracted\grobid\grobid-TUW-139769-xstream.xml")</f>
      </c>
      <c r="E8" t="s" s="68">
        <v>22</v>
      </c>
      <c r="F8" t="s" s="69">
        <v>23</v>
      </c>
      <c r="G8" t="n" s="70">
        <v>1.0</v>
      </c>
      <c r="H8" t="n" s="71">
        <v>1.0</v>
      </c>
      <c r="I8" t="n" s="72">
        <v>1.0</v>
      </c>
    </row>
    <row r="9">
      <c r="A9" t="s" s="73">
        <v>24</v>
      </c>
      <c r="B9" s="74">
        <f>HYPERLINK("D:\Java\git\MethodDemosGit\MethodDemos\output\groundtruth\TUW-139781.pdf")</f>
      </c>
      <c r="C9" s="75">
        <f>HYPERLINK("D:\Java\git\MethodDemosGit\MethodDemos\output\result\result-TUW-139781-xstream.xml")</f>
      </c>
      <c r="D9" s="76">
        <f>HYPERLINK("D:\Java\git\MethodDemosGit\MethodDemos\output\extracted\grobid\grobid-TUW-139781-xstream.xml")</f>
      </c>
      <c r="E9" t="s" s="77">
        <v>25</v>
      </c>
      <c r="F9" t="s" s="78">
        <v>26</v>
      </c>
      <c r="G9" t="n" s="79">
        <v>1.0</v>
      </c>
      <c r="H9" t="n" s="80">
        <v>1.0</v>
      </c>
      <c r="I9" t="n" s="81">
        <v>1.0</v>
      </c>
    </row>
    <row r="10">
      <c r="A10" t="s" s="82">
        <v>27</v>
      </c>
      <c r="B10" s="83">
        <f>HYPERLINK("D:\Java\git\MethodDemosGit\MethodDemos\output\groundtruth\TUW-139785.pdf")</f>
      </c>
      <c r="C10" s="84">
        <f>HYPERLINK("D:\Java\git\MethodDemosGit\MethodDemos\output\result\result-TUW-139785-xstream.xml")</f>
      </c>
      <c r="D10" s="85">
        <f>HYPERLINK("D:\Java\git\MethodDemosGit\MethodDemos\output\extracted\grobid\grobid-TUW-139785-xstream.xml")</f>
      </c>
      <c r="E10" t="s" s="86">
        <v>28</v>
      </c>
      <c r="F10" t="s" s="87">
        <v>29</v>
      </c>
      <c r="G10" t="n" s="88">
        <v>0.71</v>
      </c>
      <c r="H10" t="n" s="89">
        <v>0.98</v>
      </c>
      <c r="I10" t="n" s="90">
        <v>0.82</v>
      </c>
    </row>
    <row r="11">
      <c r="A11" t="s" s="91">
        <v>30</v>
      </c>
      <c r="B11" s="92">
        <f>HYPERLINK("D:\Java\git\MethodDemosGit\MethodDemos\output\groundtruth\TUW-140047.pdf")</f>
      </c>
      <c r="C11" s="93">
        <f>HYPERLINK("D:\Java\git\MethodDemosGit\MethodDemos\output\result\result-TUW-140047-xstream.xml")</f>
      </c>
      <c r="D11" s="94">
        <f>HYPERLINK("D:\Java\git\MethodDemosGit\MethodDemos\output\extracted\grobid\grobid-TUW-140047-xstream.xml")</f>
      </c>
      <c r="E11" t="s" s="95">
        <v>31</v>
      </c>
      <c r="F11" t="s" s="96">
        <v>32</v>
      </c>
      <c r="G11" t="n" s="97">
        <v>0.83</v>
      </c>
      <c r="H11" t="n" s="98">
        <v>1.0</v>
      </c>
      <c r="I11" t="n" s="99">
        <v>0.91</v>
      </c>
    </row>
    <row r="12">
      <c r="A12" t="s" s="100">
        <v>33</v>
      </c>
      <c r="B12" s="101">
        <f>HYPERLINK("D:\Java\git\MethodDemosGit\MethodDemos\output\groundtruth\TUW-140048.pdf")</f>
      </c>
      <c r="C12" s="102">
        <f>HYPERLINK("D:\Java\git\MethodDemosGit\MethodDemos\output\result\result-TUW-140048-xstream.xml")</f>
      </c>
      <c r="D12" s="103">
        <f>HYPERLINK("D:\Java\git\MethodDemosGit\MethodDemos\output\extracted\grobid\grobid-TUW-140048-xstream.xml")</f>
      </c>
      <c r="E12" t="s" s="104">
        <v>34</v>
      </c>
      <c r="F12" t="s" s="105">
        <v>35</v>
      </c>
      <c r="G12" t="n" s="106">
        <v>1.0</v>
      </c>
      <c r="H12" t="n" s="107">
        <v>1.0</v>
      </c>
      <c r="I12" t="n" s="108">
        <v>1.0</v>
      </c>
    </row>
    <row r="13">
      <c r="A13" t="s" s="109">
        <v>36</v>
      </c>
      <c r="B13" s="110">
        <f>HYPERLINK("D:\Java\git\MethodDemosGit\MethodDemos\output\groundtruth\TUW-140229.pdf")</f>
      </c>
      <c r="C13" s="111">
        <f>HYPERLINK("D:\Java\git\MethodDemosGit\MethodDemos\output\result\result-TUW-140229-xstream.xml")</f>
      </c>
      <c r="D13" s="112">
        <f>HYPERLINK("D:\Java\git\MethodDemosGit\MethodDemos\output\extracted\grobid\grobid-TUW-140229-xstream.xml")</f>
      </c>
      <c r="E13" t="s" s="113">
        <v>37</v>
      </c>
      <c r="F13" t="s" s="114">
        <v>38</v>
      </c>
      <c r="G13" t="n" s="115">
        <v>1.0</v>
      </c>
      <c r="H13" t="n" s="116">
        <v>1.0</v>
      </c>
      <c r="I13" t="n" s="117">
        <v>1.0</v>
      </c>
    </row>
    <row r="14">
      <c r="A14" t="s" s="118">
        <v>39</v>
      </c>
      <c r="B14" s="119">
        <f>HYPERLINK("D:\Java\git\MethodDemosGit\MethodDemos\output\groundtruth\TUW-140253.pdf")</f>
      </c>
      <c r="C14" s="120">
        <f>HYPERLINK("D:\Java\git\MethodDemosGit\MethodDemos\output\result\result-TUW-140253-xstream.xml")</f>
      </c>
      <c r="D14" s="121">
        <f>HYPERLINK("D:\Java\git\MethodDemosGit\MethodDemos\output\extracted\grobid\grobid-TUW-140253-xstream.xml")</f>
      </c>
      <c r="E14" t="s" s="122">
        <v>40</v>
      </c>
      <c r="F14" t="s" s="123">
        <v>41</v>
      </c>
      <c r="G14" t="n" s="124">
        <v>0.73</v>
      </c>
      <c r="H14" t="n" s="125">
        <v>1.0</v>
      </c>
      <c r="I14" t="n" s="126">
        <v>0.84</v>
      </c>
    </row>
    <row r="15">
      <c r="A15" t="s" s="127">
        <v>42</v>
      </c>
      <c r="B15" s="128">
        <f>HYPERLINK("D:\Java\git\MethodDemosGit\MethodDemos\output\groundtruth\TUW-140308.pdf")</f>
      </c>
      <c r="C15" s="129">
        <f>HYPERLINK("D:\Java\git\MethodDemosGit\MethodDemos\output\result\result-TUW-140308-xstream.xml")</f>
      </c>
      <c r="D15" s="130">
        <f>HYPERLINK("D:\Java\git\MethodDemosGit\MethodDemos\output\extracted\grobid\grobid-TUW-140308-xstream.xml")</f>
      </c>
      <c r="E15" t="s" s="131">
        <v>43</v>
      </c>
      <c r="F15" t="s" s="132">
        <v>44</v>
      </c>
      <c r="G15" t="n" s="133">
        <v>1.0</v>
      </c>
      <c r="H15" t="n" s="134">
        <v>1.0</v>
      </c>
      <c r="I15" t="n" s="135">
        <v>1.0</v>
      </c>
    </row>
    <row r="16">
      <c r="A16" t="s" s="136">
        <v>45</v>
      </c>
      <c r="B16" s="137">
        <f>HYPERLINK("D:\Java\git\MethodDemosGit\MethodDemos\output\groundtruth\TUW-140533.pdf")</f>
      </c>
      <c r="C16" s="138">
        <f>HYPERLINK("D:\Java\git\MethodDemosGit\MethodDemos\output\result\result-TUW-140533-xstream.xml")</f>
      </c>
      <c r="D16" s="139">
        <f>HYPERLINK("D:\Java\git\MethodDemosGit\MethodDemos\output\extracted\grobid\grobid-TUW-140533-xstream.xml")</f>
      </c>
      <c r="E16" t="s" s="140">
        <v>46</v>
      </c>
      <c r="F16" t="s" s="141">
        <v>47</v>
      </c>
      <c r="G16" t="n" s="142">
        <v>1.0</v>
      </c>
      <c r="H16" t="n" s="143">
        <v>0.97</v>
      </c>
      <c r="I16" t="n" s="144">
        <v>0.99</v>
      </c>
    </row>
    <row r="17">
      <c r="A17" t="s" s="145">
        <v>48</v>
      </c>
      <c r="B17" s="146">
        <f>HYPERLINK("D:\Java\git\MethodDemosGit\MethodDemos\output\groundtruth\TUW-140867.pdf")</f>
      </c>
      <c r="C17" s="147">
        <f>HYPERLINK("D:\Java\git\MethodDemosGit\MethodDemos\output\result\result-TUW-140867-xstream.xml")</f>
      </c>
      <c r="D17" s="148">
        <f>HYPERLINK("D:\Java\git\MethodDemosGit\MethodDemos\output\extracted\grobid\grobid-TUW-140867-xstream.xml")</f>
      </c>
      <c r="E17" t="s" s="149">
        <v>49</v>
      </c>
      <c r="F17" t="s" s="150">
        <v>50</v>
      </c>
      <c r="G17" t="n" s="151">
        <v>0.9</v>
      </c>
      <c r="H17" t="n" s="152">
        <v>1.0</v>
      </c>
      <c r="I17" t="n" s="153">
        <v>0.95</v>
      </c>
    </row>
    <row r="18">
      <c r="A18" t="s" s="154">
        <v>51</v>
      </c>
      <c r="B18" s="155">
        <f>HYPERLINK("D:\Java\git\MethodDemosGit\MethodDemos\output\groundtruth\TUW-140895.pdf")</f>
      </c>
      <c r="C18" s="156">
        <f>HYPERLINK("D:\Java\git\MethodDemosGit\MethodDemos\output\result\result-TUW-140895-xstream.xml")</f>
      </c>
      <c r="D18" s="157">
        <f>HYPERLINK("D:\Java\git\MethodDemosGit\MethodDemos\output\extracted\grobid\grobid-TUW-140895-xstream.xml")</f>
      </c>
      <c r="E18" t="s" s="158">
        <v>52</v>
      </c>
      <c r="F18" t="s" s="159">
        <v>53</v>
      </c>
      <c r="G18" t="n" s="160">
        <v>0.97</v>
      </c>
      <c r="H18" t="n" s="161">
        <v>0.97</v>
      </c>
      <c r="I18" t="n" s="162">
        <v>0.97</v>
      </c>
    </row>
    <row r="19">
      <c r="A19" t="s" s="163">
        <v>54</v>
      </c>
      <c r="B19" s="164">
        <f>HYPERLINK("D:\Java\git\MethodDemosGit\MethodDemos\output\groundtruth\TUW-140983.pdf")</f>
      </c>
      <c r="C19" s="165">
        <f>HYPERLINK("D:\Java\git\MethodDemosGit\MethodDemos\output\result\result-TUW-140983-xstream.xml")</f>
      </c>
      <c r="D19" s="166">
        <f>HYPERLINK("D:\Java\git\MethodDemosGit\MethodDemos\output\extracted\grobid\grobid-TUW-140983-xstream.xml")</f>
      </c>
      <c r="E19" t="s" s="167">
        <v>55</v>
      </c>
      <c r="F19" t="s" s="168">
        <v>56</v>
      </c>
      <c r="G19" t="n" s="169">
        <v>1.0</v>
      </c>
      <c r="H19" t="n" s="170">
        <v>1.0</v>
      </c>
      <c r="I19" t="n" s="171">
        <v>1.0</v>
      </c>
    </row>
    <row r="20">
      <c r="A20" t="s" s="172">
        <v>57</v>
      </c>
      <c r="B20" s="173">
        <f>HYPERLINK("D:\Java\git\MethodDemosGit\MethodDemos\output\groundtruth\TUW-141024.pdf")</f>
      </c>
      <c r="C20" s="174">
        <f>HYPERLINK("D:\Java\git\MethodDemosGit\MethodDemos\output\result\result-TUW-141024-xstream.xml")</f>
      </c>
      <c r="D20" s="175">
        <f>HYPERLINK("D:\Java\git\MethodDemosGit\MethodDemos\output\extracted\grobid\grobid-TUW-141024-xstream.xml")</f>
      </c>
      <c r="E20" t="s" s="176">
        <v>58</v>
      </c>
      <c r="F20" t="s" s="177">
        <v>59</v>
      </c>
      <c r="G20" t="n" s="178">
        <v>1.0</v>
      </c>
      <c r="H20" t="n" s="179">
        <v>1.0</v>
      </c>
      <c r="I20" t="n" s="180">
        <v>1.0</v>
      </c>
    </row>
    <row r="21">
      <c r="A21" t="s" s="181">
        <v>60</v>
      </c>
      <c r="B21" s="182">
        <f>HYPERLINK("D:\Java\git\MethodDemosGit\MethodDemos\output\groundtruth\TUW-141065.pdf")</f>
      </c>
      <c r="C21" s="183">
        <f>HYPERLINK("D:\Java\git\MethodDemosGit\MethodDemos\output\result\result-TUW-141065-xstream.xml")</f>
      </c>
      <c r="D21" s="184">
        <f>HYPERLINK("D:\Java\git\MethodDemosGit\MethodDemos\output\extracted\grobid\grobid-TUW-141065-xstream.xml")</f>
      </c>
      <c r="E21" t="s" s="185">
        <v>61</v>
      </c>
      <c r="F21" t="s" s="186">
        <v>62</v>
      </c>
      <c r="G21" t="n" s="187">
        <v>1.0</v>
      </c>
      <c r="H21" t="n" s="188">
        <v>1.0</v>
      </c>
      <c r="I21" t="n" s="189">
        <v>1.0</v>
      </c>
    </row>
    <row r="22">
      <c r="A22" t="s" s="190">
        <v>63</v>
      </c>
      <c r="B22" s="191">
        <f>HYPERLINK("D:\Java\git\MethodDemosGit\MethodDemos\output\groundtruth\TUW-141121.pdf")</f>
      </c>
      <c r="C22" s="192">
        <f>HYPERLINK("D:\Java\git\MethodDemosGit\MethodDemos\output\result\result-TUW-141121-xstream.xml")</f>
      </c>
      <c r="D22" s="193">
        <f>HYPERLINK("D:\Java\git\MethodDemosGit\MethodDemos\output\extracted\grobid\grobid-TUW-141121-xstream.xml")</f>
      </c>
      <c r="E22" t="s" s="194">
        <v>64</v>
      </c>
      <c r="F22" t="s" s="195">
        <v>65</v>
      </c>
      <c r="G22" t="n" s="196">
        <v>0.86</v>
      </c>
      <c r="H22" t="n" s="197">
        <v>1.0</v>
      </c>
      <c r="I22" t="n" s="198">
        <v>0.92</v>
      </c>
    </row>
    <row r="23">
      <c r="A23" t="s" s="199">
        <v>66</v>
      </c>
      <c r="B23" s="200">
        <f>HYPERLINK("D:\Java\git\MethodDemosGit\MethodDemos\output\groundtruth\TUW-141140.pdf")</f>
      </c>
      <c r="C23" s="201">
        <f>HYPERLINK("D:\Java\git\MethodDemosGit\MethodDemos\output\result\result-TUW-141140-xstream.xml")</f>
      </c>
      <c r="D23" s="202">
        <f>HYPERLINK("D:\Java\git\MethodDemosGit\MethodDemos\output\extracted\grobid\grobid-TUW-141140-xstream.xml")</f>
      </c>
      <c r="E23" t="s" s="203">
        <v>67</v>
      </c>
      <c r="F23" t="s" s="204">
        <v>68</v>
      </c>
      <c r="G23" t="n" s="205">
        <v>0.88</v>
      </c>
      <c r="H23" t="n" s="206">
        <v>0.88</v>
      </c>
      <c r="I23" t="n" s="207">
        <v>0.88</v>
      </c>
    </row>
    <row r="24">
      <c r="A24" t="s" s="208">
        <v>69</v>
      </c>
      <c r="B24" s="209">
        <f>HYPERLINK("D:\Java\git\MethodDemosGit\MethodDemos\output\groundtruth\TUW-141336.pdf")</f>
      </c>
      <c r="C24" s="210">
        <f>HYPERLINK("D:\Java\git\MethodDemosGit\MethodDemos\output\result\result-TUW-141336-xstream.xml")</f>
      </c>
      <c r="D24" s="211">
        <f>HYPERLINK("D:\Java\git\MethodDemosGit\MethodDemos\output\extracted\grobid\grobid-TUW-141336-xstream.xml")</f>
      </c>
      <c r="E24" t="s" s="212">
        <v>70</v>
      </c>
      <c r="F24" t="s" s="213">
        <v>71</v>
      </c>
      <c r="G24" t="n" s="214">
        <v>1.0</v>
      </c>
      <c r="H24" t="n" s="215">
        <v>1.0</v>
      </c>
      <c r="I24" t="n" s="216">
        <v>1.0</v>
      </c>
    </row>
    <row r="25">
      <c r="A25" t="s" s="217">
        <v>72</v>
      </c>
      <c r="B25" s="218">
        <f>HYPERLINK("D:\Java\git\MethodDemosGit\MethodDemos\output\groundtruth\TUW-141618.pdf")</f>
      </c>
      <c r="C25" s="219">
        <f>HYPERLINK("D:\Java\git\MethodDemosGit\MethodDemos\output\result\result-TUW-141618-xstream.xml")</f>
      </c>
      <c r="D25" s="220">
        <f>HYPERLINK("D:\Java\git\MethodDemosGit\MethodDemos\output\extracted\grobid\grobid-TUW-141618-xstream.xml")</f>
      </c>
      <c r="E25" t="s" s="221">
        <v>73</v>
      </c>
      <c r="F25" t="s" s="222">
        <v>74</v>
      </c>
      <c r="G25" t="n" s="223">
        <v>0.97</v>
      </c>
      <c r="H25" t="n" s="224">
        <v>1.0</v>
      </c>
      <c r="I25" t="n" s="225">
        <v>0.99</v>
      </c>
    </row>
    <row r="26">
      <c r="A26" t="s" s="226">
        <v>75</v>
      </c>
      <c r="B26" s="227">
        <f>HYPERLINK("D:\Java\git\MethodDemosGit\MethodDemos\output\groundtruth\TUW-141758.pdf")</f>
      </c>
      <c r="C26" s="228">
        <f>HYPERLINK("D:\Java\git\MethodDemosGit\MethodDemos\output\result\result-TUW-141758-xstream.xml")</f>
      </c>
      <c r="D26" s="229">
        <f>HYPERLINK("D:\Java\git\MethodDemosGit\MethodDemos\output\extracted\grobid\grobid-TUW-141758-xstream.xml")</f>
      </c>
      <c r="E26" t="s" s="230">
        <v>76</v>
      </c>
      <c r="F26" t="s" s="231">
        <v>77</v>
      </c>
      <c r="G26" t="n" s="232">
        <v>0.77</v>
      </c>
      <c r="H26" t="n" s="233">
        <v>0.96</v>
      </c>
      <c r="I26" t="n" s="234">
        <v>0.85</v>
      </c>
    </row>
    <row r="27">
      <c r="A27" t="s" s="235">
        <v>78</v>
      </c>
      <c r="B27" s="236">
        <f>HYPERLINK("D:\Java\git\MethodDemosGit\MethodDemos\output\groundtruth\TUW-168222.pdf")</f>
      </c>
      <c r="C27" s="237">
        <f>HYPERLINK("D:\Java\git\MethodDemosGit\MethodDemos\output\result\result-TUW-168222-xstream.xml")</f>
      </c>
      <c r="D27" s="238">
        <f>HYPERLINK("D:\Java\git\MethodDemosGit\MethodDemos\output\extracted\grobid\grobid-TUW-168222-xstream.xml")</f>
      </c>
      <c r="E27" t="s" s="239">
        <v>79</v>
      </c>
      <c r="F27" t="s" s="240">
        <v>80</v>
      </c>
      <c r="G27" t="s" s="241">
        <v>81</v>
      </c>
      <c r="H27" t="n" s="242">
        <v>0.0</v>
      </c>
      <c r="I27" t="n" s="243">
        <v>0.0</v>
      </c>
    </row>
    <row r="28">
      <c r="A28" t="s" s="244">
        <v>82</v>
      </c>
      <c r="B28" s="245">
        <f>HYPERLINK("D:\Java\git\MethodDemosGit\MethodDemos\output\groundtruth\TUW-168482.pdf")</f>
      </c>
      <c r="C28" s="246">
        <f>HYPERLINK("D:\Java\git\MethodDemosGit\MethodDemos\output\result\result-TUW-168482-xstream.xml")</f>
      </c>
      <c r="D28" s="247">
        <f>HYPERLINK("D:\Java\git\MethodDemosGit\MethodDemos\output\extracted\grobid\grobid-TUW-168482-xstream.xml")</f>
      </c>
      <c r="E28" t="s" s="248">
        <v>83</v>
      </c>
      <c r="F28" t="s" s="249">
        <v>84</v>
      </c>
      <c r="G28" t="n" s="250">
        <v>0.6</v>
      </c>
      <c r="H28" t="n" s="251">
        <v>1.0</v>
      </c>
      <c r="I28" t="n" s="252">
        <v>0.75</v>
      </c>
    </row>
    <row r="29">
      <c r="A29" t="s" s="253">
        <v>85</v>
      </c>
      <c r="B29" s="254">
        <f>HYPERLINK("D:\Java\git\MethodDemosGit\MethodDemos\output\groundtruth\TUW-169511.pdf")</f>
      </c>
      <c r="C29" s="255">
        <f>HYPERLINK("D:\Java\git\MethodDemosGit\MethodDemos\output\result\result-TUW-169511-xstream.xml")</f>
      </c>
      <c r="D29" s="256">
        <f>HYPERLINK("D:\Java\git\MethodDemosGit\MethodDemos\output\extracted\grobid\grobid-TUW-169511-xstream.xml")</f>
      </c>
      <c r="E29" t="s" s="257">
        <v>86</v>
      </c>
      <c r="F29" t="s" s="258">
        <v>87</v>
      </c>
      <c r="G29" t="n" s="259">
        <v>1.0</v>
      </c>
      <c r="H29" t="n" s="260">
        <v>1.0</v>
      </c>
      <c r="I29" t="n" s="261">
        <v>1.0</v>
      </c>
    </row>
    <row r="30">
      <c r="A30" t="s" s="262">
        <v>88</v>
      </c>
      <c r="B30" s="263">
        <f>HYPERLINK("D:\Java\git\MethodDemosGit\MethodDemos\output\groundtruth\TUW-172697.pdf")</f>
      </c>
      <c r="C30" s="264">
        <f>HYPERLINK("D:\Java\git\MethodDemosGit\MethodDemos\output\result\result-TUW-172697-xstream.xml")</f>
      </c>
      <c r="D30" s="265">
        <f>HYPERLINK("D:\Java\git\MethodDemosGit\MethodDemos\output\extracted\grobid\grobid-TUW-172697-xstream.xml")</f>
      </c>
      <c r="E30" t="s" s="266">
        <v>89</v>
      </c>
      <c r="F30" t="s" s="267">
        <v>90</v>
      </c>
      <c r="G30" t="n" s="268">
        <v>0.75</v>
      </c>
      <c r="H30" t="n" s="269">
        <v>1.0</v>
      </c>
      <c r="I30" t="n" s="270">
        <v>0.86</v>
      </c>
    </row>
    <row r="31">
      <c r="A31" t="s" s="271">
        <v>91</v>
      </c>
      <c r="B31" s="272">
        <f>HYPERLINK("D:\Java\git\MethodDemosGit\MethodDemos\output\groundtruth\TUW-174216.pdf")</f>
      </c>
      <c r="C31" s="273">
        <f>HYPERLINK("D:\Java\git\MethodDemosGit\MethodDemos\output\result\result-TUW-174216-xstream.xml")</f>
      </c>
      <c r="D31" s="274">
        <f>HYPERLINK("D:\Java\git\MethodDemosGit\MethodDemos\output\extracted\grobid\grobid-TUW-174216-xstream.xml")</f>
      </c>
      <c r="E31" t="s" s="275">
        <v>92</v>
      </c>
      <c r="F31" t="s" s="276">
        <v>93</v>
      </c>
      <c r="G31" t="n" s="277">
        <v>0.56</v>
      </c>
      <c r="H31" t="n" s="278">
        <v>0.32</v>
      </c>
      <c r="I31" t="n" s="279">
        <v>0.41</v>
      </c>
    </row>
    <row r="32">
      <c r="A32" t="s" s="280">
        <v>94</v>
      </c>
      <c r="B32" s="281">
        <f>HYPERLINK("D:\Java\git\MethodDemosGit\MethodDemos\output\groundtruth\TUW-175428.pdf")</f>
      </c>
      <c r="C32" s="282">
        <f>HYPERLINK("D:\Java\git\MethodDemosGit\MethodDemos\output\result\result-TUW-175428-xstream.xml")</f>
      </c>
      <c r="D32" s="283">
        <f>HYPERLINK("D:\Java\git\MethodDemosGit\MethodDemos\output\extracted\grobid\grobid-TUW-175428-xstream.xml")</f>
      </c>
      <c r="E32" t="s" s="284">
        <v>95</v>
      </c>
      <c r="F32" t="s" s="285">
        <v>96</v>
      </c>
      <c r="G32" t="n" s="286">
        <v>0.86</v>
      </c>
      <c r="H32" t="n" s="287">
        <v>0.95</v>
      </c>
      <c r="I32" t="n" s="288">
        <v>0.9</v>
      </c>
    </row>
    <row r="33">
      <c r="A33" t="s" s="289">
        <v>97</v>
      </c>
      <c r="B33" s="290">
        <f>HYPERLINK("D:\Java\git\MethodDemosGit\MethodDemos\output\groundtruth\TUW-176087.pdf")</f>
      </c>
      <c r="C33" s="291">
        <f>HYPERLINK("D:\Java\git\MethodDemosGit\MethodDemos\output\result\result-TUW-176087-xstream.xml")</f>
      </c>
      <c r="D33" s="292">
        <f>HYPERLINK("D:\Java\git\MethodDemosGit\MethodDemos\output\extracted\grobid\grobid-TUW-176087-xstream.xml")</f>
      </c>
      <c r="E33" t="s" s="293">
        <v>98</v>
      </c>
      <c r="F33" t="s" s="294">
        <v>99</v>
      </c>
      <c r="G33" t="n" s="295">
        <v>1.0</v>
      </c>
      <c r="H33" t="n" s="296">
        <v>0.93</v>
      </c>
      <c r="I33" t="n" s="297">
        <v>0.97</v>
      </c>
    </row>
    <row r="34">
      <c r="A34" t="s" s="298">
        <v>100</v>
      </c>
      <c r="B34" s="299">
        <f>HYPERLINK("D:\Java\git\MethodDemosGit\MethodDemos\output\groundtruth\TUW-177140.pdf")</f>
      </c>
      <c r="C34" s="300">
        <f>HYPERLINK("D:\Java\git\MethodDemosGit\MethodDemos\output\result\result-TUW-177140-xstream.xml")</f>
      </c>
      <c r="D34" s="301">
        <f>HYPERLINK("D:\Java\git\MethodDemosGit\MethodDemos\output\extracted\grobid\grobid-TUW-177140-xstream.xml")</f>
      </c>
      <c r="E34" t="s" s="302">
        <v>101</v>
      </c>
      <c r="F34" t="s" s="303">
        <v>102</v>
      </c>
      <c r="G34" t="n" s="304">
        <v>1.0</v>
      </c>
      <c r="H34" t="n" s="305">
        <v>1.0</v>
      </c>
      <c r="I34" t="n" s="306">
        <v>1.0</v>
      </c>
    </row>
    <row r="35">
      <c r="A35" t="s" s="307">
        <v>103</v>
      </c>
      <c r="B35" s="308">
        <f>HYPERLINK("D:\Java\git\MethodDemosGit\MethodDemos\output\groundtruth\TUW-179146.pdf")</f>
      </c>
      <c r="C35" s="309">
        <f>HYPERLINK("D:\Java\git\MethodDemosGit\MethodDemos\output\result\result-TUW-179146-xstream.xml")</f>
      </c>
      <c r="D35" s="310">
        <f>HYPERLINK("D:\Java\git\MethodDemosGit\MethodDemos\output\extracted\grobid\grobid-TUW-179146-xstream.xml")</f>
      </c>
      <c r="E35" t="s" s="311">
        <v>104</v>
      </c>
      <c r="F35" t="s" s="312">
        <v>105</v>
      </c>
      <c r="G35" t="n" s="313">
        <v>1.0</v>
      </c>
      <c r="H35" t="n" s="314">
        <v>1.0</v>
      </c>
      <c r="I35" t="n" s="315">
        <v>1.0</v>
      </c>
    </row>
    <row r="36">
      <c r="A36" t="s" s="316">
        <v>106</v>
      </c>
      <c r="B36" s="317">
        <f>HYPERLINK("D:\Java\git\MethodDemosGit\MethodDemos\output\groundtruth\TUW-180162.pdf")</f>
      </c>
      <c r="C36" s="318">
        <f>HYPERLINK("D:\Java\git\MethodDemosGit\MethodDemos\output\result\result-TUW-180162-xstream.xml")</f>
      </c>
      <c r="D36" s="319">
        <f>HYPERLINK("D:\Java\git\MethodDemosGit\MethodDemos\output\extracted\grobid\grobid-TUW-180162-xstream.xml")</f>
      </c>
      <c r="E36" t="s" s="320">
        <v>107</v>
      </c>
      <c r="F36" t="s" s="321">
        <v>108</v>
      </c>
      <c r="G36" t="n" s="322">
        <v>1.0</v>
      </c>
      <c r="H36" t="n" s="323">
        <v>1.0</v>
      </c>
      <c r="I36" t="n" s="324">
        <v>1.0</v>
      </c>
    </row>
    <row r="37">
      <c r="A37" t="s" s="325">
        <v>109</v>
      </c>
      <c r="B37" s="326">
        <f>HYPERLINK("D:\Java\git\MethodDemosGit\MethodDemos\output\groundtruth\TUW-181199.pdf")</f>
      </c>
      <c r="C37" s="327">
        <f>HYPERLINK("D:\Java\git\MethodDemosGit\MethodDemos\output\result\result-TUW-181199-xstream.xml")</f>
      </c>
      <c r="D37" s="328">
        <f>HYPERLINK("D:\Java\git\MethodDemosGit\MethodDemos\output\extracted\grobid\grobid-TUW-181199-xstream.xml")</f>
      </c>
      <c r="E37" t="s" s="329">
        <v>110</v>
      </c>
      <c r="F37" t="s" s="330">
        <v>111</v>
      </c>
      <c r="G37" t="n" s="331">
        <v>1.0</v>
      </c>
      <c r="H37" t="n" s="332">
        <v>1.0</v>
      </c>
      <c r="I37" t="n" s="333">
        <v>1.0</v>
      </c>
    </row>
    <row r="38">
      <c r="A38" t="s" s="334">
        <v>112</v>
      </c>
      <c r="B38" s="335">
        <f>HYPERLINK("D:\Java\git\MethodDemosGit\MethodDemos\output\groundtruth\TUW-182414.pdf")</f>
      </c>
      <c r="C38" s="336">
        <f>HYPERLINK("D:\Java\git\MethodDemosGit\MethodDemos\output\result\result-TUW-182414-xstream.xml")</f>
      </c>
      <c r="D38" s="337">
        <f>HYPERLINK("D:\Java\git\MethodDemosGit\MethodDemos\output\extracted\grobid\grobid-TUW-182414-xstream.xml")</f>
      </c>
      <c r="E38" t="s" s="338">
        <v>113</v>
      </c>
      <c r="F38" t="s" s="339">
        <v>114</v>
      </c>
      <c r="G38" t="n" s="340">
        <v>0.83</v>
      </c>
      <c r="H38" t="n" s="341">
        <v>0.45</v>
      </c>
      <c r="I38" t="n" s="342">
        <v>0.59</v>
      </c>
    </row>
    <row r="39">
      <c r="A39" t="s" s="343">
        <v>115</v>
      </c>
      <c r="B39" s="344">
        <f>HYPERLINK("D:\Java\git\MethodDemosGit\MethodDemos\output\groundtruth\TUW-182899.pdf")</f>
      </c>
      <c r="C39" s="345">
        <f>HYPERLINK("D:\Java\git\MethodDemosGit\MethodDemos\output\result\result-TUW-182899-xstream.xml")</f>
      </c>
      <c r="D39" s="346">
        <f>HYPERLINK("D:\Java\git\MethodDemosGit\MethodDemos\output\extracted\grobid\grobid-TUW-182899-xstream.xml")</f>
      </c>
      <c r="E39" t="s" s="347">
        <v>116</v>
      </c>
      <c r="F39" t="s" s="348">
        <v>117</v>
      </c>
      <c r="G39" t="n" s="349">
        <v>0.97</v>
      </c>
      <c r="H39" t="n" s="350">
        <v>0.92</v>
      </c>
      <c r="I39" t="n" s="351">
        <v>0.95</v>
      </c>
    </row>
    <row r="40">
      <c r="A40" t="s" s="352">
        <v>118</v>
      </c>
      <c r="B40" s="353">
        <f>HYPERLINK("D:\Java\git\MethodDemosGit\MethodDemos\output\groundtruth\TUW-185321.pdf")</f>
      </c>
      <c r="C40" s="354">
        <f>HYPERLINK("D:\Java\git\MethodDemosGit\MethodDemos\output\result\result-TUW-185321-xstream.xml")</f>
      </c>
      <c r="D40" s="355">
        <f>HYPERLINK("D:\Java\git\MethodDemosGit\MethodDemos\output\extracted\grobid\grobid-TUW-185321-xstream.xml")</f>
      </c>
      <c r="E40" t="s" s="356">
        <v>119</v>
      </c>
      <c r="F40" t="s" s="357">
        <v>120</v>
      </c>
      <c r="G40" t="n" s="358">
        <v>1.0</v>
      </c>
      <c r="H40" t="n" s="359">
        <v>1.0</v>
      </c>
      <c r="I40" t="n" s="360">
        <v>1.0</v>
      </c>
    </row>
    <row r="41">
      <c r="A41" t="s" s="361">
        <v>121</v>
      </c>
      <c r="B41" s="362">
        <f>HYPERLINK("D:\Java\git\MethodDemosGit\MethodDemos\output\groundtruth\TUW-185441.pdf")</f>
      </c>
      <c r="C41" s="363">
        <f>HYPERLINK("D:\Java\git\MethodDemosGit\MethodDemos\output\result\result-TUW-185441-xstream.xml")</f>
      </c>
      <c r="D41" s="364">
        <f>HYPERLINK("D:\Java\git\MethodDemosGit\MethodDemos\output\extracted\grobid\grobid-TUW-185441-xstream.xml")</f>
      </c>
      <c r="E41" t="s" s="365">
        <v>122</v>
      </c>
      <c r="F41" t="s" s="366">
        <v>123</v>
      </c>
      <c r="G41" t="n" s="367">
        <v>1.0</v>
      </c>
      <c r="H41" t="n" s="368">
        <v>1.0</v>
      </c>
      <c r="I41" t="n" s="369">
        <v>1.0</v>
      </c>
    </row>
    <row r="42">
      <c r="A42" t="s" s="370">
        <v>124</v>
      </c>
      <c r="B42" s="371">
        <f>HYPERLINK("D:\Java\git\MethodDemosGit\MethodDemos\output\groundtruth\TUW-186227.pdf")</f>
      </c>
      <c r="C42" s="372">
        <f>HYPERLINK("D:\Java\git\MethodDemosGit\MethodDemos\output\result\result-TUW-186227-xstream.xml")</f>
      </c>
      <c r="D42" s="373">
        <f>HYPERLINK("D:\Java\git\MethodDemosGit\MethodDemos\output\extracted\grobid\grobid-TUW-186227-xstream.xml")</f>
      </c>
      <c r="E42" t="s" s="374">
        <v>125</v>
      </c>
      <c r="F42" t="s" s="375">
        <v>126</v>
      </c>
      <c r="G42" t="n" s="376">
        <v>1.0</v>
      </c>
      <c r="H42" t="n" s="377">
        <v>1.0</v>
      </c>
      <c r="I42" t="n" s="378">
        <v>1.0</v>
      </c>
    </row>
    <row r="43">
      <c r="A43" t="s" s="379">
        <v>127</v>
      </c>
      <c r="B43" s="380">
        <f>HYPERLINK("D:\Java\git\MethodDemosGit\MethodDemos\output\groundtruth\TUW-189842.pdf")</f>
      </c>
      <c r="C43" s="381">
        <f>HYPERLINK("D:\Java\git\MethodDemosGit\MethodDemos\output\result\result-TUW-189842-xstream.xml")</f>
      </c>
      <c r="D43" s="382">
        <f>HYPERLINK("D:\Java\git\MethodDemosGit\MethodDemos\output\extracted\grobid\grobid-TUW-189842-xstream.xml")</f>
      </c>
      <c r="E43" t="s" s="383">
        <v>128</v>
      </c>
      <c r="F43" t="s" s="384">
        <v>129</v>
      </c>
      <c r="G43" t="n" s="385">
        <v>0.6</v>
      </c>
      <c r="H43" t="n" s="386">
        <v>0.75</v>
      </c>
      <c r="I43" t="n" s="387">
        <v>0.67</v>
      </c>
    </row>
    <row r="44">
      <c r="A44" t="s" s="388">
        <v>130</v>
      </c>
      <c r="B44" s="389">
        <f>HYPERLINK("D:\Java\git\MethodDemosGit\MethodDemos\output\groundtruth\TUW-191715.pdf")</f>
      </c>
      <c r="C44" s="390">
        <f>HYPERLINK("D:\Java\git\MethodDemosGit\MethodDemos\output\result\result-TUW-191715-xstream.xml")</f>
      </c>
      <c r="D44" s="391">
        <f>HYPERLINK("D:\Java\git\MethodDemosGit\MethodDemos\output\extracted\grobid\grobid-TUW-191715-xstream.xml")</f>
      </c>
      <c r="E44" t="s" s="392">
        <v>131</v>
      </c>
      <c r="F44" t="s" s="393">
        <v>132</v>
      </c>
      <c r="G44" t="n" s="394">
        <v>0.94</v>
      </c>
      <c r="H44" t="n" s="395">
        <v>0.97</v>
      </c>
      <c r="I44" t="n" s="396">
        <v>0.96</v>
      </c>
    </row>
    <row r="45">
      <c r="A45" t="s" s="397">
        <v>133</v>
      </c>
      <c r="B45" s="398">
        <f>HYPERLINK("D:\Java\git\MethodDemosGit\MethodDemos\output\groundtruth\TUW-191977.pdf")</f>
      </c>
      <c r="C45" s="399">
        <f>HYPERLINK("D:\Java\git\MethodDemosGit\MethodDemos\output\result\result-TUW-191977-xstream.xml")</f>
      </c>
      <c r="D45" s="400">
        <f>HYPERLINK("D:\Java\git\MethodDemosGit\MethodDemos\output\extracted\grobid\grobid-TUW-191977-xstream.xml")</f>
      </c>
      <c r="E45" t="s" s="401">
        <v>134</v>
      </c>
      <c r="F45" t="s" s="402">
        <v>135</v>
      </c>
      <c r="G45" t="n" s="403">
        <v>1.0</v>
      </c>
      <c r="H45" t="n" s="404">
        <v>1.0</v>
      </c>
      <c r="I45" t="n" s="405">
        <v>1.0</v>
      </c>
    </row>
    <row r="46">
      <c r="A46" t="s" s="406">
        <v>136</v>
      </c>
      <c r="B46" s="407">
        <f>HYPERLINK("D:\Java\git\MethodDemosGit\MethodDemos\output\groundtruth\TUW-192724.pdf")</f>
      </c>
      <c r="C46" s="408">
        <f>HYPERLINK("D:\Java\git\MethodDemosGit\MethodDemos\output\result\result-TUW-192724-xstream.xml")</f>
      </c>
      <c r="D46" s="409">
        <f>HYPERLINK("D:\Java\git\MethodDemosGit\MethodDemos\output\extracted\grobid\grobid-TUW-192724-xstream.xml")</f>
      </c>
      <c r="E46" t="s" s="410">
        <v>137</v>
      </c>
      <c r="F46" t="s" s="411">
        <v>138</v>
      </c>
      <c r="G46" t="n" s="412">
        <v>1.0</v>
      </c>
      <c r="H46" t="n" s="413">
        <v>1.0</v>
      </c>
      <c r="I46" t="n" s="414">
        <v>1.0</v>
      </c>
    </row>
    <row r="47">
      <c r="A47" t="s" s="415">
        <v>139</v>
      </c>
      <c r="B47" s="416">
        <f>HYPERLINK("D:\Java\git\MethodDemosGit\MethodDemos\output\groundtruth\TUW-194085.pdf")</f>
      </c>
      <c r="C47" s="417">
        <f>HYPERLINK("D:\Java\git\MethodDemosGit\MethodDemos\output\result\result-TUW-194085-xstream.xml")</f>
      </c>
      <c r="D47" s="418">
        <f>HYPERLINK("D:\Java\git\MethodDemosGit\MethodDemos\output\extracted\grobid\grobid-TUW-194085-xstream.xml")</f>
      </c>
      <c r="E47" t="s" s="419">
        <v>140</v>
      </c>
      <c r="F47" t="s" s="420">
        <v>141</v>
      </c>
      <c r="G47" t="n" s="421">
        <v>1.0</v>
      </c>
      <c r="H47" t="n" s="422">
        <v>0.94</v>
      </c>
      <c r="I47" t="n" s="423">
        <v>0.97</v>
      </c>
    </row>
    <row r="48">
      <c r="A48" t="s" s="424">
        <v>142</v>
      </c>
      <c r="B48" s="425">
        <f>HYPERLINK("D:\Java\git\MethodDemosGit\MethodDemos\output\groundtruth\TUW-194561.pdf")</f>
      </c>
      <c r="C48" s="426">
        <f>HYPERLINK("D:\Java\git\MethodDemosGit\MethodDemos\output\result\result-TUW-194561-xstream.xml")</f>
      </c>
      <c r="D48" s="427">
        <f>HYPERLINK("D:\Java\git\MethodDemosGit\MethodDemos\output\extracted\grobid\grobid-TUW-194561-xstream.xml")</f>
      </c>
      <c r="E48" t="s" s="428">
        <v>143</v>
      </c>
      <c r="F48" t="s" s="429">
        <v>144</v>
      </c>
      <c r="G48" t="n" s="430">
        <v>0.95</v>
      </c>
      <c r="H48" t="n" s="431">
        <v>0.95</v>
      </c>
      <c r="I48" t="n" s="432">
        <v>0.95</v>
      </c>
    </row>
    <row r="49">
      <c r="A49" t="s" s="433">
        <v>145</v>
      </c>
      <c r="B49" s="434">
        <f>HYPERLINK("D:\Java\git\MethodDemosGit\MethodDemos\output\groundtruth\TUW-194660.pdf")</f>
      </c>
      <c r="C49" s="435">
        <f>HYPERLINK("D:\Java\git\MethodDemosGit\MethodDemos\output\result\result-TUW-194660-xstream.xml")</f>
      </c>
      <c r="D49" s="436">
        <f>HYPERLINK("D:\Java\git\MethodDemosGit\MethodDemos\output\extracted\grobid\grobid-TUW-194660-xstream.xml")</f>
      </c>
      <c r="E49" t="s" s="437">
        <v>146</v>
      </c>
      <c r="F49" t="s" s="438">
        <v>147</v>
      </c>
      <c r="G49" t="n" s="439">
        <v>0.44</v>
      </c>
      <c r="H49" t="n" s="440">
        <v>0.8</v>
      </c>
      <c r="I49" t="n" s="441">
        <v>0.57</v>
      </c>
    </row>
    <row r="50">
      <c r="A50" t="s" s="442">
        <v>148</v>
      </c>
      <c r="B50" s="443">
        <f>HYPERLINK("D:\Java\git\MethodDemosGit\MethodDemos\output\groundtruth\TUW-197422.pdf")</f>
      </c>
      <c r="C50" s="444">
        <f>HYPERLINK("D:\Java\git\MethodDemosGit\MethodDemos\output\result\result-TUW-197422-xstream.xml")</f>
      </c>
      <c r="D50" s="445">
        <f>HYPERLINK("D:\Java\git\MethodDemosGit\MethodDemos\output\extracted\grobid\grobid-TUW-197422-xstream.xml")</f>
      </c>
      <c r="E50" t="s" s="446">
        <v>149</v>
      </c>
      <c r="F50" t="s" s="447">
        <v>150</v>
      </c>
      <c r="G50" t="n" s="448">
        <v>1.0</v>
      </c>
      <c r="H50" t="n" s="449">
        <v>0.81</v>
      </c>
      <c r="I50" t="n" s="450">
        <v>0.89</v>
      </c>
    </row>
    <row r="51">
      <c r="A51" t="s" s="451">
        <v>151</v>
      </c>
      <c r="B51" s="452">
        <f>HYPERLINK("D:\Java\git\MethodDemosGit\MethodDemos\output\groundtruth\TUW-197852.pdf")</f>
      </c>
      <c r="C51" s="453">
        <f>HYPERLINK("D:\Java\git\MethodDemosGit\MethodDemos\output\result\result-TUW-197852-xstream.xml")</f>
      </c>
      <c r="D51" s="454">
        <f>HYPERLINK("D:\Java\git\MethodDemosGit\MethodDemos\output\extracted\grobid\grobid-TUW-197852-xstream.xml")</f>
      </c>
      <c r="E51" t="s" s="455">
        <v>152</v>
      </c>
      <c r="F51" t="s" s="456">
        <v>153</v>
      </c>
      <c r="G51" t="n" s="457">
        <v>1.0</v>
      </c>
      <c r="H51" t="n" s="458">
        <v>1.0</v>
      </c>
      <c r="I51" t="n" s="459">
        <v>1.0</v>
      </c>
    </row>
    <row r="52">
      <c r="A52" t="s" s="460">
        <v>154</v>
      </c>
      <c r="B52" s="461">
        <f>HYPERLINK("D:\Java\git\MethodDemosGit\MethodDemos\output\groundtruth\TUW-198400.pdf")</f>
      </c>
      <c r="C52" s="462">
        <f>HYPERLINK("D:\Java\git\MethodDemosGit\MethodDemos\output\result\result-TUW-198400-xstream.xml")</f>
      </c>
      <c r="D52" s="463">
        <f>HYPERLINK("D:\Java\git\MethodDemosGit\MethodDemos\output\extracted\grobid\grobid-TUW-198400-xstream.xml")</f>
      </c>
      <c r="E52" t="s" s="464">
        <v>155</v>
      </c>
      <c r="F52" t="s" s="465">
        <v>156</v>
      </c>
      <c r="G52" t="n" s="466">
        <v>1.0</v>
      </c>
      <c r="H52" t="n" s="467">
        <v>0.96</v>
      </c>
      <c r="I52" t="n" s="468">
        <v>0.98</v>
      </c>
    </row>
    <row r="53">
      <c r="A53" t="s" s="469">
        <v>157</v>
      </c>
      <c r="B53" s="470">
        <f>HYPERLINK("D:\Java\git\MethodDemosGit\MethodDemos\output\groundtruth\TUW-198401.pdf")</f>
      </c>
      <c r="C53" s="471">
        <f>HYPERLINK("D:\Java\git\MethodDemosGit\MethodDemos\output\result\result-TUW-198401-xstream.xml")</f>
      </c>
      <c r="D53" s="472">
        <f>HYPERLINK("D:\Java\git\MethodDemosGit\MethodDemos\output\extracted\grobid\grobid-TUW-198401-xstream.xml")</f>
      </c>
      <c r="E53" t="s" s="473">
        <v>158</v>
      </c>
      <c r="F53" t="s" s="474">
        <v>159</v>
      </c>
      <c r="G53" t="n" s="475">
        <v>1.0</v>
      </c>
      <c r="H53" t="n" s="476">
        <v>0.83</v>
      </c>
      <c r="I53" t="n" s="477">
        <v>0.91</v>
      </c>
    </row>
    <row r="54">
      <c r="A54" t="s" s="478">
        <v>160</v>
      </c>
      <c r="B54" s="479">
        <f>HYPERLINK("D:\Java\git\MethodDemosGit\MethodDemos\output\groundtruth\TUW-198405.pdf")</f>
      </c>
      <c r="C54" s="480">
        <f>HYPERLINK("D:\Java\git\MethodDemosGit\MethodDemos\output\result\result-TUW-198405-xstream.xml")</f>
      </c>
      <c r="D54" s="481">
        <f>HYPERLINK("D:\Java\git\MethodDemosGit\MethodDemos\output\extracted\grobid\grobid-TUW-198405-xstream.xml")</f>
      </c>
      <c r="E54" t="s" s="482">
        <v>161</v>
      </c>
      <c r="F54" t="s" s="483">
        <v>162</v>
      </c>
      <c r="G54" t="n" s="484">
        <v>1.0</v>
      </c>
      <c r="H54" t="n" s="485">
        <v>1.0</v>
      </c>
      <c r="I54" t="n" s="486">
        <v>1.0</v>
      </c>
    </row>
    <row r="55">
      <c r="A55" t="s" s="487">
        <v>163</v>
      </c>
      <c r="B55" s="488">
        <f>HYPERLINK("D:\Java\git\MethodDemosGit\MethodDemos\output\groundtruth\TUW-198408.pdf")</f>
      </c>
      <c r="C55" s="489">
        <f>HYPERLINK("D:\Java\git\MethodDemosGit\MethodDemos\output\result\result-TUW-198408-xstream.xml")</f>
      </c>
      <c r="D55" s="490">
        <f>HYPERLINK("D:\Java\git\MethodDemosGit\MethodDemos\output\extracted\grobid\grobid-TUW-198408-xstream.xml")</f>
      </c>
      <c r="E55" t="s" s="491">
        <v>164</v>
      </c>
      <c r="F55" t="s" s="492">
        <v>165</v>
      </c>
      <c r="G55" t="n" s="493">
        <v>1.0</v>
      </c>
      <c r="H55" t="n" s="494">
        <v>0.96</v>
      </c>
      <c r="I55" t="n" s="495">
        <v>0.98</v>
      </c>
    </row>
    <row r="56">
      <c r="A56" t="s" s="496">
        <v>166</v>
      </c>
      <c r="B56" s="497">
        <f>HYPERLINK("D:\Java\git\MethodDemosGit\MethodDemos\output\groundtruth\TUW-200745.pdf")</f>
      </c>
      <c r="C56" s="498">
        <f>HYPERLINK("D:\Java\git\MethodDemosGit\MethodDemos\output\result\result-TUW-200745-xstream.xml")</f>
      </c>
      <c r="D56" s="499">
        <f>HYPERLINK("D:\Java\git\MethodDemosGit\MethodDemos\output\extracted\grobid\grobid-TUW-200745-xstream.xml")</f>
      </c>
      <c r="E56" t="s" s="500">
        <v>167</v>
      </c>
      <c r="F56" t="s" s="501">
        <v>168</v>
      </c>
      <c r="G56" t="n" s="502">
        <v>0.73</v>
      </c>
      <c r="H56" t="n" s="503">
        <v>1.0</v>
      </c>
      <c r="I56" t="n" s="504">
        <v>0.84</v>
      </c>
    </row>
    <row r="57">
      <c r="A57" t="s" s="505">
        <v>169</v>
      </c>
      <c r="B57" s="506">
        <f>HYPERLINK("D:\Java\git\MethodDemosGit\MethodDemos\output\groundtruth\TUW-200748.pdf")</f>
      </c>
      <c r="C57" s="507">
        <f>HYPERLINK("D:\Java\git\MethodDemosGit\MethodDemos\output\result\result-TUW-200748-xstream.xml")</f>
      </c>
      <c r="D57" s="508">
        <f>HYPERLINK("D:\Java\git\MethodDemosGit\MethodDemos\output\extracted\grobid\grobid-TUW-200748-xstream.xml")</f>
      </c>
      <c r="E57" t="s" s="509">
        <v>170</v>
      </c>
      <c r="F57" t="s" s="510">
        <v>171</v>
      </c>
      <c r="G57" t="n" s="511">
        <v>1.0</v>
      </c>
      <c r="H57" t="n" s="512">
        <v>1.0</v>
      </c>
      <c r="I57" t="n" s="513">
        <v>1.0</v>
      </c>
    </row>
    <row r="58">
      <c r="A58" t="s" s="514">
        <v>172</v>
      </c>
      <c r="B58" s="515">
        <f>HYPERLINK("D:\Java\git\MethodDemosGit\MethodDemos\output\groundtruth\TUW-200948.pdf")</f>
      </c>
      <c r="C58" s="516">
        <f>HYPERLINK("D:\Java\git\MethodDemosGit\MethodDemos\output\result\result-TUW-200948-xstream.xml")</f>
      </c>
      <c r="D58" s="517">
        <f>HYPERLINK("D:\Java\git\MethodDemosGit\MethodDemos\output\extracted\grobid\grobid-TUW-200948-xstream.xml")</f>
      </c>
      <c r="E58" t="s" s="518">
        <v>173</v>
      </c>
      <c r="F58" t="s" s="519">
        <v>174</v>
      </c>
      <c r="G58" t="n" s="520">
        <v>1.0</v>
      </c>
      <c r="H58" t="n" s="521">
        <v>1.0</v>
      </c>
      <c r="I58" t="n" s="522">
        <v>1.0</v>
      </c>
    </row>
    <row r="59">
      <c r="A59" t="s" s="523">
        <v>175</v>
      </c>
      <c r="B59" s="524">
        <f>HYPERLINK("D:\Java\git\MethodDemosGit\MethodDemos\output\groundtruth\TUW-200950.pdf")</f>
      </c>
      <c r="C59" s="525">
        <f>HYPERLINK("D:\Java\git\MethodDemosGit\MethodDemos\output\result\result-TUW-200950-xstream.xml")</f>
      </c>
      <c r="D59" s="526">
        <f>HYPERLINK("D:\Java\git\MethodDemosGit\MethodDemos\output\extracted\grobid\grobid-TUW-200950-xstream.xml")</f>
      </c>
      <c r="E59" t="s" s="527">
        <v>176</v>
      </c>
      <c r="F59" t="s" s="528">
        <v>177</v>
      </c>
      <c r="G59" t="n" s="529">
        <v>1.0</v>
      </c>
      <c r="H59" t="n" s="530">
        <v>1.0</v>
      </c>
      <c r="I59" t="n" s="531">
        <v>1.0</v>
      </c>
    </row>
    <row r="60">
      <c r="A60" t="s" s="532">
        <v>178</v>
      </c>
      <c r="B60" s="533">
        <f>HYPERLINK("D:\Java\git\MethodDemosGit\MethodDemos\output\groundtruth\TUW-200959.pdf")</f>
      </c>
      <c r="C60" s="534">
        <f>HYPERLINK("D:\Java\git\MethodDemosGit\MethodDemos\output\result\result-TUW-200959-xstream.xml")</f>
      </c>
      <c r="D60" s="535">
        <f>HYPERLINK("D:\Java\git\MethodDemosGit\MethodDemos\output\extracted\grobid\grobid-TUW-200959-xstream.xml")</f>
      </c>
      <c r="E60" t="s" s="536">
        <v>179</v>
      </c>
      <c r="F60" t="s" s="537">
        <v>180</v>
      </c>
      <c r="G60" t="n" s="538">
        <v>1.0</v>
      </c>
      <c r="H60" t="n" s="539">
        <v>1.0</v>
      </c>
      <c r="I60" t="n" s="540">
        <v>1.0</v>
      </c>
    </row>
    <row r="61">
      <c r="A61" t="s" s="541">
        <v>181</v>
      </c>
      <c r="B61" s="542">
        <f>HYPERLINK("D:\Java\git\MethodDemosGit\MethodDemos\output\groundtruth\TUW-201066.pdf")</f>
      </c>
      <c r="C61" s="543">
        <f>HYPERLINK("D:\Java\git\MethodDemosGit\MethodDemos\output\result\result-TUW-201066-xstream.xml")</f>
      </c>
      <c r="D61" s="544">
        <f>HYPERLINK("D:\Java\git\MethodDemosGit\MethodDemos\output\extracted\grobid\grobid-TUW-201066-xstream.xml")</f>
      </c>
      <c r="E61" t="s" s="545">
        <v>182</v>
      </c>
      <c r="F61" t="s" s="546">
        <v>183</v>
      </c>
      <c r="G61" t="n" s="547">
        <v>1.0</v>
      </c>
      <c r="H61" t="n" s="548">
        <v>1.0</v>
      </c>
      <c r="I61" t="n" s="549">
        <v>1.0</v>
      </c>
    </row>
    <row r="62">
      <c r="A62" t="s" s="550">
        <v>184</v>
      </c>
      <c r="B62" s="551">
        <f>HYPERLINK("D:\Java\git\MethodDemosGit\MethodDemos\output\groundtruth\TUW-201160.pdf")</f>
      </c>
      <c r="C62" s="552">
        <f>HYPERLINK("D:\Java\git\MethodDemosGit\MethodDemos\output\result\result-TUW-201160-xstream.xml")</f>
      </c>
      <c r="D62" s="553">
        <f>HYPERLINK("D:\Java\git\MethodDemosGit\MethodDemos\output\extracted\grobid\grobid-TUW-201160-xstream.xml")</f>
      </c>
      <c r="E62" t="s" s="554">
        <v>185</v>
      </c>
      <c r="F62" t="s" s="555">
        <v>186</v>
      </c>
      <c r="G62" t="n" s="556">
        <v>1.0</v>
      </c>
      <c r="H62" t="n" s="557">
        <v>1.0</v>
      </c>
      <c r="I62" t="n" s="558">
        <v>1.0</v>
      </c>
    </row>
    <row r="63">
      <c r="A63" t="s" s="559">
        <v>187</v>
      </c>
      <c r="B63" s="560">
        <f>HYPERLINK("D:\Java\git\MethodDemosGit\MethodDemos\output\groundtruth\TUW-201167.pdf")</f>
      </c>
      <c r="C63" s="561">
        <f>HYPERLINK("D:\Java\git\MethodDemosGit\MethodDemos\output\result\result-TUW-201167-xstream.xml")</f>
      </c>
      <c r="D63" s="562">
        <f>HYPERLINK("D:\Java\git\MethodDemosGit\MethodDemos\output\extracted\grobid\grobid-TUW-201167-xstream.xml")</f>
      </c>
      <c r="E63" t="s" s="563">
        <v>188</v>
      </c>
      <c r="F63" t="s" s="564">
        <v>189</v>
      </c>
      <c r="G63" t="n" s="565">
        <v>1.0</v>
      </c>
      <c r="H63" t="n" s="566">
        <v>1.0</v>
      </c>
      <c r="I63" t="n" s="567">
        <v>1.0</v>
      </c>
    </row>
    <row r="64">
      <c r="A64" t="s" s="568">
        <v>190</v>
      </c>
      <c r="B64" s="569">
        <f>HYPERLINK("D:\Java\git\MethodDemosGit\MethodDemos\output\groundtruth\TUW-201821.pdf")</f>
      </c>
      <c r="C64" s="570">
        <f>HYPERLINK("D:\Java\git\MethodDemosGit\MethodDemos\output\result\result-TUW-201821-xstream.xml")</f>
      </c>
      <c r="D64" s="571">
        <f>HYPERLINK("D:\Java\git\MethodDemosGit\MethodDemos\output\extracted\grobid\grobid-TUW-201821-xstream.xml")</f>
      </c>
      <c r="E64" t="s" s="572">
        <v>191</v>
      </c>
      <c r="F64" t="s" s="573">
        <v>192</v>
      </c>
      <c r="G64" t="n" s="574">
        <v>1.0</v>
      </c>
      <c r="H64" t="n" s="575">
        <v>1.0</v>
      </c>
      <c r="I64" t="n" s="576">
        <v>1.0</v>
      </c>
    </row>
    <row r="65">
      <c r="A65" t="s" s="577">
        <v>193</v>
      </c>
      <c r="B65" s="578">
        <f>HYPERLINK("D:\Java\git\MethodDemosGit\MethodDemos\output\groundtruth\TUW-202034.pdf")</f>
      </c>
      <c r="C65" s="579">
        <f>HYPERLINK("D:\Java\git\MethodDemosGit\MethodDemos\output\result\result-TUW-202034-xstream.xml")</f>
      </c>
      <c r="D65" s="580">
        <f>HYPERLINK("D:\Java\git\MethodDemosGit\MethodDemos\output\extracted\grobid\grobid-TUW-202034-xstream.xml")</f>
      </c>
      <c r="E65" t="s" s="581">
        <v>194</v>
      </c>
      <c r="F65" t="s" s="582">
        <v>195</v>
      </c>
      <c r="G65" t="n" s="583">
        <v>1.0</v>
      </c>
      <c r="H65" t="n" s="584">
        <v>1.0</v>
      </c>
      <c r="I65" t="n" s="585">
        <v>1.0</v>
      </c>
    </row>
    <row r="66">
      <c r="A66" t="s" s="586">
        <v>196</v>
      </c>
      <c r="B66" s="587">
        <f>HYPERLINK("D:\Java\git\MethodDemosGit\MethodDemos\output\groundtruth\TUW-202824.pdf")</f>
      </c>
      <c r="C66" s="588">
        <f>HYPERLINK("D:\Java\git\MethodDemosGit\MethodDemos\output\result\result-TUW-202824-xstream.xml")</f>
      </c>
      <c r="D66" s="589">
        <f>HYPERLINK("D:\Java\git\MethodDemosGit\MethodDemos\output\extracted\grobid\grobid-TUW-202824-xstream.xml")</f>
      </c>
      <c r="E66" t="s" s="590">
        <v>197</v>
      </c>
      <c r="F66" t="s" s="591">
        <v>198</v>
      </c>
      <c r="G66" t="n" s="592">
        <v>1.0</v>
      </c>
      <c r="H66" t="n" s="593">
        <v>1.0</v>
      </c>
      <c r="I66" t="n" s="594">
        <v>1.0</v>
      </c>
    </row>
    <row r="67">
      <c r="A67" t="s" s="595">
        <v>199</v>
      </c>
      <c r="B67" s="596">
        <f>HYPERLINK("D:\Java\git\MethodDemosGit\MethodDemos\output\groundtruth\TUW-203409.pdf")</f>
      </c>
      <c r="C67" s="597">
        <f>HYPERLINK("D:\Java\git\MethodDemosGit\MethodDemos\output\result\result-TUW-203409-xstream.xml")</f>
      </c>
      <c r="D67" s="598">
        <f>HYPERLINK("D:\Java\git\MethodDemosGit\MethodDemos\output\extracted\grobid\grobid-TUW-203409-xstream.xml")</f>
      </c>
      <c r="E67" t="s" s="599">
        <v>80</v>
      </c>
      <c r="F67" t="s" s="600">
        <v>80</v>
      </c>
      <c r="G67" t="s" s="601">
        <v>81</v>
      </c>
      <c r="H67" t="s" s="602">
        <v>200</v>
      </c>
      <c r="I67" t="s" s="603">
        <v>201</v>
      </c>
    </row>
    <row r="68">
      <c r="A68" t="s" s="604">
        <v>202</v>
      </c>
      <c r="B68" s="605">
        <f>HYPERLINK("D:\Java\git\MethodDemosGit\MethodDemos\output\groundtruth\TUW-203924.pdf")</f>
      </c>
      <c r="C68" s="606">
        <f>HYPERLINK("D:\Java\git\MethodDemosGit\MethodDemos\output\result\result-TUW-203924-xstream.xml")</f>
      </c>
      <c r="D68" s="607">
        <f>HYPERLINK("D:\Java\git\MethodDemosGit\MethodDemos\output\extracted\grobid\grobid-TUW-203924-xstream.xml")</f>
      </c>
      <c r="E68" t="s" s="608">
        <v>203</v>
      </c>
      <c r="F68" t="s" s="609">
        <v>204</v>
      </c>
      <c r="G68" t="n" s="610">
        <v>0.91</v>
      </c>
      <c r="H68" t="n" s="611">
        <v>0.91</v>
      </c>
      <c r="I68" t="n" s="612">
        <v>0.91</v>
      </c>
    </row>
    <row r="69">
      <c r="A69" t="s" s="613">
        <v>205</v>
      </c>
      <c r="B69" s="614">
        <f>HYPERLINK("D:\Java\git\MethodDemosGit\MethodDemos\output\groundtruth\TUW-204724.pdf")</f>
      </c>
      <c r="C69" s="615">
        <f>HYPERLINK("D:\Java\git\MethodDemosGit\MethodDemos\output\result\result-TUW-204724-xstream.xml")</f>
      </c>
      <c r="D69" s="616">
        <f>HYPERLINK("D:\Java\git\MethodDemosGit\MethodDemos\output\extracted\grobid\grobid-TUW-204724-xstream.xml")</f>
      </c>
      <c r="E69" t="s" s="617">
        <v>206</v>
      </c>
      <c r="F69" t="s" s="618">
        <v>80</v>
      </c>
      <c r="G69" t="s" s="619">
        <v>81</v>
      </c>
      <c r="H69" t="n" s="620">
        <v>0.0</v>
      </c>
      <c r="I69" t="n" s="621">
        <v>0.0</v>
      </c>
    </row>
    <row r="70">
      <c r="A70" t="s" s="622">
        <v>207</v>
      </c>
      <c r="B70" s="623">
        <f>HYPERLINK("D:\Java\git\MethodDemosGit\MethodDemos\output\groundtruth\TUW-205557.pdf")</f>
      </c>
      <c r="C70" s="624">
        <f>HYPERLINK("D:\Java\git\MethodDemosGit\MethodDemos\output\result\result-TUW-205557-xstream.xml")</f>
      </c>
      <c r="D70" s="625">
        <f>HYPERLINK("D:\Java\git\MethodDemosGit\MethodDemos\output\extracted\grobid\grobid-TUW-205557-xstream.xml")</f>
      </c>
      <c r="E70" t="s" s="626">
        <v>208</v>
      </c>
      <c r="F70" t="s" s="627">
        <v>209</v>
      </c>
      <c r="G70" t="n" s="628">
        <v>0.5</v>
      </c>
      <c r="H70" t="n" s="629">
        <v>1.0</v>
      </c>
      <c r="I70" t="n" s="630">
        <v>0.67</v>
      </c>
    </row>
    <row r="71">
      <c r="A71" t="s" s="631">
        <v>210</v>
      </c>
      <c r="B71" s="632">
        <f>HYPERLINK("D:\Java\git\MethodDemosGit\MethodDemos\output\groundtruth\TUW-205933.pdf")</f>
      </c>
      <c r="C71" s="633">
        <f>HYPERLINK("D:\Java\git\MethodDemosGit\MethodDemos\output\result\result-TUW-205933-xstream.xml")</f>
      </c>
      <c r="D71" s="634">
        <f>HYPERLINK("D:\Java\git\MethodDemosGit\MethodDemos\output\extracted\grobid\grobid-TUW-205933-xstream.xml")</f>
      </c>
      <c r="E71" t="s" s="635">
        <v>211</v>
      </c>
      <c r="F71" t="s" s="636">
        <v>212</v>
      </c>
      <c r="G71" t="n" s="637">
        <v>0.6</v>
      </c>
      <c r="H71" t="n" s="638">
        <v>0.25</v>
      </c>
      <c r="I71" t="n" s="639">
        <v>0.35</v>
      </c>
    </row>
    <row r="72">
      <c r="A72" t="s" s="640">
        <v>213</v>
      </c>
      <c r="B72" s="641">
        <f>HYPERLINK("D:\Java\git\MethodDemosGit\MethodDemos\output\groundtruth\TUW-213513.pdf")</f>
      </c>
      <c r="C72" s="642">
        <f>HYPERLINK("D:\Java\git\MethodDemosGit\MethodDemos\output\result\result-TUW-213513-xstream.xml")</f>
      </c>
      <c r="D72" s="643">
        <f>HYPERLINK("D:\Java\git\MethodDemosGit\MethodDemos\output\extracted\grobid\grobid-TUW-213513-xstream.xml")</f>
      </c>
      <c r="E72" t="s" s="644">
        <v>214</v>
      </c>
      <c r="F72" t="s" s="645">
        <v>215</v>
      </c>
      <c r="G72" t="n" s="646">
        <v>1.0</v>
      </c>
      <c r="H72" t="n" s="647">
        <v>1.0</v>
      </c>
      <c r="I72" t="n" s="648">
        <v>1.0</v>
      </c>
    </row>
    <row r="73">
      <c r="A73" t="s" s="649">
        <v>216</v>
      </c>
      <c r="B73" s="650">
        <f>HYPERLINK("D:\Java\git\MethodDemosGit\MethodDemos\output\groundtruth\TUW-216744.pdf")</f>
      </c>
      <c r="C73" s="651">
        <f>HYPERLINK("D:\Java\git\MethodDemosGit\MethodDemos\output\result\result-TUW-216744-xstream.xml")</f>
      </c>
      <c r="D73" s="652">
        <f>HYPERLINK("D:\Java\git\MethodDemosGit\MethodDemos\output\extracted\grobid\grobid-TUW-216744-xstream.xml")</f>
      </c>
      <c r="E73" t="s" s="653">
        <v>217</v>
      </c>
      <c r="F73" t="s" s="654">
        <v>218</v>
      </c>
      <c r="G73" t="n" s="655">
        <v>1.0</v>
      </c>
      <c r="H73" t="n" s="656">
        <v>1.0</v>
      </c>
      <c r="I73" t="n" s="657">
        <v>1.0</v>
      </c>
    </row>
    <row r="74">
      <c r="A74" t="s" s="658">
        <v>219</v>
      </c>
      <c r="B74" s="659">
        <f>HYPERLINK("D:\Java\git\MethodDemosGit\MethodDemos\output\groundtruth\TUW-217690.pdf")</f>
      </c>
      <c r="C74" s="660">
        <f>HYPERLINK("D:\Java\git\MethodDemosGit\MethodDemos\output\result\result-TUW-217690-xstream.xml")</f>
      </c>
      <c r="D74" s="661">
        <f>HYPERLINK("D:\Java\git\MethodDemosGit\MethodDemos\output\extracted\grobid\grobid-TUW-217690-xstream.xml")</f>
      </c>
      <c r="E74" t="s" s="662">
        <v>220</v>
      </c>
      <c r="F74" t="s" s="663">
        <v>221</v>
      </c>
      <c r="G74" t="n" s="664">
        <v>1.0</v>
      </c>
      <c r="H74" t="n" s="665">
        <v>1.0</v>
      </c>
      <c r="I74" t="n" s="666">
        <v>1.0</v>
      </c>
    </row>
    <row r="75">
      <c r="A75" t="s" s="667">
        <v>222</v>
      </c>
      <c r="B75" s="668">
        <f>HYPERLINK("D:\Java\git\MethodDemosGit\MethodDemos\output\groundtruth\TUW-217971.pdf")</f>
      </c>
      <c r="C75" s="669">
        <f>HYPERLINK("D:\Java\git\MethodDemosGit\MethodDemos\output\result\result-TUW-217971-xstream.xml")</f>
      </c>
      <c r="D75" s="670">
        <f>HYPERLINK("D:\Java\git\MethodDemosGit\MethodDemos\output\extracted\grobid\grobid-TUW-217971-xstream.xml")</f>
      </c>
      <c r="E75" t="s" s="671">
        <v>223</v>
      </c>
      <c r="F75" t="s" s="672">
        <v>224</v>
      </c>
      <c r="G75" t="n" s="673">
        <v>1.0</v>
      </c>
      <c r="H75" t="n" s="674">
        <v>1.0</v>
      </c>
      <c r="I75" t="n" s="675">
        <v>1.0</v>
      </c>
    </row>
    <row r="76">
      <c r="A76" t="s" s="676">
        <v>225</v>
      </c>
      <c r="B76" s="677">
        <f>HYPERLINK("D:\Java\git\MethodDemosGit\MethodDemos\output\groundtruth\TUW-221215.pdf")</f>
      </c>
      <c r="C76" s="678">
        <f>HYPERLINK("D:\Java\git\MethodDemosGit\MethodDemos\output\result\result-TUW-221215-xstream.xml")</f>
      </c>
      <c r="D76" s="679">
        <f>HYPERLINK("D:\Java\git\MethodDemosGit\MethodDemos\output\extracted\grobid\grobid-TUW-221215-xstream.xml")</f>
      </c>
      <c r="E76" t="s" s="680">
        <v>226</v>
      </c>
      <c r="F76" t="s" s="681">
        <v>227</v>
      </c>
      <c r="G76" t="n" s="682">
        <v>0.88</v>
      </c>
      <c r="H76" t="n" s="683">
        <v>1.0</v>
      </c>
      <c r="I76" t="n" s="684">
        <v>0.94</v>
      </c>
    </row>
    <row r="77">
      <c r="A77" t="s" s="685">
        <v>228</v>
      </c>
      <c r="B77" s="686">
        <f>HYPERLINK("D:\Java\git\MethodDemosGit\MethodDemos\output\groundtruth\TUW-223906.pdf")</f>
      </c>
      <c r="C77" s="687">
        <f>HYPERLINK("D:\Java\git\MethodDemosGit\MethodDemos\output\result\result-TUW-223906-xstream.xml")</f>
      </c>
      <c r="D77" s="688">
        <f>HYPERLINK("D:\Java\git\MethodDemosGit\MethodDemos\output\extracted\grobid\grobid-TUW-223906-xstream.xml")</f>
      </c>
      <c r="E77" t="s" s="689">
        <v>229</v>
      </c>
      <c r="F77" t="s" s="690">
        <v>230</v>
      </c>
      <c r="G77" t="n" s="691">
        <v>0.83</v>
      </c>
      <c r="H77" t="n" s="692">
        <v>1.0</v>
      </c>
      <c r="I77" t="n" s="693">
        <v>0.91</v>
      </c>
    </row>
    <row r="78">
      <c r="A78" t="s" s="694">
        <v>231</v>
      </c>
      <c r="B78" s="695">
        <f>HYPERLINK("D:\Java\git\MethodDemosGit\MethodDemos\output\groundtruth\TUW-223973.pdf")</f>
      </c>
      <c r="C78" s="696">
        <f>HYPERLINK("D:\Java\git\MethodDemosGit\MethodDemos\output\result\result-TUW-223973-xstream.xml")</f>
      </c>
      <c r="D78" s="697">
        <f>HYPERLINK("D:\Java\git\MethodDemosGit\MethodDemos\output\extracted\grobid\grobid-TUW-223973-xstream.xml")</f>
      </c>
      <c r="E78" t="s" s="698">
        <v>232</v>
      </c>
      <c r="F78" t="s" s="699">
        <v>233</v>
      </c>
      <c r="G78" t="n" s="700">
        <v>1.0</v>
      </c>
      <c r="H78" t="n" s="701">
        <v>1.0</v>
      </c>
      <c r="I78" t="n" s="702">
        <v>1.0</v>
      </c>
    </row>
    <row r="79">
      <c r="A79" t="s" s="703">
        <v>234</v>
      </c>
      <c r="B79" s="704">
        <f>HYPERLINK("D:\Java\git\MethodDemosGit\MethodDemos\output\groundtruth\TUW-225252.pdf")</f>
      </c>
      <c r="C79" s="705">
        <f>HYPERLINK("D:\Java\git\MethodDemosGit\MethodDemos\output\result\result-TUW-225252-xstream.xml")</f>
      </c>
      <c r="D79" s="706">
        <f>HYPERLINK("D:\Java\git\MethodDemosGit\MethodDemos\output\extracted\grobid\grobid-TUW-225252-xstream.xml")</f>
      </c>
      <c r="E79" t="s" s="707">
        <v>235</v>
      </c>
      <c r="F79" t="s" s="708">
        <v>236</v>
      </c>
      <c r="G79" t="n" s="709">
        <v>1.0</v>
      </c>
      <c r="H79" t="n" s="710">
        <v>1.0</v>
      </c>
      <c r="I79" t="n" s="711">
        <v>1.0</v>
      </c>
    </row>
    <row r="80">
      <c r="A80" t="s" s="712">
        <v>237</v>
      </c>
      <c r="B80" s="713">
        <f>HYPERLINK("D:\Java\git\MethodDemosGit\MethodDemos\output\groundtruth\TUW-226000.pdf")</f>
      </c>
      <c r="C80" s="714">
        <f>HYPERLINK("D:\Java\git\MethodDemosGit\MethodDemos\output\result\result-TUW-226000-xstream.xml")</f>
      </c>
      <c r="D80" s="715">
        <f>HYPERLINK("D:\Java\git\MethodDemosGit\MethodDemos\output\extracted\grobid\grobid-TUW-226000-xstream.xml")</f>
      </c>
      <c r="E80" t="s" s="716">
        <v>238</v>
      </c>
      <c r="F80" t="s" s="717">
        <v>239</v>
      </c>
      <c r="G80" t="n" s="718">
        <v>1.0</v>
      </c>
      <c r="H80" t="n" s="719">
        <v>1.0</v>
      </c>
      <c r="I80" t="n" s="720">
        <v>1.0</v>
      </c>
    </row>
    <row r="81">
      <c r="A81" t="s" s="721">
        <v>240</v>
      </c>
      <c r="B81" s="722">
        <f>HYPERLINK("D:\Java\git\MethodDemosGit\MethodDemos\output\groundtruth\TUW-226016.pdf")</f>
      </c>
      <c r="C81" s="723">
        <f>HYPERLINK("D:\Java\git\MethodDemosGit\MethodDemos\output\result\result-TUW-226016-xstream.xml")</f>
      </c>
      <c r="D81" s="724">
        <f>HYPERLINK("D:\Java\git\MethodDemosGit\MethodDemos\output\extracted\grobid\grobid-TUW-226016-xstream.xml")</f>
      </c>
      <c r="E81" t="s" s="725">
        <v>241</v>
      </c>
      <c r="F81" t="s" s="726">
        <v>242</v>
      </c>
      <c r="G81" t="n" s="727">
        <v>0.18</v>
      </c>
      <c r="H81" t="n" s="728">
        <v>1.0</v>
      </c>
      <c r="I81" t="n" s="729">
        <v>0.3</v>
      </c>
    </row>
    <row r="82">
      <c r="A82" t="s" s="730">
        <v>243</v>
      </c>
      <c r="B82" s="731">
        <f>HYPERLINK("D:\Java\git\MethodDemosGit\MethodDemos\output\groundtruth\TUW-228620.pdf")</f>
      </c>
      <c r="C82" s="732">
        <f>HYPERLINK("D:\Java\git\MethodDemosGit\MethodDemos\output\result\result-TUW-228620-xstream.xml")</f>
      </c>
      <c r="D82" s="733">
        <f>HYPERLINK("D:\Java\git\MethodDemosGit\MethodDemos\output\extracted\grobid\grobid-TUW-228620-xstream.xml")</f>
      </c>
      <c r="E82" t="s" s="734">
        <v>244</v>
      </c>
      <c r="F82" t="s" s="735">
        <v>245</v>
      </c>
      <c r="G82" t="n" s="736">
        <v>0.98</v>
      </c>
      <c r="H82" t="n" s="737">
        <v>0.98</v>
      </c>
      <c r="I82" t="n" s="738">
        <v>0.98</v>
      </c>
    </row>
    <row r="83">
      <c r="A83" t="s" s="739">
        <v>246</v>
      </c>
      <c r="B83" s="740">
        <f>HYPERLINK("D:\Java\git\MethodDemosGit\MethodDemos\output\groundtruth\TUW-231707.pdf")</f>
      </c>
      <c r="C83" s="741">
        <f>HYPERLINK("D:\Java\git\MethodDemosGit\MethodDemos\output\result\result-TUW-231707-xstream.xml")</f>
      </c>
      <c r="D83" s="742">
        <f>HYPERLINK("D:\Java\git\MethodDemosGit\MethodDemos\output\extracted\grobid\grobid-TUW-231707-xstream.xml")</f>
      </c>
      <c r="E83" t="s" s="743">
        <v>247</v>
      </c>
      <c r="F83" t="s" s="744">
        <v>80</v>
      </c>
      <c r="G83" t="s" s="745">
        <v>81</v>
      </c>
      <c r="H83" t="n" s="746">
        <v>0.0</v>
      </c>
      <c r="I83" t="n" s="747">
        <v>0.0</v>
      </c>
    </row>
    <row r="84">
      <c r="A84" t="s" s="748">
        <v>248</v>
      </c>
      <c r="B84" s="749">
        <f>HYPERLINK("D:\Java\git\MethodDemosGit\MethodDemos\output\groundtruth\TUW-233317.pdf")</f>
      </c>
      <c r="C84" s="750">
        <f>HYPERLINK("D:\Java\git\MethodDemosGit\MethodDemos\output\result\result-TUW-233317-xstream.xml")</f>
      </c>
      <c r="D84" s="751">
        <f>HYPERLINK("D:\Java\git\MethodDemosGit\MethodDemos\output\extracted\grobid\grobid-TUW-233317-xstream.xml")</f>
      </c>
      <c r="E84" t="s" s="752">
        <v>249</v>
      </c>
      <c r="F84" t="s" s="753">
        <v>250</v>
      </c>
      <c r="G84" t="n" s="754">
        <v>1.0</v>
      </c>
      <c r="H84" t="n" s="755">
        <v>1.0</v>
      </c>
      <c r="I84" t="n" s="756">
        <v>1.0</v>
      </c>
    </row>
    <row r="85">
      <c r="A85" t="s" s="757">
        <v>251</v>
      </c>
      <c r="B85" s="758">
        <f>HYPERLINK("D:\Java\git\MethodDemosGit\MethodDemos\output\groundtruth\TUW-233657.pdf")</f>
      </c>
      <c r="C85" s="759">
        <f>HYPERLINK("D:\Java\git\MethodDemosGit\MethodDemos\output\result\result-TUW-233657-xstream.xml")</f>
      </c>
      <c r="D85" s="760">
        <f>HYPERLINK("D:\Java\git\MethodDemosGit\MethodDemos\output\extracted\grobid\grobid-TUW-233657-xstream.xml")</f>
      </c>
      <c r="E85" t="s" s="761">
        <v>252</v>
      </c>
      <c r="F85" t="s" s="762">
        <v>253</v>
      </c>
      <c r="G85" t="n" s="763">
        <v>1.0</v>
      </c>
      <c r="H85" t="n" s="764">
        <v>1.0</v>
      </c>
      <c r="I85" t="n" s="765">
        <v>1.0</v>
      </c>
    </row>
    <row r="86">
      <c r="A86" t="s" s="766">
        <v>254</v>
      </c>
      <c r="B86" s="767">
        <f>HYPERLINK("D:\Java\git\MethodDemosGit\MethodDemos\output\groundtruth\TUW-236063.pdf")</f>
      </c>
      <c r="C86" s="768">
        <f>HYPERLINK("D:\Java\git\MethodDemosGit\MethodDemos\output\result\result-TUW-236063-xstream.xml")</f>
      </c>
      <c r="D86" s="769">
        <f>HYPERLINK("D:\Java\git\MethodDemosGit\MethodDemos\output\extracted\grobid\grobid-TUW-236063-xstream.xml")</f>
      </c>
      <c r="E86" t="s" s="770">
        <v>255</v>
      </c>
      <c r="F86" t="s" s="771">
        <v>256</v>
      </c>
      <c r="G86" t="n" s="772">
        <v>0.75</v>
      </c>
      <c r="H86" t="n" s="773">
        <v>1.0</v>
      </c>
      <c r="I86" t="n" s="774">
        <v>0.86</v>
      </c>
    </row>
    <row r="87">
      <c r="A87" t="s" s="775">
        <v>257</v>
      </c>
      <c r="B87" s="776">
        <f>HYPERLINK("D:\Java\git\MethodDemosGit\MethodDemos\output\groundtruth\TUW-236120.pdf")</f>
      </c>
      <c r="C87" s="777">
        <f>HYPERLINK("D:\Java\git\MethodDemosGit\MethodDemos\output\result\result-TUW-236120-xstream.xml")</f>
      </c>
      <c r="D87" s="778">
        <f>HYPERLINK("D:\Java\git\MethodDemosGit\MethodDemos\output\extracted\grobid\grobid-TUW-236120-xstream.xml")</f>
      </c>
      <c r="E87" t="s" s="779">
        <v>258</v>
      </c>
      <c r="F87" t="s" s="780">
        <v>259</v>
      </c>
      <c r="G87" t="n" s="781">
        <v>0.94</v>
      </c>
      <c r="H87" t="n" s="782">
        <v>0.84</v>
      </c>
      <c r="I87" t="n" s="783">
        <v>0.89</v>
      </c>
    </row>
    <row r="88">
      <c r="A88" t="s" s="784">
        <v>260</v>
      </c>
      <c r="B88" s="785">
        <f>HYPERLINK("D:\Java\git\MethodDemosGit\MethodDemos\output\groundtruth\TUW-237297.pdf")</f>
      </c>
      <c r="C88" s="786">
        <f>HYPERLINK("D:\Java\git\MethodDemosGit\MethodDemos\output\result\result-TUW-237297-xstream.xml")</f>
      </c>
      <c r="D88" s="787">
        <f>HYPERLINK("D:\Java\git\MethodDemosGit\MethodDemos\output\extracted\grobid\grobid-TUW-237297-xstream.xml")</f>
      </c>
      <c r="E88" t="s" s="788">
        <v>261</v>
      </c>
      <c r="F88" t="s" s="789">
        <v>262</v>
      </c>
      <c r="G88" t="n" s="790">
        <v>0.89</v>
      </c>
      <c r="H88" t="n" s="791">
        <v>0.89</v>
      </c>
      <c r="I88" t="n" s="792">
        <v>0.89</v>
      </c>
    </row>
    <row r="89">
      <c r="A89" t="s" s="793">
        <v>263</v>
      </c>
      <c r="B89" s="794">
        <f>HYPERLINK("D:\Java\git\MethodDemosGit\MethodDemos\output\groundtruth\TUW-240858.pdf")</f>
      </c>
      <c r="C89" s="795">
        <f>HYPERLINK("D:\Java\git\MethodDemosGit\MethodDemos\output\result\result-TUW-240858-xstream.xml")</f>
      </c>
      <c r="D89" s="796">
        <f>HYPERLINK("D:\Java\git\MethodDemosGit\MethodDemos\output\extracted\grobid\grobid-TUW-240858-xstream.xml")</f>
      </c>
      <c r="E89" t="s" s="797">
        <v>264</v>
      </c>
      <c r="F89" t="s" s="798">
        <v>265</v>
      </c>
      <c r="G89" t="n" s="799">
        <v>1.0</v>
      </c>
      <c r="H89" t="n" s="800">
        <v>1.0</v>
      </c>
      <c r="I89" t="n" s="801">
        <v>1.0</v>
      </c>
    </row>
    <row r="90">
      <c r="A90" t="s" s="802">
        <v>266</v>
      </c>
      <c r="B90" s="803">
        <f>HYPERLINK("D:\Java\git\MethodDemosGit\MethodDemos\output\groundtruth\TUW-245336.pdf")</f>
      </c>
      <c r="C90" s="804">
        <f>HYPERLINK("D:\Java\git\MethodDemosGit\MethodDemos\output\result\result-TUW-245336-xstream.xml")</f>
      </c>
      <c r="D90" s="805">
        <f>HYPERLINK("D:\Java\git\MethodDemosGit\MethodDemos\output\extracted\grobid\grobid-TUW-245336-xstream.xml")</f>
      </c>
      <c r="E90" t="s" s="806">
        <v>267</v>
      </c>
      <c r="F90" t="s" s="807">
        <v>268</v>
      </c>
      <c r="G90" t="n" s="808">
        <v>0.95</v>
      </c>
      <c r="H90" t="n" s="809">
        <v>0.91</v>
      </c>
      <c r="I90" t="n" s="810">
        <v>0.93</v>
      </c>
    </row>
    <row r="91">
      <c r="A91" t="s" s="811">
        <v>269</v>
      </c>
      <c r="B91" s="812">
        <f>HYPERLINK("D:\Java\git\MethodDemosGit\MethodDemos\output\groundtruth\TUW-245799.pdf")</f>
      </c>
      <c r="C91" s="813">
        <f>HYPERLINK("D:\Java\git\MethodDemosGit\MethodDemos\output\result\result-TUW-245799-xstream.xml")</f>
      </c>
      <c r="D91" s="814">
        <f>HYPERLINK("D:\Java\git\MethodDemosGit\MethodDemos\output\extracted\grobid\grobid-TUW-245799-xstream.xml")</f>
      </c>
      <c r="E91" t="s" s="815">
        <v>270</v>
      </c>
      <c r="F91" t="s" s="816">
        <v>271</v>
      </c>
      <c r="G91" t="n" s="817">
        <v>0.78</v>
      </c>
      <c r="H91" t="n" s="818">
        <v>1.0</v>
      </c>
      <c r="I91" t="n" s="819">
        <v>0.88</v>
      </c>
    </row>
    <row r="92">
      <c r="A92" t="s" s="820">
        <v>272</v>
      </c>
      <c r="B92" s="821">
        <f>HYPERLINK("D:\Java\git\MethodDemosGit\MethodDemos\output\groundtruth\TUW-247301.pdf")</f>
      </c>
      <c r="C92" s="822">
        <f>HYPERLINK("D:\Java\git\MethodDemosGit\MethodDemos\output\result\result-TUW-247301-xstream.xml")</f>
      </c>
      <c r="D92" s="823">
        <f>HYPERLINK("D:\Java\git\MethodDemosGit\MethodDemos\output\extracted\grobid\grobid-TUW-247301-xstream.xml")</f>
      </c>
      <c r="E92" t="s" s="824">
        <v>273</v>
      </c>
      <c r="F92" t="s" s="825">
        <v>274</v>
      </c>
      <c r="G92" t="n" s="826">
        <v>1.0</v>
      </c>
      <c r="H92" t="n" s="827">
        <v>1.0</v>
      </c>
      <c r="I92" t="n" s="828">
        <v>1.0</v>
      </c>
    </row>
    <row r="93">
      <c r="A93" t="s" s="829">
        <v>275</v>
      </c>
      <c r="B93" s="830">
        <f>HYPERLINK("D:\Java\git\MethodDemosGit\MethodDemos\output\groundtruth\TUW-247741.pdf")</f>
      </c>
      <c r="C93" s="831">
        <f>HYPERLINK("D:\Java\git\MethodDemosGit\MethodDemos\output\result\result-TUW-247741-xstream.xml")</f>
      </c>
      <c r="D93" s="832">
        <f>HYPERLINK("D:\Java\git\MethodDemosGit\MethodDemos\output\extracted\grobid\grobid-TUW-247741-xstream.xml")</f>
      </c>
      <c r="E93" t="s" s="833">
        <v>276</v>
      </c>
      <c r="F93" t="s" s="834">
        <v>277</v>
      </c>
      <c r="G93" t="n" s="835">
        <v>1.0</v>
      </c>
      <c r="H93" t="n" s="836">
        <v>1.0</v>
      </c>
      <c r="I93" t="n" s="837">
        <v>1.0</v>
      </c>
    </row>
    <row r="94">
      <c r="A94" t="s" s="838">
        <v>278</v>
      </c>
      <c r="B94" s="839">
        <f>HYPERLINK("D:\Java\git\MethodDemosGit\MethodDemos\output\groundtruth\TUW-247743.pdf")</f>
      </c>
      <c r="C94" s="840">
        <f>HYPERLINK("D:\Java\git\MethodDemosGit\MethodDemos\output\result\result-TUW-247743-xstream.xml")</f>
      </c>
      <c r="D94" s="841">
        <f>HYPERLINK("D:\Java\git\MethodDemosGit\MethodDemos\output\extracted\grobid\grobid-TUW-247743-xstream.xml")</f>
      </c>
      <c r="E94" t="s" s="842">
        <v>279</v>
      </c>
      <c r="F94" t="s" s="843">
        <v>280</v>
      </c>
      <c r="G94" t="n" s="844">
        <v>0.9</v>
      </c>
      <c r="H94" t="n" s="845">
        <v>0.86</v>
      </c>
      <c r="I94" t="n" s="846">
        <v>0.88</v>
      </c>
    </row>
    <row r="95">
      <c r="A95" t="s" s="847">
        <v>281</v>
      </c>
      <c r="B95" s="848">
        <f>HYPERLINK("D:\Java\git\MethodDemosGit\MethodDemos\output\groundtruth\TUW-251544.pdf")</f>
      </c>
      <c r="C95" s="849">
        <f>HYPERLINK("D:\Java\git\MethodDemosGit\MethodDemos\output\result\result-TUW-251544-xstream.xml")</f>
      </c>
      <c r="D95" s="850">
        <f>HYPERLINK("D:\Java\git\MethodDemosGit\MethodDemos\output\extracted\grobid\grobid-TUW-251544-xstream.xml")</f>
      </c>
      <c r="E95" t="s" s="851">
        <v>282</v>
      </c>
      <c r="F95" t="s" s="852">
        <v>283</v>
      </c>
      <c r="G95" t="n" s="853">
        <v>0.8</v>
      </c>
      <c r="H95" t="n" s="854">
        <v>0.73</v>
      </c>
      <c r="I95" t="n" s="855">
        <v>0.76</v>
      </c>
    </row>
    <row r="96">
      <c r="A96" t="s" s="856">
        <v>284</v>
      </c>
      <c r="B96" s="857">
        <f>HYPERLINK("D:\Java\git\MethodDemosGit\MethodDemos\output\groundtruth\TUW-252847.pdf")</f>
      </c>
      <c r="C96" s="858">
        <f>HYPERLINK("D:\Java\git\MethodDemosGit\MethodDemos\output\result\result-TUW-252847-xstream.xml")</f>
      </c>
      <c r="D96" s="859">
        <f>HYPERLINK("D:\Java\git\MethodDemosGit\MethodDemos\output\extracted\grobid\grobid-TUW-252847-xstream.xml")</f>
      </c>
      <c r="E96" t="s" s="860">
        <v>285</v>
      </c>
      <c r="F96" t="s" s="861">
        <v>286</v>
      </c>
      <c r="G96" t="n" s="862">
        <v>1.0</v>
      </c>
      <c r="H96" t="n" s="863">
        <v>1.0</v>
      </c>
      <c r="I96" t="n" s="864">
        <v>1.0</v>
      </c>
    </row>
    <row r="97">
      <c r="A97" t="s" s="865">
        <v>287</v>
      </c>
      <c r="B97" s="866">
        <f>HYPERLINK("D:\Java\git\MethodDemosGit\MethodDemos\output\groundtruth\TUW-255712.pdf")</f>
      </c>
      <c r="C97" s="867">
        <f>HYPERLINK("D:\Java\git\MethodDemosGit\MethodDemos\output\result\result-TUW-255712-xstream.xml")</f>
      </c>
      <c r="D97" s="868">
        <f>HYPERLINK("D:\Java\git\MethodDemosGit\MethodDemos\output\extracted\grobid\grobid-TUW-255712-xstream.xml")</f>
      </c>
      <c r="E97" t="s" s="869">
        <v>288</v>
      </c>
      <c r="F97" t="s" s="870">
        <v>289</v>
      </c>
      <c r="G97" t="n" s="871">
        <v>0.87</v>
      </c>
      <c r="H97" t="n" s="872">
        <v>0.8</v>
      </c>
      <c r="I97" t="n" s="873">
        <v>0.83</v>
      </c>
    </row>
    <row r="98">
      <c r="A98" t="s" s="874">
        <v>290</v>
      </c>
      <c r="B98" s="875">
        <f>HYPERLINK("D:\Java\git\MethodDemosGit\MethodDemos\output\groundtruth\TUW-256654.pdf")</f>
      </c>
      <c r="C98" s="876">
        <f>HYPERLINK("D:\Java\git\MethodDemosGit\MethodDemos\output\result\result-TUW-256654-xstream.xml")</f>
      </c>
      <c r="D98" s="877">
        <f>HYPERLINK("D:\Java\git\MethodDemosGit\MethodDemos\output\extracted\grobid\grobid-TUW-256654-xstream.xml")</f>
      </c>
      <c r="E98" t="s" s="878">
        <v>291</v>
      </c>
      <c r="F98" t="s" s="879">
        <v>80</v>
      </c>
      <c r="G98" t="s" s="880">
        <v>81</v>
      </c>
      <c r="H98" t="n" s="881">
        <v>0.0</v>
      </c>
      <c r="I98" t="n" s="882">
        <v>0.0</v>
      </c>
    </row>
    <row r="99">
      <c r="A99" t="s" s="883">
        <v>292</v>
      </c>
      <c r="B99" s="884">
        <f>HYPERLINK("D:\Java\git\MethodDemosGit\MethodDemos\output\groundtruth\TUW-257397.pdf")</f>
      </c>
      <c r="C99" s="885">
        <f>HYPERLINK("D:\Java\git\MethodDemosGit\MethodDemos\output\result\result-TUW-257397-xstream.xml")</f>
      </c>
      <c r="D99" s="886">
        <f>HYPERLINK("D:\Java\git\MethodDemosGit\MethodDemos\output\extracted\grobid\grobid-TUW-257397-xstream.xml")</f>
      </c>
      <c r="E99" t="s" s="887">
        <v>293</v>
      </c>
      <c r="F99" t="s" s="888">
        <v>294</v>
      </c>
      <c r="G99" t="n" s="889">
        <v>1.0</v>
      </c>
      <c r="H99" t="n" s="890">
        <v>1.0</v>
      </c>
      <c r="I99" t="n" s="891">
        <v>1.0</v>
      </c>
    </row>
    <row r="100">
      <c r="A100" t="s" s="892">
        <v>295</v>
      </c>
      <c r="B100" s="893">
        <f>HYPERLINK("D:\Java\git\MethodDemosGit\MethodDemos\output\groundtruth\TUW-257870.pdf")</f>
      </c>
      <c r="C100" s="894">
        <f>HYPERLINK("D:\Java\git\MethodDemosGit\MethodDemos\output\result\result-TUW-257870-xstream.xml")</f>
      </c>
      <c r="D100" s="895">
        <f>HYPERLINK("D:\Java\git\MethodDemosGit\MethodDemos\output\extracted\grobid\grobid-TUW-257870-xstream.xml")</f>
      </c>
      <c r="E100" t="s" s="896">
        <v>296</v>
      </c>
      <c r="F100" t="s" s="897">
        <v>297</v>
      </c>
      <c r="G100" t="n" s="898">
        <v>0.6</v>
      </c>
      <c r="H100" t="n" s="899">
        <v>1.0</v>
      </c>
      <c r="I100" t="n" s="900">
        <v>0.75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2018-04-18T09:55:51Z</dcterms:created>
  <dc:creator>Apache POI</dc:creator>
</cp:coreProperties>
</file>