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SHKAR\Desktop\CarDekho\"/>
    </mc:Choice>
  </mc:AlternateContent>
  <xr:revisionPtr revIDLastSave="0" documentId="13_ncr:1_{C2459523-5A28-43A1-B029-94A0BFE299FD}" xr6:coauthVersionLast="41" xr6:coauthVersionMax="41" xr10:uidLastSave="{00000000-0000-0000-0000-000000000000}"/>
  <bookViews>
    <workbookView xWindow="-108" yWindow="-108" windowWidth="23256" windowHeight="12600" activeTab="2" xr2:uid="{E47952D9-27D6-4583-BB55-56B1A7AB14FE}"/>
  </bookViews>
  <sheets>
    <sheet name="Monthly" sheetId="1" r:id="rId1"/>
    <sheet name="Quaterly" sheetId="4" r:id="rId2"/>
    <sheet name="Yearly" sheetId="3" r:id="rId3"/>
    <sheet name="Monthly Forecast" sheetId="5" r:id="rId4"/>
    <sheet name="Linear Regression" sheetId="11" r:id="rId5"/>
    <sheet name="Yearly Forecast" sheetId="10" r:id="rId6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Monthly!$M$4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0" i="1" l="1"/>
  <c r="G70" i="1"/>
  <c r="H70" i="1"/>
  <c r="I70" i="1"/>
  <c r="J70" i="1"/>
  <c r="D70" i="1"/>
  <c r="N2" i="3"/>
  <c r="N3" i="3"/>
  <c r="N4" i="3"/>
  <c r="N5" i="3"/>
  <c r="N6" i="3"/>
  <c r="N7" i="3"/>
  <c r="M7" i="3"/>
  <c r="M6" i="3"/>
  <c r="M5" i="3"/>
  <c r="M4" i="3"/>
  <c r="M3" i="3"/>
  <c r="M2" i="3"/>
  <c r="G2" i="3"/>
  <c r="G8" i="3" s="1"/>
  <c r="H2" i="3"/>
  <c r="I2" i="3"/>
  <c r="I8" i="3" s="1"/>
  <c r="J2" i="3"/>
  <c r="J8" i="3" s="1"/>
  <c r="K2" i="3"/>
  <c r="K8" i="3" s="1"/>
  <c r="G3" i="3"/>
  <c r="H3" i="3"/>
  <c r="I3" i="3"/>
  <c r="J3" i="3"/>
  <c r="K3" i="3"/>
  <c r="G4" i="3"/>
  <c r="H4" i="3"/>
  <c r="I4" i="3"/>
  <c r="J4" i="3"/>
  <c r="K4" i="3"/>
  <c r="G5" i="3"/>
  <c r="H5" i="3"/>
  <c r="H8" i="3" s="1"/>
  <c r="I5" i="3"/>
  <c r="J5" i="3"/>
  <c r="K5" i="3"/>
  <c r="G6" i="3"/>
  <c r="H6" i="3"/>
  <c r="I6" i="3"/>
  <c r="J6" i="3"/>
  <c r="K6" i="3"/>
  <c r="G7" i="3"/>
  <c r="H7" i="3"/>
  <c r="I7" i="3"/>
  <c r="J7" i="3"/>
  <c r="K7" i="3"/>
  <c r="C7" i="10"/>
  <c r="C8" i="10"/>
  <c r="E8" i="10"/>
  <c r="E7" i="10"/>
  <c r="D7" i="10"/>
  <c r="D8" i="10"/>
  <c r="B63" i="5" l="1"/>
  <c r="E2" i="4"/>
  <c r="G2" i="4"/>
  <c r="H2" i="4"/>
  <c r="I2" i="4"/>
  <c r="J2" i="4"/>
  <c r="L2" i="4"/>
  <c r="E3" i="4"/>
  <c r="G3" i="4"/>
  <c r="H3" i="4"/>
  <c r="I3" i="4"/>
  <c r="J3" i="4"/>
  <c r="L3" i="4"/>
  <c r="E4" i="4"/>
  <c r="G4" i="4"/>
  <c r="H4" i="4"/>
  <c r="I4" i="4"/>
  <c r="J4" i="4"/>
  <c r="L4" i="4"/>
  <c r="E5" i="4"/>
  <c r="G5" i="4"/>
  <c r="H5" i="4"/>
  <c r="I5" i="4"/>
  <c r="J5" i="4"/>
  <c r="L5" i="4"/>
  <c r="E6" i="4"/>
  <c r="G6" i="4"/>
  <c r="H6" i="4"/>
  <c r="I6" i="4"/>
  <c r="J6" i="4"/>
  <c r="L6" i="4"/>
  <c r="E7" i="4"/>
  <c r="G7" i="4"/>
  <c r="H7" i="4"/>
  <c r="I7" i="4"/>
  <c r="J7" i="4"/>
  <c r="L7" i="4"/>
  <c r="E8" i="4"/>
  <c r="G8" i="4"/>
  <c r="H8" i="4"/>
  <c r="I8" i="4"/>
  <c r="J8" i="4"/>
  <c r="L8" i="4"/>
  <c r="E9" i="4"/>
  <c r="G9" i="4"/>
  <c r="H9" i="4"/>
  <c r="I9" i="4"/>
  <c r="J9" i="4"/>
  <c r="L9" i="4"/>
  <c r="E10" i="4"/>
  <c r="G10" i="4"/>
  <c r="H10" i="4"/>
  <c r="I10" i="4"/>
  <c r="J10" i="4"/>
  <c r="L10" i="4"/>
  <c r="E11" i="4"/>
  <c r="G11" i="4"/>
  <c r="H11" i="4"/>
  <c r="I11" i="4"/>
  <c r="J11" i="4"/>
  <c r="L11" i="4"/>
  <c r="E12" i="4"/>
  <c r="G12" i="4"/>
  <c r="H12" i="4"/>
  <c r="I12" i="4"/>
  <c r="J12" i="4"/>
  <c r="L12" i="4"/>
  <c r="E13" i="4"/>
  <c r="G13" i="4"/>
  <c r="H13" i="4"/>
  <c r="I13" i="4"/>
  <c r="J13" i="4"/>
  <c r="L13" i="4"/>
  <c r="E14" i="4"/>
  <c r="G14" i="4"/>
  <c r="H14" i="4"/>
  <c r="I14" i="4"/>
  <c r="J14" i="4"/>
  <c r="L14" i="4"/>
  <c r="E15" i="4"/>
  <c r="F15" i="4"/>
  <c r="G15" i="4"/>
  <c r="H15" i="4"/>
  <c r="I15" i="4"/>
  <c r="J15" i="4"/>
  <c r="L15" i="4"/>
  <c r="E16" i="4"/>
  <c r="F16" i="4"/>
  <c r="G16" i="4"/>
  <c r="H16" i="4"/>
  <c r="I16" i="4"/>
  <c r="J16" i="4"/>
  <c r="L16" i="4"/>
  <c r="E17" i="4"/>
  <c r="F17" i="4"/>
  <c r="G17" i="4"/>
  <c r="H17" i="4"/>
  <c r="I17" i="4"/>
  <c r="J17" i="4"/>
  <c r="L17" i="4"/>
  <c r="E18" i="4"/>
  <c r="F18" i="4"/>
  <c r="G18" i="4"/>
  <c r="H18" i="4"/>
  <c r="I18" i="4"/>
  <c r="J18" i="4"/>
  <c r="E19" i="4"/>
  <c r="F19" i="4"/>
  <c r="G19" i="4"/>
  <c r="H19" i="4"/>
  <c r="I19" i="4"/>
  <c r="J19" i="4"/>
  <c r="L19" i="4"/>
  <c r="E20" i="4"/>
  <c r="F20" i="4"/>
  <c r="G20" i="4"/>
  <c r="H20" i="4"/>
  <c r="I20" i="4"/>
  <c r="J20" i="4"/>
  <c r="L20" i="4"/>
  <c r="E21" i="4"/>
  <c r="F21" i="4"/>
  <c r="G21" i="4"/>
  <c r="H21" i="4"/>
  <c r="I21" i="4"/>
  <c r="J21" i="4"/>
  <c r="L21" i="4"/>
  <c r="E22" i="4"/>
  <c r="F22" i="4"/>
  <c r="G22" i="4"/>
  <c r="H22" i="4"/>
  <c r="I22" i="4"/>
  <c r="J22" i="4"/>
  <c r="E23" i="4"/>
  <c r="F23" i="4"/>
  <c r="G23" i="4"/>
  <c r="H23" i="4"/>
  <c r="I23" i="4"/>
  <c r="J23" i="4"/>
  <c r="L23" i="4"/>
  <c r="E24" i="4"/>
  <c r="G24" i="4"/>
  <c r="H24" i="4"/>
  <c r="I24" i="4"/>
  <c r="J24" i="4"/>
  <c r="D23" i="4"/>
  <c r="D24" i="4"/>
  <c r="D22" i="4"/>
  <c r="D21" i="4"/>
  <c r="D20" i="4"/>
  <c r="D19" i="4"/>
  <c r="D13" i="4"/>
  <c r="D18" i="4"/>
  <c r="D17" i="4"/>
  <c r="D16" i="4"/>
  <c r="D15" i="4"/>
  <c r="D14" i="4"/>
  <c r="D12" i="4"/>
  <c r="D11" i="4"/>
  <c r="D10" i="4"/>
  <c r="D9" i="4"/>
  <c r="D8" i="4"/>
  <c r="D7" i="4"/>
  <c r="D6" i="4"/>
  <c r="D5" i="4"/>
  <c r="D4" i="4"/>
  <c r="D3" i="4"/>
  <c r="D2" i="4"/>
  <c r="F7" i="3"/>
  <c r="L7" i="3" s="1"/>
  <c r="F6" i="3"/>
  <c r="L6" i="3" s="1"/>
  <c r="F5" i="3"/>
  <c r="L5" i="3" s="1"/>
  <c r="F4" i="3"/>
  <c r="L4" i="3" s="1"/>
  <c r="F3" i="3"/>
  <c r="L3" i="3" s="1"/>
  <c r="F2" i="3"/>
  <c r="B7" i="3"/>
  <c r="B6" i="3"/>
  <c r="B5" i="3"/>
  <c r="B4" i="3"/>
  <c r="B3" i="3"/>
  <c r="B2" i="3"/>
  <c r="K9" i="1"/>
  <c r="M9" i="1" s="1"/>
  <c r="K36" i="1"/>
  <c r="K41" i="1"/>
  <c r="M41" i="1" s="1"/>
  <c r="K42" i="1"/>
  <c r="M42" i="1" s="1"/>
  <c r="K43" i="1"/>
  <c r="K44" i="1"/>
  <c r="K45" i="1"/>
  <c r="M45" i="1" s="1"/>
  <c r="K46" i="1"/>
  <c r="M46" i="1" s="1"/>
  <c r="K47" i="1"/>
  <c r="K48" i="1"/>
  <c r="K49" i="1"/>
  <c r="M49" i="1" s="1"/>
  <c r="K50" i="1"/>
  <c r="M50" i="1" s="1"/>
  <c r="K51" i="1"/>
  <c r="K52" i="1"/>
  <c r="K53" i="1"/>
  <c r="M53" i="1" s="1"/>
  <c r="K54" i="1"/>
  <c r="K55" i="1"/>
  <c r="K56" i="1"/>
  <c r="K57" i="1"/>
  <c r="M57" i="1" s="1"/>
  <c r="K58" i="1"/>
  <c r="K59" i="1"/>
  <c r="K60" i="1"/>
  <c r="K61" i="1"/>
  <c r="M61" i="1" s="1"/>
  <c r="K62" i="1"/>
  <c r="M62" i="1" s="1"/>
  <c r="K63" i="1"/>
  <c r="K64" i="1"/>
  <c r="K65" i="1"/>
  <c r="M65" i="1" s="1"/>
  <c r="B64" i="5" s="1"/>
  <c r="K66" i="1"/>
  <c r="M66" i="1" s="1"/>
  <c r="B65" i="5" s="1"/>
  <c r="K67" i="1"/>
  <c r="K68" i="1"/>
  <c r="K69" i="1"/>
  <c r="M69" i="1" s="1"/>
  <c r="B68" i="5" s="1"/>
  <c r="Q65" i="1"/>
  <c r="R65" i="1"/>
  <c r="W65" i="1"/>
  <c r="X65" i="1"/>
  <c r="V6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2" i="1"/>
  <c r="F4" i="1"/>
  <c r="K4" i="1" s="1"/>
  <c r="F3" i="1"/>
  <c r="K3" i="1" s="1"/>
  <c r="M3" i="1" s="1"/>
  <c r="F5" i="1"/>
  <c r="K5" i="1" s="1"/>
  <c r="F7" i="1"/>
  <c r="K7" i="1" s="1"/>
  <c r="F8" i="1"/>
  <c r="K8" i="1" s="1"/>
  <c r="F10" i="1"/>
  <c r="K10" i="1" s="1"/>
  <c r="F2" i="1"/>
  <c r="F14" i="1"/>
  <c r="K14" i="1" s="1"/>
  <c r="M14" i="1" s="1"/>
  <c r="F13" i="1"/>
  <c r="K13" i="1" s="1"/>
  <c r="F25" i="1"/>
  <c r="K25" i="1" s="1"/>
  <c r="F15" i="1"/>
  <c r="K15" i="1" s="1"/>
  <c r="F27" i="1"/>
  <c r="K27" i="1" s="1"/>
  <c r="M27" i="1" s="1"/>
  <c r="F17" i="1"/>
  <c r="K17" i="1" s="1"/>
  <c r="F29" i="1"/>
  <c r="K29" i="1" s="1"/>
  <c r="F30" i="1"/>
  <c r="K30" i="1" s="1"/>
  <c r="F19" i="1"/>
  <c r="K19" i="1" s="1"/>
  <c r="M19" i="1" s="1"/>
  <c r="F31" i="1"/>
  <c r="K31" i="1" s="1"/>
  <c r="F21" i="1"/>
  <c r="K21" i="1" s="1"/>
  <c r="F33" i="1"/>
  <c r="K33" i="1" s="1"/>
  <c r="F20" i="1"/>
  <c r="K20" i="1" s="1"/>
  <c r="M20" i="1" s="1"/>
  <c r="F32" i="1"/>
  <c r="K32" i="1" s="1"/>
  <c r="K12" i="4" s="1"/>
  <c r="F22" i="1"/>
  <c r="K22" i="1" s="1"/>
  <c r="F34" i="1"/>
  <c r="K34" i="1" s="1"/>
  <c r="M34" i="1" s="1"/>
  <c r="F35" i="1"/>
  <c r="K35" i="1" s="1"/>
  <c r="M35" i="1" s="1"/>
  <c r="M36" i="1"/>
  <c r="F12" i="1"/>
  <c r="K12" i="1" s="1"/>
  <c r="F24" i="1"/>
  <c r="K24" i="1" s="1"/>
  <c r="M24" i="1" s="1"/>
  <c r="F39" i="1"/>
  <c r="K39" i="1" s="1"/>
  <c r="M39" i="1" s="1"/>
  <c r="F40" i="1"/>
  <c r="K40" i="1" s="1"/>
  <c r="F16" i="1"/>
  <c r="K16" i="1" s="1"/>
  <c r="M16" i="1" s="1"/>
  <c r="F28" i="1"/>
  <c r="K28" i="1" s="1"/>
  <c r="M28" i="1" s="1"/>
  <c r="F37" i="1"/>
  <c r="K37" i="1" s="1"/>
  <c r="F11" i="1"/>
  <c r="K11" i="1" s="1"/>
  <c r="K5" i="4" s="1"/>
  <c r="F23" i="1"/>
  <c r="K23" i="1" s="1"/>
  <c r="M23" i="1" s="1"/>
  <c r="F6" i="1"/>
  <c r="K6" i="1" s="1"/>
  <c r="F18" i="1"/>
  <c r="K18" i="1" s="1"/>
  <c r="F26" i="1"/>
  <c r="K26" i="1" s="1"/>
  <c r="M59" i="1"/>
  <c r="M60" i="1"/>
  <c r="M63" i="1"/>
  <c r="B62" i="5" s="1"/>
  <c r="L64" i="1"/>
  <c r="L22" i="4" s="1"/>
  <c r="M67" i="1"/>
  <c r="B66" i="5" s="1"/>
  <c r="M68" i="1"/>
  <c r="M43" i="1"/>
  <c r="M44" i="1"/>
  <c r="M47" i="1"/>
  <c r="M48" i="1"/>
  <c r="L52" i="1"/>
  <c r="M55" i="1"/>
  <c r="M56" i="1"/>
  <c r="F38" i="1"/>
  <c r="K38" i="1" s="1"/>
  <c r="C62" i="5"/>
  <c r="C66" i="5"/>
  <c r="C70" i="5"/>
  <c r="C74" i="5"/>
  <c r="J2" i="5"/>
  <c r="J6" i="5"/>
  <c r="C69" i="5"/>
  <c r="C63" i="5"/>
  <c r="C67" i="5"/>
  <c r="C71" i="5"/>
  <c r="C75" i="5"/>
  <c r="J3" i="5"/>
  <c r="J7" i="5"/>
  <c r="C61" i="5"/>
  <c r="C73" i="5"/>
  <c r="C64" i="5"/>
  <c r="C68" i="5"/>
  <c r="C72" i="5"/>
  <c r="J4" i="5"/>
  <c r="J8" i="5"/>
  <c r="C65" i="5"/>
  <c r="J5" i="5"/>
  <c r="L18" i="4" l="1"/>
  <c r="L70" i="1"/>
  <c r="L24" i="4" s="1"/>
  <c r="M15" i="4"/>
  <c r="K2" i="1"/>
  <c r="K70" i="1" s="1"/>
  <c r="K24" i="4" s="1"/>
  <c r="F70" i="1"/>
  <c r="F24" i="4" s="1"/>
  <c r="F8" i="3"/>
  <c r="L2" i="3"/>
  <c r="L8" i="3" s="1"/>
  <c r="K11" i="4"/>
  <c r="F5" i="4"/>
  <c r="B67" i="5"/>
  <c r="M17" i="4"/>
  <c r="K3" i="4"/>
  <c r="M16" i="4"/>
  <c r="M21" i="4"/>
  <c r="K21" i="4"/>
  <c r="K17" i="4"/>
  <c r="K14" i="4"/>
  <c r="K10" i="4"/>
  <c r="K7" i="4"/>
  <c r="K4" i="4"/>
  <c r="K20" i="4"/>
  <c r="F9" i="4"/>
  <c r="B61" i="5"/>
  <c r="M22" i="4"/>
  <c r="K8" i="4"/>
  <c r="K23" i="4"/>
  <c r="K19" i="4"/>
  <c r="K15" i="4"/>
  <c r="F12" i="4"/>
  <c r="F8" i="4"/>
  <c r="F4" i="4"/>
  <c r="M58" i="1"/>
  <c r="M20" i="4" s="1"/>
  <c r="K22" i="4"/>
  <c r="K18" i="4"/>
  <c r="F11" i="4"/>
  <c r="F7" i="4"/>
  <c r="K6" i="4"/>
  <c r="F3" i="4"/>
  <c r="K16" i="4"/>
  <c r="F13" i="4"/>
  <c r="M23" i="4"/>
  <c r="F14" i="4"/>
  <c r="K13" i="4"/>
  <c r="F10" i="4"/>
  <c r="K9" i="4"/>
  <c r="F6" i="4"/>
  <c r="F2" i="4"/>
  <c r="Y65" i="1"/>
  <c r="M31" i="1"/>
  <c r="M5" i="1"/>
  <c r="M17" i="1"/>
  <c r="M13" i="1"/>
  <c r="M26" i="1"/>
  <c r="M32" i="1"/>
  <c r="M8" i="1"/>
  <c r="M33" i="1"/>
  <c r="M4" i="1"/>
  <c r="M12" i="1"/>
  <c r="M15" i="1"/>
  <c r="M11" i="1"/>
  <c r="M38" i="1"/>
  <c r="M22" i="1"/>
  <c r="M10" i="1"/>
  <c r="M29" i="1"/>
  <c r="M25" i="1"/>
  <c r="M9" i="4" s="1"/>
  <c r="M21" i="1"/>
  <c r="M8" i="4" s="1"/>
  <c r="M40" i="1"/>
  <c r="M7" i="1"/>
  <c r="M18" i="1"/>
  <c r="M6" i="1"/>
  <c r="M37" i="1"/>
  <c r="M13" i="4" s="1"/>
  <c r="M54" i="1"/>
  <c r="M19" i="4" s="1"/>
  <c r="M51" i="1"/>
  <c r="M30" i="1"/>
  <c r="E65" i="5"/>
  <c r="E68" i="5"/>
  <c r="E73" i="5"/>
  <c r="D75" i="5"/>
  <c r="D67" i="5"/>
  <c r="D70" i="5"/>
  <c r="D65" i="5"/>
  <c r="D68" i="5"/>
  <c r="D73" i="5"/>
  <c r="E75" i="5"/>
  <c r="E67" i="5"/>
  <c r="D69" i="5"/>
  <c r="E70" i="5"/>
  <c r="D62" i="5"/>
  <c r="E72" i="5"/>
  <c r="E64" i="5"/>
  <c r="E61" i="5"/>
  <c r="D71" i="5"/>
  <c r="D63" i="5"/>
  <c r="D74" i="5"/>
  <c r="E66" i="5"/>
  <c r="D72" i="5"/>
  <c r="D64" i="5"/>
  <c r="D61" i="5"/>
  <c r="E71" i="5"/>
  <c r="E63" i="5"/>
  <c r="E74" i="5"/>
  <c r="D66" i="5"/>
  <c r="E69" i="5"/>
  <c r="E62" i="5"/>
  <c r="O6" i="3" l="1"/>
  <c r="P6" i="3" s="1"/>
  <c r="K2" i="4"/>
  <c r="M2" i="1"/>
  <c r="M70" i="1" s="1"/>
  <c r="M5" i="4"/>
  <c r="O3" i="3"/>
  <c r="P3" i="3" s="1"/>
  <c r="M4" i="4"/>
  <c r="M7" i="4"/>
  <c r="M3" i="4"/>
  <c r="M6" i="4"/>
  <c r="M18" i="4"/>
  <c r="O5" i="3"/>
  <c r="P5" i="3" s="1"/>
  <c r="M14" i="4"/>
  <c r="M12" i="4"/>
  <c r="M11" i="4"/>
  <c r="M2" i="4"/>
  <c r="O2" i="3"/>
  <c r="P2" i="3" s="1"/>
  <c r="O4" i="3"/>
  <c r="P4" i="3" s="1"/>
  <c r="M10" i="4"/>
  <c r="M24" i="4" l="1"/>
  <c r="O7" i="3"/>
  <c r="P7" i="3" l="1"/>
  <c r="B7" i="10"/>
</calcChain>
</file>

<file path=xl/sharedStrings.xml><?xml version="1.0" encoding="utf-8"?>
<sst xmlns="http://schemas.openxmlformats.org/spreadsheetml/2006/main" count="110" uniqueCount="87">
  <si>
    <t>Month</t>
  </si>
  <si>
    <t>Year</t>
  </si>
  <si>
    <t>A: Mini</t>
  </si>
  <si>
    <t>A: Compact</t>
  </si>
  <si>
    <t>A: Mid-Size</t>
  </si>
  <si>
    <t>B: Utility vehicles</t>
  </si>
  <si>
    <t>C: Vans</t>
  </si>
  <si>
    <t>Light Commercial Vehicles</t>
  </si>
  <si>
    <t>Sales to other OEM: A: Compact</t>
  </si>
  <si>
    <t>Total Domestic</t>
  </si>
  <si>
    <t>Total Export</t>
  </si>
  <si>
    <t>Total Sales(Domestic+Export)</t>
  </si>
  <si>
    <t>Fuel Prices(Petrol)</t>
  </si>
  <si>
    <t>Fuel Prices(Diesel)</t>
  </si>
  <si>
    <t>Crude Oil (Barrel)</t>
  </si>
  <si>
    <t>Maruti Suzuki's Market Share</t>
  </si>
  <si>
    <t>Advertising And promostion Budget</t>
  </si>
  <si>
    <t>Hyundai</t>
  </si>
  <si>
    <t>Mahindra and Mahindra</t>
  </si>
  <si>
    <t>Tata</t>
  </si>
  <si>
    <t>Honda</t>
  </si>
  <si>
    <t>Toyota</t>
  </si>
  <si>
    <t>Others</t>
  </si>
  <si>
    <t>Number of New cars by MS</t>
  </si>
  <si>
    <t>Number of New cars by Top Competitors</t>
  </si>
  <si>
    <t>Average Parking Cost Delhi</t>
  </si>
  <si>
    <t>Forecast(Total Sales(Domestic+Export))</t>
  </si>
  <si>
    <t>Lower Confidence Bound(Total Sales(Domestic+Export))</t>
  </si>
  <si>
    <t>Upper Confidence Bound(Total Sales(Domestic+Export))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</si>
  <si>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</si>
  <si>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</si>
  <si>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</si>
  <si>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</si>
  <si>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</si>
  <si>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</si>
  <si>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</si>
  <si>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</si>
  <si>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</si>
  <si>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r>
      <t>Average Sales Cost of PV in India(</t>
    </r>
    <r>
      <rPr>
        <sz val="11"/>
        <color theme="1"/>
        <rFont val="Calibri"/>
        <family val="2"/>
      </rPr>
      <t>∑(cost)*(number of units))/(Total number of units)</t>
    </r>
  </si>
  <si>
    <t>GDP</t>
  </si>
  <si>
    <t>Dollar to Inr</t>
  </si>
  <si>
    <t>Total Vehicles Sold by MS</t>
  </si>
  <si>
    <t>Total Vehicles sold by All</t>
  </si>
  <si>
    <t>2019*</t>
  </si>
  <si>
    <t>Quarter</t>
  </si>
  <si>
    <t>Quarter-Year</t>
  </si>
  <si>
    <t>Month-Year</t>
  </si>
  <si>
    <t>TotalSales(Domestic+Export)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</si>
  <si>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</si>
  <si>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</si>
  <si>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</si>
  <si>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</si>
  <si>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</si>
  <si>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</si>
  <si>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</si>
  <si>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</si>
  <si>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</si>
  <si>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</si>
  <si>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</si>
  <si>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</si>
  <si>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</si>
  <si>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</si>
  <si>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</si>
  <si>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</si>
  <si>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</si>
  <si>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</si>
  <si>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</si>
  <si>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</si>
  <si>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</si>
  <si>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</si>
  <si>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</si>
  <si>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</si>
  <si>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</si>
  <si>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</si>
  <si>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</si>
  <si>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</si>
  <si>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Forecast(Total Vehicles Sold by MS)</t>
  </si>
  <si>
    <t>Lower Confidence Bound(Total Vehicles Sold by MS)</t>
  </si>
  <si>
    <t>Upper Confidence Bound(Total Vehicles Sold by MS)</t>
  </si>
  <si>
    <t>Predicted TotalSales(Domestic+Export)</t>
  </si>
  <si>
    <t>Agriculture,
Forestry and
Fishing</t>
  </si>
  <si>
    <t>Maruti Suzuki</t>
  </si>
  <si>
    <t>Mini: Alto, Zen</t>
  </si>
  <si>
    <t>Compact: WagonR, Swift</t>
  </si>
  <si>
    <t>Mid-Size: Swift Dzire, SX4, CIAZ</t>
  </si>
  <si>
    <t>Utility vehicles: EECO</t>
  </si>
  <si>
    <t>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</si>
</sst>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7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" fontId="0" fillId="0" borderId="0" xfId="0" applyNumberFormat="1"/>
    <xf numFmtId="2" fontId="0" fillId="0" borderId="0" xfId="0" applyNumberFormat="1"/>
    <xf numFmtId="2" fontId="1" fillId="0" borderId="0" xfId="1" applyNumberFormat="1"/>
    <xf numFmtId="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" fontId="0" fillId="0" borderId="0" xfId="0" applyNumberFormat="1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0" xfId="0" applyNumberFormat="1"/>
    <xf numFmtId="0" fontId="4" fillId="0" borderId="0" xfId="0" applyFont="1" applyAlignment="1">
      <alignment vertical="top"/>
    </xf>
  </cellXfs>
  <cellStyles count="2">
    <cellStyle name="Normal" xfId="0" builtinId="0"/>
    <cellStyle name="Normal 2" xfId="1" xr:uid="{F197747B-D781-4A58-AFB9-CB11273FC7BB}"/>
  </cellStyles>
  <dxfs count="1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4" formatCode="#,##0.00"/>
    </dxf>
    <dxf>
      <numFmt numFmtId="1" formatCode="0"/>
    </dxf>
    <dxf>
      <numFmt numFmtId="1" formatCode="0"/>
    </dxf>
    <dxf>
      <numFmt numFmtId="1" formatCode="0"/>
    </dxf>
    <dxf>
      <numFmt numFmtId="22" formatCode="mmm\-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D30D2E1-60BD-4AD4-9E54-669E6CCC9A4D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DC-4D61-9E8F-30C780B171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DC-4D61-9E8F-30C780B171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DC-4D61-9E8F-30C780B171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DC-4D61-9E8F-30C780B171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DC-4D61-9E8F-30C780B171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ADC-4D61-9E8F-30C780B171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ADC-4D61-9E8F-30C780B17130}"/>
              </c:ext>
            </c:extLst>
          </c:dPt>
          <c:cat>
            <c:strRef>
              <c:f>Monthly!$D$1:$J$1</c:f>
              <c:strCache>
                <c:ptCount val="7"/>
                <c:pt idx="0">
                  <c:v>Mini: Alto, Zen</c:v>
                </c:pt>
                <c:pt idx="1">
                  <c:v>Compact: WagonR, Swift</c:v>
                </c:pt>
                <c:pt idx="2">
                  <c:v>Mid-Size: Swift Dzire, SX4, CIAZ</c:v>
                </c:pt>
                <c:pt idx="3">
                  <c:v>Utility vehicles: EECO</c:v>
                </c:pt>
                <c:pt idx="4">
                  <c:v>Vans</c:v>
                </c:pt>
                <c:pt idx="5">
                  <c:v>Light Commercial Vehicles</c:v>
                </c:pt>
                <c:pt idx="6">
                  <c:v>Sales to other OEM: A: Compact</c:v>
                </c:pt>
              </c:strCache>
            </c:strRef>
          </c:cat>
          <c:val>
            <c:numRef>
              <c:f>Monthly!$D$70:$J$70</c:f>
              <c:numCache>
                <c:formatCode>0</c:formatCode>
                <c:ptCount val="7"/>
                <c:pt idx="0">
                  <c:v>33448.794117647056</c:v>
                </c:pt>
                <c:pt idx="1">
                  <c:v>53009.102941176468</c:v>
                </c:pt>
                <c:pt idx="2">
                  <c:v>6484.088235294118</c:v>
                </c:pt>
                <c:pt idx="3">
                  <c:v>14382.382352941177</c:v>
                </c:pt>
                <c:pt idx="4">
                  <c:v>12286.691176470587</c:v>
                </c:pt>
                <c:pt idx="5">
                  <c:v>671.58823529411768</c:v>
                </c:pt>
                <c:pt idx="6">
                  <c:v>126.83823529411765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E-4ABB-A716-1F31A06C3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Yearly!$O$1</c:f>
              <c:strCache>
                <c:ptCount val="1"/>
                <c:pt idx="0">
                  <c:v>Total Vehicles Sold by 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Yearly!$A$2:$A$7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2019*</c:v>
                </c:pt>
              </c:strCache>
            </c:strRef>
          </c:cat>
          <c:val>
            <c:numRef>
              <c:f>Yearly!$O$2:$O$7</c:f>
              <c:numCache>
                <c:formatCode>0</c:formatCode>
                <c:ptCount val="6"/>
                <c:pt idx="0">
                  <c:v>1270573</c:v>
                </c:pt>
                <c:pt idx="1">
                  <c:v>1415558</c:v>
                </c:pt>
                <c:pt idx="2">
                  <c:v>1501473</c:v>
                </c:pt>
                <c:pt idx="3">
                  <c:v>1730309</c:v>
                </c:pt>
                <c:pt idx="4">
                  <c:v>1865743</c:v>
                </c:pt>
                <c:pt idx="5">
                  <c:v>1813619.25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3-4C5B-AC7A-04D2BF38E35A}"/>
            </c:ext>
          </c:extLst>
        </c:ser>
        <c:ser>
          <c:idx val="1"/>
          <c:order val="1"/>
          <c:tx>
            <c:strRef>
              <c:f>Yearly!$P$1</c:f>
              <c:strCache>
                <c:ptCount val="1"/>
                <c:pt idx="0">
                  <c:v>Total Vehicles sold by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Yearly!$A$2:$A$7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2019*</c:v>
                </c:pt>
              </c:strCache>
            </c:strRef>
          </c:cat>
          <c:val>
            <c:numRef>
              <c:f>Yearly!$P$2:$P$7</c:f>
              <c:numCache>
                <c:formatCode>0</c:formatCode>
                <c:ptCount val="6"/>
                <c:pt idx="0">
                  <c:v>3017988.1235154392</c:v>
                </c:pt>
                <c:pt idx="1">
                  <c:v>3145684.4444444445</c:v>
                </c:pt>
                <c:pt idx="2">
                  <c:v>3208275.641025641</c:v>
                </c:pt>
                <c:pt idx="3">
                  <c:v>3658158.5623678649</c:v>
                </c:pt>
                <c:pt idx="4">
                  <c:v>3754010.0603621728</c:v>
                </c:pt>
                <c:pt idx="5">
                  <c:v>3556116.176470588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3-4C5B-AC7A-04D2BF38E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838328"/>
        <c:axId val="544835376"/>
      </c:lineChart>
      <c:catAx>
        <c:axId val="54483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35376"/>
        <c:crosses val="autoZero"/>
        <c:auto val="1"/>
        <c:lblAlgn val="ctr"/>
        <c:lblOffset val="100"/>
        <c:noMultiLvlLbl val="0"/>
      </c:catAx>
      <c:valAx>
        <c:axId val="5448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3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87-43A3-8790-9FFF3F2147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87-43A3-8790-9FFF3F2147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87-43A3-8790-9FFF3F2147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87-43A3-8790-9FFF3F2147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87-43A3-8790-9FFF3F2147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87-43A3-8790-9FFF3F2147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787-43A3-8790-9FFF3F2147F2}"/>
              </c:ext>
            </c:extLst>
          </c:dPt>
          <c:cat>
            <c:strRef>
              <c:f>Yearly!$F$1:$L$1</c:f>
              <c:strCache>
                <c:ptCount val="7"/>
                <c:pt idx="0">
                  <c:v>Maruti Suzuki</c:v>
                </c:pt>
                <c:pt idx="1">
                  <c:v>Hyundai</c:v>
                </c:pt>
                <c:pt idx="2">
                  <c:v>Mahindra and Mahindra</c:v>
                </c:pt>
                <c:pt idx="3">
                  <c:v>Tata</c:v>
                </c:pt>
                <c:pt idx="4">
                  <c:v>Honda</c:v>
                </c:pt>
                <c:pt idx="5">
                  <c:v>Toyota</c:v>
                </c:pt>
                <c:pt idx="6">
                  <c:v>Others</c:v>
                </c:pt>
              </c:strCache>
            </c:strRef>
          </c:cat>
          <c:val>
            <c:numRef>
              <c:f>Yearly!$F$8:$L$8</c:f>
              <c:numCache>
                <c:formatCode>0.00</c:formatCode>
                <c:ptCount val="7"/>
                <c:pt idx="0">
                  <c:v>46.983333333333327</c:v>
                </c:pt>
                <c:pt idx="1">
                  <c:v>17.279999999999998</c:v>
                </c:pt>
                <c:pt idx="2">
                  <c:v>7.7416666666666663</c:v>
                </c:pt>
                <c:pt idx="3">
                  <c:v>6.913333333333334</c:v>
                </c:pt>
                <c:pt idx="4">
                  <c:v>7.085</c:v>
                </c:pt>
                <c:pt idx="5">
                  <c:v>4.7949999999999999</c:v>
                </c:pt>
                <c:pt idx="6">
                  <c:v>9.2016666666666662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F-4663-AE7F-91CA16EBD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'Monthly Forecast'!$B$1</c:f>
              <c:strCache>
                <c:ptCount val="1"/>
                <c:pt idx="0">
                  <c:v>Total Sales(Domestic+Export)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'Monthly Forecast'!$B$2:$B$75</c:f>
              <c:numCache>
                <c:formatCode>0</c:formatCode>
                <c:ptCount val="74"/>
                <c:pt idx="0">
                  <c:v>102416</c:v>
                </c:pt>
                <c:pt idx="1">
                  <c:v>109104</c:v>
                </c:pt>
                <c:pt idx="2">
                  <c:v>113350</c:v>
                </c:pt>
                <c:pt idx="3">
                  <c:v>86196</c:v>
                </c:pt>
                <c:pt idx="4">
                  <c:v>100925</c:v>
                </c:pt>
                <c:pt idx="5">
                  <c:v>112773</c:v>
                </c:pt>
                <c:pt idx="6">
                  <c:v>101380</c:v>
                </c:pt>
                <c:pt idx="7">
                  <c:v>110776</c:v>
                </c:pt>
                <c:pt idx="8">
                  <c:v>109742</c:v>
                </c:pt>
                <c:pt idx="9">
                  <c:v>103973</c:v>
                </c:pt>
                <c:pt idx="10">
                  <c:v>110147</c:v>
                </c:pt>
                <c:pt idx="11">
                  <c:v>109791</c:v>
                </c:pt>
                <c:pt idx="12">
                  <c:v>116606</c:v>
                </c:pt>
                <c:pt idx="13">
                  <c:v>118551</c:v>
                </c:pt>
                <c:pt idx="14">
                  <c:v>111555</c:v>
                </c:pt>
                <c:pt idx="15">
                  <c:v>111748</c:v>
                </c:pt>
                <c:pt idx="16">
                  <c:v>114825</c:v>
                </c:pt>
                <c:pt idx="17">
                  <c:v>114756</c:v>
                </c:pt>
                <c:pt idx="18">
                  <c:v>121712</c:v>
                </c:pt>
                <c:pt idx="19">
                  <c:v>117864</c:v>
                </c:pt>
                <c:pt idx="20">
                  <c:v>113759</c:v>
                </c:pt>
                <c:pt idx="21">
                  <c:v>134209</c:v>
                </c:pt>
                <c:pt idx="22">
                  <c:v>120824</c:v>
                </c:pt>
                <c:pt idx="23">
                  <c:v>119149</c:v>
                </c:pt>
                <c:pt idx="24">
                  <c:v>113606</c:v>
                </c:pt>
                <c:pt idx="25">
                  <c:v>117451</c:v>
                </c:pt>
                <c:pt idx="26">
                  <c:v>129345</c:v>
                </c:pt>
                <c:pt idx="27">
                  <c:v>126569</c:v>
                </c:pt>
                <c:pt idx="28">
                  <c:v>123034</c:v>
                </c:pt>
                <c:pt idx="29">
                  <c:v>98840</c:v>
                </c:pt>
                <c:pt idx="30">
                  <c:v>121023</c:v>
                </c:pt>
                <c:pt idx="31">
                  <c:v>132211</c:v>
                </c:pt>
                <c:pt idx="32">
                  <c:v>149143</c:v>
                </c:pt>
                <c:pt idx="33">
                  <c:v>133793</c:v>
                </c:pt>
                <c:pt idx="34">
                  <c:v>135550</c:v>
                </c:pt>
                <c:pt idx="35">
                  <c:v>120908</c:v>
                </c:pt>
                <c:pt idx="36">
                  <c:v>144396</c:v>
                </c:pt>
                <c:pt idx="37">
                  <c:v>130280</c:v>
                </c:pt>
                <c:pt idx="38">
                  <c:v>139763</c:v>
                </c:pt>
                <c:pt idx="39">
                  <c:v>151215</c:v>
                </c:pt>
                <c:pt idx="40">
                  <c:v>136962</c:v>
                </c:pt>
                <c:pt idx="41">
                  <c:v>106394</c:v>
                </c:pt>
                <c:pt idx="42">
                  <c:v>166346</c:v>
                </c:pt>
                <c:pt idx="43">
                  <c:v>163701</c:v>
                </c:pt>
                <c:pt idx="44">
                  <c:v>160140</c:v>
                </c:pt>
                <c:pt idx="45">
                  <c:v>146446</c:v>
                </c:pt>
                <c:pt idx="46">
                  <c:v>154600</c:v>
                </c:pt>
                <c:pt idx="47">
                  <c:v>130066</c:v>
                </c:pt>
                <c:pt idx="48">
                  <c:v>151351</c:v>
                </c:pt>
                <c:pt idx="49">
                  <c:v>149824</c:v>
                </c:pt>
                <c:pt idx="50">
                  <c:v>160598</c:v>
                </c:pt>
                <c:pt idx="51">
                  <c:v>172986</c:v>
                </c:pt>
                <c:pt idx="52">
                  <c:v>172512</c:v>
                </c:pt>
                <c:pt idx="53">
                  <c:v>144981</c:v>
                </c:pt>
                <c:pt idx="54">
                  <c:v>164369</c:v>
                </c:pt>
                <c:pt idx="55">
                  <c:v>158189</c:v>
                </c:pt>
                <c:pt idx="56">
                  <c:v>162290</c:v>
                </c:pt>
                <c:pt idx="57">
                  <c:v>146766</c:v>
                </c:pt>
                <c:pt idx="58">
                  <c:v>153539</c:v>
                </c:pt>
                <c:pt idx="59">
                  <c:v>151721</c:v>
                </c:pt>
                <c:pt idx="60">
                  <c:v>149682</c:v>
                </c:pt>
                <c:pt idx="61">
                  <c:v>158076</c:v>
                </c:pt>
                <c:pt idx="62">
                  <c:v>143245</c:v>
                </c:pt>
                <c:pt idx="63">
                  <c:v>134641</c:v>
                </c:pt>
                <c:pt idx="64">
                  <c:v>125708</c:v>
                </c:pt>
                <c:pt idx="65">
                  <c:v>109264</c:v>
                </c:pt>
                <c:pt idx="66">
                  <c:v>106413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3-423A-989A-030C6BD852E1}"/>
            </c:ext>
          </c:extLst>
        </c:ser>
        <c:ser>
          <c:idx val="1"/>
          <c:order val="1"/>
          <c:tx>
            <c:strRef>
              <c:f>'Monthly Forecast'!$C$1</c:f>
              <c:strCache>
                <c:ptCount val="1"/>
                <c:pt idx="0">
                  <c:v>Forecast(Total Sales(Domestic+Export))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Forecast'!$A$2:$A$75</c:f>
              <c:numCache>
                <c:formatCode>mmm\-yy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41702</c:v>
                </c:pt>
                <c:pt idx="3">
                  <c:v>41733</c:v>
                </c:pt>
                <c:pt idx="4">
                  <c:v>41764</c:v>
                </c:pt>
                <c:pt idx="5">
                  <c:v>41795</c:v>
                </c:pt>
                <c:pt idx="6">
                  <c:v>41826</c:v>
                </c:pt>
                <c:pt idx="7">
                  <c:v>41857</c:v>
                </c:pt>
                <c:pt idx="8">
                  <c:v>41888</c:v>
                </c:pt>
                <c:pt idx="9">
                  <c:v>41919</c:v>
                </c:pt>
                <c:pt idx="10">
                  <c:v>41950</c:v>
                </c:pt>
                <c:pt idx="11">
                  <c:v>41981</c:v>
                </c:pt>
                <c:pt idx="12">
                  <c:v>42012</c:v>
                </c:pt>
                <c:pt idx="13">
                  <c:v>42043</c:v>
                </c:pt>
                <c:pt idx="14">
                  <c:v>42074</c:v>
                </c:pt>
                <c:pt idx="15">
                  <c:v>42105</c:v>
                </c:pt>
                <c:pt idx="16">
                  <c:v>42136</c:v>
                </c:pt>
                <c:pt idx="17">
                  <c:v>42167</c:v>
                </c:pt>
                <c:pt idx="18">
                  <c:v>42198</c:v>
                </c:pt>
                <c:pt idx="19">
                  <c:v>42229</c:v>
                </c:pt>
                <c:pt idx="20">
                  <c:v>42260</c:v>
                </c:pt>
                <c:pt idx="21">
                  <c:v>42291</c:v>
                </c:pt>
                <c:pt idx="22">
                  <c:v>42322</c:v>
                </c:pt>
                <c:pt idx="23">
                  <c:v>42353</c:v>
                </c:pt>
                <c:pt idx="24">
                  <c:v>42384</c:v>
                </c:pt>
                <c:pt idx="25">
                  <c:v>42415</c:v>
                </c:pt>
                <c:pt idx="26">
                  <c:v>42446</c:v>
                </c:pt>
                <c:pt idx="27">
                  <c:v>42477</c:v>
                </c:pt>
                <c:pt idx="28">
                  <c:v>42508</c:v>
                </c:pt>
                <c:pt idx="29">
                  <c:v>42539</c:v>
                </c:pt>
                <c:pt idx="30">
                  <c:v>42570</c:v>
                </c:pt>
                <c:pt idx="31">
                  <c:v>42601</c:v>
                </c:pt>
                <c:pt idx="32">
                  <c:v>42632</c:v>
                </c:pt>
                <c:pt idx="33">
                  <c:v>42663</c:v>
                </c:pt>
                <c:pt idx="34">
                  <c:v>42694</c:v>
                </c:pt>
                <c:pt idx="35">
                  <c:v>42725</c:v>
                </c:pt>
                <c:pt idx="36">
                  <c:v>42756</c:v>
                </c:pt>
                <c:pt idx="37">
                  <c:v>42787</c:v>
                </c:pt>
                <c:pt idx="38">
                  <c:v>42818</c:v>
                </c:pt>
                <c:pt idx="39">
                  <c:v>42849</c:v>
                </c:pt>
                <c:pt idx="40">
                  <c:v>42880</c:v>
                </c:pt>
                <c:pt idx="41">
                  <c:v>42911</c:v>
                </c:pt>
                <c:pt idx="42">
                  <c:v>42942</c:v>
                </c:pt>
                <c:pt idx="43">
                  <c:v>42973</c:v>
                </c:pt>
                <c:pt idx="44">
                  <c:v>43004</c:v>
                </c:pt>
                <c:pt idx="45">
                  <c:v>43035</c:v>
                </c:pt>
                <c:pt idx="46">
                  <c:v>43066</c:v>
                </c:pt>
                <c:pt idx="47">
                  <c:v>43097</c:v>
                </c:pt>
                <c:pt idx="48">
                  <c:v>43128</c:v>
                </c:pt>
                <c:pt idx="49">
                  <c:v>43159</c:v>
                </c:pt>
                <c:pt idx="50">
                  <c:v>43190</c:v>
                </c:pt>
                <c:pt idx="51">
                  <c:v>43221</c:v>
                </c:pt>
                <c:pt idx="52">
                  <c:v>43252</c:v>
                </c:pt>
                <c:pt idx="53">
                  <c:v>43283</c:v>
                </c:pt>
                <c:pt idx="54">
                  <c:v>43314</c:v>
                </c:pt>
                <c:pt idx="55">
                  <c:v>43345</c:v>
                </c:pt>
                <c:pt idx="56">
                  <c:v>43376</c:v>
                </c:pt>
                <c:pt idx="57">
                  <c:v>43407</c:v>
                </c:pt>
                <c:pt idx="58">
                  <c:v>43438</c:v>
                </c:pt>
                <c:pt idx="59">
                  <c:v>43469</c:v>
                </c:pt>
                <c:pt idx="60">
                  <c:v>43500</c:v>
                </c:pt>
                <c:pt idx="61">
                  <c:v>43531</c:v>
                </c:pt>
                <c:pt idx="62">
                  <c:v>43562</c:v>
                </c:pt>
                <c:pt idx="63">
                  <c:v>43593</c:v>
                </c:pt>
                <c:pt idx="64">
                  <c:v>43624</c:v>
                </c:pt>
                <c:pt idx="65">
                  <c:v>43655</c:v>
                </c:pt>
                <c:pt idx="66">
                  <c:v>43686</c:v>
                </c:pt>
                <c:pt idx="67">
                  <c:v>43717</c:v>
                </c:pt>
                <c:pt idx="68">
                  <c:v>43748</c:v>
                </c:pt>
                <c:pt idx="69">
                  <c:v>43779</c:v>
                </c:pt>
                <c:pt idx="70">
                  <c:v>43810</c:v>
                </c:pt>
                <c:pt idx="71">
                  <c:v>43841</c:v>
                </c:pt>
                <c:pt idx="72">
                  <c:v>43872</c:v>
                </c:pt>
                <c:pt idx="73">
                  <c:v>43903</c:v>
                </c:pt>
              </c:numCache>
            </c:numRef>
          </c:cat>
          <c:val>
            <c:numRef>
              <c:f>'Monthly Forecast'!$C$2:$C$75</c:f>
              <c:numCache>
                <c:formatCode>General</c:formatCode>
                <c:ptCount val="74"/>
                <c:pt idx="58" formatCode="0">
                  <c:v>153539</c:v>
                </c:pt>
                <c:pt idx="59" formatCode="0">
                  <c:v>162278.48585307543</c:v>
                </c:pt>
                <c:pt idx="60" formatCode="0">
                  <c:v>163336.54484544558</c:v>
                </c:pt>
                <c:pt idx="61" formatCode="0">
                  <c:v>164394.60383781561</c:v>
                </c:pt>
                <c:pt idx="62" formatCode="0">
                  <c:v>165452.66283018573</c:v>
                </c:pt>
                <c:pt idx="63" formatCode="0">
                  <c:v>166510.72182255576</c:v>
                </c:pt>
                <c:pt idx="64" formatCode="0">
                  <c:v>167568.78081492591</c:v>
                </c:pt>
                <c:pt idx="65" formatCode="0">
                  <c:v>168626.83980729594</c:v>
                </c:pt>
                <c:pt idx="66" formatCode="0">
                  <c:v>169684.89879966609</c:v>
                </c:pt>
                <c:pt idx="67" formatCode="0">
                  <c:v>170742.95779203609</c:v>
                </c:pt>
                <c:pt idx="68" formatCode="0">
                  <c:v>171801.01678440624</c:v>
                </c:pt>
                <c:pt idx="69" formatCode="0">
                  <c:v>172859.07577677627</c:v>
                </c:pt>
                <c:pt idx="70" formatCode="0">
                  <c:v>173917.13476914642</c:v>
                </c:pt>
                <c:pt idx="71" formatCode="0">
                  <c:v>174975.19376151645</c:v>
                </c:pt>
                <c:pt idx="72" formatCode="0">
                  <c:v>176033.2527538866</c:v>
                </c:pt>
                <c:pt idx="73" formatCode="0">
                  <c:v>177091.31174625663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3-423A-989A-030C6BD852E1}"/>
            </c:ext>
          </c:extLst>
        </c:ser>
        <c:ser>
          <c:idx val="2"/>
          <c:order val="2"/>
          <c:tx>
            <c:strRef>
              <c:f>'Monthly Forecast'!$D$1</c:f>
              <c:strCache>
                <c:ptCount val="1"/>
                <c:pt idx="0">
                  <c:v>Lower Confidence Bound(Total Sales(Domestic+Export))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'Monthly Forecast'!$A$2:$A$75</c:f>
              <c:numCache>
                <c:formatCode>mmm\-yy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41702</c:v>
                </c:pt>
                <c:pt idx="3">
                  <c:v>41733</c:v>
                </c:pt>
                <c:pt idx="4">
                  <c:v>41764</c:v>
                </c:pt>
                <c:pt idx="5">
                  <c:v>41795</c:v>
                </c:pt>
                <c:pt idx="6">
                  <c:v>41826</c:v>
                </c:pt>
                <c:pt idx="7">
                  <c:v>41857</c:v>
                </c:pt>
                <c:pt idx="8">
                  <c:v>41888</c:v>
                </c:pt>
                <c:pt idx="9">
                  <c:v>41919</c:v>
                </c:pt>
                <c:pt idx="10">
                  <c:v>41950</c:v>
                </c:pt>
                <c:pt idx="11">
                  <c:v>41981</c:v>
                </c:pt>
                <c:pt idx="12">
                  <c:v>42012</c:v>
                </c:pt>
                <c:pt idx="13">
                  <c:v>42043</c:v>
                </c:pt>
                <c:pt idx="14">
                  <c:v>42074</c:v>
                </c:pt>
                <c:pt idx="15">
                  <c:v>42105</c:v>
                </c:pt>
                <c:pt idx="16">
                  <c:v>42136</c:v>
                </c:pt>
                <c:pt idx="17">
                  <c:v>42167</c:v>
                </c:pt>
                <c:pt idx="18">
                  <c:v>42198</c:v>
                </c:pt>
                <c:pt idx="19">
                  <c:v>42229</c:v>
                </c:pt>
                <c:pt idx="20">
                  <c:v>42260</c:v>
                </c:pt>
                <c:pt idx="21">
                  <c:v>42291</c:v>
                </c:pt>
                <c:pt idx="22">
                  <c:v>42322</c:v>
                </c:pt>
                <c:pt idx="23">
                  <c:v>42353</c:v>
                </c:pt>
                <c:pt idx="24">
                  <c:v>42384</c:v>
                </c:pt>
                <c:pt idx="25">
                  <c:v>42415</c:v>
                </c:pt>
                <c:pt idx="26">
                  <c:v>42446</c:v>
                </c:pt>
                <c:pt idx="27">
                  <c:v>42477</c:v>
                </c:pt>
                <c:pt idx="28">
                  <c:v>42508</c:v>
                </c:pt>
                <c:pt idx="29">
                  <c:v>42539</c:v>
                </c:pt>
                <c:pt idx="30">
                  <c:v>42570</c:v>
                </c:pt>
                <c:pt idx="31">
                  <c:v>42601</c:v>
                </c:pt>
                <c:pt idx="32">
                  <c:v>42632</c:v>
                </c:pt>
                <c:pt idx="33">
                  <c:v>42663</c:v>
                </c:pt>
                <c:pt idx="34">
                  <c:v>42694</c:v>
                </c:pt>
                <c:pt idx="35">
                  <c:v>42725</c:v>
                </c:pt>
                <c:pt idx="36">
                  <c:v>42756</c:v>
                </c:pt>
                <c:pt idx="37">
                  <c:v>42787</c:v>
                </c:pt>
                <c:pt idx="38">
                  <c:v>42818</c:v>
                </c:pt>
                <c:pt idx="39">
                  <c:v>42849</c:v>
                </c:pt>
                <c:pt idx="40">
                  <c:v>42880</c:v>
                </c:pt>
                <c:pt idx="41">
                  <c:v>42911</c:v>
                </c:pt>
                <c:pt idx="42">
                  <c:v>42942</c:v>
                </c:pt>
                <c:pt idx="43">
                  <c:v>42973</c:v>
                </c:pt>
                <c:pt idx="44">
                  <c:v>43004</c:v>
                </c:pt>
                <c:pt idx="45">
                  <c:v>43035</c:v>
                </c:pt>
                <c:pt idx="46">
                  <c:v>43066</c:v>
                </c:pt>
                <c:pt idx="47">
                  <c:v>43097</c:v>
                </c:pt>
                <c:pt idx="48">
                  <c:v>43128</c:v>
                </c:pt>
                <c:pt idx="49">
                  <c:v>43159</c:v>
                </c:pt>
                <c:pt idx="50">
                  <c:v>43190</c:v>
                </c:pt>
                <c:pt idx="51">
                  <c:v>43221</c:v>
                </c:pt>
                <c:pt idx="52">
                  <c:v>43252</c:v>
                </c:pt>
                <c:pt idx="53">
                  <c:v>43283</c:v>
                </c:pt>
                <c:pt idx="54">
                  <c:v>43314</c:v>
                </c:pt>
                <c:pt idx="55">
                  <c:v>43345</c:v>
                </c:pt>
                <c:pt idx="56">
                  <c:v>43376</c:v>
                </c:pt>
                <c:pt idx="57">
                  <c:v>43407</c:v>
                </c:pt>
                <c:pt idx="58">
                  <c:v>43438</c:v>
                </c:pt>
                <c:pt idx="59">
                  <c:v>43469</c:v>
                </c:pt>
                <c:pt idx="60">
                  <c:v>43500</c:v>
                </c:pt>
                <c:pt idx="61">
                  <c:v>43531</c:v>
                </c:pt>
                <c:pt idx="62">
                  <c:v>43562</c:v>
                </c:pt>
                <c:pt idx="63">
                  <c:v>43593</c:v>
                </c:pt>
                <c:pt idx="64">
                  <c:v>43624</c:v>
                </c:pt>
                <c:pt idx="65">
                  <c:v>43655</c:v>
                </c:pt>
                <c:pt idx="66">
                  <c:v>43686</c:v>
                </c:pt>
                <c:pt idx="67">
                  <c:v>43717</c:v>
                </c:pt>
                <c:pt idx="68">
                  <c:v>43748</c:v>
                </c:pt>
                <c:pt idx="69">
                  <c:v>43779</c:v>
                </c:pt>
                <c:pt idx="70">
                  <c:v>43810</c:v>
                </c:pt>
                <c:pt idx="71">
                  <c:v>43841</c:v>
                </c:pt>
                <c:pt idx="72">
                  <c:v>43872</c:v>
                </c:pt>
                <c:pt idx="73">
                  <c:v>43903</c:v>
                </c:pt>
              </c:numCache>
            </c:numRef>
          </c:cat>
          <c:val>
            <c:numRef>
              <c:f>'Monthly Forecast'!$D$2:$D$75</c:f>
              <c:numCache>
                <c:formatCode>General</c:formatCode>
                <c:ptCount val="74"/>
                <c:pt idx="58" formatCode="0">
                  <c:v>153539</c:v>
                </c:pt>
                <c:pt idx="59" formatCode="0">
                  <c:v>133137.80630381324</c:v>
                </c:pt>
                <c:pt idx="60" formatCode="0">
                  <c:v>134047.61038789252</c:v>
                </c:pt>
                <c:pt idx="61" formatCode="0">
                  <c:v>134955.2332245803</c:v>
                </c:pt>
                <c:pt idx="62" formatCode="0">
                  <c:v>135860.67938390508</c:v>
                </c:pt>
                <c:pt idx="63" formatCode="0">
                  <c:v>136763.953820606</c:v>
                </c:pt>
                <c:pt idx="64" formatCode="0">
                  <c:v>137665.06186071457</c:v>
                </c:pt>
                <c:pt idx="65" formatCode="0">
                  <c:v>138564.00918815326</c:v>
                </c:pt>
                <c:pt idx="66" formatCode="0">
                  <c:v>139460.80183137528</c:v>
                </c:pt>
                <c:pt idx="67" formatCode="0">
                  <c:v>140355.44615006354</c:v>
                </c:pt>
                <c:pt idx="68" formatCode="0">
                  <c:v>141247.94882191214</c:v>
                </c:pt>
                <c:pt idx="69" formatCode="0">
                  <c:v>142138.31682950485</c:v>
                </c:pt>
                <c:pt idx="70" formatCode="0">
                  <c:v>143026.55744731342</c:v>
                </c:pt>
                <c:pt idx="71" formatCode="0">
                  <c:v>143912.67822882728</c:v>
                </c:pt>
                <c:pt idx="72" formatCode="0">
                  <c:v>144796.68699383544</c:v>
                </c:pt>
                <c:pt idx="73" formatCode="0">
                  <c:v>145678.59181587031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D3-423A-989A-030C6BD852E1}"/>
            </c:ext>
          </c:extLst>
        </c:ser>
        <c:ser>
          <c:idx val="3"/>
          <c:order val="3"/>
          <c:tx>
            <c:strRef>
              <c:f>'Monthly Forecast'!$E$1</c:f>
              <c:strCache>
                <c:ptCount val="1"/>
                <c:pt idx="0">
                  <c:v>Upper Confidence Bound(Total Sales(Domestic+Export))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'Monthly Forecast'!$A$2:$A$75</c:f>
              <c:numCache>
                <c:formatCode>mmm\-yy</c:formatCode>
                <c:ptCount val="74"/>
                <c:pt idx="0">
                  <c:v>41640</c:v>
                </c:pt>
                <c:pt idx="1">
                  <c:v>41671</c:v>
                </c:pt>
                <c:pt idx="2">
                  <c:v>41702</c:v>
                </c:pt>
                <c:pt idx="3">
                  <c:v>41733</c:v>
                </c:pt>
                <c:pt idx="4">
                  <c:v>41764</c:v>
                </c:pt>
                <c:pt idx="5">
                  <c:v>41795</c:v>
                </c:pt>
                <c:pt idx="6">
                  <c:v>41826</c:v>
                </c:pt>
                <c:pt idx="7">
                  <c:v>41857</c:v>
                </c:pt>
                <c:pt idx="8">
                  <c:v>41888</c:v>
                </c:pt>
                <c:pt idx="9">
                  <c:v>41919</c:v>
                </c:pt>
                <c:pt idx="10">
                  <c:v>41950</c:v>
                </c:pt>
                <c:pt idx="11">
                  <c:v>41981</c:v>
                </c:pt>
                <c:pt idx="12">
                  <c:v>42012</c:v>
                </c:pt>
                <c:pt idx="13">
                  <c:v>42043</c:v>
                </c:pt>
                <c:pt idx="14">
                  <c:v>42074</c:v>
                </c:pt>
                <c:pt idx="15">
                  <c:v>42105</c:v>
                </c:pt>
                <c:pt idx="16">
                  <c:v>42136</c:v>
                </c:pt>
                <c:pt idx="17">
                  <c:v>42167</c:v>
                </c:pt>
                <c:pt idx="18">
                  <c:v>42198</c:v>
                </c:pt>
                <c:pt idx="19">
                  <c:v>42229</c:v>
                </c:pt>
                <c:pt idx="20">
                  <c:v>42260</c:v>
                </c:pt>
                <c:pt idx="21">
                  <c:v>42291</c:v>
                </c:pt>
                <c:pt idx="22">
                  <c:v>42322</c:v>
                </c:pt>
                <c:pt idx="23">
                  <c:v>42353</c:v>
                </c:pt>
                <c:pt idx="24">
                  <c:v>42384</c:v>
                </c:pt>
                <c:pt idx="25">
                  <c:v>42415</c:v>
                </c:pt>
                <c:pt idx="26">
                  <c:v>42446</c:v>
                </c:pt>
                <c:pt idx="27">
                  <c:v>42477</c:v>
                </c:pt>
                <c:pt idx="28">
                  <c:v>42508</c:v>
                </c:pt>
                <c:pt idx="29">
                  <c:v>42539</c:v>
                </c:pt>
                <c:pt idx="30">
                  <c:v>42570</c:v>
                </c:pt>
                <c:pt idx="31">
                  <c:v>42601</c:v>
                </c:pt>
                <c:pt idx="32">
                  <c:v>42632</c:v>
                </c:pt>
                <c:pt idx="33">
                  <c:v>42663</c:v>
                </c:pt>
                <c:pt idx="34">
                  <c:v>42694</c:v>
                </c:pt>
                <c:pt idx="35">
                  <c:v>42725</c:v>
                </c:pt>
                <c:pt idx="36">
                  <c:v>42756</c:v>
                </c:pt>
                <c:pt idx="37">
                  <c:v>42787</c:v>
                </c:pt>
                <c:pt idx="38">
                  <c:v>42818</c:v>
                </c:pt>
                <c:pt idx="39">
                  <c:v>42849</c:v>
                </c:pt>
                <c:pt idx="40">
                  <c:v>42880</c:v>
                </c:pt>
                <c:pt idx="41">
                  <c:v>42911</c:v>
                </c:pt>
                <c:pt idx="42">
                  <c:v>42942</c:v>
                </c:pt>
                <c:pt idx="43">
                  <c:v>42973</c:v>
                </c:pt>
                <c:pt idx="44">
                  <c:v>43004</c:v>
                </c:pt>
                <c:pt idx="45">
                  <c:v>43035</c:v>
                </c:pt>
                <c:pt idx="46">
                  <c:v>43066</c:v>
                </c:pt>
                <c:pt idx="47">
                  <c:v>43097</c:v>
                </c:pt>
                <c:pt idx="48">
                  <c:v>43128</c:v>
                </c:pt>
                <c:pt idx="49">
                  <c:v>43159</c:v>
                </c:pt>
                <c:pt idx="50">
                  <c:v>43190</c:v>
                </c:pt>
                <c:pt idx="51">
                  <c:v>43221</c:v>
                </c:pt>
                <c:pt idx="52">
                  <c:v>43252</c:v>
                </c:pt>
                <c:pt idx="53">
                  <c:v>43283</c:v>
                </c:pt>
                <c:pt idx="54">
                  <c:v>43314</c:v>
                </c:pt>
                <c:pt idx="55">
                  <c:v>43345</c:v>
                </c:pt>
                <c:pt idx="56">
                  <c:v>43376</c:v>
                </c:pt>
                <c:pt idx="57">
                  <c:v>43407</c:v>
                </c:pt>
                <c:pt idx="58">
                  <c:v>43438</c:v>
                </c:pt>
                <c:pt idx="59">
                  <c:v>43469</c:v>
                </c:pt>
                <c:pt idx="60">
                  <c:v>43500</c:v>
                </c:pt>
                <c:pt idx="61">
                  <c:v>43531</c:v>
                </c:pt>
                <c:pt idx="62">
                  <c:v>43562</c:v>
                </c:pt>
                <c:pt idx="63">
                  <c:v>43593</c:v>
                </c:pt>
                <c:pt idx="64">
                  <c:v>43624</c:v>
                </c:pt>
                <c:pt idx="65">
                  <c:v>43655</c:v>
                </c:pt>
                <c:pt idx="66">
                  <c:v>43686</c:v>
                </c:pt>
                <c:pt idx="67">
                  <c:v>43717</c:v>
                </c:pt>
                <c:pt idx="68">
                  <c:v>43748</c:v>
                </c:pt>
                <c:pt idx="69">
                  <c:v>43779</c:v>
                </c:pt>
                <c:pt idx="70">
                  <c:v>43810</c:v>
                </c:pt>
                <c:pt idx="71">
                  <c:v>43841</c:v>
                </c:pt>
                <c:pt idx="72">
                  <c:v>43872</c:v>
                </c:pt>
                <c:pt idx="73">
                  <c:v>43903</c:v>
                </c:pt>
              </c:numCache>
            </c:numRef>
          </c:cat>
          <c:val>
            <c:numRef>
              <c:f>'Monthly Forecast'!$E$2:$E$75</c:f>
              <c:numCache>
                <c:formatCode>General</c:formatCode>
                <c:ptCount val="74"/>
                <c:pt idx="58" formatCode="0">
                  <c:v>153539</c:v>
                </c:pt>
                <c:pt idx="59" formatCode="0">
                  <c:v>191419.16540233762</c:v>
                </c:pt>
                <c:pt idx="60" formatCode="0">
                  <c:v>192625.47930299863</c:v>
                </c:pt>
                <c:pt idx="61" formatCode="0">
                  <c:v>193833.97445105092</c:v>
                </c:pt>
                <c:pt idx="62" formatCode="0">
                  <c:v>195044.64627646637</c:v>
                </c:pt>
                <c:pt idx="63" formatCode="0">
                  <c:v>196257.48982450552</c:v>
                </c:pt>
                <c:pt idx="64" formatCode="0">
                  <c:v>197472.49976913724</c:v>
                </c:pt>
                <c:pt idx="65" formatCode="0">
                  <c:v>198689.67042643862</c:v>
                </c:pt>
                <c:pt idx="66" formatCode="0">
                  <c:v>199908.99576795689</c:v>
                </c:pt>
                <c:pt idx="67" formatCode="0">
                  <c:v>201130.46943400864</c:v>
                </c:pt>
                <c:pt idx="68" formatCode="0">
                  <c:v>202354.08474690033</c:v>
                </c:pt>
                <c:pt idx="69" formatCode="0">
                  <c:v>203579.83472404769</c:v>
                </c:pt>
                <c:pt idx="70" formatCode="0">
                  <c:v>204807.71209097942</c:v>
                </c:pt>
                <c:pt idx="71" formatCode="0">
                  <c:v>206037.70929420562</c:v>
                </c:pt>
                <c:pt idx="72" formatCode="0">
                  <c:v>207269.81851393776</c:v>
                </c:pt>
                <c:pt idx="73" formatCode="0">
                  <c:v>208504.03167664295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D3-423A-989A-030C6BD85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314456"/>
        <c:axId val="353309864"/>
      </c:lineChart>
      <c:catAx>
        <c:axId val="3533144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9864"/>
        <c:crosses val="autoZero"/>
        <c:auto val="1"/>
        <c:lblAlgn val="ctr"/>
        <c:lblOffset val="100"/>
        <c:noMultiLvlLbl val="0"/>
      </c:catAx>
      <c:valAx>
        <c:axId val="3533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1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'Yearly Forecast'!$B$1</c:f>
              <c:strCache>
                <c:ptCount val="1"/>
                <c:pt idx="0">
                  <c:v>Total Vehicles Sold by 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'Yearly Forecast'!$B$2:$B$8</c:f>
              <c:numCache>
                <c:formatCode>0</c:formatCode>
                <c:ptCount val="7"/>
                <c:pt idx="0">
                  <c:v>1270573</c:v>
                </c:pt>
                <c:pt idx="1">
                  <c:v>1415558</c:v>
                </c:pt>
                <c:pt idx="2">
                  <c:v>1501473</c:v>
                </c:pt>
                <c:pt idx="3">
                  <c:v>1730309</c:v>
                </c:pt>
                <c:pt idx="4">
                  <c:v>1865743</c:v>
                </c:pt>
                <c:pt idx="5">
                  <c:v>1813619.25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2-456D-AB18-69CC046EAF87}"/>
            </c:ext>
          </c:extLst>
        </c:ser>
        <c:ser>
          <c:idx val="1"/>
          <c:order val="1"/>
          <c:tx>
            <c:strRef>
              <c:f>'Yearly Forecast'!$C$1</c:f>
              <c:strCache>
                <c:ptCount val="1"/>
                <c:pt idx="0">
                  <c:v>Forecast(Total Vehicles Sold by MS)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'Yearly Forecast'!$A$2:$A$8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'Yearly Forecast'!$C$2:$C$8</c:f>
              <c:numCache>
                <c:formatCode>General</c:formatCode>
                <c:ptCount val="7"/>
                <c:pt idx="4" formatCode="0">
                  <c:v>1865743</c:v>
                </c:pt>
                <c:pt idx="5" formatCode="0">
                  <c:v>2024524.2082476143</c:v>
                </c:pt>
                <c:pt idx="6" formatCode="0">
                  <c:v>2177215.6838408746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2-456D-AB18-69CC046EAF87}"/>
            </c:ext>
          </c:extLst>
        </c:ser>
        <c:ser>
          <c:idx val="2"/>
          <c:order val="2"/>
          <c:tx>
            <c:strRef>
              <c:f>'Yearly Forecast'!$D$1</c:f>
              <c:strCache>
                <c:ptCount val="1"/>
                <c:pt idx="0">
                  <c:v>Lower Confidence Bound(Total Vehicles Sold by MS)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'Yearly Forecast'!$A$2:$A$8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'Yearly Forecast'!$D$2:$D$8</c:f>
              <c:numCache>
                <c:formatCode>General</c:formatCode>
                <c:ptCount val="7"/>
                <c:pt idx="4" formatCode="0">
                  <c:v>1865743</c:v>
                </c:pt>
                <c:pt idx="5" formatCode="0">
                  <c:v>1958511.4662276797</c:v>
                </c:pt>
                <c:pt idx="6" formatCode="0">
                  <c:v>2110672.7115317993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2-456D-AB18-69CC046EAF87}"/>
            </c:ext>
          </c:extLst>
        </c:ser>
        <c:ser>
          <c:idx val="3"/>
          <c:order val="3"/>
          <c:tx>
            <c:strRef>
              <c:f>'Yearly Forecast'!$E$1</c:f>
              <c:strCache>
                <c:ptCount val="1"/>
                <c:pt idx="0">
                  <c:v>Upper Confidence Bound(Total Vehicles Sold by MS)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'Yearly Forecast'!$A$2:$A$8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'Yearly Forecast'!$E$2:$E$8</c:f>
              <c:numCache>
                <c:formatCode>General</c:formatCode>
                <c:ptCount val="7"/>
                <c:pt idx="4" formatCode="0">
                  <c:v>1865743</c:v>
                </c:pt>
                <c:pt idx="5" formatCode="0">
                  <c:v>2090536.9502675489</c:v>
                </c:pt>
                <c:pt idx="6" formatCode="0">
                  <c:v>2243758.6561499499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2-456D-AB18-69CC046E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431288"/>
        <c:axId val="347432272"/>
      </c:lineChart>
      <c:catAx>
        <c:axId val="3474312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32272"/>
        <c:crosses val="autoZero"/>
        <c:auto val="1"/>
        <c:lblAlgn val="ctr"/>
        <c:lblOffset val="100"/>
        <c:noMultiLvlLbl val="0"/>
      </c:catAx>
      <c:valAx>
        <c:axId val="3474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3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403860</xdr:colOff>
      <xdr:row>4</xdr:row>
      <xdr:rowOff>99066</xdr:rowOff>
    </xdr:from>
    <xdr:to>
      <xdr:col>15</xdr:col>
      <xdr:colOff>38100</xdr:colOff>
      <xdr:row>19</xdr:row>
      <xdr:rowOff>99066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6F7FBCD-E5EF-4701-A78E-407508B76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502920</xdr:colOff>
      <xdr:row>9</xdr:row>
      <xdr:rowOff>175260</xdr:rowOff>
    </xdr:from>
    <xdr:to>
      <xdr:col>14</xdr:col>
      <xdr:colOff>1988820</xdr:colOff>
      <xdr:row>24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FAF2F3-1D92-4171-B5C5-B08AFF806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480060</xdr:colOff>
      <xdr:row>10</xdr:row>
      <xdr:rowOff>7620</xdr:rowOff>
    </xdr:from>
    <xdr:to>
      <xdr:col>7</xdr:col>
      <xdr:colOff>609600</xdr:colOff>
      <xdr:row>25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2B17DF-79A0-410D-9BC5-0768208B5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2034540</xdr:colOff>
      <xdr:row>6</xdr:row>
      <xdr:rowOff>99060</xdr:rowOff>
    </xdr:from>
    <xdr:to>
      <xdr:col>4</xdr:col>
      <xdr:colOff>2308860</xdr:colOff>
      <xdr:row>22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CD56D-39F8-4B51-A75D-3D0762374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1082040</xdr:colOff>
      <xdr:row>9</xdr:row>
      <xdr:rowOff>106680</xdr:rowOff>
    </xdr:from>
    <xdr:to>
      <xdr:col>4</xdr:col>
      <xdr:colOff>1767840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8F716E-90A1-4231-BD3B-C1DDEDBA5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9E0722-5462-4930-8E13-216C00B68141}" name="Table3" displayName="Table3" ref="A1:E75" totalsRowShown="0">
  <autoFilter ref="A1:E75" xr:uid="{459DC028-C297-40AC-A144-DCC87F50FC37}"/>
  <tableColumns count="5">
    <tableColumn id="1" xr3:uid="{5766D48C-94EA-4AE5-B78B-027DDF964597}" name="Month-Year" dataDxfId="9"/>
    <tableColumn id="2" xr3:uid="{4965D216-061E-4751-902E-58275EC12DCF}" name="Total Sales(Domestic+Export)"/>
    <tableColumn id="3" xr3:uid="{594AE39A-720B-4B2B-9615-85E3C5AA1574}" name="Forecast(Total Sales(Domestic+Export))" dataDxfId="8">
      <calculatedColumnFormula>_xlfn.FORECAST.ETS(A2,$B$2:$B$60,$A$2:$A$60,1,1)</calculatedColumnFormula>
    </tableColumn>
    <tableColumn id="4" xr3:uid="{9B96B0BD-4A72-4EAC-BEC5-6A59C001464D}" name="Lower Confidence Bound(Total Sales(Domestic+Export))" dataDxfId="7">
      <calculatedColumnFormula>C2-_xlfn.FORECAST.ETS.CONFINT(A2,$B$2:$B$60,$A$2:$A$60,0.99,1,1)</calculatedColumnFormula>
    </tableColumn>
    <tableColumn id="5" xr3:uid="{6649C5CE-12DB-4AC4-85E8-70FFAA8EA1A3}" name="Upper Confidence Bound(Total Sales(Domestic+Export))" dataDxfId="6">
      <calculatedColumnFormula>C2+_xlfn.FORECAST.ETS.CONFINT(A2,$B$2:$B$60,$A$2:$A$60,0.99,1,1)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EEF2E0-8D4B-40A3-B9B0-FB7846679BC5}" name="Table4" displayName="Table4" ref="I1:J8" totalsRowShown="0">
  <autoFilter ref="I1:J8" xr:uid="{2617622B-0654-4811-98F8-ECB607E8CB0C}"/>
  <tableColumns count="2">
    <tableColumn id="1" xr3:uid="{BB879822-7806-4B1F-A83F-CEC0000B6410}" name="Statistic"/>
    <tableColumn id="2" xr3:uid="{8362F5F5-594A-47D0-98F8-4FD73B8D9DDB}" name="Value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03E687-50B5-43AC-8041-DEC380EEFFDC}" name="Table6" displayName="Table6" ref="A1:E8" totalsRowShown="0">
  <autoFilter ref="A1:E8" xr:uid="{A169DF1A-F637-42D5-9F84-0DFE60306286}"/>
  <tableColumns count="5">
    <tableColumn id="1" xr3:uid="{E7F87238-A7BB-4E40-B2C0-FCEA721279ED}" name="Year" dataDxfId="4"/>
    <tableColumn id="2" xr3:uid="{33C0E127-57E2-45CB-9149-26643868CD37}" name="Total Vehicles Sold by MS" dataDxfId="3"/>
    <tableColumn id="3" xr3:uid="{2553F5EA-401F-4503-929B-B7CA550FD760}" name="Forecast(Total Vehicles Sold by MS)" dataDxfId="2"/>
    <tableColumn id="4" xr3:uid="{0CB6676A-122B-4D3B-BC44-FDAA862FA927}" name="Lower Confidence Bound(Total Vehicles Sold by MS)" dataDxfId="1"/>
    <tableColumn id="5" xr3:uid="{9DE85E3F-71BB-4068-951E-9B0BC905D2A3}" name="Upper Confidence Bound(Total Vehicles Sold by M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AE8E-AB2A-4DCE-BD5B-89823222849E}">
  <dimension ref="A1:AC73"/>
  <sheetViews>
    <sheetView workbookViewId="0">
      <pane ySplit="1" topLeftCell="A2" activePane="bottomLeft" state="frozen"/>
      <selection pane="bottomLeft" activeCell="L6" sqref="L6"/>
    </sheetView>
  </sheetViews>
  <sheetFormatPr defaultRowHeight="14.4" x14ac:dyDescent="0.3"/>
  <cols>
    <col min="1" max="2" width="9" style="1" bestFit="1" customWidth="1"/>
    <col min="3" max="3" width="13.77734375" style="9" customWidth="1"/>
    <col min="4" max="4" width="11" style="1" customWidth="1"/>
    <col min="5" max="10" width="9" style="1" bestFit="1" customWidth="1"/>
    <col min="11" max="11" width="9.5546875" style="1" bestFit="1" customWidth="1"/>
    <col min="12" max="12" width="9" style="1" bestFit="1" customWidth="1"/>
    <col min="13" max="13" width="9.5546875" style="1" bestFit="1" customWidth="1"/>
    <col min="14" max="14" width="9" bestFit="1" customWidth="1"/>
    <col min="15" max="16" width="9" style="1" bestFit="1" customWidth="1"/>
    <col min="17" max="18" width="9" bestFit="1" customWidth="1"/>
    <col min="19" max="19" width="8.88671875" style="2"/>
    <col min="21" max="26" width="9" bestFit="1" customWidth="1"/>
    <col min="28" max="28" width="9" bestFit="1" customWidth="1"/>
  </cols>
  <sheetData>
    <row r="1" spans="1:29" x14ac:dyDescent="0.3">
      <c r="A1" s="1" t="s">
        <v>0</v>
      </c>
      <c r="B1" s="1" t="s">
        <v>1</v>
      </c>
      <c r="C1" s="9" t="s">
        <v>46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47</v>
      </c>
      <c r="N1" s="2" t="s">
        <v>14</v>
      </c>
      <c r="O1" s="1" t="s">
        <v>23</v>
      </c>
      <c r="P1" s="1" t="s">
        <v>24</v>
      </c>
      <c r="Q1" s="2" t="s">
        <v>18</v>
      </c>
      <c r="R1" s="2" t="s">
        <v>19</v>
      </c>
      <c r="S1" s="2" t="s">
        <v>40</v>
      </c>
      <c r="T1" s="2" t="s">
        <v>25</v>
      </c>
      <c r="U1" s="2" t="s">
        <v>15</v>
      </c>
      <c r="V1" s="2" t="s">
        <v>17</v>
      </c>
      <c r="W1" s="2" t="s">
        <v>20</v>
      </c>
      <c r="X1" s="2" t="s">
        <v>21</v>
      </c>
      <c r="Y1" s="2" t="s">
        <v>22</v>
      </c>
      <c r="Z1" s="2" t="s">
        <v>12</v>
      </c>
      <c r="AA1" s="2" t="s">
        <v>13</v>
      </c>
      <c r="AB1" s="2" t="s">
        <v>16</v>
      </c>
      <c r="AC1" s="2" t="s">
        <v>38</v>
      </c>
    </row>
    <row r="2" spans="1:29" x14ac:dyDescent="0.3">
      <c r="A2" s="1">
        <v>1</v>
      </c>
      <c r="B2" s="1">
        <v>2014</v>
      </c>
      <c r="C2" s="9">
        <v>41640</v>
      </c>
      <c r="D2" s="1">
        <v>38565</v>
      </c>
      <c r="E2" s="1">
        <v>42669</v>
      </c>
      <c r="F2" s="1">
        <f>1036+191</f>
        <v>1227</v>
      </c>
      <c r="G2" s="1">
        <v>4763</v>
      </c>
      <c r="H2" s="1">
        <v>9345</v>
      </c>
      <c r="I2" s="1">
        <v>0</v>
      </c>
      <c r="J2" s="1">
        <v>0</v>
      </c>
      <c r="K2" s="1">
        <f>SUM(D2:J2)</f>
        <v>96569</v>
      </c>
      <c r="L2" s="1">
        <v>5847</v>
      </c>
      <c r="M2" s="1">
        <f t="shared" ref="M2:M54" si="0">SUM(K2:L2)</f>
        <v>102416</v>
      </c>
      <c r="N2" s="3">
        <v>94.62</v>
      </c>
      <c r="O2" s="1">
        <v>0</v>
      </c>
      <c r="P2" s="1">
        <v>3</v>
      </c>
      <c r="Q2" s="2">
        <v>7.6</v>
      </c>
      <c r="R2" s="2">
        <v>8.9600000000000009</v>
      </c>
      <c r="S2" s="2">
        <v>62.685000000000002</v>
      </c>
      <c r="T2" s="2">
        <v>10</v>
      </c>
      <c r="U2" s="2">
        <v>42.1</v>
      </c>
      <c r="V2" s="2">
        <v>21.52</v>
      </c>
      <c r="W2" s="2">
        <v>6.26</v>
      </c>
      <c r="X2" s="2">
        <v>5.0999999999999996</v>
      </c>
      <c r="Y2" s="2">
        <f t="shared" ref="Y2:Y33" si="1">100-SUM(V2:X2,U2)</f>
        <v>25.019999999999996</v>
      </c>
      <c r="Z2" s="2">
        <v>82</v>
      </c>
      <c r="AA2" s="2"/>
      <c r="AB2" s="2">
        <v>0</v>
      </c>
    </row>
    <row r="3" spans="1:29" x14ac:dyDescent="0.3">
      <c r="A3" s="1">
        <v>2</v>
      </c>
      <c r="B3" s="1">
        <v>2014</v>
      </c>
      <c r="C3" s="9">
        <v>41671</v>
      </c>
      <c r="D3" s="1">
        <v>37342</v>
      </c>
      <c r="E3" s="1">
        <v>28672</v>
      </c>
      <c r="F3" s="1">
        <f>18353+228</f>
        <v>18581</v>
      </c>
      <c r="G3" s="1">
        <v>5231</v>
      </c>
      <c r="H3" s="1">
        <v>9932</v>
      </c>
      <c r="I3" s="1">
        <v>0</v>
      </c>
      <c r="J3" s="1">
        <v>0</v>
      </c>
      <c r="K3" s="1">
        <f t="shared" ref="K3:K66" si="2">SUM(D3:J3)</f>
        <v>99758</v>
      </c>
      <c r="L3" s="1">
        <v>9346</v>
      </c>
      <c r="M3" s="1">
        <f t="shared" si="0"/>
        <v>109104</v>
      </c>
      <c r="N3" s="3">
        <v>100.82</v>
      </c>
      <c r="O3" s="1">
        <v>0</v>
      </c>
      <c r="P3" s="1">
        <v>3</v>
      </c>
      <c r="Q3" s="2">
        <v>7.6</v>
      </c>
      <c r="R3" s="2">
        <v>8.9600000000000009</v>
      </c>
      <c r="S3" s="2">
        <v>61.795000000000002</v>
      </c>
      <c r="T3" s="2">
        <v>10</v>
      </c>
      <c r="U3" s="2">
        <v>42.1</v>
      </c>
      <c r="V3" s="2">
        <v>21.52</v>
      </c>
      <c r="W3" s="2">
        <v>6.26</v>
      </c>
      <c r="X3" s="2">
        <v>5.0999999999999996</v>
      </c>
      <c r="Y3" s="2">
        <f t="shared" si="1"/>
        <v>25.019999999999996</v>
      </c>
      <c r="Z3" s="2">
        <v>81.5</v>
      </c>
      <c r="AA3" s="2"/>
      <c r="AB3" s="2">
        <v>0</v>
      </c>
    </row>
    <row r="4" spans="1:29" x14ac:dyDescent="0.3">
      <c r="A4" s="1">
        <v>3</v>
      </c>
      <c r="B4" s="1">
        <v>2014</v>
      </c>
      <c r="C4" s="9">
        <v>41699</v>
      </c>
      <c r="D4" s="1">
        <v>40085</v>
      </c>
      <c r="E4" s="1">
        <v>28285</v>
      </c>
      <c r="F4" s="1">
        <f>17237+411</f>
        <v>17648</v>
      </c>
      <c r="G4" s="1">
        <v>6499</v>
      </c>
      <c r="H4" s="1">
        <v>9752</v>
      </c>
      <c r="I4" s="1">
        <v>0</v>
      </c>
      <c r="J4" s="1">
        <v>0</v>
      </c>
      <c r="K4" s="1">
        <f t="shared" si="2"/>
        <v>102269</v>
      </c>
      <c r="L4" s="1">
        <v>11081</v>
      </c>
      <c r="M4" s="1">
        <f t="shared" si="0"/>
        <v>113350</v>
      </c>
      <c r="N4" s="3">
        <v>100.8</v>
      </c>
      <c r="O4" s="1">
        <v>0</v>
      </c>
      <c r="P4" s="1">
        <v>3</v>
      </c>
      <c r="Q4" s="2">
        <v>7.6</v>
      </c>
      <c r="R4" s="2">
        <v>8.9600000000000009</v>
      </c>
      <c r="S4" s="2">
        <v>60.015000000000001</v>
      </c>
      <c r="T4" s="2">
        <v>10</v>
      </c>
      <c r="U4" s="2">
        <v>42.1</v>
      </c>
      <c r="V4" s="2">
        <v>21.52</v>
      </c>
      <c r="W4" s="2">
        <v>6.26</v>
      </c>
      <c r="X4" s="2">
        <v>5.0999999999999996</v>
      </c>
      <c r="Y4" s="2">
        <f t="shared" si="1"/>
        <v>25.019999999999996</v>
      </c>
      <c r="Z4" s="2">
        <v>81</v>
      </c>
      <c r="AA4" s="2"/>
      <c r="AB4" s="2">
        <v>0</v>
      </c>
    </row>
    <row r="5" spans="1:29" x14ac:dyDescent="0.3">
      <c r="A5" s="1">
        <v>4</v>
      </c>
      <c r="B5" s="1">
        <v>2014</v>
      </c>
      <c r="C5" s="9">
        <v>41730</v>
      </c>
      <c r="D5" s="1">
        <v>26043</v>
      </c>
      <c r="E5" s="1">
        <v>23659</v>
      </c>
      <c r="F5" s="1">
        <f>16008+76</f>
        <v>16084</v>
      </c>
      <c r="G5" s="1">
        <v>5011</v>
      </c>
      <c r="H5" s="1">
        <v>8322</v>
      </c>
      <c r="I5" s="1">
        <v>0</v>
      </c>
      <c r="J5" s="1">
        <v>0</v>
      </c>
      <c r="K5" s="1">
        <f t="shared" si="2"/>
        <v>79119</v>
      </c>
      <c r="L5" s="1">
        <v>7077</v>
      </c>
      <c r="M5" s="1">
        <f t="shared" si="0"/>
        <v>86196</v>
      </c>
      <c r="N5" s="3">
        <v>102.07</v>
      </c>
      <c r="O5" s="1">
        <v>1</v>
      </c>
      <c r="P5" s="1">
        <v>3</v>
      </c>
      <c r="Q5" s="2">
        <v>7.8</v>
      </c>
      <c r="R5" s="2">
        <v>7.95</v>
      </c>
      <c r="S5" s="2">
        <v>60.344999999999999</v>
      </c>
      <c r="T5" s="2">
        <v>10</v>
      </c>
      <c r="U5" s="2">
        <v>45</v>
      </c>
      <c r="V5" s="2">
        <v>16.5</v>
      </c>
      <c r="W5" s="2">
        <v>7.25</v>
      </c>
      <c r="X5" s="2">
        <v>5.03</v>
      </c>
      <c r="Y5" s="2">
        <f t="shared" si="1"/>
        <v>26.22</v>
      </c>
      <c r="Z5" s="2">
        <v>80</v>
      </c>
      <c r="AA5" s="2"/>
      <c r="AB5" s="2">
        <v>0</v>
      </c>
    </row>
    <row r="6" spans="1:29" x14ac:dyDescent="0.3">
      <c r="A6" s="1">
        <v>5</v>
      </c>
      <c r="B6" s="1">
        <v>2014</v>
      </c>
      <c r="C6" s="9">
        <v>41760</v>
      </c>
      <c r="D6" s="1">
        <v>29068</v>
      </c>
      <c r="E6" s="1">
        <v>44455</v>
      </c>
      <c r="F6" s="1">
        <f>892+121</f>
        <v>1013</v>
      </c>
      <c r="G6" s="1">
        <v>5253</v>
      </c>
      <c r="H6" s="1">
        <v>10771</v>
      </c>
      <c r="I6" s="1">
        <v>0</v>
      </c>
      <c r="J6" s="1">
        <v>0</v>
      </c>
      <c r="K6" s="1">
        <f t="shared" si="2"/>
        <v>90560</v>
      </c>
      <c r="L6" s="1">
        <v>10365</v>
      </c>
      <c r="M6" s="1">
        <f t="shared" si="0"/>
        <v>100925</v>
      </c>
      <c r="N6" s="3">
        <v>102.18</v>
      </c>
      <c r="O6" s="1">
        <v>1</v>
      </c>
      <c r="P6" s="1">
        <v>3</v>
      </c>
      <c r="Q6" s="2">
        <v>7.8</v>
      </c>
      <c r="R6" s="2">
        <v>7.95</v>
      </c>
      <c r="S6" s="2">
        <v>59.195</v>
      </c>
      <c r="T6" s="2">
        <v>10</v>
      </c>
      <c r="U6" s="2">
        <v>45</v>
      </c>
      <c r="V6" s="2">
        <v>16.5</v>
      </c>
      <c r="W6" s="2">
        <v>7.25</v>
      </c>
      <c r="X6" s="2">
        <v>5.03</v>
      </c>
      <c r="Y6" s="2">
        <f t="shared" si="1"/>
        <v>26.22</v>
      </c>
      <c r="Z6" s="2">
        <v>79</v>
      </c>
      <c r="AA6" s="2"/>
      <c r="AB6" s="2">
        <v>0</v>
      </c>
    </row>
    <row r="7" spans="1:29" x14ac:dyDescent="0.3">
      <c r="A7" s="1">
        <v>6</v>
      </c>
      <c r="B7" s="1">
        <v>2014</v>
      </c>
      <c r="C7" s="9">
        <v>41791</v>
      </c>
      <c r="D7" s="1">
        <v>47618</v>
      </c>
      <c r="E7" s="1">
        <v>22293</v>
      </c>
      <c r="F7" s="1">
        <f>15990+322</f>
        <v>16312</v>
      </c>
      <c r="G7" s="1">
        <v>5003</v>
      </c>
      <c r="H7" s="1">
        <v>9738</v>
      </c>
      <c r="I7" s="1">
        <v>0</v>
      </c>
      <c r="J7" s="1">
        <v>0</v>
      </c>
      <c r="K7" s="1">
        <f t="shared" si="2"/>
        <v>100964</v>
      </c>
      <c r="L7" s="1">
        <v>11809</v>
      </c>
      <c r="M7" s="1">
        <f t="shared" si="0"/>
        <v>112773</v>
      </c>
      <c r="N7" s="3">
        <v>105.79</v>
      </c>
      <c r="O7" s="1">
        <v>1</v>
      </c>
      <c r="P7" s="1">
        <v>3</v>
      </c>
      <c r="Q7" s="2">
        <v>7.8</v>
      </c>
      <c r="R7" s="2">
        <v>7.95</v>
      </c>
      <c r="S7" s="2">
        <v>60.06</v>
      </c>
      <c r="T7" s="2">
        <v>10</v>
      </c>
      <c r="U7" s="2">
        <v>45</v>
      </c>
      <c r="V7" s="2">
        <v>16.5</v>
      </c>
      <c r="W7" s="2">
        <v>7.25</v>
      </c>
      <c r="X7" s="2">
        <v>5.03</v>
      </c>
      <c r="Y7" s="2">
        <f t="shared" si="1"/>
        <v>26.22</v>
      </c>
      <c r="Z7" s="2">
        <v>78</v>
      </c>
      <c r="AA7" s="2"/>
      <c r="AB7" s="2">
        <v>0</v>
      </c>
    </row>
    <row r="8" spans="1:29" x14ac:dyDescent="0.3">
      <c r="A8" s="1">
        <v>7</v>
      </c>
      <c r="B8" s="1">
        <v>2014</v>
      </c>
      <c r="C8" s="9">
        <v>41821</v>
      </c>
      <c r="D8" s="1">
        <v>28759</v>
      </c>
      <c r="E8" s="1">
        <v>25156</v>
      </c>
      <c r="F8" s="1">
        <f>18634+233</f>
        <v>18867</v>
      </c>
      <c r="G8" s="1">
        <v>5631</v>
      </c>
      <c r="H8" s="1">
        <v>11680</v>
      </c>
      <c r="I8" s="1">
        <v>0</v>
      </c>
      <c r="J8" s="1">
        <v>0</v>
      </c>
      <c r="K8" s="1">
        <f t="shared" si="2"/>
        <v>90093</v>
      </c>
      <c r="L8" s="1">
        <v>11287</v>
      </c>
      <c r="M8" s="1">
        <f t="shared" si="0"/>
        <v>101380</v>
      </c>
      <c r="N8" s="3">
        <v>103.59</v>
      </c>
      <c r="O8" s="1">
        <v>1</v>
      </c>
      <c r="P8" s="1">
        <v>3</v>
      </c>
      <c r="Q8" s="2">
        <v>7.8</v>
      </c>
      <c r="R8" s="2">
        <v>7.95</v>
      </c>
      <c r="S8" s="2">
        <v>60.555</v>
      </c>
      <c r="T8" s="2">
        <v>10</v>
      </c>
      <c r="U8" s="2">
        <v>45</v>
      </c>
      <c r="V8" s="2">
        <v>16.5</v>
      </c>
      <c r="W8" s="2">
        <v>7.25</v>
      </c>
      <c r="X8" s="2">
        <v>5.03</v>
      </c>
      <c r="Y8" s="2">
        <f t="shared" si="1"/>
        <v>26.22</v>
      </c>
      <c r="Z8" s="2">
        <v>76</v>
      </c>
      <c r="AA8" s="2"/>
      <c r="AB8" s="2">
        <v>0</v>
      </c>
    </row>
    <row r="9" spans="1:29" x14ac:dyDescent="0.3">
      <c r="A9" s="1">
        <v>8</v>
      </c>
      <c r="B9" s="1">
        <v>2014</v>
      </c>
      <c r="C9" s="9">
        <v>41852</v>
      </c>
      <c r="D9" s="1">
        <v>34686</v>
      </c>
      <c r="E9" s="1">
        <v>46759</v>
      </c>
      <c r="F9" s="1">
        <v>1378</v>
      </c>
      <c r="G9" s="1">
        <v>5491</v>
      </c>
      <c r="H9" s="1">
        <v>9990</v>
      </c>
      <c r="I9" s="1">
        <v>0</v>
      </c>
      <c r="J9" s="1">
        <v>0</v>
      </c>
      <c r="K9" s="1">
        <f t="shared" si="2"/>
        <v>98304</v>
      </c>
      <c r="L9" s="1">
        <v>12472</v>
      </c>
      <c r="M9" s="1">
        <f t="shared" si="0"/>
        <v>110776</v>
      </c>
      <c r="N9" s="3">
        <v>96.54</v>
      </c>
      <c r="O9" s="1">
        <v>1</v>
      </c>
      <c r="P9" s="1">
        <v>3</v>
      </c>
      <c r="Q9" s="2">
        <v>7.8</v>
      </c>
      <c r="R9" s="2">
        <v>7.95</v>
      </c>
      <c r="S9" s="2">
        <v>60.52</v>
      </c>
      <c r="T9" s="2">
        <v>10</v>
      </c>
      <c r="U9" s="2">
        <v>45</v>
      </c>
      <c r="V9" s="2">
        <v>16.5</v>
      </c>
      <c r="W9" s="2">
        <v>7.25</v>
      </c>
      <c r="X9" s="2">
        <v>5.03</v>
      </c>
      <c r="Y9" s="2">
        <f t="shared" si="1"/>
        <v>26.22</v>
      </c>
      <c r="Z9" s="2">
        <v>75</v>
      </c>
      <c r="AA9" s="2"/>
      <c r="AB9" s="2">
        <v>0</v>
      </c>
    </row>
    <row r="10" spans="1:29" x14ac:dyDescent="0.3">
      <c r="A10" s="1">
        <v>9</v>
      </c>
      <c r="B10" s="1">
        <v>2014</v>
      </c>
      <c r="C10" s="9">
        <v>41883</v>
      </c>
      <c r="D10" s="1">
        <v>35547</v>
      </c>
      <c r="E10" s="1">
        <v>43304</v>
      </c>
      <c r="F10" s="1">
        <f>1221+1375</f>
        <v>2596</v>
      </c>
      <c r="G10" s="1">
        <v>5980</v>
      </c>
      <c r="H10" s="1">
        <v>11863</v>
      </c>
      <c r="I10" s="1">
        <v>0</v>
      </c>
      <c r="J10" s="1">
        <v>0</v>
      </c>
      <c r="K10" s="1">
        <f t="shared" si="2"/>
        <v>99290</v>
      </c>
      <c r="L10" s="1">
        <v>10452</v>
      </c>
      <c r="M10" s="1">
        <f t="shared" si="0"/>
        <v>109742</v>
      </c>
      <c r="N10" s="3">
        <v>93.21</v>
      </c>
      <c r="O10" s="1">
        <v>1</v>
      </c>
      <c r="P10" s="1">
        <v>3</v>
      </c>
      <c r="Q10" s="2">
        <v>7.8</v>
      </c>
      <c r="R10" s="2">
        <v>7.95</v>
      </c>
      <c r="S10" s="2">
        <v>61.94</v>
      </c>
      <c r="T10" s="2">
        <v>10</v>
      </c>
      <c r="U10" s="2">
        <v>45</v>
      </c>
      <c r="V10" s="2">
        <v>16.5</v>
      </c>
      <c r="W10" s="2">
        <v>7.25</v>
      </c>
      <c r="X10" s="2">
        <v>5.03</v>
      </c>
      <c r="Y10" s="2">
        <f t="shared" si="1"/>
        <v>26.22</v>
      </c>
      <c r="Z10" s="2">
        <v>74</v>
      </c>
      <c r="AA10" s="2"/>
      <c r="AB10" s="2">
        <v>0</v>
      </c>
    </row>
    <row r="11" spans="1:29" x14ac:dyDescent="0.3">
      <c r="A11" s="1">
        <v>10</v>
      </c>
      <c r="B11" s="1">
        <v>2014</v>
      </c>
      <c r="C11" s="9">
        <v>41913</v>
      </c>
      <c r="D11" s="1">
        <v>35753</v>
      </c>
      <c r="E11" s="1">
        <v>37083</v>
      </c>
      <c r="F11" s="1">
        <f>1408+6345</f>
        <v>7753</v>
      </c>
      <c r="G11" s="1">
        <v>6027</v>
      </c>
      <c r="H11" s="1">
        <v>10453</v>
      </c>
      <c r="I11" s="1">
        <v>0</v>
      </c>
      <c r="J11" s="1">
        <v>0</v>
      </c>
      <c r="K11" s="1">
        <f t="shared" si="2"/>
        <v>97069</v>
      </c>
      <c r="L11" s="1">
        <v>6904</v>
      </c>
      <c r="M11" s="1">
        <f t="shared" si="0"/>
        <v>103973</v>
      </c>
      <c r="N11" s="3">
        <v>84.4</v>
      </c>
      <c r="O11" s="1">
        <v>1</v>
      </c>
      <c r="P11" s="1">
        <v>3</v>
      </c>
      <c r="Q11" s="2">
        <v>7.8</v>
      </c>
      <c r="R11" s="2">
        <v>7.95</v>
      </c>
      <c r="S11" s="2">
        <v>61.405000000000001</v>
      </c>
      <c r="T11" s="2">
        <v>10</v>
      </c>
      <c r="U11" s="2">
        <v>45</v>
      </c>
      <c r="V11" s="2">
        <v>16.5</v>
      </c>
      <c r="W11" s="2">
        <v>7.25</v>
      </c>
      <c r="X11" s="2">
        <v>5.03</v>
      </c>
      <c r="Y11" s="2">
        <f t="shared" si="1"/>
        <v>26.22</v>
      </c>
      <c r="Z11" s="2">
        <v>72.5</v>
      </c>
      <c r="AA11" s="2"/>
      <c r="AB11" s="2">
        <v>0</v>
      </c>
    </row>
    <row r="12" spans="1:29" x14ac:dyDescent="0.3">
      <c r="A12" s="1">
        <v>11</v>
      </c>
      <c r="B12" s="1">
        <v>2014</v>
      </c>
      <c r="C12" s="9">
        <v>41944</v>
      </c>
      <c r="D12" s="1">
        <v>37746</v>
      </c>
      <c r="E12" s="1">
        <v>37339</v>
      </c>
      <c r="F12" s="1">
        <f>1989+5232</f>
        <v>7221</v>
      </c>
      <c r="G12" s="1">
        <v>5515</v>
      </c>
      <c r="H12" s="1">
        <v>12203</v>
      </c>
      <c r="I12" s="1">
        <v>0</v>
      </c>
      <c r="J12" s="1">
        <v>0</v>
      </c>
      <c r="K12" s="1">
        <f t="shared" si="2"/>
        <v>100024</v>
      </c>
      <c r="L12" s="1">
        <v>10123</v>
      </c>
      <c r="M12" s="1">
        <f>SUM(K12:L12)</f>
        <v>110147</v>
      </c>
      <c r="N12" s="3">
        <v>75.790000000000006</v>
      </c>
      <c r="O12" s="1">
        <v>1</v>
      </c>
      <c r="P12" s="1">
        <v>3</v>
      </c>
      <c r="Q12" s="2">
        <v>7.8</v>
      </c>
      <c r="R12" s="2">
        <v>7.95</v>
      </c>
      <c r="S12" s="2">
        <v>62.21</v>
      </c>
      <c r="T12" s="2">
        <v>10</v>
      </c>
      <c r="U12" s="2">
        <v>45</v>
      </c>
      <c r="V12" s="2">
        <v>16.5</v>
      </c>
      <c r="W12" s="2">
        <v>7.25</v>
      </c>
      <c r="X12" s="2">
        <v>5.03</v>
      </c>
      <c r="Y12" s="2">
        <f t="shared" si="1"/>
        <v>26.22</v>
      </c>
      <c r="Z12" s="2">
        <v>71</v>
      </c>
      <c r="AA12" s="2"/>
      <c r="AB12" s="2">
        <v>0</v>
      </c>
    </row>
    <row r="13" spans="1:29" x14ac:dyDescent="0.3">
      <c r="A13" s="1">
        <v>12</v>
      </c>
      <c r="B13" s="1">
        <v>2014</v>
      </c>
      <c r="C13" s="9">
        <v>41974</v>
      </c>
      <c r="D13" s="1">
        <v>34625</v>
      </c>
      <c r="E13" s="1">
        <v>41532</v>
      </c>
      <c r="F13" s="1">
        <f>1676+3731</f>
        <v>5407</v>
      </c>
      <c r="G13" s="1">
        <v>5774</v>
      </c>
      <c r="H13" s="1">
        <v>10771</v>
      </c>
      <c r="I13" s="1">
        <v>0</v>
      </c>
      <c r="J13" s="1">
        <v>0</v>
      </c>
      <c r="K13" s="1">
        <f t="shared" si="2"/>
        <v>98109</v>
      </c>
      <c r="L13" s="1">
        <v>11682</v>
      </c>
      <c r="M13" s="1">
        <f t="shared" si="0"/>
        <v>109791</v>
      </c>
      <c r="N13" s="3">
        <v>59.29</v>
      </c>
      <c r="O13" s="1">
        <v>1</v>
      </c>
      <c r="P13" s="1">
        <v>3</v>
      </c>
      <c r="Q13" s="2">
        <v>7.8</v>
      </c>
      <c r="R13" s="2">
        <v>7.95</v>
      </c>
      <c r="S13" s="2">
        <v>63.034999999999997</v>
      </c>
      <c r="T13" s="2">
        <v>15</v>
      </c>
      <c r="U13" s="2">
        <v>45</v>
      </c>
      <c r="V13" s="2">
        <v>16.5</v>
      </c>
      <c r="W13" s="2">
        <v>7.25</v>
      </c>
      <c r="X13" s="2">
        <v>5.03</v>
      </c>
      <c r="Y13" s="2">
        <f t="shared" si="1"/>
        <v>26.22</v>
      </c>
      <c r="Z13" s="2">
        <v>70</v>
      </c>
      <c r="AA13" s="2"/>
      <c r="AB13" s="2">
        <v>0</v>
      </c>
    </row>
    <row r="14" spans="1:29" x14ac:dyDescent="0.3">
      <c r="A14" s="1">
        <v>1</v>
      </c>
      <c r="B14" s="1">
        <v>2015</v>
      </c>
      <c r="C14" s="9">
        <v>42005</v>
      </c>
      <c r="D14" s="1">
        <v>35750</v>
      </c>
      <c r="E14" s="1">
        <v>45881</v>
      </c>
      <c r="F14" s="1">
        <f>1378+6005</f>
        <v>7383</v>
      </c>
      <c r="G14" s="1">
        <v>6432</v>
      </c>
      <c r="H14" s="1">
        <v>10113</v>
      </c>
      <c r="I14" s="1">
        <v>0</v>
      </c>
      <c r="J14" s="1">
        <v>0</v>
      </c>
      <c r="K14" s="1">
        <f t="shared" si="2"/>
        <v>105559</v>
      </c>
      <c r="L14" s="1">
        <v>11047</v>
      </c>
      <c r="M14" s="1">
        <f t="shared" si="0"/>
        <v>116606</v>
      </c>
      <c r="N14" s="3">
        <v>47.22</v>
      </c>
      <c r="O14" s="1">
        <v>1</v>
      </c>
      <c r="P14" s="1">
        <v>3</v>
      </c>
      <c r="Q14" s="2">
        <v>7.8</v>
      </c>
      <c r="R14" s="2">
        <v>7.95</v>
      </c>
      <c r="S14" s="2">
        <v>62.02</v>
      </c>
      <c r="T14" s="2">
        <v>15</v>
      </c>
      <c r="U14" s="2">
        <v>45</v>
      </c>
      <c r="V14" s="2">
        <v>16.5</v>
      </c>
      <c r="W14" s="2">
        <v>7.25</v>
      </c>
      <c r="X14" s="2">
        <v>5.03</v>
      </c>
      <c r="Y14" s="2">
        <f t="shared" si="1"/>
        <v>26.22</v>
      </c>
      <c r="Z14" s="2">
        <v>69</v>
      </c>
      <c r="AA14" s="2"/>
      <c r="AB14" s="2">
        <v>0</v>
      </c>
    </row>
    <row r="15" spans="1:29" x14ac:dyDescent="0.3">
      <c r="A15" s="1">
        <v>2</v>
      </c>
      <c r="B15" s="1">
        <v>2015</v>
      </c>
      <c r="C15" s="9">
        <v>42036</v>
      </c>
      <c r="D15" s="1">
        <v>39988</v>
      </c>
      <c r="E15" s="1">
        <v>42778</v>
      </c>
      <c r="F15" s="1">
        <f>2552+5410</f>
        <v>7962</v>
      </c>
      <c r="G15" s="1">
        <v>5863</v>
      </c>
      <c r="H15" s="1">
        <v>11301</v>
      </c>
      <c r="I15" s="1">
        <v>0</v>
      </c>
      <c r="J15" s="1">
        <v>0</v>
      </c>
      <c r="K15" s="1">
        <f t="shared" si="2"/>
        <v>107892</v>
      </c>
      <c r="L15" s="1">
        <v>10659</v>
      </c>
      <c r="M15" s="1">
        <f t="shared" si="0"/>
        <v>118551</v>
      </c>
      <c r="N15" s="3">
        <v>50.58</v>
      </c>
      <c r="O15" s="1">
        <v>1</v>
      </c>
      <c r="P15" s="1">
        <v>3</v>
      </c>
      <c r="Q15" s="2">
        <v>7.8</v>
      </c>
      <c r="R15" s="2">
        <v>7.95</v>
      </c>
      <c r="S15" s="2">
        <v>61.658999999999999</v>
      </c>
      <c r="T15" s="2">
        <v>15</v>
      </c>
      <c r="U15" s="2">
        <v>45</v>
      </c>
      <c r="V15" s="2">
        <v>16.5</v>
      </c>
      <c r="W15" s="2">
        <v>7.25</v>
      </c>
      <c r="X15" s="2">
        <v>5.03</v>
      </c>
      <c r="Y15" s="2">
        <f t="shared" si="1"/>
        <v>26.22</v>
      </c>
      <c r="Z15" s="2">
        <v>68</v>
      </c>
      <c r="AA15" s="2"/>
      <c r="AB15" s="2">
        <v>0</v>
      </c>
    </row>
    <row r="16" spans="1:29" x14ac:dyDescent="0.3">
      <c r="A16" s="1">
        <v>3</v>
      </c>
      <c r="B16" s="1">
        <v>2015</v>
      </c>
      <c r="C16" s="9">
        <v>42064</v>
      </c>
      <c r="D16" s="1">
        <v>40159</v>
      </c>
      <c r="E16" s="1">
        <v>38710</v>
      </c>
      <c r="F16" s="1">
        <f>2613+4251</f>
        <v>6864</v>
      </c>
      <c r="G16" s="1">
        <v>6218</v>
      </c>
      <c r="H16" s="1">
        <v>11768</v>
      </c>
      <c r="I16" s="1">
        <v>0</v>
      </c>
      <c r="J16" s="1">
        <v>0</v>
      </c>
      <c r="K16" s="1">
        <f t="shared" si="2"/>
        <v>103719</v>
      </c>
      <c r="L16" s="1">
        <v>7836</v>
      </c>
      <c r="M16" s="1">
        <f t="shared" si="0"/>
        <v>111555</v>
      </c>
      <c r="N16" s="3">
        <v>47.82</v>
      </c>
      <c r="O16" s="1">
        <v>1</v>
      </c>
      <c r="P16" s="1">
        <v>3</v>
      </c>
      <c r="Q16" s="2">
        <v>7.8</v>
      </c>
      <c r="R16" s="2">
        <v>7.95</v>
      </c>
      <c r="S16" s="2">
        <v>62.290999999999997</v>
      </c>
      <c r="T16" s="2">
        <v>15</v>
      </c>
      <c r="U16" s="2">
        <v>45</v>
      </c>
      <c r="V16" s="2">
        <v>16.5</v>
      </c>
      <c r="W16" s="2">
        <v>7.25</v>
      </c>
      <c r="X16" s="2">
        <v>5.03</v>
      </c>
      <c r="Y16" s="2">
        <f t="shared" si="1"/>
        <v>26.22</v>
      </c>
      <c r="Z16" s="2">
        <v>67.5</v>
      </c>
      <c r="AA16" s="2"/>
      <c r="AB16" s="2">
        <v>0</v>
      </c>
    </row>
    <row r="17" spans="1:28" x14ac:dyDescent="0.3">
      <c r="A17" s="1">
        <v>4</v>
      </c>
      <c r="B17" s="1">
        <v>2015</v>
      </c>
      <c r="C17" s="9">
        <v>42095</v>
      </c>
      <c r="D17" s="1">
        <v>35403</v>
      </c>
      <c r="E17" s="1">
        <v>42297</v>
      </c>
      <c r="F17" s="1">
        <f>1826+4662</f>
        <v>6488</v>
      </c>
      <c r="G17" s="1">
        <v>4452</v>
      </c>
      <c r="H17" s="1">
        <v>12069</v>
      </c>
      <c r="I17" s="1">
        <v>0</v>
      </c>
      <c r="J17" s="1">
        <v>0</v>
      </c>
      <c r="K17" s="1">
        <f t="shared" si="2"/>
        <v>100709</v>
      </c>
      <c r="L17" s="1">
        <v>11039</v>
      </c>
      <c r="M17" s="1">
        <f t="shared" si="0"/>
        <v>111748</v>
      </c>
      <c r="N17" s="3">
        <v>54.45</v>
      </c>
      <c r="O17" s="1">
        <v>3</v>
      </c>
      <c r="P17" s="1">
        <v>7</v>
      </c>
      <c r="Q17" s="2">
        <v>8.5</v>
      </c>
      <c r="R17" s="2">
        <v>6.01</v>
      </c>
      <c r="S17" s="2">
        <v>63.529000000000003</v>
      </c>
      <c r="T17" s="2">
        <v>15</v>
      </c>
      <c r="U17" s="2">
        <v>46.8</v>
      </c>
      <c r="V17" s="2">
        <v>16.34</v>
      </c>
      <c r="W17" s="2">
        <v>7.25</v>
      </c>
      <c r="X17" s="2">
        <v>5.14</v>
      </c>
      <c r="Y17" s="2">
        <f t="shared" si="1"/>
        <v>24.47</v>
      </c>
      <c r="Z17" s="2">
        <v>67.7</v>
      </c>
      <c r="AA17" s="2"/>
      <c r="AB17" s="2">
        <v>0</v>
      </c>
    </row>
    <row r="18" spans="1:28" x14ac:dyDescent="0.3">
      <c r="A18" s="1">
        <v>5</v>
      </c>
      <c r="B18" s="1">
        <v>2015</v>
      </c>
      <c r="C18" s="9">
        <v>42125</v>
      </c>
      <c r="D18" s="1">
        <v>35062</v>
      </c>
      <c r="E18" s="1">
        <v>41926</v>
      </c>
      <c r="F18" s="1">
        <f>3190+5012</f>
        <v>8202</v>
      </c>
      <c r="G18" s="1">
        <v>5567</v>
      </c>
      <c r="H18" s="1">
        <v>11602</v>
      </c>
      <c r="I18" s="1">
        <v>0</v>
      </c>
      <c r="J18" s="1">
        <v>0</v>
      </c>
      <c r="K18" s="1">
        <f t="shared" si="2"/>
        <v>102359</v>
      </c>
      <c r="L18" s="1">
        <v>12466</v>
      </c>
      <c r="M18" s="1">
        <f t="shared" si="0"/>
        <v>114825</v>
      </c>
      <c r="N18" s="3">
        <v>59.27</v>
      </c>
      <c r="O18" s="1">
        <v>3</v>
      </c>
      <c r="P18" s="1">
        <v>7</v>
      </c>
      <c r="Q18" s="2">
        <v>8.5</v>
      </c>
      <c r="R18" s="2">
        <v>6.01</v>
      </c>
      <c r="S18" s="2">
        <v>63.743000000000002</v>
      </c>
      <c r="T18" s="2">
        <v>15</v>
      </c>
      <c r="U18" s="2">
        <v>46.8</v>
      </c>
      <c r="V18" s="2">
        <v>16.34</v>
      </c>
      <c r="W18" s="2">
        <v>7.25</v>
      </c>
      <c r="X18" s="2">
        <v>5.14</v>
      </c>
      <c r="Y18" s="2">
        <f t="shared" si="1"/>
        <v>24.47</v>
      </c>
      <c r="Z18" s="2">
        <v>67.900000000000006</v>
      </c>
      <c r="AA18" s="2"/>
      <c r="AB18" s="2">
        <v>0</v>
      </c>
    </row>
    <row r="19" spans="1:28" x14ac:dyDescent="0.3">
      <c r="A19" s="1">
        <v>6</v>
      </c>
      <c r="B19" s="1">
        <v>2015</v>
      </c>
      <c r="C19" s="9">
        <v>42156</v>
      </c>
      <c r="D19" s="1">
        <v>34336</v>
      </c>
      <c r="E19" s="1">
        <v>45701</v>
      </c>
      <c r="F19" s="1">
        <f>2893+3700</f>
        <v>6593</v>
      </c>
      <c r="G19" s="1">
        <v>5531</v>
      </c>
      <c r="H19" s="1">
        <v>10465</v>
      </c>
      <c r="I19" s="1">
        <v>0</v>
      </c>
      <c r="J19" s="1">
        <v>0</v>
      </c>
      <c r="K19" s="1">
        <f t="shared" si="2"/>
        <v>102626</v>
      </c>
      <c r="L19" s="1">
        <v>12130</v>
      </c>
      <c r="M19" s="1">
        <f t="shared" si="0"/>
        <v>114756</v>
      </c>
      <c r="N19" s="3">
        <v>59.82</v>
      </c>
      <c r="O19" s="1">
        <v>3</v>
      </c>
      <c r="P19" s="1">
        <v>7</v>
      </c>
      <c r="Q19" s="2">
        <v>8.5</v>
      </c>
      <c r="R19" s="2">
        <v>6.01</v>
      </c>
      <c r="S19" s="2">
        <v>63.603999999999999</v>
      </c>
      <c r="T19" s="2">
        <v>15</v>
      </c>
      <c r="U19" s="2">
        <v>46.8</v>
      </c>
      <c r="V19" s="2">
        <v>16.34</v>
      </c>
      <c r="W19" s="2">
        <v>7.25</v>
      </c>
      <c r="X19" s="2">
        <v>5.14</v>
      </c>
      <c r="Y19" s="2">
        <f t="shared" si="1"/>
        <v>24.47</v>
      </c>
      <c r="Z19" s="2">
        <v>68</v>
      </c>
      <c r="AA19" s="2"/>
      <c r="AB19" s="2">
        <v>0</v>
      </c>
    </row>
    <row r="20" spans="1:28" x14ac:dyDescent="0.3">
      <c r="A20" s="1">
        <v>7</v>
      </c>
      <c r="B20" s="1">
        <v>2015</v>
      </c>
      <c r="C20" s="9">
        <v>42186</v>
      </c>
      <c r="D20" s="1">
        <v>37752</v>
      </c>
      <c r="E20" s="1">
        <v>48381</v>
      </c>
      <c r="F20" s="1">
        <f>3370+2099</f>
        <v>5469</v>
      </c>
      <c r="G20" s="1">
        <v>6916</v>
      </c>
      <c r="H20" s="1">
        <v>11887</v>
      </c>
      <c r="I20" s="1">
        <v>0</v>
      </c>
      <c r="J20" s="1">
        <v>0</v>
      </c>
      <c r="K20" s="1">
        <f t="shared" si="2"/>
        <v>110405</v>
      </c>
      <c r="L20" s="1">
        <v>11307</v>
      </c>
      <c r="M20" s="1">
        <f t="shared" si="0"/>
        <v>121712</v>
      </c>
      <c r="N20" s="3">
        <v>50.9</v>
      </c>
      <c r="O20" s="1">
        <v>3</v>
      </c>
      <c r="P20" s="1">
        <v>7</v>
      </c>
      <c r="Q20" s="2">
        <v>8.5</v>
      </c>
      <c r="R20" s="2">
        <v>6.01</v>
      </c>
      <c r="S20" s="2">
        <v>63.988</v>
      </c>
      <c r="T20" s="2">
        <v>15</v>
      </c>
      <c r="U20" s="2">
        <v>46.8</v>
      </c>
      <c r="V20" s="2">
        <v>16.34</v>
      </c>
      <c r="W20" s="2">
        <v>7.25</v>
      </c>
      <c r="X20" s="2">
        <v>5.14</v>
      </c>
      <c r="Y20" s="2">
        <f t="shared" si="1"/>
        <v>24.47</v>
      </c>
      <c r="Z20" s="2">
        <v>68.2</v>
      </c>
      <c r="AA20" s="2"/>
      <c r="AB20" s="2">
        <v>0</v>
      </c>
    </row>
    <row r="21" spans="1:28" x14ac:dyDescent="0.3">
      <c r="A21" s="1">
        <v>8</v>
      </c>
      <c r="B21" s="1">
        <v>2015</v>
      </c>
      <c r="C21" s="9">
        <v>42217</v>
      </c>
      <c r="D21" s="1">
        <v>37665</v>
      </c>
      <c r="E21" s="1">
        <v>41461</v>
      </c>
      <c r="F21" s="1">
        <f>3172+4156</f>
        <v>7328</v>
      </c>
      <c r="G21" s="1">
        <v>7836</v>
      </c>
      <c r="H21" s="1">
        <v>12491</v>
      </c>
      <c r="I21" s="1">
        <v>0</v>
      </c>
      <c r="J21" s="1">
        <v>0</v>
      </c>
      <c r="K21" s="1">
        <f t="shared" si="2"/>
        <v>106781</v>
      </c>
      <c r="L21" s="1">
        <v>11083</v>
      </c>
      <c r="M21" s="1">
        <f t="shared" si="0"/>
        <v>117864</v>
      </c>
      <c r="N21" s="3">
        <v>42.87</v>
      </c>
      <c r="O21" s="1">
        <v>3</v>
      </c>
      <c r="P21" s="1">
        <v>7</v>
      </c>
      <c r="Q21" s="2">
        <v>8.5</v>
      </c>
      <c r="R21" s="2">
        <v>6.01</v>
      </c>
      <c r="S21" s="2">
        <v>66.412000000000006</v>
      </c>
      <c r="T21" s="2">
        <v>15</v>
      </c>
      <c r="U21" s="2">
        <v>46.8</v>
      </c>
      <c r="V21" s="2">
        <v>16.34</v>
      </c>
      <c r="W21" s="2">
        <v>7.25</v>
      </c>
      <c r="X21" s="2">
        <v>5.14</v>
      </c>
      <c r="Y21" s="2">
        <f t="shared" si="1"/>
        <v>24.47</v>
      </c>
      <c r="Z21" s="2">
        <v>68.349999999999994</v>
      </c>
      <c r="AA21" s="2"/>
      <c r="AB21" s="2">
        <v>0</v>
      </c>
    </row>
    <row r="22" spans="1:28" x14ac:dyDescent="0.3">
      <c r="A22" s="1">
        <v>9</v>
      </c>
      <c r="B22" s="1">
        <v>2015</v>
      </c>
      <c r="C22" s="9">
        <v>42248</v>
      </c>
      <c r="D22" s="1">
        <v>35570</v>
      </c>
      <c r="E22" s="1">
        <v>44826</v>
      </c>
      <c r="F22" s="1">
        <f>3229+4291</f>
        <v>7520</v>
      </c>
      <c r="G22" s="1">
        <v>6331</v>
      </c>
      <c r="H22" s="1">
        <v>11836</v>
      </c>
      <c r="I22" s="1">
        <v>0</v>
      </c>
      <c r="J22" s="1">
        <v>0</v>
      </c>
      <c r="K22" s="1">
        <f t="shared" si="2"/>
        <v>106083</v>
      </c>
      <c r="L22" s="1">
        <v>7676</v>
      </c>
      <c r="M22" s="1">
        <f t="shared" si="0"/>
        <v>113759</v>
      </c>
      <c r="N22" s="3">
        <v>45.48</v>
      </c>
      <c r="O22" s="1">
        <v>3</v>
      </c>
      <c r="P22" s="1">
        <v>7</v>
      </c>
      <c r="Q22" s="2">
        <v>8.5</v>
      </c>
      <c r="R22" s="2">
        <v>6.01</v>
      </c>
      <c r="S22" s="2">
        <v>65.516999999999996</v>
      </c>
      <c r="T22" s="2">
        <v>15</v>
      </c>
      <c r="U22" s="2">
        <v>46.8</v>
      </c>
      <c r="V22" s="2">
        <v>16.34</v>
      </c>
      <c r="W22" s="2">
        <v>7.25</v>
      </c>
      <c r="X22" s="2">
        <v>5.14</v>
      </c>
      <c r="Y22" s="2">
        <f t="shared" si="1"/>
        <v>24.47</v>
      </c>
      <c r="Z22" s="2">
        <v>68.599999999999994</v>
      </c>
      <c r="AA22" s="2"/>
      <c r="AB22" s="2">
        <v>0</v>
      </c>
    </row>
    <row r="23" spans="1:28" x14ac:dyDescent="0.3">
      <c r="A23" s="1">
        <v>10</v>
      </c>
      <c r="B23" s="1">
        <v>2015</v>
      </c>
      <c r="C23" s="9">
        <v>42278</v>
      </c>
      <c r="D23" s="1">
        <v>37595</v>
      </c>
      <c r="E23" s="1">
        <v>51048</v>
      </c>
      <c r="F23" s="1">
        <f>5890+3418</f>
        <v>9308</v>
      </c>
      <c r="G23" s="1">
        <v>9435</v>
      </c>
      <c r="H23" s="1">
        <v>13677</v>
      </c>
      <c r="I23" s="1">
        <v>0</v>
      </c>
      <c r="J23" s="1">
        <v>0</v>
      </c>
      <c r="K23" s="1">
        <f t="shared" si="2"/>
        <v>121063</v>
      </c>
      <c r="L23" s="1">
        <v>13146</v>
      </c>
      <c r="M23" s="1">
        <f t="shared" si="0"/>
        <v>134209</v>
      </c>
      <c r="N23" s="3">
        <v>46.22</v>
      </c>
      <c r="O23" s="1">
        <v>3</v>
      </c>
      <c r="P23" s="1">
        <v>7</v>
      </c>
      <c r="Q23" s="2">
        <v>8.5</v>
      </c>
      <c r="R23" s="2">
        <v>6.01</v>
      </c>
      <c r="S23" s="2">
        <v>65.423000000000002</v>
      </c>
      <c r="T23" s="2">
        <v>15</v>
      </c>
      <c r="U23" s="2">
        <v>46.8</v>
      </c>
      <c r="V23" s="2">
        <v>16.34</v>
      </c>
      <c r="W23" s="2">
        <v>7.25</v>
      </c>
      <c r="X23" s="2">
        <v>5.14</v>
      </c>
      <c r="Y23" s="2">
        <f t="shared" si="1"/>
        <v>24.47</v>
      </c>
      <c r="Z23" s="2">
        <v>69.099999999999994</v>
      </c>
      <c r="AA23" s="2"/>
      <c r="AB23" s="2">
        <v>0</v>
      </c>
    </row>
    <row r="24" spans="1:28" x14ac:dyDescent="0.3">
      <c r="A24" s="1">
        <v>11</v>
      </c>
      <c r="B24" s="1">
        <v>2015</v>
      </c>
      <c r="C24" s="9">
        <v>42309</v>
      </c>
      <c r="D24" s="1">
        <v>35981</v>
      </c>
      <c r="E24" s="1">
        <v>44626</v>
      </c>
      <c r="F24" s="1">
        <f>3363+5509</f>
        <v>8872</v>
      </c>
      <c r="G24" s="1">
        <v>8688</v>
      </c>
      <c r="H24" s="1">
        <v>12432</v>
      </c>
      <c r="I24" s="1">
        <v>0</v>
      </c>
      <c r="J24" s="1">
        <v>0</v>
      </c>
      <c r="K24" s="1">
        <f t="shared" si="2"/>
        <v>110599</v>
      </c>
      <c r="L24" s="1">
        <v>10225</v>
      </c>
      <c r="M24" s="1">
        <f t="shared" si="0"/>
        <v>120824</v>
      </c>
      <c r="N24" s="3">
        <v>42.44</v>
      </c>
      <c r="O24" s="1">
        <v>3</v>
      </c>
      <c r="P24" s="1">
        <v>7</v>
      </c>
      <c r="Q24" s="2">
        <v>8.5</v>
      </c>
      <c r="R24" s="2">
        <v>6.01</v>
      </c>
      <c r="S24" s="2">
        <v>66.462000000000003</v>
      </c>
      <c r="T24" s="2">
        <v>15</v>
      </c>
      <c r="U24" s="2">
        <v>46.8</v>
      </c>
      <c r="V24" s="2">
        <v>16.34</v>
      </c>
      <c r="W24" s="2">
        <v>7.25</v>
      </c>
      <c r="X24" s="2">
        <v>5.14</v>
      </c>
      <c r="Y24" s="2">
        <f t="shared" si="1"/>
        <v>24.47</v>
      </c>
      <c r="Z24" s="2">
        <v>69.2</v>
      </c>
      <c r="AA24" s="2"/>
      <c r="AB24" s="2">
        <v>0</v>
      </c>
    </row>
    <row r="25" spans="1:28" x14ac:dyDescent="0.3">
      <c r="A25" s="1">
        <v>12</v>
      </c>
      <c r="B25" s="1">
        <v>2015</v>
      </c>
      <c r="C25" s="9">
        <v>42339</v>
      </c>
      <c r="D25" s="1">
        <v>37234</v>
      </c>
      <c r="E25" s="1">
        <v>47354</v>
      </c>
      <c r="F25" s="1">
        <f>3614+2841</f>
        <v>6455</v>
      </c>
      <c r="G25" s="1">
        <v>9168</v>
      </c>
      <c r="H25" s="1">
        <v>11122</v>
      </c>
      <c r="I25" s="1">
        <v>0</v>
      </c>
      <c r="J25" s="1">
        <v>0</v>
      </c>
      <c r="K25" s="1">
        <f t="shared" si="2"/>
        <v>111333</v>
      </c>
      <c r="L25" s="1">
        <v>7816</v>
      </c>
      <c r="M25" s="1">
        <f t="shared" si="0"/>
        <v>119149</v>
      </c>
      <c r="N25" s="3">
        <v>37.19</v>
      </c>
      <c r="O25" s="1">
        <v>3</v>
      </c>
      <c r="P25" s="1">
        <v>7</v>
      </c>
      <c r="Q25" s="2">
        <v>8.5</v>
      </c>
      <c r="R25" s="2">
        <v>6.01</v>
      </c>
      <c r="S25" s="2">
        <v>66.207999999999998</v>
      </c>
      <c r="T25" s="2">
        <v>20</v>
      </c>
      <c r="U25" s="2">
        <v>46.8</v>
      </c>
      <c r="V25" s="2">
        <v>16.34</v>
      </c>
      <c r="W25" s="2">
        <v>7.25</v>
      </c>
      <c r="X25" s="2">
        <v>5.14</v>
      </c>
      <c r="Y25" s="2">
        <f t="shared" si="1"/>
        <v>24.47</v>
      </c>
      <c r="Z25" s="2">
        <v>69.599999999999994</v>
      </c>
      <c r="AA25" s="2"/>
      <c r="AB25" s="2">
        <v>0</v>
      </c>
    </row>
    <row r="26" spans="1:28" x14ac:dyDescent="0.3">
      <c r="A26" s="1">
        <v>1</v>
      </c>
      <c r="B26" s="1">
        <v>2016</v>
      </c>
      <c r="C26" s="9">
        <v>42370</v>
      </c>
      <c r="D26" s="1">
        <v>34206</v>
      </c>
      <c r="E26" s="1">
        <v>44575</v>
      </c>
      <c r="F26" s="1">
        <f>3545+5431</f>
        <v>8976</v>
      </c>
      <c r="G26" s="1">
        <v>8114</v>
      </c>
      <c r="H26" s="1">
        <v>10512</v>
      </c>
      <c r="I26" s="1">
        <v>0</v>
      </c>
      <c r="J26" s="1">
        <v>0</v>
      </c>
      <c r="K26" s="1">
        <f t="shared" si="2"/>
        <v>106383</v>
      </c>
      <c r="L26" s="1">
        <v>7223</v>
      </c>
      <c r="M26" s="1">
        <f t="shared" si="0"/>
        <v>113606</v>
      </c>
      <c r="N26" s="3">
        <v>31.68</v>
      </c>
      <c r="O26" s="1">
        <v>3</v>
      </c>
      <c r="P26" s="1">
        <v>7</v>
      </c>
      <c r="Q26" s="2">
        <v>8.5</v>
      </c>
      <c r="R26" s="2">
        <v>6.01</v>
      </c>
      <c r="S26" s="2">
        <v>67.878</v>
      </c>
      <c r="T26" s="2">
        <v>20</v>
      </c>
      <c r="U26" s="2">
        <v>46.8</v>
      </c>
      <c r="V26" s="2">
        <v>16.34</v>
      </c>
      <c r="W26" s="2">
        <v>7.25</v>
      </c>
      <c r="X26" s="2">
        <v>5.14</v>
      </c>
      <c r="Y26" s="2">
        <f t="shared" si="1"/>
        <v>24.47</v>
      </c>
      <c r="Z26" s="2">
        <v>70</v>
      </c>
      <c r="AA26" s="2"/>
      <c r="AB26" s="2">
        <v>0</v>
      </c>
    </row>
    <row r="27" spans="1:28" x14ac:dyDescent="0.3">
      <c r="A27" s="1">
        <v>2</v>
      </c>
      <c r="B27" s="1">
        <v>2016</v>
      </c>
      <c r="C27" s="9">
        <v>42401</v>
      </c>
      <c r="D27" s="1">
        <v>35495</v>
      </c>
      <c r="E27" s="1">
        <v>42970</v>
      </c>
      <c r="F27" s="1">
        <f>3522+5162</f>
        <v>8684</v>
      </c>
      <c r="G27" s="1">
        <v>8484</v>
      </c>
      <c r="H27" s="1">
        <v>12482</v>
      </c>
      <c r="I27" s="1">
        <v>0</v>
      </c>
      <c r="J27" s="1">
        <v>0</v>
      </c>
      <c r="K27" s="1">
        <f t="shared" si="2"/>
        <v>108115</v>
      </c>
      <c r="L27" s="1">
        <v>9336</v>
      </c>
      <c r="M27" s="1">
        <f t="shared" si="0"/>
        <v>117451</v>
      </c>
      <c r="N27" s="3">
        <v>30.32</v>
      </c>
      <c r="O27" s="1">
        <v>3</v>
      </c>
      <c r="P27" s="1">
        <v>7</v>
      </c>
      <c r="Q27" s="2">
        <v>8.5</v>
      </c>
      <c r="R27" s="2">
        <v>6.01</v>
      </c>
      <c r="S27" s="2">
        <v>68.207999999999998</v>
      </c>
      <c r="T27" s="2">
        <v>20</v>
      </c>
      <c r="U27" s="2">
        <v>46.8</v>
      </c>
      <c r="V27" s="2">
        <v>16.34</v>
      </c>
      <c r="W27" s="2">
        <v>7.25</v>
      </c>
      <c r="X27" s="2">
        <v>5.14</v>
      </c>
      <c r="Y27" s="2">
        <f t="shared" si="1"/>
        <v>24.47</v>
      </c>
      <c r="Z27" s="2">
        <v>70.099999999999994</v>
      </c>
      <c r="AA27" s="2"/>
      <c r="AB27" s="2">
        <v>0</v>
      </c>
    </row>
    <row r="28" spans="1:28" x14ac:dyDescent="0.3">
      <c r="A28" s="1">
        <v>3</v>
      </c>
      <c r="B28" s="1">
        <v>2016</v>
      </c>
      <c r="C28" s="9">
        <v>42430</v>
      </c>
      <c r="D28" s="1">
        <v>36678</v>
      </c>
      <c r="E28" s="1">
        <v>46786</v>
      </c>
      <c r="F28" s="1">
        <f>3161+5480</f>
        <v>8641</v>
      </c>
      <c r="G28" s="1">
        <v>13894</v>
      </c>
      <c r="H28" s="1">
        <v>12896</v>
      </c>
      <c r="I28" s="1">
        <v>0</v>
      </c>
      <c r="J28" s="1">
        <v>0</v>
      </c>
      <c r="K28" s="1">
        <f t="shared" si="2"/>
        <v>118895</v>
      </c>
      <c r="L28" s="1">
        <v>10450</v>
      </c>
      <c r="M28" s="1">
        <f t="shared" si="0"/>
        <v>129345</v>
      </c>
      <c r="N28" s="3">
        <v>37.549999999999997</v>
      </c>
      <c r="O28" s="1">
        <v>3</v>
      </c>
      <c r="P28" s="1">
        <v>7</v>
      </c>
      <c r="Q28" s="2">
        <v>8.5</v>
      </c>
      <c r="R28" s="2">
        <v>6.01</v>
      </c>
      <c r="S28" s="2">
        <v>66.254999999999995</v>
      </c>
      <c r="T28" s="2">
        <v>20</v>
      </c>
      <c r="U28" s="2">
        <v>46.8</v>
      </c>
      <c r="V28" s="2">
        <v>16.34</v>
      </c>
      <c r="W28" s="2">
        <v>7.25</v>
      </c>
      <c r="X28" s="2">
        <v>5.14</v>
      </c>
      <c r="Y28" s="2">
        <f t="shared" si="1"/>
        <v>24.47</v>
      </c>
      <c r="Z28" s="2">
        <v>70.2</v>
      </c>
      <c r="AA28" s="2"/>
      <c r="AB28" s="2">
        <v>0</v>
      </c>
    </row>
    <row r="29" spans="1:28" x14ac:dyDescent="0.3">
      <c r="A29" s="1">
        <v>4</v>
      </c>
      <c r="B29" s="1">
        <v>2016</v>
      </c>
      <c r="C29" s="9">
        <v>42461</v>
      </c>
      <c r="D29" s="1">
        <v>31906</v>
      </c>
      <c r="E29" s="1">
        <v>45700</v>
      </c>
      <c r="F29" s="1">
        <f>3173+5702</f>
        <v>8875</v>
      </c>
      <c r="G29" s="1">
        <v>16044</v>
      </c>
      <c r="H29" s="1">
        <v>14520</v>
      </c>
      <c r="I29" s="1">
        <v>0</v>
      </c>
      <c r="J29" s="1">
        <v>0</v>
      </c>
      <c r="K29" s="1">
        <f t="shared" si="2"/>
        <v>117045</v>
      </c>
      <c r="L29" s="1">
        <v>9524</v>
      </c>
      <c r="M29" s="1">
        <f t="shared" si="0"/>
        <v>126569</v>
      </c>
      <c r="N29" s="3">
        <v>40.75</v>
      </c>
      <c r="O29" s="1">
        <v>1</v>
      </c>
      <c r="P29" s="1">
        <v>6</v>
      </c>
      <c r="Q29" s="2">
        <v>7.75</v>
      </c>
      <c r="R29" s="2">
        <v>5.66</v>
      </c>
      <c r="S29" s="2">
        <v>66.424999999999997</v>
      </c>
      <c r="T29" s="2">
        <v>20</v>
      </c>
      <c r="U29" s="2">
        <v>47.3</v>
      </c>
      <c r="V29" s="2">
        <v>16.72</v>
      </c>
      <c r="W29" s="2">
        <v>7.25</v>
      </c>
      <c r="X29" s="2">
        <v>4.7</v>
      </c>
      <c r="Y29" s="2">
        <f t="shared" si="1"/>
        <v>24.03</v>
      </c>
      <c r="Z29" s="2">
        <v>70.099999999999994</v>
      </c>
      <c r="AA29" s="2"/>
      <c r="AB29" s="2">
        <v>0</v>
      </c>
    </row>
    <row r="30" spans="1:28" x14ac:dyDescent="0.3">
      <c r="A30" s="1">
        <v>5</v>
      </c>
      <c r="B30" s="1">
        <v>2016</v>
      </c>
      <c r="C30" s="9">
        <v>42491</v>
      </c>
      <c r="D30" s="1">
        <v>33105</v>
      </c>
      <c r="E30" s="1">
        <v>46554</v>
      </c>
      <c r="F30" s="1">
        <f>2555+5188</f>
        <v>7743</v>
      </c>
      <c r="G30" s="1">
        <v>13596</v>
      </c>
      <c r="H30" s="1">
        <v>12164</v>
      </c>
      <c r="I30" s="1">
        <v>0</v>
      </c>
      <c r="J30" s="1">
        <v>0</v>
      </c>
      <c r="K30" s="1">
        <f t="shared" si="2"/>
        <v>113162</v>
      </c>
      <c r="L30" s="1">
        <v>9872</v>
      </c>
      <c r="M30" s="1">
        <f>SUM(K30:L30)</f>
        <v>123034</v>
      </c>
      <c r="N30" s="3">
        <v>46.71</v>
      </c>
      <c r="O30" s="1">
        <v>1</v>
      </c>
      <c r="P30" s="1">
        <v>6</v>
      </c>
      <c r="Q30" s="2">
        <v>7.75</v>
      </c>
      <c r="R30" s="2">
        <v>5.66</v>
      </c>
      <c r="S30" s="2">
        <v>67.209000000000003</v>
      </c>
      <c r="T30" s="2">
        <v>20</v>
      </c>
      <c r="U30" s="2">
        <v>47.3</v>
      </c>
      <c r="V30" s="2">
        <v>16.72</v>
      </c>
      <c r="W30" s="2">
        <v>7.25</v>
      </c>
      <c r="X30" s="2">
        <v>4.7</v>
      </c>
      <c r="Y30" s="2">
        <f t="shared" si="1"/>
        <v>24.03</v>
      </c>
      <c r="Z30" s="2">
        <v>70.400000000000006</v>
      </c>
      <c r="AA30" s="2"/>
      <c r="AB30" s="2">
        <v>0</v>
      </c>
    </row>
    <row r="31" spans="1:28" x14ac:dyDescent="0.3">
      <c r="A31" s="1">
        <v>6</v>
      </c>
      <c r="B31" s="1">
        <v>2016</v>
      </c>
      <c r="C31" s="9">
        <v>42522</v>
      </c>
      <c r="D31" s="1">
        <v>27712</v>
      </c>
      <c r="E31" s="1">
        <v>39971</v>
      </c>
      <c r="F31" s="1">
        <f>2068+2800</f>
        <v>4868</v>
      </c>
      <c r="G31" s="1">
        <v>9708</v>
      </c>
      <c r="H31" s="1">
        <v>9874</v>
      </c>
      <c r="I31" s="1">
        <v>0</v>
      </c>
      <c r="J31" s="1">
        <v>0</v>
      </c>
      <c r="K31" s="1">
        <f t="shared" si="2"/>
        <v>92133</v>
      </c>
      <c r="L31" s="1">
        <v>6707</v>
      </c>
      <c r="M31" s="1">
        <f t="shared" si="0"/>
        <v>98840</v>
      </c>
      <c r="N31" s="3">
        <v>48.76</v>
      </c>
      <c r="O31" s="1">
        <v>1</v>
      </c>
      <c r="P31" s="1">
        <v>6</v>
      </c>
      <c r="Q31" s="2">
        <v>7.75</v>
      </c>
      <c r="R31" s="2">
        <v>5.66</v>
      </c>
      <c r="S31" s="2">
        <v>67.504000000000005</v>
      </c>
      <c r="T31" s="2">
        <v>20</v>
      </c>
      <c r="U31" s="2">
        <v>47.3</v>
      </c>
      <c r="V31" s="2">
        <v>16.72</v>
      </c>
      <c r="W31" s="2">
        <v>7.25</v>
      </c>
      <c r="X31" s="2">
        <v>4.7</v>
      </c>
      <c r="Y31" s="2">
        <f t="shared" si="1"/>
        <v>24.03</v>
      </c>
      <c r="Z31" s="2">
        <v>70.5</v>
      </c>
      <c r="AA31" s="2"/>
      <c r="AB31" s="2">
        <v>0</v>
      </c>
    </row>
    <row r="32" spans="1:28" x14ac:dyDescent="0.3">
      <c r="A32" s="1">
        <v>7</v>
      </c>
      <c r="B32" s="1">
        <v>2016</v>
      </c>
      <c r="C32" s="9">
        <v>42552</v>
      </c>
      <c r="D32" s="1">
        <v>35051</v>
      </c>
      <c r="E32" s="1">
        <v>50362</v>
      </c>
      <c r="F32" s="1">
        <f>3370+2099</f>
        <v>5469</v>
      </c>
      <c r="G32" s="1">
        <v>6916</v>
      </c>
      <c r="H32" s="1">
        <v>11887</v>
      </c>
      <c r="I32" s="1">
        <v>0</v>
      </c>
      <c r="J32" s="1">
        <v>0</v>
      </c>
      <c r="K32" s="1">
        <f t="shared" si="2"/>
        <v>109685</v>
      </c>
      <c r="L32" s="1">
        <v>11338</v>
      </c>
      <c r="M32" s="1">
        <f t="shared" si="0"/>
        <v>121023</v>
      </c>
      <c r="N32" s="3">
        <v>44.65</v>
      </c>
      <c r="O32" s="1">
        <v>1</v>
      </c>
      <c r="P32" s="1">
        <v>6</v>
      </c>
      <c r="Q32" s="2">
        <v>7.75</v>
      </c>
      <c r="R32" s="2">
        <v>5.66</v>
      </c>
      <c r="S32" s="2">
        <v>66.655000000000001</v>
      </c>
      <c r="T32" s="2">
        <v>20</v>
      </c>
      <c r="U32" s="2">
        <v>47.3</v>
      </c>
      <c r="V32" s="2">
        <v>16.72</v>
      </c>
      <c r="W32" s="2">
        <v>7.25</v>
      </c>
      <c r="X32" s="2">
        <v>4.7</v>
      </c>
      <c r="Y32" s="2">
        <f t="shared" si="1"/>
        <v>24.03</v>
      </c>
      <c r="Z32" s="2">
        <v>71</v>
      </c>
      <c r="AA32" s="2"/>
      <c r="AB32" s="2">
        <v>0</v>
      </c>
    </row>
    <row r="33" spans="1:28" x14ac:dyDescent="0.3">
      <c r="A33" s="1">
        <v>8</v>
      </c>
      <c r="B33" s="1">
        <v>2016</v>
      </c>
      <c r="C33" s="9">
        <v>42583</v>
      </c>
      <c r="D33" s="1">
        <v>35490</v>
      </c>
      <c r="E33" s="1">
        <v>45579</v>
      </c>
      <c r="F33" s="1">
        <f>2986+6214</f>
        <v>9200</v>
      </c>
      <c r="G33" s="1">
        <v>16806</v>
      </c>
      <c r="H33" s="1">
        <v>12831</v>
      </c>
      <c r="I33" s="1">
        <v>25</v>
      </c>
      <c r="J33" s="1">
        <v>0</v>
      </c>
      <c r="K33" s="1">
        <f t="shared" si="2"/>
        <v>119931</v>
      </c>
      <c r="L33" s="1">
        <v>12280</v>
      </c>
      <c r="M33" s="1">
        <f t="shared" si="0"/>
        <v>132211</v>
      </c>
      <c r="N33" s="3">
        <v>44.72</v>
      </c>
      <c r="O33" s="1">
        <v>1</v>
      </c>
      <c r="P33" s="1">
        <v>6</v>
      </c>
      <c r="Q33" s="2">
        <v>7.75</v>
      </c>
      <c r="R33" s="2">
        <v>5.66</v>
      </c>
      <c r="S33" s="2">
        <v>66.972999999999999</v>
      </c>
      <c r="T33" s="2">
        <v>20</v>
      </c>
      <c r="U33" s="2">
        <v>47.3</v>
      </c>
      <c r="V33" s="2">
        <v>16.72</v>
      </c>
      <c r="W33" s="2">
        <v>7.25</v>
      </c>
      <c r="X33" s="2">
        <v>4.7</v>
      </c>
      <c r="Y33" s="2">
        <f t="shared" si="1"/>
        <v>24.03</v>
      </c>
      <c r="Z33" s="2">
        <v>72.2</v>
      </c>
      <c r="AA33" s="2"/>
      <c r="AB33" s="2">
        <v>0</v>
      </c>
    </row>
    <row r="34" spans="1:28" x14ac:dyDescent="0.3">
      <c r="A34" s="1">
        <v>9</v>
      </c>
      <c r="B34" s="1">
        <v>2016</v>
      </c>
      <c r="C34" s="9">
        <v>42614</v>
      </c>
      <c r="D34" s="1">
        <v>44395</v>
      </c>
      <c r="E34" s="1">
        <v>50324</v>
      </c>
      <c r="F34" s="1">
        <f>3973+6544</f>
        <v>10517</v>
      </c>
      <c r="G34" s="1">
        <v>18423</v>
      </c>
      <c r="H34" s="1">
        <v>13618</v>
      </c>
      <c r="I34" s="1">
        <v>44</v>
      </c>
      <c r="J34" s="1">
        <v>0</v>
      </c>
      <c r="K34" s="1">
        <f t="shared" si="2"/>
        <v>137321</v>
      </c>
      <c r="L34" s="1">
        <v>11822</v>
      </c>
      <c r="M34" s="1">
        <f t="shared" si="0"/>
        <v>149143</v>
      </c>
      <c r="N34" s="3">
        <v>45.18</v>
      </c>
      <c r="O34" s="1">
        <v>1</v>
      </c>
      <c r="P34" s="1">
        <v>6</v>
      </c>
      <c r="Q34" s="2">
        <v>7.75</v>
      </c>
      <c r="R34" s="2">
        <v>5.66</v>
      </c>
      <c r="S34" s="2">
        <v>66.555999999999997</v>
      </c>
      <c r="T34" s="2">
        <v>20</v>
      </c>
      <c r="U34" s="2">
        <v>47.3</v>
      </c>
      <c r="V34" s="2">
        <v>16.72</v>
      </c>
      <c r="W34" s="2">
        <v>7.25</v>
      </c>
      <c r="X34" s="2">
        <v>4.7</v>
      </c>
      <c r="Y34" s="2">
        <f t="shared" ref="Y34:Y65" si="3">100-SUM(V34:X34,U34)</f>
        <v>24.03</v>
      </c>
      <c r="Z34" s="2">
        <v>73</v>
      </c>
      <c r="AA34" s="2"/>
      <c r="AB34" s="2">
        <v>0</v>
      </c>
    </row>
    <row r="35" spans="1:28" x14ac:dyDescent="0.3">
      <c r="A35" s="1">
        <v>10</v>
      </c>
      <c r="B35" s="1">
        <v>2016</v>
      </c>
      <c r="C35" s="9">
        <v>42644</v>
      </c>
      <c r="D35" s="1">
        <v>33929</v>
      </c>
      <c r="E35" s="1">
        <v>50116</v>
      </c>
      <c r="F35" s="1">
        <f>2481+6360</f>
        <v>8841</v>
      </c>
      <c r="G35" s="1">
        <v>18008</v>
      </c>
      <c r="H35" s="1">
        <v>12790</v>
      </c>
      <c r="I35" s="1">
        <v>80</v>
      </c>
      <c r="J35" s="1">
        <v>0</v>
      </c>
      <c r="K35" s="1">
        <f t="shared" si="2"/>
        <v>123764</v>
      </c>
      <c r="L35" s="1">
        <v>10029</v>
      </c>
      <c r="M35" s="1">
        <f t="shared" si="0"/>
        <v>133793</v>
      </c>
      <c r="N35" s="3">
        <v>49.78</v>
      </c>
      <c r="O35" s="1">
        <v>1</v>
      </c>
      <c r="P35" s="1">
        <v>6</v>
      </c>
      <c r="Q35" s="2">
        <v>7.75</v>
      </c>
      <c r="R35" s="2">
        <v>5.66</v>
      </c>
      <c r="S35" s="2">
        <v>66.686000000000007</v>
      </c>
      <c r="T35" s="2">
        <v>20</v>
      </c>
      <c r="U35" s="2">
        <v>47.3</v>
      </c>
      <c r="V35" s="2">
        <v>16.72</v>
      </c>
      <c r="W35" s="2">
        <v>7.25</v>
      </c>
      <c r="X35" s="2">
        <v>4.7</v>
      </c>
      <c r="Y35" s="2">
        <f t="shared" si="3"/>
        <v>24.03</v>
      </c>
      <c r="Z35" s="2">
        <v>73.5</v>
      </c>
      <c r="AA35" s="2"/>
      <c r="AB35" s="2">
        <v>0</v>
      </c>
    </row>
    <row r="36" spans="1:28" x14ac:dyDescent="0.3">
      <c r="A36" s="1">
        <v>11</v>
      </c>
      <c r="B36" s="1">
        <v>2016</v>
      </c>
      <c r="C36" s="9">
        <v>42675</v>
      </c>
      <c r="D36" s="1">
        <v>38886</v>
      </c>
      <c r="E36" s="1">
        <v>49431</v>
      </c>
      <c r="F36" s="1">
        <v>8450</v>
      </c>
      <c r="G36" s="1">
        <v>17215</v>
      </c>
      <c r="H36" s="1">
        <v>12238</v>
      </c>
      <c r="I36" s="1">
        <v>105</v>
      </c>
      <c r="J36" s="1">
        <v>0</v>
      </c>
      <c r="K36" s="1">
        <f t="shared" si="2"/>
        <v>126325</v>
      </c>
      <c r="L36" s="1">
        <v>9225</v>
      </c>
      <c r="M36" s="1">
        <f t="shared" si="0"/>
        <v>135550</v>
      </c>
      <c r="N36" s="3">
        <v>45.66</v>
      </c>
      <c r="O36" s="1">
        <v>1</v>
      </c>
      <c r="P36" s="1">
        <v>6</v>
      </c>
      <c r="Q36" s="2">
        <v>7.75</v>
      </c>
      <c r="R36" s="2">
        <v>5.66</v>
      </c>
      <c r="S36" s="2">
        <v>68.597999999999999</v>
      </c>
      <c r="T36" s="2">
        <v>20</v>
      </c>
      <c r="U36" s="2">
        <v>47.3</v>
      </c>
      <c r="V36" s="2">
        <v>16.72</v>
      </c>
      <c r="W36" s="2">
        <v>7.25</v>
      </c>
      <c r="X36" s="2">
        <v>4.7</v>
      </c>
      <c r="Y36" s="2">
        <f t="shared" si="3"/>
        <v>24.03</v>
      </c>
      <c r="Z36" s="2">
        <v>73.599999999999994</v>
      </c>
      <c r="AA36" s="2"/>
      <c r="AB36" s="2">
        <v>0</v>
      </c>
    </row>
    <row r="37" spans="1:28" x14ac:dyDescent="0.3">
      <c r="A37" s="1">
        <v>12</v>
      </c>
      <c r="B37" s="1">
        <v>2016</v>
      </c>
      <c r="C37" s="9">
        <v>42705</v>
      </c>
      <c r="D37" s="1">
        <v>31527</v>
      </c>
      <c r="E37" s="1">
        <v>43295</v>
      </c>
      <c r="F37" s="1">
        <f>2559+3711</f>
        <v>6270</v>
      </c>
      <c r="G37" s="1">
        <v>19072</v>
      </c>
      <c r="H37" s="1">
        <v>9224</v>
      </c>
      <c r="I37" s="1">
        <v>26</v>
      </c>
      <c r="J37" s="1">
        <v>0</v>
      </c>
      <c r="K37" s="1">
        <f t="shared" si="2"/>
        <v>109414</v>
      </c>
      <c r="L37" s="1">
        <v>11494</v>
      </c>
      <c r="M37" s="1">
        <f t="shared" si="0"/>
        <v>120908</v>
      </c>
      <c r="N37" s="3">
        <v>51.97</v>
      </c>
      <c r="O37" s="1">
        <v>1</v>
      </c>
      <c r="P37" s="1">
        <v>6</v>
      </c>
      <c r="Q37" s="2">
        <v>7.75</v>
      </c>
      <c r="R37" s="2">
        <v>5.66</v>
      </c>
      <c r="S37" s="2">
        <v>67.954999999999998</v>
      </c>
      <c r="T37" s="2">
        <v>20</v>
      </c>
      <c r="U37" s="2">
        <v>47.3</v>
      </c>
      <c r="V37" s="2">
        <v>16.72</v>
      </c>
      <c r="W37" s="2">
        <v>7.25</v>
      </c>
      <c r="X37" s="2">
        <v>4.7</v>
      </c>
      <c r="Y37" s="2">
        <f t="shared" si="3"/>
        <v>24.03</v>
      </c>
      <c r="Z37" s="2">
        <v>73.8</v>
      </c>
      <c r="AA37" s="2"/>
      <c r="AB37" s="2">
        <v>0</v>
      </c>
    </row>
    <row r="38" spans="1:28" x14ac:dyDescent="0.3">
      <c r="A38" s="1">
        <v>1</v>
      </c>
      <c r="B38" s="1">
        <v>2017</v>
      </c>
      <c r="C38" s="9">
        <v>42736</v>
      </c>
      <c r="D38" s="1">
        <v>37928</v>
      </c>
      <c r="E38" s="1">
        <v>55817</v>
      </c>
      <c r="F38" s="1">
        <f>3001+6530</f>
        <v>9531</v>
      </c>
      <c r="G38" s="1">
        <v>16313</v>
      </c>
      <c r="H38" s="1">
        <v>14179</v>
      </c>
      <c r="I38" s="1">
        <v>166</v>
      </c>
      <c r="J38" s="1">
        <v>0</v>
      </c>
      <c r="K38" s="1">
        <f t="shared" si="2"/>
        <v>133934</v>
      </c>
      <c r="L38" s="1">
        <v>10462</v>
      </c>
      <c r="M38" s="1">
        <f t="shared" si="0"/>
        <v>144396</v>
      </c>
      <c r="N38" s="3">
        <v>52.5</v>
      </c>
      <c r="O38" s="1">
        <v>1</v>
      </c>
      <c r="P38" s="1">
        <v>6</v>
      </c>
      <c r="Q38" s="2">
        <v>7.75</v>
      </c>
      <c r="R38" s="2">
        <v>5.66</v>
      </c>
      <c r="S38" s="2">
        <v>67.515000000000001</v>
      </c>
      <c r="T38" s="2">
        <v>20</v>
      </c>
      <c r="U38" s="2">
        <v>47.3</v>
      </c>
      <c r="V38" s="2">
        <v>16.72</v>
      </c>
      <c r="W38" s="2">
        <v>7.25</v>
      </c>
      <c r="X38" s="2">
        <v>4.7</v>
      </c>
      <c r="Y38" s="2">
        <f t="shared" si="3"/>
        <v>24.03</v>
      </c>
      <c r="Z38" s="2">
        <v>74.2</v>
      </c>
      <c r="AA38" s="2"/>
      <c r="AB38" s="2">
        <v>0</v>
      </c>
    </row>
    <row r="39" spans="1:28" x14ac:dyDescent="0.3">
      <c r="A39" s="1">
        <v>2</v>
      </c>
      <c r="B39" s="1">
        <v>2017</v>
      </c>
      <c r="C39" s="9">
        <v>42767</v>
      </c>
      <c r="D39" s="1">
        <v>33079</v>
      </c>
      <c r="E39" s="1">
        <v>47002</v>
      </c>
      <c r="F39" s="1">
        <f>2574+5886</f>
        <v>8460</v>
      </c>
      <c r="G39" s="1">
        <v>17863</v>
      </c>
      <c r="H39" s="1">
        <v>14195</v>
      </c>
      <c r="I39" s="1">
        <v>136</v>
      </c>
      <c r="J39" s="1">
        <v>0</v>
      </c>
      <c r="K39" s="1">
        <f t="shared" si="2"/>
        <v>120735</v>
      </c>
      <c r="L39" s="1">
        <v>9545</v>
      </c>
      <c r="M39" s="1">
        <f t="shared" si="0"/>
        <v>130280</v>
      </c>
      <c r="N39" s="3">
        <v>53.47</v>
      </c>
      <c r="O39" s="1">
        <v>1</v>
      </c>
      <c r="P39" s="1">
        <v>6</v>
      </c>
      <c r="Q39" s="2">
        <v>7.75</v>
      </c>
      <c r="R39" s="2">
        <v>5.66</v>
      </c>
      <c r="S39" s="2">
        <v>66.724999999999994</v>
      </c>
      <c r="T39" s="2">
        <v>20</v>
      </c>
      <c r="U39" s="2">
        <v>47.3</v>
      </c>
      <c r="V39" s="2">
        <v>16.72</v>
      </c>
      <c r="W39" s="2">
        <v>7.25</v>
      </c>
      <c r="X39" s="2">
        <v>4.7</v>
      </c>
      <c r="Y39" s="2">
        <f t="shared" si="3"/>
        <v>24.03</v>
      </c>
      <c r="Z39" s="2">
        <v>74.400000000000006</v>
      </c>
      <c r="AA39" s="2"/>
      <c r="AB39" s="2">
        <v>0</v>
      </c>
    </row>
    <row r="40" spans="1:28" x14ac:dyDescent="0.3">
      <c r="A40" s="1">
        <v>3</v>
      </c>
      <c r="B40" s="1">
        <v>2017</v>
      </c>
      <c r="C40" s="9">
        <v>42795</v>
      </c>
      <c r="D40" s="1">
        <v>30973</v>
      </c>
      <c r="E40" s="1">
        <v>60699</v>
      </c>
      <c r="F40" s="1">
        <f>1166+4918</f>
        <v>6084</v>
      </c>
      <c r="G40" s="1">
        <v>18311</v>
      </c>
      <c r="H40" s="1">
        <v>11628</v>
      </c>
      <c r="I40" s="1">
        <v>304</v>
      </c>
      <c r="J40" s="1">
        <v>0</v>
      </c>
      <c r="K40" s="1">
        <f t="shared" si="2"/>
        <v>127999</v>
      </c>
      <c r="L40" s="1">
        <v>11764</v>
      </c>
      <c r="M40" s="1">
        <f t="shared" si="0"/>
        <v>139763</v>
      </c>
      <c r="N40" s="3">
        <v>49.33</v>
      </c>
      <c r="O40" s="1">
        <v>1</v>
      </c>
      <c r="P40" s="1">
        <v>6</v>
      </c>
      <c r="Q40" s="2">
        <v>7.75</v>
      </c>
      <c r="R40" s="2">
        <v>5.66</v>
      </c>
      <c r="S40" s="2">
        <v>64.86</v>
      </c>
      <c r="T40" s="2">
        <v>20</v>
      </c>
      <c r="U40" s="2">
        <v>47.3</v>
      </c>
      <c r="V40" s="2">
        <v>16.72</v>
      </c>
      <c r="W40" s="2">
        <v>7.25</v>
      </c>
      <c r="X40" s="2">
        <v>4.7</v>
      </c>
      <c r="Y40" s="2">
        <f t="shared" si="3"/>
        <v>24.03</v>
      </c>
      <c r="Z40" s="2">
        <v>76</v>
      </c>
      <c r="AA40" s="2"/>
      <c r="AB40" s="2">
        <v>0</v>
      </c>
    </row>
    <row r="41" spans="1:28" x14ac:dyDescent="0.3">
      <c r="A41" s="1">
        <v>4</v>
      </c>
      <c r="B41" s="1">
        <v>2017</v>
      </c>
      <c r="C41" s="9">
        <v>42826</v>
      </c>
      <c r="D41" s="1">
        <v>38897</v>
      </c>
      <c r="E41" s="1">
        <v>63584</v>
      </c>
      <c r="F41" s="1">
        <v>7024</v>
      </c>
      <c r="G41" s="1">
        <v>20638</v>
      </c>
      <c r="H41" s="1">
        <v>13938</v>
      </c>
      <c r="I41" s="1">
        <v>411</v>
      </c>
      <c r="J41" s="1">
        <v>0</v>
      </c>
      <c r="K41" s="1">
        <f t="shared" si="2"/>
        <v>144492</v>
      </c>
      <c r="L41" s="1">
        <v>6723</v>
      </c>
      <c r="M41" s="1">
        <f t="shared" si="0"/>
        <v>151215</v>
      </c>
      <c r="N41" s="3">
        <v>51.06</v>
      </c>
      <c r="O41" s="1">
        <v>2</v>
      </c>
      <c r="P41" s="1">
        <v>4</v>
      </c>
      <c r="Q41" s="2">
        <v>7.5</v>
      </c>
      <c r="R41" s="2">
        <v>5.9</v>
      </c>
      <c r="S41" s="2">
        <v>64.290000000000006</v>
      </c>
      <c r="T41" s="2">
        <v>20</v>
      </c>
      <c r="U41" s="2">
        <v>49.7</v>
      </c>
      <c r="V41" s="2">
        <v>16.399999999999999</v>
      </c>
      <c r="W41" s="2">
        <v>7.25</v>
      </c>
      <c r="X41" s="2">
        <v>4.3</v>
      </c>
      <c r="Y41" s="2">
        <f t="shared" si="3"/>
        <v>22.349999999999994</v>
      </c>
      <c r="Z41" s="2">
        <v>76</v>
      </c>
      <c r="AA41" s="2"/>
      <c r="AB41" s="2">
        <v>0</v>
      </c>
    </row>
    <row r="42" spans="1:28" x14ac:dyDescent="0.3">
      <c r="A42" s="1">
        <v>5</v>
      </c>
      <c r="B42" s="1">
        <v>2017</v>
      </c>
      <c r="C42" s="9">
        <v>42856</v>
      </c>
      <c r="D42" s="1">
        <v>39089</v>
      </c>
      <c r="E42" s="1">
        <v>51234</v>
      </c>
      <c r="F42" s="1">
        <v>4724</v>
      </c>
      <c r="G42" s="1">
        <v>22608</v>
      </c>
      <c r="H42" s="1">
        <v>12593</v>
      </c>
      <c r="I42" s="1">
        <v>428</v>
      </c>
      <c r="J42" s="1">
        <v>0</v>
      </c>
      <c r="K42" s="1">
        <f t="shared" si="2"/>
        <v>130676</v>
      </c>
      <c r="L42" s="1">
        <v>6286</v>
      </c>
      <c r="M42" s="1">
        <f t="shared" si="0"/>
        <v>136962</v>
      </c>
      <c r="N42" s="3">
        <v>48.48</v>
      </c>
      <c r="O42" s="1">
        <v>2</v>
      </c>
      <c r="P42" s="1">
        <v>4</v>
      </c>
      <c r="Q42" s="2">
        <v>7.5</v>
      </c>
      <c r="R42" s="2">
        <v>5.9</v>
      </c>
      <c r="S42" s="2">
        <v>64.510000000000005</v>
      </c>
      <c r="T42" s="2">
        <v>20</v>
      </c>
      <c r="U42" s="2">
        <v>49.7</v>
      </c>
      <c r="V42" s="2">
        <v>16.399999999999999</v>
      </c>
      <c r="W42" s="2">
        <v>7.25</v>
      </c>
      <c r="X42" s="2">
        <v>4.3</v>
      </c>
      <c r="Y42" s="2">
        <f t="shared" si="3"/>
        <v>22.349999999999994</v>
      </c>
      <c r="Z42" s="2">
        <v>80</v>
      </c>
      <c r="AA42" s="2"/>
      <c r="AB42" s="2">
        <v>0</v>
      </c>
    </row>
    <row r="43" spans="1:28" x14ac:dyDescent="0.3">
      <c r="A43" s="1">
        <v>6</v>
      </c>
      <c r="B43" s="1">
        <v>2017</v>
      </c>
      <c r="C43" s="9">
        <v>42887</v>
      </c>
      <c r="D43" s="1">
        <v>25524</v>
      </c>
      <c r="E43" s="1">
        <v>40496</v>
      </c>
      <c r="F43" s="1">
        <v>3950</v>
      </c>
      <c r="G43" s="1">
        <v>13879</v>
      </c>
      <c r="H43" s="1">
        <v>9208</v>
      </c>
      <c r="I43" s="1">
        <v>206</v>
      </c>
      <c r="J43" s="1">
        <v>0</v>
      </c>
      <c r="K43" s="1">
        <f t="shared" si="2"/>
        <v>93263</v>
      </c>
      <c r="L43" s="1">
        <v>13131</v>
      </c>
      <c r="M43" s="1">
        <f t="shared" si="0"/>
        <v>106394</v>
      </c>
      <c r="N43" s="3">
        <v>45.18</v>
      </c>
      <c r="O43" s="1">
        <v>2</v>
      </c>
      <c r="P43" s="1">
        <v>4</v>
      </c>
      <c r="Q43" s="2">
        <v>7.5</v>
      </c>
      <c r="R43" s="2">
        <v>5.9</v>
      </c>
      <c r="S43" s="2">
        <v>64.62</v>
      </c>
      <c r="T43" s="2">
        <v>20</v>
      </c>
      <c r="U43" s="2">
        <v>49.7</v>
      </c>
      <c r="V43" s="2">
        <v>16.399999999999999</v>
      </c>
      <c r="W43" s="2">
        <v>7.25</v>
      </c>
      <c r="X43" s="2">
        <v>4.3</v>
      </c>
      <c r="Y43" s="2">
        <f t="shared" si="3"/>
        <v>22.349999999999994</v>
      </c>
      <c r="Z43" s="2"/>
      <c r="AA43" s="2"/>
      <c r="AB43" s="2">
        <v>0</v>
      </c>
    </row>
    <row r="44" spans="1:28" x14ac:dyDescent="0.3">
      <c r="A44" s="1">
        <v>7</v>
      </c>
      <c r="B44" s="1">
        <v>2017</v>
      </c>
      <c r="C44" s="9">
        <v>42917</v>
      </c>
      <c r="D44" s="1">
        <v>42310</v>
      </c>
      <c r="E44" s="1">
        <v>63116</v>
      </c>
      <c r="F44" s="1">
        <v>6377</v>
      </c>
      <c r="G44" s="1">
        <v>25761</v>
      </c>
      <c r="H44" s="1">
        <v>15714</v>
      </c>
      <c r="I44" s="1">
        <v>1723</v>
      </c>
      <c r="J44" s="1">
        <v>0</v>
      </c>
      <c r="K44" s="1">
        <f t="shared" si="2"/>
        <v>155001</v>
      </c>
      <c r="L44" s="1">
        <v>11345</v>
      </c>
      <c r="M44" s="1">
        <f t="shared" si="0"/>
        <v>166346</v>
      </c>
      <c r="N44" s="3">
        <v>46.63</v>
      </c>
      <c r="O44" s="1">
        <v>2</v>
      </c>
      <c r="P44" s="1">
        <v>4</v>
      </c>
      <c r="Q44" s="2">
        <v>7.5</v>
      </c>
      <c r="R44" s="2">
        <v>5.9</v>
      </c>
      <c r="S44" s="2">
        <v>64.2</v>
      </c>
      <c r="T44" s="2">
        <v>20</v>
      </c>
      <c r="U44" s="2">
        <v>49.7</v>
      </c>
      <c r="V44" s="2">
        <v>16.399999999999999</v>
      </c>
      <c r="W44" s="2">
        <v>7.25</v>
      </c>
      <c r="X44" s="2">
        <v>4.3</v>
      </c>
      <c r="Y44" s="2">
        <f t="shared" si="3"/>
        <v>22.349999999999994</v>
      </c>
      <c r="Z44" s="2"/>
      <c r="AA44" s="2"/>
      <c r="AB44" s="2">
        <v>0</v>
      </c>
    </row>
    <row r="45" spans="1:28" x14ac:dyDescent="0.3">
      <c r="A45" s="1">
        <v>8</v>
      </c>
      <c r="B45" s="1">
        <v>2017</v>
      </c>
      <c r="C45" s="9">
        <v>42948</v>
      </c>
      <c r="D45" s="1">
        <v>35428</v>
      </c>
      <c r="E45" s="1">
        <v>74012</v>
      </c>
      <c r="F45" s="1">
        <v>6457</v>
      </c>
      <c r="G45" s="1">
        <v>21442</v>
      </c>
      <c r="H45" s="1">
        <v>13931</v>
      </c>
      <c r="I45" s="1">
        <v>730</v>
      </c>
      <c r="J45" s="1">
        <v>0</v>
      </c>
      <c r="K45" s="1">
        <f t="shared" si="2"/>
        <v>152000</v>
      </c>
      <c r="L45" s="1">
        <v>11701</v>
      </c>
      <c r="M45" s="1">
        <f t="shared" si="0"/>
        <v>163701</v>
      </c>
      <c r="N45" s="3">
        <v>48.04</v>
      </c>
      <c r="O45" s="1">
        <v>2</v>
      </c>
      <c r="P45" s="1">
        <v>4</v>
      </c>
      <c r="Q45" s="2">
        <v>7.5</v>
      </c>
      <c r="R45" s="2">
        <v>5.9</v>
      </c>
      <c r="S45" s="2">
        <v>63.935000000000002</v>
      </c>
      <c r="T45" s="2">
        <v>20</v>
      </c>
      <c r="U45" s="2">
        <v>49.7</v>
      </c>
      <c r="V45" s="2">
        <v>16.399999999999999</v>
      </c>
      <c r="W45" s="2">
        <v>7.25</v>
      </c>
      <c r="X45" s="2">
        <v>4.3</v>
      </c>
      <c r="Y45" s="2">
        <f t="shared" si="3"/>
        <v>22.349999999999994</v>
      </c>
      <c r="Z45" s="2"/>
      <c r="AA45" s="2"/>
      <c r="AB45" s="2">
        <v>0</v>
      </c>
    </row>
    <row r="46" spans="1:28" x14ac:dyDescent="0.3">
      <c r="A46" s="1">
        <v>9</v>
      </c>
      <c r="B46" s="1">
        <v>2017</v>
      </c>
      <c r="C46" s="9">
        <v>42979</v>
      </c>
      <c r="D46" s="1">
        <v>38479</v>
      </c>
      <c r="E46" s="1">
        <v>72804</v>
      </c>
      <c r="F46" s="1">
        <v>5603</v>
      </c>
      <c r="G46" s="1">
        <v>19900</v>
      </c>
      <c r="H46" s="1">
        <v>13735</v>
      </c>
      <c r="I46" s="1">
        <v>879</v>
      </c>
      <c r="J46" s="1">
        <v>0</v>
      </c>
      <c r="K46" s="1">
        <f t="shared" si="2"/>
        <v>151400</v>
      </c>
      <c r="L46" s="1">
        <v>8740</v>
      </c>
      <c r="M46" s="1">
        <f t="shared" si="0"/>
        <v>160140</v>
      </c>
      <c r="N46" s="3">
        <v>49.82</v>
      </c>
      <c r="O46" s="1">
        <v>2</v>
      </c>
      <c r="P46" s="1">
        <v>4</v>
      </c>
      <c r="Q46" s="2">
        <v>7.5</v>
      </c>
      <c r="R46" s="2">
        <v>5.9</v>
      </c>
      <c r="S46" s="2">
        <v>65.31</v>
      </c>
      <c r="T46" s="2">
        <v>20</v>
      </c>
      <c r="U46" s="2">
        <v>49.7</v>
      </c>
      <c r="V46" s="2">
        <v>16.399999999999999</v>
      </c>
      <c r="W46" s="2">
        <v>7.25</v>
      </c>
      <c r="X46" s="2">
        <v>4.3</v>
      </c>
      <c r="Y46" s="2">
        <f t="shared" si="3"/>
        <v>22.349999999999994</v>
      </c>
      <c r="Z46" s="2"/>
      <c r="AA46" s="2"/>
      <c r="AB46" s="2">
        <v>0</v>
      </c>
    </row>
    <row r="47" spans="1:28" x14ac:dyDescent="0.3">
      <c r="A47" s="1">
        <v>10</v>
      </c>
      <c r="B47" s="1">
        <v>2017</v>
      </c>
      <c r="C47" s="9">
        <v>43009</v>
      </c>
      <c r="D47" s="1">
        <v>32490</v>
      </c>
      <c r="E47" s="1">
        <v>62480</v>
      </c>
      <c r="F47" s="1">
        <v>4107</v>
      </c>
      <c r="G47" s="1">
        <v>23382</v>
      </c>
      <c r="H47" s="1">
        <v>12669</v>
      </c>
      <c r="I47" s="1">
        <v>872</v>
      </c>
      <c r="J47" s="1">
        <v>0</v>
      </c>
      <c r="K47" s="1">
        <f t="shared" si="2"/>
        <v>136000</v>
      </c>
      <c r="L47" s="1">
        <v>10446</v>
      </c>
      <c r="M47" s="1">
        <f t="shared" si="0"/>
        <v>146446</v>
      </c>
      <c r="N47" s="3">
        <v>51.58</v>
      </c>
      <c r="O47" s="1">
        <v>2</v>
      </c>
      <c r="P47" s="1">
        <v>4</v>
      </c>
      <c r="Q47" s="2">
        <v>7.5</v>
      </c>
      <c r="R47" s="2">
        <v>5.9</v>
      </c>
      <c r="S47" s="2">
        <v>64.75</v>
      </c>
      <c r="T47" s="2">
        <v>20</v>
      </c>
      <c r="U47" s="2">
        <v>49.7</v>
      </c>
      <c r="V47" s="2">
        <v>16.399999999999999</v>
      </c>
      <c r="W47" s="2">
        <v>7.25</v>
      </c>
      <c r="X47" s="2">
        <v>4.3</v>
      </c>
      <c r="Y47" s="2">
        <f t="shared" si="3"/>
        <v>22.349999999999994</v>
      </c>
      <c r="Z47" s="2"/>
      <c r="AA47" s="2"/>
      <c r="AB47" s="2">
        <v>0</v>
      </c>
    </row>
    <row r="48" spans="1:28" x14ac:dyDescent="0.3">
      <c r="A48" s="1">
        <v>11</v>
      </c>
      <c r="B48" s="1">
        <v>2017</v>
      </c>
      <c r="C48" s="9">
        <v>43040</v>
      </c>
      <c r="D48" s="1">
        <v>38204</v>
      </c>
      <c r="E48" s="1">
        <v>65447</v>
      </c>
      <c r="F48" s="1">
        <v>4009</v>
      </c>
      <c r="G48" s="1">
        <v>23072</v>
      </c>
      <c r="H48" s="1">
        <v>13565</v>
      </c>
      <c r="I48" s="1">
        <v>1003</v>
      </c>
      <c r="J48" s="1">
        <v>0</v>
      </c>
      <c r="K48" s="1">
        <f t="shared" si="2"/>
        <v>145300</v>
      </c>
      <c r="L48" s="1">
        <v>9300</v>
      </c>
      <c r="M48" s="1">
        <f t="shared" si="0"/>
        <v>154600</v>
      </c>
      <c r="N48" s="3">
        <v>56.64</v>
      </c>
      <c r="O48" s="1">
        <v>2</v>
      </c>
      <c r="P48" s="1">
        <v>4</v>
      </c>
      <c r="Q48" s="2">
        <v>7.5</v>
      </c>
      <c r="R48" s="2">
        <v>5.9</v>
      </c>
      <c r="S48" s="2">
        <v>64.489999999999995</v>
      </c>
      <c r="T48" s="2">
        <v>20</v>
      </c>
      <c r="U48" s="2">
        <v>49.7</v>
      </c>
      <c r="V48" s="2">
        <v>16.399999999999999</v>
      </c>
      <c r="W48" s="2">
        <v>7.25</v>
      </c>
      <c r="X48" s="2">
        <v>4.3</v>
      </c>
      <c r="Y48" s="2">
        <f t="shared" si="3"/>
        <v>22.349999999999994</v>
      </c>
      <c r="Z48" s="2"/>
      <c r="AA48" s="2"/>
      <c r="AB48" s="2">
        <v>0</v>
      </c>
    </row>
    <row r="49" spans="1:28" x14ac:dyDescent="0.3">
      <c r="A49" s="1">
        <v>12</v>
      </c>
      <c r="B49" s="1">
        <v>2017</v>
      </c>
      <c r="C49" s="9">
        <v>43070</v>
      </c>
      <c r="D49" s="1">
        <v>32146</v>
      </c>
      <c r="E49" s="1">
        <v>53336</v>
      </c>
      <c r="F49" s="1">
        <v>2382</v>
      </c>
      <c r="G49" s="1">
        <v>19276</v>
      </c>
      <c r="H49" s="1">
        <v>11420</v>
      </c>
      <c r="I49" s="1">
        <v>726</v>
      </c>
      <c r="J49" s="1">
        <v>0</v>
      </c>
      <c r="K49" s="1">
        <f t="shared" si="2"/>
        <v>119286</v>
      </c>
      <c r="L49" s="1">
        <v>10780</v>
      </c>
      <c r="M49" s="1">
        <f t="shared" si="0"/>
        <v>130066</v>
      </c>
      <c r="N49" s="3">
        <v>57.88</v>
      </c>
      <c r="O49" s="1">
        <v>2</v>
      </c>
      <c r="P49" s="1">
        <v>4</v>
      </c>
      <c r="Q49" s="2">
        <v>7.5</v>
      </c>
      <c r="R49" s="2">
        <v>5.9</v>
      </c>
      <c r="S49" s="2">
        <v>63.84</v>
      </c>
      <c r="T49" s="2">
        <v>40</v>
      </c>
      <c r="U49" s="2">
        <v>49.7</v>
      </c>
      <c r="V49" s="2">
        <v>16.399999999999999</v>
      </c>
      <c r="W49" s="2">
        <v>7.25</v>
      </c>
      <c r="X49" s="2">
        <v>4.3</v>
      </c>
      <c r="Y49" s="2">
        <f t="shared" si="3"/>
        <v>22.349999999999994</v>
      </c>
      <c r="Z49" s="2">
        <v>70</v>
      </c>
      <c r="AA49" s="2"/>
      <c r="AB49" s="2">
        <v>0</v>
      </c>
    </row>
    <row r="50" spans="1:28" x14ac:dyDescent="0.3">
      <c r="A50" s="1">
        <v>1</v>
      </c>
      <c r="B50" s="1">
        <v>2018</v>
      </c>
      <c r="C50" s="9">
        <v>43101</v>
      </c>
      <c r="D50" s="1">
        <v>33316</v>
      </c>
      <c r="E50" s="1">
        <v>67868</v>
      </c>
      <c r="F50" s="1">
        <v>5062</v>
      </c>
      <c r="G50" s="1">
        <v>20693</v>
      </c>
      <c r="H50" s="1">
        <v>12250</v>
      </c>
      <c r="I50" s="1">
        <v>1411</v>
      </c>
      <c r="J50" s="1">
        <v>0</v>
      </c>
      <c r="K50" s="1">
        <f t="shared" si="2"/>
        <v>140600</v>
      </c>
      <c r="L50" s="1">
        <v>10751</v>
      </c>
      <c r="M50" s="1">
        <f t="shared" si="0"/>
        <v>151351</v>
      </c>
      <c r="N50" s="3">
        <v>63.7</v>
      </c>
      <c r="O50" s="1">
        <v>2</v>
      </c>
      <c r="P50" s="1">
        <v>4</v>
      </c>
      <c r="Q50" s="2">
        <v>7.5</v>
      </c>
      <c r="R50" s="2">
        <v>5.9</v>
      </c>
      <c r="S50" s="2">
        <v>63.55</v>
      </c>
      <c r="T50" s="2">
        <v>40</v>
      </c>
      <c r="U50" s="2">
        <v>49.7</v>
      </c>
      <c r="V50" s="2">
        <v>16.399999999999999</v>
      </c>
      <c r="W50" s="2">
        <v>7.25</v>
      </c>
      <c r="X50" s="2">
        <v>4.3</v>
      </c>
      <c r="Y50" s="2">
        <f t="shared" si="3"/>
        <v>22.349999999999994</v>
      </c>
      <c r="Z50" s="2"/>
      <c r="AA50" s="2"/>
      <c r="AB50" s="2">
        <v>0</v>
      </c>
    </row>
    <row r="51" spans="1:28" x14ac:dyDescent="0.3">
      <c r="A51" s="1">
        <v>2</v>
      </c>
      <c r="B51" s="1">
        <v>2018</v>
      </c>
      <c r="C51" s="9">
        <v>43132</v>
      </c>
      <c r="D51" s="1">
        <v>33789</v>
      </c>
      <c r="E51" s="1">
        <v>65213</v>
      </c>
      <c r="F51" s="1">
        <v>4897</v>
      </c>
      <c r="G51" s="1">
        <v>20324</v>
      </c>
      <c r="H51" s="1">
        <v>12425</v>
      </c>
      <c r="I51" s="1">
        <v>1252</v>
      </c>
      <c r="J51" s="1">
        <v>0</v>
      </c>
      <c r="K51" s="1">
        <f t="shared" si="2"/>
        <v>137900</v>
      </c>
      <c r="L51" s="1">
        <v>11924</v>
      </c>
      <c r="M51" s="1">
        <f>SUM(K51:L51)</f>
        <v>149824</v>
      </c>
      <c r="N51" s="3">
        <v>62.23</v>
      </c>
      <c r="O51" s="1">
        <v>2</v>
      </c>
      <c r="P51" s="1">
        <v>4</v>
      </c>
      <c r="Q51" s="2">
        <v>7.5</v>
      </c>
      <c r="R51" s="2">
        <v>5.9</v>
      </c>
      <c r="S51" s="2">
        <v>65.209999999999994</v>
      </c>
      <c r="T51" s="2">
        <v>40</v>
      </c>
      <c r="U51" s="2">
        <v>49.7</v>
      </c>
      <c r="V51" s="2">
        <v>16.399999999999999</v>
      </c>
      <c r="W51" s="2">
        <v>7.25</v>
      </c>
      <c r="X51" s="2">
        <v>4.3</v>
      </c>
      <c r="Y51" s="2">
        <f t="shared" si="3"/>
        <v>22.349999999999994</v>
      </c>
      <c r="Z51" s="2"/>
      <c r="AA51" s="2"/>
      <c r="AB51" s="2">
        <v>0</v>
      </c>
    </row>
    <row r="52" spans="1:28" x14ac:dyDescent="0.3">
      <c r="A52" s="1">
        <v>3</v>
      </c>
      <c r="B52" s="1">
        <v>2018</v>
      </c>
      <c r="C52" s="9">
        <v>43160</v>
      </c>
      <c r="D52" s="1">
        <v>37511</v>
      </c>
      <c r="E52" s="1">
        <v>68885</v>
      </c>
      <c r="F52" s="1">
        <v>4321</v>
      </c>
      <c r="G52" s="1">
        <v>22764</v>
      </c>
      <c r="H52" s="1">
        <v>13689</v>
      </c>
      <c r="I52" s="1">
        <v>1412</v>
      </c>
      <c r="J52" s="1">
        <v>0</v>
      </c>
      <c r="K52" s="1">
        <f t="shared" si="2"/>
        <v>148582</v>
      </c>
      <c r="L52" s="1">
        <f>M52-K52</f>
        <v>12016</v>
      </c>
      <c r="M52" s="1">
        <v>160598</v>
      </c>
      <c r="N52" s="3">
        <v>62.73</v>
      </c>
      <c r="O52" s="1">
        <v>2</v>
      </c>
      <c r="P52" s="1">
        <v>4</v>
      </c>
      <c r="Q52" s="2">
        <v>7.5</v>
      </c>
      <c r="R52" s="2">
        <v>5.9</v>
      </c>
      <c r="S52" s="2">
        <v>65.114999999999995</v>
      </c>
      <c r="T52" s="2">
        <v>40</v>
      </c>
      <c r="U52" s="2">
        <v>49.7</v>
      </c>
      <c r="V52" s="2">
        <v>16.399999999999999</v>
      </c>
      <c r="W52" s="2">
        <v>7.25</v>
      </c>
      <c r="X52" s="2">
        <v>4.3</v>
      </c>
      <c r="Y52" s="2">
        <f t="shared" si="3"/>
        <v>22.349999999999994</v>
      </c>
      <c r="Z52" s="2"/>
      <c r="AA52" s="2"/>
      <c r="AB52" s="2">
        <v>0</v>
      </c>
    </row>
    <row r="53" spans="1:28" x14ac:dyDescent="0.3">
      <c r="A53" s="1">
        <v>4</v>
      </c>
      <c r="B53" s="1">
        <v>2018</v>
      </c>
      <c r="C53" s="9">
        <v>43191</v>
      </c>
      <c r="D53" s="1">
        <v>37794</v>
      </c>
      <c r="E53" s="1">
        <v>83834</v>
      </c>
      <c r="F53" s="1">
        <v>5116</v>
      </c>
      <c r="G53" s="1">
        <v>20804</v>
      </c>
      <c r="H53" s="1">
        <v>15886</v>
      </c>
      <c r="I53" s="1">
        <v>1544</v>
      </c>
      <c r="J53" s="1">
        <v>0</v>
      </c>
      <c r="K53" s="1">
        <f t="shared" si="2"/>
        <v>164978</v>
      </c>
      <c r="L53" s="1">
        <v>8008</v>
      </c>
      <c r="M53" s="1">
        <f t="shared" si="0"/>
        <v>172986</v>
      </c>
      <c r="N53" s="3">
        <v>66.25</v>
      </c>
      <c r="O53" s="1">
        <v>1</v>
      </c>
      <c r="P53" s="1">
        <v>3</v>
      </c>
      <c r="Q53" s="2">
        <v>7.3</v>
      </c>
      <c r="R53" s="2">
        <v>7</v>
      </c>
      <c r="S53" s="2">
        <v>66.459999999999994</v>
      </c>
      <c r="T53" s="2">
        <v>40</v>
      </c>
      <c r="U53" s="2">
        <v>51</v>
      </c>
      <c r="V53" s="2">
        <v>16.2</v>
      </c>
      <c r="W53" s="2">
        <v>7.25</v>
      </c>
      <c r="X53" s="2">
        <v>4.5</v>
      </c>
      <c r="Y53" s="2">
        <f t="shared" si="3"/>
        <v>21.049999999999997</v>
      </c>
      <c r="Z53" s="2"/>
      <c r="AA53" s="2"/>
      <c r="AB53" s="2">
        <v>0</v>
      </c>
    </row>
    <row r="54" spans="1:28" x14ac:dyDescent="0.3">
      <c r="A54" s="1">
        <v>5</v>
      </c>
      <c r="B54" s="1">
        <v>2018</v>
      </c>
      <c r="C54" s="9">
        <v>43221</v>
      </c>
      <c r="D54" s="1">
        <v>37864</v>
      </c>
      <c r="E54" s="1">
        <v>77263</v>
      </c>
      <c r="F54" s="1">
        <v>4024</v>
      </c>
      <c r="G54" s="1">
        <v>25629</v>
      </c>
      <c r="H54" s="1">
        <v>16717</v>
      </c>
      <c r="I54" s="1">
        <v>1703</v>
      </c>
      <c r="J54" s="1">
        <v>0</v>
      </c>
      <c r="K54" s="1">
        <f t="shared" si="2"/>
        <v>163200</v>
      </c>
      <c r="L54" s="1">
        <v>9312</v>
      </c>
      <c r="M54" s="1">
        <f t="shared" si="0"/>
        <v>172512</v>
      </c>
      <c r="N54" s="3">
        <v>69.98</v>
      </c>
      <c r="O54" s="1">
        <v>1</v>
      </c>
      <c r="P54" s="1">
        <v>3</v>
      </c>
      <c r="Q54" s="2">
        <v>7.3</v>
      </c>
      <c r="R54" s="2">
        <v>7</v>
      </c>
      <c r="S54" s="2">
        <v>67.430000000000007</v>
      </c>
      <c r="T54" s="2">
        <v>40</v>
      </c>
      <c r="U54" s="2">
        <v>51</v>
      </c>
      <c r="V54" s="2">
        <v>16.2</v>
      </c>
      <c r="W54" s="2">
        <v>7.25</v>
      </c>
      <c r="X54" s="2">
        <v>4.5</v>
      </c>
      <c r="Y54" s="2">
        <f t="shared" si="3"/>
        <v>21.049999999999997</v>
      </c>
      <c r="Z54" s="2"/>
      <c r="AA54" s="2"/>
      <c r="AB54" s="2">
        <v>0</v>
      </c>
    </row>
    <row r="55" spans="1:28" x14ac:dyDescent="0.3">
      <c r="A55" s="1">
        <v>6</v>
      </c>
      <c r="B55" s="1">
        <v>2018</v>
      </c>
      <c r="C55" s="9">
        <v>43252</v>
      </c>
      <c r="D55" s="1">
        <v>29381</v>
      </c>
      <c r="E55" s="1">
        <v>71570</v>
      </c>
      <c r="F55" s="1">
        <v>1579</v>
      </c>
      <c r="G55" s="1">
        <v>19321</v>
      </c>
      <c r="H55" s="1">
        <v>12185</v>
      </c>
      <c r="I55" s="1">
        <v>1626</v>
      </c>
      <c r="J55" s="1">
        <v>0</v>
      </c>
      <c r="K55" s="1">
        <f t="shared" si="2"/>
        <v>135662</v>
      </c>
      <c r="L55" s="1">
        <v>9319</v>
      </c>
      <c r="M55" s="1">
        <f t="shared" ref="M55:M69" si="4">SUM(K55:L55)</f>
        <v>144981</v>
      </c>
      <c r="N55" s="3">
        <v>67.87</v>
      </c>
      <c r="O55" s="1">
        <v>1</v>
      </c>
      <c r="P55" s="1">
        <v>3</v>
      </c>
      <c r="Q55" s="2">
        <v>7.3</v>
      </c>
      <c r="R55" s="2">
        <v>7</v>
      </c>
      <c r="S55" s="2">
        <v>68.459999999999994</v>
      </c>
      <c r="T55" s="2">
        <v>40</v>
      </c>
      <c r="U55" s="2">
        <v>51</v>
      </c>
      <c r="V55" s="2">
        <v>16.2</v>
      </c>
      <c r="W55" s="2">
        <v>7.25</v>
      </c>
      <c r="X55" s="2">
        <v>4.5</v>
      </c>
      <c r="Y55" s="2">
        <f t="shared" si="3"/>
        <v>21.049999999999997</v>
      </c>
      <c r="Z55" s="2"/>
      <c r="AA55" s="2"/>
      <c r="AB55" s="2">
        <v>0</v>
      </c>
    </row>
    <row r="56" spans="1:28" x14ac:dyDescent="0.3">
      <c r="A56" s="1">
        <v>7</v>
      </c>
      <c r="B56" s="1">
        <v>2018</v>
      </c>
      <c r="C56" s="9">
        <v>43282</v>
      </c>
      <c r="D56" s="1">
        <v>37710</v>
      </c>
      <c r="E56" s="1">
        <v>74373</v>
      </c>
      <c r="F56" s="1">
        <v>48</v>
      </c>
      <c r="G56" s="1">
        <v>24505</v>
      </c>
      <c r="H56" s="1">
        <v>15791</v>
      </c>
      <c r="I56" s="1">
        <v>1723</v>
      </c>
      <c r="J56" s="1">
        <v>0</v>
      </c>
      <c r="K56" s="1">
        <f t="shared" si="2"/>
        <v>154150</v>
      </c>
      <c r="L56" s="1">
        <v>10219</v>
      </c>
      <c r="M56" s="1">
        <f t="shared" si="4"/>
        <v>164369</v>
      </c>
      <c r="N56" s="3">
        <v>70.98</v>
      </c>
      <c r="O56" s="1">
        <v>1</v>
      </c>
      <c r="P56" s="1">
        <v>3</v>
      </c>
      <c r="Q56" s="2">
        <v>7.3</v>
      </c>
      <c r="R56" s="2">
        <v>7</v>
      </c>
      <c r="S56" s="2">
        <v>68.459999999999994</v>
      </c>
      <c r="T56" s="2">
        <v>40</v>
      </c>
      <c r="U56" s="2">
        <v>51</v>
      </c>
      <c r="V56" s="2">
        <v>16.2</v>
      </c>
      <c r="W56" s="2">
        <v>7.25</v>
      </c>
      <c r="X56" s="2">
        <v>4.5</v>
      </c>
      <c r="Y56" s="2">
        <f t="shared" si="3"/>
        <v>21.049999999999997</v>
      </c>
      <c r="Z56" s="2"/>
      <c r="AA56" s="2"/>
      <c r="AB56" s="2">
        <v>0</v>
      </c>
    </row>
    <row r="57" spans="1:28" x14ac:dyDescent="0.3">
      <c r="A57" s="1">
        <v>8</v>
      </c>
      <c r="B57" s="1">
        <v>2018</v>
      </c>
      <c r="C57" s="9">
        <v>43313</v>
      </c>
      <c r="D57" s="1">
        <v>35895</v>
      </c>
      <c r="E57" s="1">
        <v>71364</v>
      </c>
      <c r="F57" s="1">
        <v>7002</v>
      </c>
      <c r="G57" s="1">
        <v>17971</v>
      </c>
      <c r="H57" s="1">
        <v>13663</v>
      </c>
      <c r="I57" s="1">
        <v>1805</v>
      </c>
      <c r="J57" s="1">
        <v>0</v>
      </c>
      <c r="K57" s="1">
        <f t="shared" si="2"/>
        <v>147700</v>
      </c>
      <c r="L57" s="1">
        <v>10489</v>
      </c>
      <c r="M57" s="1">
        <f t="shared" si="4"/>
        <v>158189</v>
      </c>
      <c r="N57" s="3">
        <v>68.06</v>
      </c>
      <c r="O57" s="1">
        <v>1</v>
      </c>
      <c r="P57" s="1">
        <v>3</v>
      </c>
      <c r="Q57" s="2">
        <v>7.3</v>
      </c>
      <c r="R57" s="2">
        <v>7</v>
      </c>
      <c r="S57" s="2">
        <v>71.004999999999995</v>
      </c>
      <c r="T57" s="2">
        <v>40</v>
      </c>
      <c r="U57" s="2">
        <v>51</v>
      </c>
      <c r="V57" s="2">
        <v>16.2</v>
      </c>
      <c r="W57" s="2">
        <v>7.25</v>
      </c>
      <c r="X57" s="2">
        <v>4.5</v>
      </c>
      <c r="Y57" s="2">
        <f t="shared" si="3"/>
        <v>21.049999999999997</v>
      </c>
      <c r="Z57" s="2"/>
      <c r="AA57" s="2"/>
      <c r="AB57" s="2">
        <v>0</v>
      </c>
    </row>
    <row r="58" spans="1:28" x14ac:dyDescent="0.3">
      <c r="A58" s="1">
        <v>9</v>
      </c>
      <c r="B58" s="1">
        <v>2018</v>
      </c>
      <c r="C58" s="9">
        <v>43344</v>
      </c>
      <c r="D58" s="1">
        <v>34971</v>
      </c>
      <c r="E58" s="1">
        <v>74011</v>
      </c>
      <c r="F58" s="1">
        <v>6246</v>
      </c>
      <c r="G58" s="1">
        <v>21639</v>
      </c>
      <c r="H58" s="1">
        <v>14645</v>
      </c>
      <c r="I58" s="1">
        <v>2038</v>
      </c>
      <c r="J58" s="1">
        <v>0</v>
      </c>
      <c r="K58" s="1">
        <f t="shared" si="2"/>
        <v>153550</v>
      </c>
      <c r="L58" s="1">
        <v>8740</v>
      </c>
      <c r="M58" s="1">
        <f t="shared" si="4"/>
        <v>162290</v>
      </c>
      <c r="N58" s="3">
        <v>70.23</v>
      </c>
      <c r="O58" s="1">
        <v>1</v>
      </c>
      <c r="P58" s="1">
        <v>3</v>
      </c>
      <c r="Q58" s="2">
        <v>7.3</v>
      </c>
      <c r="R58" s="2">
        <v>7</v>
      </c>
      <c r="S58" s="2">
        <v>72.510000000000005</v>
      </c>
      <c r="T58" s="2">
        <v>40</v>
      </c>
      <c r="U58" s="2">
        <v>51</v>
      </c>
      <c r="V58" s="2">
        <v>16.2</v>
      </c>
      <c r="W58" s="2">
        <v>7.25</v>
      </c>
      <c r="X58" s="2">
        <v>4.5</v>
      </c>
      <c r="Y58" s="2">
        <f t="shared" si="3"/>
        <v>21.049999999999997</v>
      </c>
      <c r="Z58" s="2">
        <v>67.86</v>
      </c>
      <c r="AA58" s="2"/>
      <c r="AB58" s="2">
        <v>0</v>
      </c>
    </row>
    <row r="59" spans="1:28" x14ac:dyDescent="0.3">
      <c r="A59" s="1">
        <v>10</v>
      </c>
      <c r="B59" s="1">
        <v>2018</v>
      </c>
      <c r="C59" s="9">
        <v>43374</v>
      </c>
      <c r="D59" s="1">
        <v>32835</v>
      </c>
      <c r="E59" s="1">
        <v>64789</v>
      </c>
      <c r="F59" s="1">
        <v>3892</v>
      </c>
      <c r="G59" s="1">
        <v>20764</v>
      </c>
      <c r="H59" s="1">
        <v>13668</v>
      </c>
      <c r="I59" s="1">
        <v>2152</v>
      </c>
      <c r="J59" s="1">
        <v>0</v>
      </c>
      <c r="K59" s="1">
        <f t="shared" si="2"/>
        <v>138100</v>
      </c>
      <c r="L59" s="1">
        <v>8666</v>
      </c>
      <c r="M59" s="1">
        <f t="shared" si="4"/>
        <v>146766</v>
      </c>
      <c r="N59" s="3">
        <v>70.75</v>
      </c>
      <c r="O59" s="1">
        <v>1</v>
      </c>
      <c r="P59" s="1">
        <v>3</v>
      </c>
      <c r="Q59" s="2">
        <v>7.3</v>
      </c>
      <c r="R59" s="2">
        <v>7</v>
      </c>
      <c r="S59" s="2">
        <v>73.959999999999994</v>
      </c>
      <c r="T59" s="2">
        <v>40</v>
      </c>
      <c r="U59" s="2">
        <v>51</v>
      </c>
      <c r="V59" s="2">
        <v>16.2</v>
      </c>
      <c r="W59" s="2">
        <v>7.25</v>
      </c>
      <c r="X59" s="2">
        <v>4.5</v>
      </c>
      <c r="Y59" s="2">
        <f t="shared" si="3"/>
        <v>21.049999999999997</v>
      </c>
      <c r="Z59" s="2">
        <v>66.650000000000006</v>
      </c>
      <c r="AA59" s="2"/>
      <c r="AB59" s="2">
        <v>0</v>
      </c>
    </row>
    <row r="60" spans="1:28" x14ac:dyDescent="0.3">
      <c r="A60" s="1">
        <v>11</v>
      </c>
      <c r="B60" s="1">
        <v>2018</v>
      </c>
      <c r="C60" s="9">
        <v>43405</v>
      </c>
      <c r="D60" s="1">
        <v>29954</v>
      </c>
      <c r="E60" s="1">
        <v>72533</v>
      </c>
      <c r="F60" s="1">
        <v>3838</v>
      </c>
      <c r="G60" s="1">
        <v>23512</v>
      </c>
      <c r="H60" s="1">
        <v>14053</v>
      </c>
      <c r="I60" s="1">
        <v>2128</v>
      </c>
      <c r="J60" s="1">
        <v>0</v>
      </c>
      <c r="K60" s="1">
        <f t="shared" si="2"/>
        <v>146018</v>
      </c>
      <c r="L60" s="1">
        <v>7521</v>
      </c>
      <c r="M60" s="1">
        <f t="shared" si="4"/>
        <v>153539</v>
      </c>
      <c r="N60" s="3">
        <v>56.96</v>
      </c>
      <c r="O60" s="1">
        <v>1</v>
      </c>
      <c r="P60" s="1">
        <v>3</v>
      </c>
      <c r="Q60" s="2">
        <v>7.3</v>
      </c>
      <c r="R60" s="2">
        <v>7</v>
      </c>
      <c r="S60" s="2">
        <v>69.650000000000006</v>
      </c>
      <c r="T60" s="2">
        <v>40</v>
      </c>
      <c r="U60" s="2">
        <v>51</v>
      </c>
      <c r="V60" s="2">
        <v>16.2</v>
      </c>
      <c r="W60" s="2">
        <v>7.25</v>
      </c>
      <c r="X60" s="2">
        <v>4.5</v>
      </c>
      <c r="Y60" s="2">
        <f t="shared" si="3"/>
        <v>21.049999999999997</v>
      </c>
      <c r="Z60" s="2">
        <v>64.239999999999995</v>
      </c>
      <c r="AA60" s="2"/>
      <c r="AB60" s="2">
        <v>0</v>
      </c>
    </row>
    <row r="61" spans="1:28" x14ac:dyDescent="0.3">
      <c r="A61" s="1">
        <v>12</v>
      </c>
      <c r="B61" s="1">
        <v>2018</v>
      </c>
      <c r="C61" s="9">
        <v>43435</v>
      </c>
      <c r="D61" s="1">
        <v>27661</v>
      </c>
      <c r="E61" s="1">
        <v>51334</v>
      </c>
      <c r="F61" s="1">
        <v>4734</v>
      </c>
      <c r="G61" s="1">
        <v>20225</v>
      </c>
      <c r="H61" s="1">
        <v>15850</v>
      </c>
      <c r="I61" s="1">
        <v>1675</v>
      </c>
      <c r="J61" s="1">
        <v>0</v>
      </c>
      <c r="K61" s="1">
        <f t="shared" si="2"/>
        <v>121479</v>
      </c>
      <c r="L61" s="1">
        <v>6859</v>
      </c>
      <c r="M61" s="1">
        <f t="shared" si="4"/>
        <v>128338</v>
      </c>
      <c r="N61" s="3">
        <v>49.52</v>
      </c>
      <c r="O61" s="1">
        <v>1</v>
      </c>
      <c r="P61" s="1">
        <v>3</v>
      </c>
      <c r="Q61" s="2">
        <v>7.3</v>
      </c>
      <c r="R61" s="2">
        <v>7</v>
      </c>
      <c r="S61" s="2">
        <v>69.569999999999993</v>
      </c>
      <c r="T61" s="2">
        <v>50</v>
      </c>
      <c r="U61" s="2">
        <v>51</v>
      </c>
      <c r="V61" s="2">
        <v>16.2</v>
      </c>
      <c r="W61" s="2">
        <v>7.25</v>
      </c>
      <c r="X61" s="2">
        <v>4.5</v>
      </c>
      <c r="Y61" s="2">
        <f t="shared" si="3"/>
        <v>21.049999999999997</v>
      </c>
      <c r="Z61" s="2">
        <v>63.33</v>
      </c>
      <c r="AA61" s="2"/>
      <c r="AB61" s="2">
        <v>0</v>
      </c>
    </row>
    <row r="62" spans="1:28" x14ac:dyDescent="0.3">
      <c r="A62" s="1">
        <v>1</v>
      </c>
      <c r="B62" s="1">
        <v>2019</v>
      </c>
      <c r="C62" s="9">
        <v>43466</v>
      </c>
      <c r="D62" s="1">
        <v>33408</v>
      </c>
      <c r="E62" s="1">
        <v>65523</v>
      </c>
      <c r="F62" s="1">
        <v>2934</v>
      </c>
      <c r="G62" s="1">
        <v>22430</v>
      </c>
      <c r="H62" s="1">
        <v>15145</v>
      </c>
      <c r="I62" s="1">
        <v>2710</v>
      </c>
      <c r="J62" s="1">
        <v>0</v>
      </c>
      <c r="K62" s="1">
        <f t="shared" si="2"/>
        <v>142150</v>
      </c>
      <c r="L62" s="1">
        <v>9571</v>
      </c>
      <c r="M62" s="1">
        <f t="shared" si="4"/>
        <v>151721</v>
      </c>
      <c r="N62" s="3">
        <v>51.38</v>
      </c>
      <c r="O62" s="1">
        <v>1</v>
      </c>
      <c r="P62" s="1">
        <v>3</v>
      </c>
      <c r="Q62" s="2">
        <v>7.3</v>
      </c>
      <c r="R62" s="2">
        <v>7</v>
      </c>
      <c r="S62" s="2">
        <v>70.959999999999994</v>
      </c>
      <c r="T62" s="2">
        <v>50</v>
      </c>
      <c r="U62" s="2">
        <v>51</v>
      </c>
      <c r="V62" s="2">
        <v>16.2</v>
      </c>
      <c r="W62" s="2">
        <v>7.25</v>
      </c>
      <c r="X62" s="2">
        <v>4.5</v>
      </c>
      <c r="Y62" s="2">
        <f t="shared" si="3"/>
        <v>21.049999999999997</v>
      </c>
      <c r="Z62" s="2">
        <v>61.33</v>
      </c>
      <c r="AA62" s="2"/>
      <c r="AB62" s="2">
        <v>0</v>
      </c>
    </row>
    <row r="63" spans="1:28" x14ac:dyDescent="0.3">
      <c r="A63" s="1">
        <v>2</v>
      </c>
      <c r="B63" s="1">
        <v>2019</v>
      </c>
      <c r="C63" s="9">
        <v>43497</v>
      </c>
      <c r="D63" s="1">
        <v>24751</v>
      </c>
      <c r="E63" s="1">
        <v>73678</v>
      </c>
      <c r="F63" s="1">
        <v>3084</v>
      </c>
      <c r="G63" s="1">
        <v>21834</v>
      </c>
      <c r="H63" s="1">
        <v>14565</v>
      </c>
      <c r="I63" s="1">
        <v>2188</v>
      </c>
      <c r="J63" s="1">
        <v>0</v>
      </c>
      <c r="K63" s="1">
        <f t="shared" si="2"/>
        <v>140100</v>
      </c>
      <c r="L63" s="1">
        <v>9582</v>
      </c>
      <c r="M63" s="1">
        <f t="shared" si="4"/>
        <v>149682</v>
      </c>
      <c r="N63" s="3">
        <v>54.95</v>
      </c>
      <c r="O63" s="1">
        <v>1</v>
      </c>
      <c r="P63" s="1">
        <v>3</v>
      </c>
      <c r="Q63" s="2">
        <v>7.3</v>
      </c>
      <c r="R63" s="2">
        <v>7</v>
      </c>
      <c r="S63" s="2">
        <v>70.84</v>
      </c>
      <c r="T63" s="2">
        <v>50</v>
      </c>
      <c r="U63" s="2">
        <v>51</v>
      </c>
      <c r="V63" s="2">
        <v>16.2</v>
      </c>
      <c r="W63" s="2">
        <v>7.25</v>
      </c>
      <c r="X63" s="2">
        <v>4.5</v>
      </c>
      <c r="Y63" s="2">
        <f t="shared" si="3"/>
        <v>21.049999999999997</v>
      </c>
      <c r="Z63" s="2">
        <v>56.49</v>
      </c>
      <c r="AA63" s="2"/>
      <c r="AB63" s="2">
        <v>0</v>
      </c>
    </row>
    <row r="64" spans="1:28" x14ac:dyDescent="0.3">
      <c r="A64" s="1">
        <v>3</v>
      </c>
      <c r="B64" s="1">
        <v>2019</v>
      </c>
      <c r="C64" s="9">
        <v>43525</v>
      </c>
      <c r="D64" s="1">
        <v>16826</v>
      </c>
      <c r="E64" s="1">
        <v>82532</v>
      </c>
      <c r="F64" s="1">
        <v>3672</v>
      </c>
      <c r="G64" s="1">
        <v>25563</v>
      </c>
      <c r="H64" s="1">
        <v>16438</v>
      </c>
      <c r="I64" s="1">
        <v>2582</v>
      </c>
      <c r="J64" s="1">
        <v>0</v>
      </c>
      <c r="K64" s="1">
        <f t="shared" si="2"/>
        <v>147613</v>
      </c>
      <c r="L64" s="1">
        <f>M64-K64</f>
        <v>10463</v>
      </c>
      <c r="M64" s="1">
        <v>158076</v>
      </c>
      <c r="N64" s="3">
        <v>58.15</v>
      </c>
      <c r="O64" s="1">
        <v>1</v>
      </c>
      <c r="P64" s="1">
        <v>3</v>
      </c>
      <c r="Q64" s="2">
        <v>7.3</v>
      </c>
      <c r="R64" s="2">
        <v>7</v>
      </c>
      <c r="S64" s="2">
        <v>69.185000000000002</v>
      </c>
      <c r="T64" s="2">
        <v>50</v>
      </c>
      <c r="U64" s="2">
        <v>51</v>
      </c>
      <c r="V64" s="2">
        <v>16.2</v>
      </c>
      <c r="W64" s="2">
        <v>7.25</v>
      </c>
      <c r="X64" s="2">
        <v>4.5</v>
      </c>
      <c r="Y64" s="2">
        <f t="shared" si="3"/>
        <v>21.049999999999997</v>
      </c>
      <c r="Z64" s="2">
        <v>60.49</v>
      </c>
      <c r="AA64" s="2"/>
      <c r="AB64" s="2">
        <v>0</v>
      </c>
    </row>
    <row r="65" spans="1:28" x14ac:dyDescent="0.3">
      <c r="A65" s="1">
        <v>4</v>
      </c>
      <c r="B65" s="1">
        <v>2019</v>
      </c>
      <c r="C65" s="9">
        <v>43556</v>
      </c>
      <c r="D65" s="1">
        <v>22766</v>
      </c>
      <c r="E65" s="1">
        <v>72146</v>
      </c>
      <c r="F65" s="1">
        <v>2789</v>
      </c>
      <c r="G65" s="1">
        <v>22035</v>
      </c>
      <c r="H65" s="1">
        <v>11649</v>
      </c>
      <c r="I65" s="1">
        <v>2319</v>
      </c>
      <c r="J65" s="1">
        <v>364</v>
      </c>
      <c r="K65" s="1">
        <f t="shared" si="2"/>
        <v>134068</v>
      </c>
      <c r="L65" s="1">
        <v>9177</v>
      </c>
      <c r="M65" s="1">
        <f t="shared" si="4"/>
        <v>143245</v>
      </c>
      <c r="N65" s="3">
        <v>63.86</v>
      </c>
      <c r="O65" s="1">
        <v>0</v>
      </c>
      <c r="P65" s="1">
        <v>4</v>
      </c>
      <c r="Q65" s="2">
        <f>AVERAGE(Q2:Q64)</f>
        <v>7.7619047619047636</v>
      </c>
      <c r="R65" s="2">
        <f>AVERAGE(R2:R64)</f>
        <v>6.6209523809523754</v>
      </c>
      <c r="S65" s="2">
        <v>69.647000000000006</v>
      </c>
      <c r="T65" s="2">
        <v>50</v>
      </c>
      <c r="U65" s="2">
        <v>51.22</v>
      </c>
      <c r="V65" s="2">
        <f>AVERAGE(V2:V64)</f>
        <v>16.67428571428572</v>
      </c>
      <c r="W65" s="2">
        <f t="shared" ref="W65:X65" si="5">AVERAGE(W2:W64)</f>
        <v>7.2028571428571428</v>
      </c>
      <c r="X65" s="2">
        <f t="shared" si="5"/>
        <v>4.7514285714285718</v>
      </c>
      <c r="Y65" s="2">
        <f t="shared" si="3"/>
        <v>20.151428571428568</v>
      </c>
      <c r="Z65" s="2"/>
      <c r="AA65" s="2"/>
      <c r="AB65" s="2">
        <v>0</v>
      </c>
    </row>
    <row r="66" spans="1:28" x14ac:dyDescent="0.3">
      <c r="A66" s="1">
        <v>5</v>
      </c>
      <c r="B66" s="1">
        <v>2019</v>
      </c>
      <c r="C66" s="9">
        <v>43586</v>
      </c>
      <c r="D66" s="1">
        <v>16394</v>
      </c>
      <c r="E66" s="1">
        <v>70135</v>
      </c>
      <c r="F66" s="1">
        <v>3592</v>
      </c>
      <c r="G66" s="1">
        <v>19152</v>
      </c>
      <c r="H66" s="1">
        <v>11745</v>
      </c>
      <c r="I66" s="1">
        <v>2232</v>
      </c>
      <c r="J66" s="1">
        <v>2302</v>
      </c>
      <c r="K66" s="1">
        <f t="shared" si="2"/>
        <v>125552</v>
      </c>
      <c r="L66" s="1">
        <v>9089</v>
      </c>
      <c r="M66" s="1">
        <f t="shared" si="4"/>
        <v>134641</v>
      </c>
      <c r="N66" s="3">
        <v>60.83</v>
      </c>
      <c r="O66" s="1">
        <v>0</v>
      </c>
      <c r="P66" s="1">
        <v>4</v>
      </c>
      <c r="Q66" s="2">
        <v>7.7619047619047636</v>
      </c>
      <c r="R66" s="2">
        <v>6.6209523809523754</v>
      </c>
      <c r="S66" s="2">
        <v>69.58</v>
      </c>
      <c r="T66" s="2">
        <v>50</v>
      </c>
      <c r="U66" s="2">
        <v>51.22</v>
      </c>
      <c r="V66" s="2">
        <v>16.67428571428572</v>
      </c>
      <c r="W66" s="2">
        <v>7.2028571428571428</v>
      </c>
      <c r="X66" s="2">
        <v>4.7514285714285718</v>
      </c>
      <c r="Y66" s="2">
        <v>5.768571428571434</v>
      </c>
      <c r="Z66" s="2"/>
      <c r="AA66" s="2"/>
      <c r="AB66" s="2">
        <v>0</v>
      </c>
    </row>
    <row r="67" spans="1:28" x14ac:dyDescent="0.3">
      <c r="A67" s="1">
        <v>6</v>
      </c>
      <c r="B67" s="1">
        <v>2019</v>
      </c>
      <c r="C67" s="9">
        <v>43617</v>
      </c>
      <c r="D67" s="1">
        <v>18733</v>
      </c>
      <c r="E67" s="1">
        <v>63897</v>
      </c>
      <c r="F67" s="1">
        <v>2322</v>
      </c>
      <c r="G67" s="1">
        <v>17797</v>
      </c>
      <c r="H67" s="1">
        <v>9265</v>
      </c>
      <c r="I67" s="1">
        <v>2017</v>
      </c>
      <c r="J67" s="1">
        <v>1830</v>
      </c>
      <c r="K67" s="1">
        <f t="shared" ref="K67:K69" si="6">SUM(D67:J67)</f>
        <v>115861</v>
      </c>
      <c r="L67" s="1">
        <v>9847</v>
      </c>
      <c r="M67" s="1">
        <f t="shared" si="4"/>
        <v>125708</v>
      </c>
      <c r="N67" s="3">
        <v>54.66</v>
      </c>
      <c r="O67" s="1">
        <v>0</v>
      </c>
      <c r="P67" s="1">
        <v>4</v>
      </c>
      <c r="Q67" s="2">
        <v>7.7619047619047636</v>
      </c>
      <c r="R67" s="2">
        <v>6.6209523809523754</v>
      </c>
      <c r="S67" s="2">
        <v>68.95</v>
      </c>
      <c r="T67" s="2">
        <v>50</v>
      </c>
      <c r="U67" s="2">
        <v>51.22</v>
      </c>
      <c r="V67" s="2">
        <v>16.67428571428572</v>
      </c>
      <c r="W67" s="2">
        <v>7.2028571428571428</v>
      </c>
      <c r="X67" s="2">
        <v>4.7514285714285718</v>
      </c>
      <c r="Y67" s="2">
        <v>5.768571428571434</v>
      </c>
      <c r="Z67" s="2"/>
      <c r="AA67" s="2"/>
      <c r="AB67" s="2">
        <v>0</v>
      </c>
    </row>
    <row r="68" spans="1:28" x14ac:dyDescent="0.3">
      <c r="A68" s="1">
        <v>7</v>
      </c>
      <c r="B68" s="1">
        <v>2019</v>
      </c>
      <c r="C68" s="9">
        <v>43647</v>
      </c>
      <c r="D68" s="1">
        <v>11577</v>
      </c>
      <c r="E68" s="1">
        <v>57512</v>
      </c>
      <c r="F68" s="1">
        <v>2397</v>
      </c>
      <c r="G68" s="1">
        <v>15178</v>
      </c>
      <c r="H68" s="1">
        <v>9814</v>
      </c>
      <c r="I68" s="1">
        <v>1732</v>
      </c>
      <c r="J68" s="1">
        <v>1796</v>
      </c>
      <c r="K68" s="1">
        <f t="shared" si="6"/>
        <v>100006</v>
      </c>
      <c r="L68" s="1">
        <v>9258</v>
      </c>
      <c r="M68" s="1">
        <f t="shared" si="4"/>
        <v>109264</v>
      </c>
      <c r="N68" s="3">
        <v>57.35</v>
      </c>
      <c r="O68" s="1">
        <v>0</v>
      </c>
      <c r="P68" s="1">
        <v>4</v>
      </c>
      <c r="Q68" s="2">
        <v>7.7619047619047636</v>
      </c>
      <c r="R68" s="2">
        <v>6.6209523809523754</v>
      </c>
      <c r="S68" s="2">
        <v>68.875</v>
      </c>
      <c r="T68" s="2">
        <v>50</v>
      </c>
      <c r="U68" s="2">
        <v>51.22</v>
      </c>
      <c r="V68" s="2">
        <v>16.67428571428572</v>
      </c>
      <c r="W68" s="2">
        <v>7.2028571428571428</v>
      </c>
      <c r="X68" s="2">
        <v>4.7514285714285718</v>
      </c>
      <c r="Y68" s="2">
        <v>5.768571428571434</v>
      </c>
      <c r="Z68" s="2"/>
      <c r="AA68" s="2"/>
      <c r="AB68" s="2">
        <v>0</v>
      </c>
    </row>
    <row r="69" spans="1:28" x14ac:dyDescent="0.3">
      <c r="A69" s="1">
        <v>8</v>
      </c>
      <c r="B69" s="1">
        <v>2019</v>
      </c>
      <c r="C69" s="9">
        <v>43678</v>
      </c>
      <c r="D69" s="1">
        <v>10123</v>
      </c>
      <c r="E69" s="1">
        <v>54274</v>
      </c>
      <c r="F69" s="1">
        <v>1596</v>
      </c>
      <c r="G69" s="1">
        <v>18522</v>
      </c>
      <c r="H69" s="1">
        <v>8658</v>
      </c>
      <c r="I69" s="1">
        <v>1555</v>
      </c>
      <c r="J69" s="1">
        <v>2333</v>
      </c>
      <c r="K69" s="1">
        <f t="shared" si="6"/>
        <v>97061</v>
      </c>
      <c r="L69" s="1">
        <v>9352</v>
      </c>
      <c r="M69" s="1">
        <f t="shared" si="4"/>
        <v>106413</v>
      </c>
      <c r="N69" s="2">
        <v>56.85</v>
      </c>
      <c r="O69" s="1">
        <v>0</v>
      </c>
      <c r="P69" s="1">
        <v>4</v>
      </c>
      <c r="Q69" s="2">
        <v>7.7619047619047636</v>
      </c>
      <c r="R69" s="2">
        <v>6.6209523809523754</v>
      </c>
      <c r="S69" s="2">
        <v>71.453000000000003</v>
      </c>
      <c r="T69" s="2">
        <v>50</v>
      </c>
      <c r="U69" s="2">
        <v>51.22</v>
      </c>
      <c r="V69" s="2">
        <v>16.67428571428572</v>
      </c>
      <c r="W69" s="2">
        <v>7.2028571428571428</v>
      </c>
      <c r="X69" s="2">
        <v>4.7514285714285718</v>
      </c>
      <c r="Y69" s="2">
        <v>5.768571428571434</v>
      </c>
      <c r="Z69" s="2"/>
      <c r="AA69" s="2"/>
      <c r="AB69" s="2"/>
    </row>
    <row r="70" spans="1:28" x14ac:dyDescent="0.3">
      <c r="D70" s="1">
        <f>AVERAGE(D2:D69)</f>
        <v>33448.794117647056</v>
      </c>
      <c r="E70" s="1">
        <f t="shared" ref="E70:M70" si="7">AVERAGE(E2:E69)</f>
        <v>53009.102941176468</v>
      </c>
      <c r="F70" s="1">
        <f t="shared" si="7"/>
        <v>6484.088235294118</v>
      </c>
      <c r="G70" s="1">
        <f t="shared" si="7"/>
        <v>14382.382352941177</v>
      </c>
      <c r="H70" s="1">
        <f t="shared" si="7"/>
        <v>12286.691176470587</v>
      </c>
      <c r="I70" s="1">
        <f t="shared" si="7"/>
        <v>671.58823529411768</v>
      </c>
      <c r="J70" s="1">
        <f t="shared" si="7"/>
        <v>126.83823529411765</v>
      </c>
      <c r="K70" s="1">
        <f t="shared" si="7"/>
        <v>120409.48529411765</v>
      </c>
      <c r="L70" s="1">
        <f t="shared" si="7"/>
        <v>9920.0147058823532</v>
      </c>
      <c r="M70" s="1">
        <f t="shared" si="7"/>
        <v>130329.5</v>
      </c>
      <c r="N70" s="2"/>
      <c r="Q70" s="2"/>
      <c r="R70" s="2"/>
      <c r="S70" s="2">
        <v>71.863</v>
      </c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3">
      <c r="N71" s="2"/>
      <c r="Q71" s="2"/>
      <c r="R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3">
      <c r="N72" s="2"/>
      <c r="Q72" s="2"/>
      <c r="R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3">
      <c r="N73" s="2"/>
      <c r="Q73" s="2"/>
      <c r="R73" s="2"/>
      <c r="T73" s="2"/>
      <c r="U73" s="2"/>
      <c r="V73" s="2"/>
      <c r="W73" s="2"/>
      <c r="X73" s="2"/>
      <c r="Y73" s="2"/>
      <c r="Z73" s="2"/>
      <c r="AA73" s="2"/>
      <c r="AB7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1206-B5FA-49DA-997B-B5FAE3E236BA}">
  <dimension ref="A1:V29"/>
  <sheetViews>
    <sheetView topLeftCell="L1" workbookViewId="0">
      <selection activeCell="N1" sqref="N1"/>
    </sheetView>
  </sheetViews>
  <sheetFormatPr defaultRowHeight="14.4" x14ac:dyDescent="0.3"/>
  <sheetData>
    <row r="1" spans="1:22" x14ac:dyDescent="0.3">
      <c r="A1" t="s">
        <v>44</v>
      </c>
      <c r="B1" t="s">
        <v>1</v>
      </c>
      <c r="C1" t="s">
        <v>45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5" t="s">
        <v>80</v>
      </c>
      <c r="O1">
        <v>79536</v>
      </c>
      <c r="P1">
        <v>422169</v>
      </c>
      <c r="Q1">
        <v>53900</v>
      </c>
      <c r="R1">
        <v>209579</v>
      </c>
      <c r="S1">
        <v>432298</v>
      </c>
      <c r="T1">
        <v>540067</v>
      </c>
      <c r="U1">
        <v>276954</v>
      </c>
      <c r="V1">
        <v>2377154</v>
      </c>
    </row>
    <row r="2" spans="1:22" x14ac:dyDescent="0.3">
      <c r="A2">
        <v>1</v>
      </c>
      <c r="B2">
        <v>2014</v>
      </c>
      <c r="C2" s="8">
        <v>41640</v>
      </c>
      <c r="D2" s="1">
        <f>SUM(Monthly!D2:D4)</f>
        <v>115992</v>
      </c>
      <c r="E2" s="1">
        <f>SUM(Monthly!E2:E4)</f>
        <v>99626</v>
      </c>
      <c r="F2" s="1">
        <f>SUM(Monthly!F2:F4)</f>
        <v>37456</v>
      </c>
      <c r="G2" s="1">
        <f>SUM(Monthly!G2:G4)</f>
        <v>16493</v>
      </c>
      <c r="H2" s="1">
        <f>SUM(Monthly!H2:H4)</f>
        <v>29029</v>
      </c>
      <c r="I2" s="1">
        <f>SUM(Monthly!I2:I4)</f>
        <v>0</v>
      </c>
      <c r="J2" s="1">
        <f>SUM(Monthly!J2:J4)</f>
        <v>0</v>
      </c>
      <c r="K2" s="1">
        <f>SUM(Monthly!K2:K4)</f>
        <v>298596</v>
      </c>
      <c r="L2" s="1">
        <f>SUM(Monthly!L2:L4)</f>
        <v>26274</v>
      </c>
      <c r="M2" s="1">
        <f>SUM(Monthly!M2:M4)</f>
        <v>324870</v>
      </c>
      <c r="N2">
        <v>362653</v>
      </c>
      <c r="O2">
        <v>79536</v>
      </c>
      <c r="P2">
        <v>422169</v>
      </c>
      <c r="Q2">
        <v>53900</v>
      </c>
      <c r="R2">
        <v>209579</v>
      </c>
      <c r="S2">
        <v>432298</v>
      </c>
      <c r="T2">
        <v>540067</v>
      </c>
      <c r="U2">
        <v>276954</v>
      </c>
      <c r="V2">
        <v>2377154</v>
      </c>
    </row>
    <row r="3" spans="1:22" x14ac:dyDescent="0.3">
      <c r="A3">
        <v>2</v>
      </c>
      <c r="B3">
        <v>2014</v>
      </c>
      <c r="C3" s="8">
        <v>41730</v>
      </c>
      <c r="D3" s="1">
        <f>SUM(Monthly!D5:D7)</f>
        <v>102729</v>
      </c>
      <c r="E3" s="1">
        <f>SUM(Monthly!E5:E7)</f>
        <v>90407</v>
      </c>
      <c r="F3" s="1">
        <f>SUM(Monthly!F5:F7)</f>
        <v>33409</v>
      </c>
      <c r="G3" s="1">
        <f>SUM(Monthly!G5:G7)</f>
        <v>15267</v>
      </c>
      <c r="H3" s="1">
        <f>SUM(Monthly!H5:H7)</f>
        <v>28831</v>
      </c>
      <c r="I3" s="1">
        <f>SUM(Monthly!I5:I7)</f>
        <v>0</v>
      </c>
      <c r="J3" s="1">
        <f>SUM(Monthly!J5:J7)</f>
        <v>0</v>
      </c>
      <c r="K3" s="1">
        <f>SUM(Monthly!K5:K7)</f>
        <v>270643</v>
      </c>
      <c r="L3" s="1">
        <f>SUM(Monthly!L5:L7)</f>
        <v>29251</v>
      </c>
      <c r="M3" s="1">
        <f>SUM(Monthly!M5:M7)</f>
        <v>299894</v>
      </c>
      <c r="N3">
        <v>299494</v>
      </c>
      <c r="O3">
        <v>57940</v>
      </c>
      <c r="P3">
        <v>423757</v>
      </c>
      <c r="Q3">
        <v>54880</v>
      </c>
      <c r="R3">
        <v>204912</v>
      </c>
      <c r="S3">
        <v>432834</v>
      </c>
      <c r="T3">
        <v>592769</v>
      </c>
      <c r="U3">
        <v>312770</v>
      </c>
      <c r="V3">
        <v>2379356</v>
      </c>
    </row>
    <row r="4" spans="1:22" x14ac:dyDescent="0.3">
      <c r="A4">
        <v>3</v>
      </c>
      <c r="B4">
        <v>2014</v>
      </c>
      <c r="C4" s="8">
        <v>41821</v>
      </c>
      <c r="D4" s="1">
        <f>SUM(Monthly!D8:D10)</f>
        <v>98992</v>
      </c>
      <c r="E4" s="1">
        <f>SUM(Monthly!E8:E10)</f>
        <v>115219</v>
      </c>
      <c r="F4" s="1">
        <f>SUM(Monthly!F8:F10)</f>
        <v>22841</v>
      </c>
      <c r="G4" s="1">
        <f>SUM(Monthly!G8:G10)</f>
        <v>17102</v>
      </c>
      <c r="H4" s="1">
        <f>SUM(Monthly!H8:H10)</f>
        <v>33533</v>
      </c>
      <c r="I4" s="1">
        <f>SUM(Monthly!I8:I10)</f>
        <v>0</v>
      </c>
      <c r="J4" s="1">
        <f>SUM(Monthly!J8:J10)</f>
        <v>0</v>
      </c>
      <c r="K4" s="1">
        <f>SUM(Monthly!K8:K10)</f>
        <v>287687</v>
      </c>
      <c r="L4" s="1">
        <f>SUM(Monthly!L8:L10)</f>
        <v>34211</v>
      </c>
      <c r="M4" s="1">
        <f>SUM(Monthly!M8:M10)</f>
        <v>321898</v>
      </c>
      <c r="N4">
        <v>522894</v>
      </c>
      <c r="O4">
        <v>68663</v>
      </c>
      <c r="P4">
        <v>389833</v>
      </c>
      <c r="Q4">
        <v>53221</v>
      </c>
      <c r="R4">
        <v>206558</v>
      </c>
      <c r="S4">
        <v>440658</v>
      </c>
      <c r="T4">
        <v>459478</v>
      </c>
      <c r="U4">
        <v>315706</v>
      </c>
      <c r="V4">
        <v>2457010</v>
      </c>
    </row>
    <row r="5" spans="1:22" x14ac:dyDescent="0.3">
      <c r="A5">
        <v>4</v>
      </c>
      <c r="B5">
        <v>2014</v>
      </c>
      <c r="C5" s="8">
        <v>41913</v>
      </c>
      <c r="D5" s="1">
        <f>SUM(Monthly!D11:D13)</f>
        <v>108124</v>
      </c>
      <c r="E5" s="1">
        <f>SUM(Monthly!E11:E13)</f>
        <v>115954</v>
      </c>
      <c r="F5" s="1">
        <f>SUM(Monthly!F11:F13)</f>
        <v>20381</v>
      </c>
      <c r="G5" s="1">
        <f>SUM(Monthly!G11:G13)</f>
        <v>17316</v>
      </c>
      <c r="H5" s="1">
        <f>SUM(Monthly!H11:H13)</f>
        <v>33427</v>
      </c>
      <c r="I5" s="1">
        <f>SUM(Monthly!I11:I13)</f>
        <v>0</v>
      </c>
      <c r="J5" s="1">
        <f>SUM(Monthly!J11:J13)</f>
        <v>0</v>
      </c>
      <c r="K5" s="1">
        <f>SUM(Monthly!K11:K13)</f>
        <v>295202</v>
      </c>
      <c r="L5" s="1">
        <f>SUM(Monthly!L11:L13)</f>
        <v>28709</v>
      </c>
      <c r="M5" s="1">
        <f>SUM(Monthly!M11:M13)</f>
        <v>323911</v>
      </c>
      <c r="N5">
        <v>420673</v>
      </c>
      <c r="O5">
        <v>82547</v>
      </c>
      <c r="P5">
        <v>448178</v>
      </c>
      <c r="Q5">
        <v>52046</v>
      </c>
      <c r="R5">
        <v>214180</v>
      </c>
      <c r="S5">
        <v>501900</v>
      </c>
      <c r="T5">
        <v>481401</v>
      </c>
      <c r="U5">
        <v>297685</v>
      </c>
      <c r="V5">
        <v>2498612</v>
      </c>
    </row>
    <row r="6" spans="1:22" x14ac:dyDescent="0.3">
      <c r="A6">
        <v>1</v>
      </c>
      <c r="B6">
        <v>2015</v>
      </c>
      <c r="C6" s="8">
        <v>42005</v>
      </c>
      <c r="D6" s="1">
        <f>SUM(Monthly!D14:D16)</f>
        <v>115897</v>
      </c>
      <c r="E6" s="1">
        <f>SUM(Monthly!E14:E16)</f>
        <v>127369</v>
      </c>
      <c r="F6" s="1">
        <f>SUM(Monthly!F14:F16)</f>
        <v>22209</v>
      </c>
      <c r="G6" s="1">
        <f>SUM(Monthly!G14:G16)</f>
        <v>18513</v>
      </c>
      <c r="H6" s="1">
        <f>SUM(Monthly!H14:H16)</f>
        <v>33182</v>
      </c>
      <c r="I6" s="1">
        <f>SUM(Monthly!I14:I16)</f>
        <v>0</v>
      </c>
      <c r="J6" s="1">
        <f>SUM(Monthly!J14:J16)</f>
        <v>0</v>
      </c>
      <c r="K6" s="1">
        <f>SUM(Monthly!K14:K16)</f>
        <v>317170</v>
      </c>
      <c r="L6" s="1">
        <f>SUM(Monthly!L14:L16)</f>
        <v>29542</v>
      </c>
      <c r="M6" s="1">
        <f>SUM(Monthly!M14:M16)</f>
        <v>346712</v>
      </c>
      <c r="N6">
        <v>371273</v>
      </c>
      <c r="O6">
        <v>87184</v>
      </c>
      <c r="P6">
        <v>466224</v>
      </c>
      <c r="Q6">
        <v>55232</v>
      </c>
      <c r="R6">
        <v>218253</v>
      </c>
      <c r="S6">
        <v>475242</v>
      </c>
      <c r="T6">
        <v>594978</v>
      </c>
      <c r="U6">
        <v>291805</v>
      </c>
      <c r="V6">
        <v>2560191</v>
      </c>
    </row>
    <row r="7" spans="1:22" x14ac:dyDescent="0.3">
      <c r="A7">
        <v>2</v>
      </c>
      <c r="B7">
        <v>2015</v>
      </c>
      <c r="C7" s="8">
        <v>42095</v>
      </c>
      <c r="D7" s="1">
        <f>SUM(Monthly!D17:D19)</f>
        <v>104801</v>
      </c>
      <c r="E7" s="1">
        <f>SUM(Monthly!E17:E19)</f>
        <v>129924</v>
      </c>
      <c r="F7" s="1">
        <f>SUM(Monthly!F17:F19)</f>
        <v>21283</v>
      </c>
      <c r="G7" s="1">
        <f>SUM(Monthly!G17:G19)</f>
        <v>15550</v>
      </c>
      <c r="H7" s="1">
        <f>SUM(Monthly!H17:H19)</f>
        <v>34136</v>
      </c>
      <c r="I7" s="1">
        <f>SUM(Monthly!I17:I19)</f>
        <v>0</v>
      </c>
      <c r="J7" s="1">
        <f>SUM(Monthly!J17:J19)</f>
        <v>0</v>
      </c>
      <c r="K7" s="1">
        <f>SUM(Monthly!K17:K19)</f>
        <v>305694</v>
      </c>
      <c r="L7" s="1">
        <f>SUM(Monthly!L17:L19)</f>
        <v>35635</v>
      </c>
      <c r="M7" s="1">
        <f>SUM(Monthly!M17:M19)</f>
        <v>341329</v>
      </c>
      <c r="N7">
        <v>307806</v>
      </c>
      <c r="O7">
        <v>63469</v>
      </c>
      <c r="P7">
        <v>472855</v>
      </c>
      <c r="Q7">
        <v>57848</v>
      </c>
      <c r="R7">
        <v>205790</v>
      </c>
      <c r="S7">
        <v>467655</v>
      </c>
      <c r="T7">
        <v>669973</v>
      </c>
      <c r="U7">
        <v>332828</v>
      </c>
      <c r="V7">
        <v>2578225</v>
      </c>
    </row>
    <row r="8" spans="1:22" x14ac:dyDescent="0.3">
      <c r="A8">
        <v>3</v>
      </c>
      <c r="B8">
        <v>2015</v>
      </c>
      <c r="C8" s="8">
        <v>42186</v>
      </c>
      <c r="D8" s="1">
        <f>SUM(Monthly!D20:D22)</f>
        <v>110987</v>
      </c>
      <c r="E8" s="1">
        <f>SUM(Monthly!E20:E22)</f>
        <v>134668</v>
      </c>
      <c r="F8" s="1">
        <f>SUM(Monthly!F20:F22)</f>
        <v>20317</v>
      </c>
      <c r="G8" s="1">
        <f>SUM(Monthly!G20:G22)</f>
        <v>21083</v>
      </c>
      <c r="H8" s="1">
        <f>SUM(Monthly!H20:H22)</f>
        <v>36214</v>
      </c>
      <c r="I8" s="1">
        <f>SUM(Monthly!I20:I22)</f>
        <v>0</v>
      </c>
      <c r="J8" s="1">
        <f>SUM(Monthly!J20:J22)</f>
        <v>0</v>
      </c>
      <c r="K8" s="1">
        <f>SUM(Monthly!K20:K22)</f>
        <v>323269</v>
      </c>
      <c r="L8" s="1">
        <f>SUM(Monthly!L20:L22)</f>
        <v>30066</v>
      </c>
      <c r="M8" s="1">
        <f>SUM(Monthly!M20:M22)</f>
        <v>353335</v>
      </c>
      <c r="N8">
        <v>511553</v>
      </c>
      <c r="O8">
        <v>75875</v>
      </c>
      <c r="P8">
        <v>450360</v>
      </c>
      <c r="Q8">
        <v>55200</v>
      </c>
      <c r="R8">
        <v>216449</v>
      </c>
      <c r="S8">
        <v>484331</v>
      </c>
      <c r="T8">
        <v>506288</v>
      </c>
      <c r="U8">
        <v>336948</v>
      </c>
      <c r="V8">
        <v>2637004</v>
      </c>
    </row>
    <row r="9" spans="1:22" x14ac:dyDescent="0.3">
      <c r="A9">
        <v>4</v>
      </c>
      <c r="B9">
        <v>2015</v>
      </c>
      <c r="C9" s="8">
        <v>42278</v>
      </c>
      <c r="D9" s="1">
        <f>SUM(Monthly!D23:D25)</f>
        <v>110810</v>
      </c>
      <c r="E9" s="1">
        <f>SUM(Monthly!E23:E25)</f>
        <v>143028</v>
      </c>
      <c r="F9" s="1">
        <f>SUM(Monthly!F23:F25)</f>
        <v>24635</v>
      </c>
      <c r="G9" s="1">
        <f>SUM(Monthly!G23:G25)</f>
        <v>27291</v>
      </c>
      <c r="H9" s="1">
        <f>SUM(Monthly!H23:H25)</f>
        <v>37231</v>
      </c>
      <c r="I9" s="1">
        <f>SUM(Monthly!I23:I25)</f>
        <v>0</v>
      </c>
      <c r="J9" s="1">
        <f>SUM(Monthly!J23:J25)</f>
        <v>0</v>
      </c>
      <c r="K9" s="1">
        <f>SUM(Monthly!K23:K25)</f>
        <v>342995</v>
      </c>
      <c r="L9" s="1">
        <f>SUM(Monthly!L23:L25)</f>
        <v>31187</v>
      </c>
      <c r="M9" s="1">
        <f>SUM(Monthly!M23:M25)</f>
        <v>374182</v>
      </c>
      <c r="N9">
        <v>425514</v>
      </c>
      <c r="O9">
        <v>91445</v>
      </c>
      <c r="P9">
        <v>514411</v>
      </c>
      <c r="Q9">
        <v>55878</v>
      </c>
      <c r="R9">
        <v>224843</v>
      </c>
      <c r="S9">
        <v>565595</v>
      </c>
      <c r="T9">
        <v>523546</v>
      </c>
      <c r="U9">
        <v>315216</v>
      </c>
      <c r="V9">
        <v>2716448</v>
      </c>
    </row>
    <row r="10" spans="1:22" x14ac:dyDescent="0.3">
      <c r="A10">
        <v>1</v>
      </c>
      <c r="B10">
        <v>2016</v>
      </c>
      <c r="C10" s="8">
        <v>42370</v>
      </c>
      <c r="D10" s="1">
        <f>SUM(Monthly!D26:D28)</f>
        <v>106379</v>
      </c>
      <c r="E10" s="1">
        <f>SUM(Monthly!E26:E28)</f>
        <v>134331</v>
      </c>
      <c r="F10" s="1">
        <f>SUM(Monthly!F26:F28)</f>
        <v>26301</v>
      </c>
      <c r="G10" s="1">
        <f>SUM(Monthly!G26:G28)</f>
        <v>30492</v>
      </c>
      <c r="H10" s="1">
        <f>SUM(Monthly!H26:H28)</f>
        <v>35890</v>
      </c>
      <c r="I10" s="1">
        <f>SUM(Monthly!I26:I28)</f>
        <v>0</v>
      </c>
      <c r="J10" s="1">
        <f>SUM(Monthly!J26:J28)</f>
        <v>0</v>
      </c>
      <c r="K10" s="1">
        <f>SUM(Monthly!K26:K28)</f>
        <v>333393</v>
      </c>
      <c r="L10" s="1">
        <f>SUM(Monthly!L26:L28)</f>
        <v>27009</v>
      </c>
      <c r="M10" s="1">
        <f>SUM(Monthly!M26:M28)</f>
        <v>360402</v>
      </c>
      <c r="N10">
        <v>388288</v>
      </c>
      <c r="O10">
        <v>93238</v>
      </c>
      <c r="P10">
        <v>512135</v>
      </c>
      <c r="Q10">
        <v>62527</v>
      </c>
      <c r="R10">
        <v>234904</v>
      </c>
      <c r="S10">
        <v>519889</v>
      </c>
      <c r="T10">
        <v>675506</v>
      </c>
      <c r="U10">
        <v>311047</v>
      </c>
      <c r="V10">
        <v>2797534</v>
      </c>
    </row>
    <row r="11" spans="1:22" x14ac:dyDescent="0.3">
      <c r="A11">
        <v>2</v>
      </c>
      <c r="B11">
        <v>2016</v>
      </c>
      <c r="C11" s="8">
        <v>42461</v>
      </c>
      <c r="D11" s="1">
        <f>SUM(Monthly!D29:D31)</f>
        <v>92723</v>
      </c>
      <c r="E11" s="1">
        <f>SUM(Monthly!E29:E31)</f>
        <v>132225</v>
      </c>
      <c r="F11" s="1">
        <f>SUM(Monthly!F29:F31)</f>
        <v>21486</v>
      </c>
      <c r="G11" s="1">
        <f>SUM(Monthly!G29:G31)</f>
        <v>39348</v>
      </c>
      <c r="H11" s="1">
        <f>SUM(Monthly!H29:H31)</f>
        <v>36558</v>
      </c>
      <c r="I11" s="1">
        <f>SUM(Monthly!I29:I31)</f>
        <v>0</v>
      </c>
      <c r="J11" s="1">
        <f>SUM(Monthly!J29:J31)</f>
        <v>0</v>
      </c>
      <c r="K11" s="1">
        <f>SUM(Monthly!K29:K31)</f>
        <v>322340</v>
      </c>
      <c r="L11" s="1">
        <f>SUM(Monthly!L29:L31)</f>
        <v>26103</v>
      </c>
      <c r="M11" s="1">
        <f>SUM(Monthly!M29:M31)</f>
        <v>348443</v>
      </c>
      <c r="N11">
        <v>326299</v>
      </c>
      <c r="O11">
        <v>67051</v>
      </c>
      <c r="P11">
        <v>509041</v>
      </c>
      <c r="Q11">
        <v>62353</v>
      </c>
      <c r="R11">
        <v>223170</v>
      </c>
      <c r="S11">
        <v>503628</v>
      </c>
      <c r="T11">
        <v>745385</v>
      </c>
      <c r="U11">
        <v>354332</v>
      </c>
      <c r="V11">
        <v>2791258</v>
      </c>
    </row>
    <row r="12" spans="1:22" x14ac:dyDescent="0.3">
      <c r="A12">
        <v>3</v>
      </c>
      <c r="B12">
        <v>2016</v>
      </c>
      <c r="C12" s="8">
        <v>42552</v>
      </c>
      <c r="D12" s="1">
        <f>SUM(Monthly!D32:D34)</f>
        <v>114936</v>
      </c>
      <c r="E12" s="1">
        <f>SUM(Monthly!E32:E34)</f>
        <v>146265</v>
      </c>
      <c r="F12" s="1">
        <f>SUM(Monthly!F32:F34)</f>
        <v>25186</v>
      </c>
      <c r="G12" s="1">
        <f>SUM(Monthly!G32:G34)</f>
        <v>42145</v>
      </c>
      <c r="H12" s="1">
        <f>SUM(Monthly!H32:H34)</f>
        <v>38336</v>
      </c>
      <c r="I12" s="1">
        <f>SUM(Monthly!I32:I34)</f>
        <v>69</v>
      </c>
      <c r="J12" s="1">
        <f>SUM(Monthly!J32:J34)</f>
        <v>0</v>
      </c>
      <c r="K12" s="1">
        <f>SUM(Monthly!K32:K34)</f>
        <v>366937</v>
      </c>
      <c r="L12" s="1">
        <f>SUM(Monthly!L32:L34)</f>
        <v>35440</v>
      </c>
      <c r="M12" s="1">
        <f>SUM(Monthly!M32:M34)</f>
        <v>402377</v>
      </c>
      <c r="N12">
        <v>546003</v>
      </c>
      <c r="O12">
        <v>82339</v>
      </c>
      <c r="P12">
        <v>487612</v>
      </c>
      <c r="Q12">
        <v>60849</v>
      </c>
      <c r="R12">
        <v>232734</v>
      </c>
      <c r="S12">
        <v>522541</v>
      </c>
      <c r="T12">
        <v>532745</v>
      </c>
      <c r="U12">
        <v>367202</v>
      </c>
      <c r="V12">
        <v>2832025</v>
      </c>
    </row>
    <row r="13" spans="1:22" x14ac:dyDescent="0.3">
      <c r="A13">
        <v>4</v>
      </c>
      <c r="B13">
        <v>2016</v>
      </c>
      <c r="C13" s="8">
        <v>42644</v>
      </c>
      <c r="D13" s="1">
        <f>SUM(Monthly!D35:D37)</f>
        <v>104342</v>
      </c>
      <c r="E13" s="1">
        <f>SUM(Monthly!E35:E37)</f>
        <v>142842</v>
      </c>
      <c r="F13" s="1">
        <f>SUM(Monthly!F35:F37)</f>
        <v>23561</v>
      </c>
      <c r="G13" s="1">
        <f>SUM(Monthly!G35:G37)</f>
        <v>54295</v>
      </c>
      <c r="H13" s="1">
        <f>SUM(Monthly!H35:H37)</f>
        <v>34252</v>
      </c>
      <c r="I13" s="1">
        <f>SUM(Monthly!I35:I37)</f>
        <v>211</v>
      </c>
      <c r="J13" s="1">
        <f>SUM(Monthly!J35:J37)</f>
        <v>0</v>
      </c>
      <c r="K13" s="1">
        <f>SUM(Monthly!K35:K37)</f>
        <v>359503</v>
      </c>
      <c r="L13" s="1">
        <f>SUM(Monthly!L35:L37)</f>
        <v>30748</v>
      </c>
      <c r="M13" s="1">
        <f>SUM(Monthly!M35:M37)</f>
        <v>390251</v>
      </c>
      <c r="N13">
        <v>456876</v>
      </c>
      <c r="O13">
        <v>105461</v>
      </c>
      <c r="P13">
        <v>546255</v>
      </c>
      <c r="Q13">
        <v>60762</v>
      </c>
      <c r="R13">
        <v>226947</v>
      </c>
      <c r="S13">
        <v>599355</v>
      </c>
      <c r="T13">
        <v>540809</v>
      </c>
      <c r="U13">
        <v>361688</v>
      </c>
      <c r="V13">
        <v>2898152</v>
      </c>
    </row>
    <row r="14" spans="1:22" x14ac:dyDescent="0.3">
      <c r="A14">
        <v>1</v>
      </c>
      <c r="B14">
        <v>2017</v>
      </c>
      <c r="C14" s="8">
        <v>42736</v>
      </c>
      <c r="D14" s="1">
        <f>SUM(Monthly!D38:D40)</f>
        <v>101980</v>
      </c>
      <c r="E14" s="1">
        <f>SUM(Monthly!E38:E40)</f>
        <v>163518</v>
      </c>
      <c r="F14" s="1">
        <f>SUM(Monthly!F38:F40)</f>
        <v>24075</v>
      </c>
      <c r="G14" s="1">
        <f>SUM(Monthly!G38:G40)</f>
        <v>52487</v>
      </c>
      <c r="H14" s="1">
        <f>SUM(Monthly!H38:H40)</f>
        <v>40002</v>
      </c>
      <c r="I14" s="1">
        <f>SUM(Monthly!I38:I40)</f>
        <v>606</v>
      </c>
      <c r="J14" s="1">
        <f>SUM(Monthly!J38:J40)</f>
        <v>0</v>
      </c>
      <c r="K14" s="1">
        <f>SUM(Monthly!K38:K40)</f>
        <v>382668</v>
      </c>
      <c r="L14" s="1">
        <f>SUM(Monthly!L38:L40)</f>
        <v>31771</v>
      </c>
      <c r="M14" s="1">
        <f>SUM(Monthly!M38:M40)</f>
        <v>414439</v>
      </c>
      <c r="N14">
        <v>404433</v>
      </c>
      <c r="O14">
        <v>95928</v>
      </c>
      <c r="P14">
        <v>503682</v>
      </c>
      <c r="Q14">
        <v>67876</v>
      </c>
      <c r="R14">
        <v>242588</v>
      </c>
      <c r="S14">
        <v>563038</v>
      </c>
      <c r="T14">
        <v>728068</v>
      </c>
      <c r="U14">
        <v>357203</v>
      </c>
      <c r="V14">
        <v>2962815</v>
      </c>
    </row>
    <row r="15" spans="1:22" x14ac:dyDescent="0.3">
      <c r="A15">
        <v>2</v>
      </c>
      <c r="B15">
        <v>2017</v>
      </c>
      <c r="C15" s="8">
        <v>42826</v>
      </c>
      <c r="D15" s="1">
        <f>SUM(Monthly!D41:D43)</f>
        <v>103510</v>
      </c>
      <c r="E15" s="1">
        <f>SUM(Monthly!E41:E43)</f>
        <v>155314</v>
      </c>
      <c r="F15" s="1">
        <f>SUM(Monthly!F41:F43)</f>
        <v>15698</v>
      </c>
      <c r="G15" s="1">
        <f>SUM(Monthly!G41:G43)</f>
        <v>57125</v>
      </c>
      <c r="H15" s="1">
        <f>SUM(Monthly!H41:H43)</f>
        <v>35739</v>
      </c>
      <c r="I15" s="1">
        <f>SUM(Monthly!I41:I43)</f>
        <v>1045</v>
      </c>
      <c r="J15" s="1">
        <f>SUM(Monthly!J41:J43)</f>
        <v>0</v>
      </c>
      <c r="K15" s="1">
        <f>SUM(Monthly!K41:K43)</f>
        <v>368431</v>
      </c>
      <c r="L15" s="1">
        <f>SUM(Monthly!L41:L43)</f>
        <v>26140</v>
      </c>
      <c r="M15" s="1">
        <f>SUM(Monthly!M41:M43)</f>
        <v>394571</v>
      </c>
      <c r="N15">
        <v>340906</v>
      </c>
      <c r="O15">
        <v>74316</v>
      </c>
      <c r="P15">
        <v>545309</v>
      </c>
      <c r="Q15">
        <v>68063</v>
      </c>
      <c r="R15">
        <v>233778</v>
      </c>
      <c r="S15">
        <v>545283</v>
      </c>
      <c r="T15">
        <v>781351</v>
      </c>
      <c r="U15">
        <v>385640</v>
      </c>
      <c r="V15">
        <v>2974645</v>
      </c>
    </row>
    <row r="16" spans="1:22" x14ac:dyDescent="0.3">
      <c r="A16">
        <v>3</v>
      </c>
      <c r="B16">
        <v>2017</v>
      </c>
      <c r="C16" s="8">
        <v>42917</v>
      </c>
      <c r="D16" s="1">
        <f>SUM(Monthly!D44:D46)</f>
        <v>116217</v>
      </c>
      <c r="E16" s="1">
        <f>SUM(Monthly!E44:E46)</f>
        <v>209932</v>
      </c>
      <c r="F16" s="1">
        <f>SUM(Monthly!F44:F46)</f>
        <v>18437</v>
      </c>
      <c r="G16" s="1">
        <f>SUM(Monthly!G44:G46)</f>
        <v>67103</v>
      </c>
      <c r="H16" s="1">
        <f>SUM(Monthly!H44:H46)</f>
        <v>43380</v>
      </c>
      <c r="I16" s="1">
        <f>SUM(Monthly!I44:I46)</f>
        <v>3332</v>
      </c>
      <c r="J16" s="1">
        <f>SUM(Monthly!J44:J46)</f>
        <v>0</v>
      </c>
      <c r="K16" s="1">
        <f>SUM(Monthly!K44:K46)</f>
        <v>458401</v>
      </c>
      <c r="L16" s="1">
        <f>SUM(Monthly!L44:L46)</f>
        <v>31786</v>
      </c>
      <c r="M16" s="1">
        <f>SUM(Monthly!M44:M46)</f>
        <v>490187</v>
      </c>
      <c r="N16">
        <v>570993</v>
      </c>
      <c r="O16">
        <v>86013</v>
      </c>
      <c r="P16">
        <v>529731</v>
      </c>
      <c r="Q16">
        <v>65424</v>
      </c>
      <c r="R16">
        <v>251259</v>
      </c>
      <c r="S16">
        <v>565916</v>
      </c>
      <c r="T16">
        <v>569221</v>
      </c>
      <c r="U16">
        <v>400845</v>
      </c>
      <c r="V16">
        <v>3039403</v>
      </c>
    </row>
    <row r="17" spans="1:22" x14ac:dyDescent="0.3">
      <c r="A17">
        <v>4</v>
      </c>
      <c r="B17">
        <v>2017</v>
      </c>
      <c r="C17" s="8">
        <v>43009</v>
      </c>
      <c r="D17" s="1">
        <f>SUM(Monthly!D47:D49)</f>
        <v>102840</v>
      </c>
      <c r="E17" s="1">
        <f>SUM(Monthly!E47:E49)</f>
        <v>181263</v>
      </c>
      <c r="F17" s="1">
        <f>SUM(Monthly!F47:F49)</f>
        <v>10498</v>
      </c>
      <c r="G17" s="1">
        <f>SUM(Monthly!G47:G49)</f>
        <v>65730</v>
      </c>
      <c r="H17" s="1">
        <f>SUM(Monthly!H47:H49)</f>
        <v>37654</v>
      </c>
      <c r="I17" s="1">
        <f>SUM(Monthly!I47:I49)</f>
        <v>2601</v>
      </c>
      <c r="J17" s="1">
        <f>SUM(Monthly!J47:J49)</f>
        <v>0</v>
      </c>
      <c r="K17" s="1">
        <f>SUM(Monthly!K47:K49)</f>
        <v>400586</v>
      </c>
      <c r="L17" s="1">
        <f>SUM(Monthly!L47:L49)</f>
        <v>30526</v>
      </c>
      <c r="M17" s="1">
        <f>SUM(Monthly!M47:M49)</f>
        <v>431112</v>
      </c>
      <c r="N17">
        <v>486706</v>
      </c>
      <c r="O17">
        <v>109420</v>
      </c>
      <c r="P17">
        <v>598201</v>
      </c>
      <c r="Q17">
        <v>66358</v>
      </c>
      <c r="R17">
        <v>241570</v>
      </c>
      <c r="S17">
        <v>637977</v>
      </c>
      <c r="T17">
        <v>570505</v>
      </c>
      <c r="U17">
        <v>416566</v>
      </c>
      <c r="V17">
        <v>3127303</v>
      </c>
    </row>
    <row r="18" spans="1:22" x14ac:dyDescent="0.3">
      <c r="A18">
        <v>1</v>
      </c>
      <c r="B18">
        <v>2018</v>
      </c>
      <c r="C18" s="8">
        <v>43101</v>
      </c>
      <c r="D18" s="1">
        <f>SUM(Monthly!D50:D52)</f>
        <v>104616</v>
      </c>
      <c r="E18" s="1">
        <f>SUM(Monthly!E50:E52)</f>
        <v>201966</v>
      </c>
      <c r="F18" s="1">
        <f>SUM(Monthly!F50:F52)</f>
        <v>14280</v>
      </c>
      <c r="G18" s="1">
        <f>SUM(Monthly!G50:G52)</f>
        <v>63781</v>
      </c>
      <c r="H18" s="1">
        <f>SUM(Monthly!H50:H52)</f>
        <v>38364</v>
      </c>
      <c r="I18" s="1">
        <f>SUM(Monthly!I50:I52)</f>
        <v>4075</v>
      </c>
      <c r="J18" s="1">
        <f>SUM(Monthly!J50:J52)</f>
        <v>0</v>
      </c>
      <c r="K18" s="1">
        <f>SUM(Monthly!K50:K52)</f>
        <v>427082</v>
      </c>
      <c r="L18" s="1">
        <f>SUM(Monthly!L50:L52)</f>
        <v>34691</v>
      </c>
      <c r="M18" s="1">
        <f>SUM(Monthly!M50:M52)</f>
        <v>461773</v>
      </c>
      <c r="N18">
        <v>424869</v>
      </c>
      <c r="O18">
        <v>96308</v>
      </c>
      <c r="P18">
        <v>564815</v>
      </c>
      <c r="Q18">
        <v>72437</v>
      </c>
      <c r="R18">
        <v>265970</v>
      </c>
      <c r="S18">
        <v>606786</v>
      </c>
      <c r="T18">
        <v>775276</v>
      </c>
      <c r="U18">
        <v>383990</v>
      </c>
      <c r="V18">
        <v>3190452</v>
      </c>
    </row>
    <row r="19" spans="1:22" x14ac:dyDescent="0.3">
      <c r="A19">
        <v>2</v>
      </c>
      <c r="B19">
        <v>2018</v>
      </c>
      <c r="C19" s="8">
        <v>43191</v>
      </c>
      <c r="D19" s="1">
        <f>SUM(Monthly!D53:D55)</f>
        <v>105039</v>
      </c>
      <c r="E19" s="1">
        <f>SUM(Monthly!E53:E55)</f>
        <v>232667</v>
      </c>
      <c r="F19" s="1">
        <f>SUM(Monthly!F53:F55)</f>
        <v>10719</v>
      </c>
      <c r="G19" s="1">
        <f>SUM(Monthly!G53:G55)</f>
        <v>65754</v>
      </c>
      <c r="H19" s="1">
        <f>SUM(Monthly!H53:H55)</f>
        <v>44788</v>
      </c>
      <c r="I19" s="1">
        <f>SUM(Monthly!I53:I55)</f>
        <v>4873</v>
      </c>
      <c r="J19" s="1">
        <f>SUM(Monthly!J53:J55)</f>
        <v>0</v>
      </c>
      <c r="K19" s="1">
        <f>SUM(Monthly!K53:K55)</f>
        <v>463840</v>
      </c>
      <c r="L19" s="1">
        <f>SUM(Monthly!L53:L55)</f>
        <v>26639</v>
      </c>
      <c r="M19" s="1">
        <f>SUM(Monthly!M53:M55)</f>
        <v>490479</v>
      </c>
      <c r="N19">
        <v>357728</v>
      </c>
      <c r="O19">
        <v>72681</v>
      </c>
      <c r="P19">
        <v>582672</v>
      </c>
      <c r="Q19">
        <v>73955</v>
      </c>
      <c r="R19">
        <v>253699</v>
      </c>
      <c r="S19">
        <v>583123</v>
      </c>
      <c r="T19">
        <v>836097</v>
      </c>
      <c r="U19">
        <v>418792</v>
      </c>
      <c r="V19">
        <v>3178747</v>
      </c>
    </row>
    <row r="20" spans="1:22" x14ac:dyDescent="0.3">
      <c r="A20">
        <v>3</v>
      </c>
      <c r="B20">
        <v>2018</v>
      </c>
      <c r="C20" s="8">
        <v>43282</v>
      </c>
      <c r="D20" s="1">
        <f>SUM(Monthly!D56:D58)</f>
        <v>108576</v>
      </c>
      <c r="E20" s="1">
        <f>SUM(Monthly!E56:E58)</f>
        <v>219748</v>
      </c>
      <c r="F20" s="1">
        <f>SUM(Monthly!F56:F58)</f>
        <v>13296</v>
      </c>
      <c r="G20" s="1">
        <f>SUM(Monthly!G56:G58)</f>
        <v>64115</v>
      </c>
      <c r="H20" s="1">
        <f>SUM(Monthly!H56:H58)</f>
        <v>44099</v>
      </c>
      <c r="I20" s="1">
        <f>SUM(Monthly!I56:I58)</f>
        <v>5566</v>
      </c>
      <c r="J20" s="1">
        <f>SUM(Monthly!J56:J58)</f>
        <v>0</v>
      </c>
      <c r="K20" s="1">
        <f>SUM(Monthly!K56:K58)</f>
        <v>455400</v>
      </c>
      <c r="L20" s="1">
        <f>SUM(Monthly!L56:L58)</f>
        <v>29448</v>
      </c>
      <c r="M20" s="1">
        <f>SUM(Monthly!M56:M58)</f>
        <v>484848</v>
      </c>
      <c r="N20">
        <v>586941</v>
      </c>
      <c r="O20">
        <v>87589</v>
      </c>
      <c r="P20">
        <v>563804</v>
      </c>
      <c r="Q20">
        <v>70831</v>
      </c>
      <c r="R20">
        <v>275619</v>
      </c>
      <c r="S20">
        <v>605137</v>
      </c>
      <c r="T20">
        <v>610435</v>
      </c>
      <c r="U20">
        <v>431049</v>
      </c>
      <c r="V20">
        <v>3231406</v>
      </c>
    </row>
    <row r="21" spans="1:22" x14ac:dyDescent="0.3">
      <c r="A21">
        <v>4</v>
      </c>
      <c r="B21">
        <v>2018</v>
      </c>
      <c r="C21" s="8">
        <v>43374</v>
      </c>
      <c r="D21" s="1">
        <f>SUM(Monthly!D59:D61)</f>
        <v>90450</v>
      </c>
      <c r="E21" s="1">
        <f>SUM(Monthly!E59:E61)</f>
        <v>188656</v>
      </c>
      <c r="F21" s="1">
        <f>SUM(Monthly!F59:F61)</f>
        <v>12464</v>
      </c>
      <c r="G21" s="1">
        <f>SUM(Monthly!G59:G61)</f>
        <v>64501</v>
      </c>
      <c r="H21" s="1">
        <f>SUM(Monthly!H59:H61)</f>
        <v>43571</v>
      </c>
      <c r="I21" s="1">
        <f>SUM(Monthly!I59:I61)</f>
        <v>5955</v>
      </c>
      <c r="J21" s="1">
        <f>SUM(Monthly!J59:J61)</f>
        <v>0</v>
      </c>
      <c r="K21" s="1">
        <f>SUM(Monthly!K59:K61)</f>
        <v>405597</v>
      </c>
      <c r="L21" s="1">
        <f>SUM(Monthly!L59:L61)</f>
        <v>23046</v>
      </c>
      <c r="M21" s="1">
        <f>SUM(Monthly!M59:M61)</f>
        <v>428643</v>
      </c>
      <c r="N21">
        <v>486094</v>
      </c>
      <c r="O21">
        <v>113986</v>
      </c>
      <c r="P21">
        <v>616749</v>
      </c>
      <c r="Q21">
        <v>69204</v>
      </c>
      <c r="R21">
        <v>258614</v>
      </c>
      <c r="S21">
        <v>676082</v>
      </c>
      <c r="T21">
        <v>624584</v>
      </c>
      <c r="U21">
        <v>461020</v>
      </c>
      <c r="V21">
        <v>3306332</v>
      </c>
    </row>
    <row r="22" spans="1:22" x14ac:dyDescent="0.3">
      <c r="A22">
        <v>1</v>
      </c>
      <c r="B22">
        <v>2019</v>
      </c>
      <c r="C22" s="8">
        <v>43466</v>
      </c>
      <c r="D22" s="1">
        <f>SUM(Monthly!D62:D64)</f>
        <v>74985</v>
      </c>
      <c r="E22" s="1">
        <f>SUM(Monthly!E62:E64)</f>
        <v>221733</v>
      </c>
      <c r="F22" s="1">
        <f>SUM(Monthly!F62:F64)</f>
        <v>9690</v>
      </c>
      <c r="G22" s="1">
        <f>SUM(Monthly!G62:G64)</f>
        <v>69827</v>
      </c>
      <c r="H22" s="1">
        <f>SUM(Monthly!H62:H64)</f>
        <v>46148</v>
      </c>
      <c r="I22" s="1">
        <f>SUM(Monthly!I62:I64)</f>
        <v>7480</v>
      </c>
      <c r="J22" s="1">
        <f>SUM(Monthly!J62:J64)</f>
        <v>0</v>
      </c>
      <c r="K22" s="1">
        <f>SUM(Monthly!K62:K64)</f>
        <v>429863</v>
      </c>
      <c r="L22" s="1">
        <f>SUM(Monthly!L62:L64)</f>
        <v>29616</v>
      </c>
      <c r="M22" s="1">
        <f>SUM(Monthly!M62:M64)</f>
        <v>459479</v>
      </c>
    </row>
    <row r="23" spans="1:22" x14ac:dyDescent="0.3">
      <c r="A23">
        <v>2</v>
      </c>
      <c r="B23">
        <v>2019</v>
      </c>
      <c r="C23" s="8">
        <v>43556</v>
      </c>
      <c r="D23" s="1">
        <f>SUM(Monthly!D65:D67)</f>
        <v>57893</v>
      </c>
      <c r="E23" s="1">
        <f>SUM(Monthly!E65:E67)</f>
        <v>206178</v>
      </c>
      <c r="F23" s="1">
        <f>SUM(Monthly!F65:F67)</f>
        <v>8703</v>
      </c>
      <c r="G23" s="1">
        <f>SUM(Monthly!G65:G67)</f>
        <v>58984</v>
      </c>
      <c r="H23" s="1">
        <f>SUM(Monthly!H65:H67)</f>
        <v>32659</v>
      </c>
      <c r="I23" s="1">
        <f>SUM(Monthly!I65:I67)</f>
        <v>6568</v>
      </c>
      <c r="J23" s="1">
        <f>SUM(Monthly!J65:J67)</f>
        <v>4496</v>
      </c>
      <c r="K23" s="1">
        <f>SUM(Monthly!K65:K67)</f>
        <v>375481</v>
      </c>
      <c r="L23" s="1">
        <f>SUM(Monthly!L65:L67)</f>
        <v>28113</v>
      </c>
      <c r="M23" s="1">
        <f>SUM(Monthly!M65:M67)</f>
        <v>403594</v>
      </c>
    </row>
    <row r="24" spans="1:22" x14ac:dyDescent="0.3">
      <c r="A24">
        <v>3</v>
      </c>
      <c r="B24">
        <v>2019</v>
      </c>
      <c r="C24" s="8">
        <v>43647</v>
      </c>
      <c r="D24" s="1">
        <f>SUM(Monthly!D68:D70)</f>
        <v>55148.794117647056</v>
      </c>
      <c r="E24" s="1">
        <f>SUM(Monthly!E68:E70)</f>
        <v>164795.10294117648</v>
      </c>
      <c r="F24" s="1">
        <f>SUM(Monthly!F68:F70)</f>
        <v>10477.088235294119</v>
      </c>
      <c r="G24" s="1">
        <f>SUM(Monthly!G68:G70)</f>
        <v>48082.382352941175</v>
      </c>
      <c r="H24" s="1">
        <f>SUM(Monthly!H68:H70)</f>
        <v>30758.691176470587</v>
      </c>
      <c r="I24" s="1">
        <f>SUM(Monthly!I68:I70)</f>
        <v>3958.5882352941176</v>
      </c>
      <c r="J24" s="1">
        <f>SUM(Monthly!J68:J70)</f>
        <v>4255.838235294118</v>
      </c>
      <c r="K24" s="1">
        <f>SUM(Monthly!K68:K70)</f>
        <v>317476.48529411765</v>
      </c>
      <c r="L24" s="1">
        <f>SUM(Monthly!L68:L70)</f>
        <v>28530.014705882353</v>
      </c>
      <c r="M24" s="1">
        <f>(SUM(Monthly!M68:M70)/2)*3</f>
        <v>519009.75</v>
      </c>
    </row>
    <row r="25" spans="1:22" x14ac:dyDescent="0.3">
      <c r="A25">
        <v>4</v>
      </c>
      <c r="B25">
        <v>2019</v>
      </c>
      <c r="C25" s="8">
        <v>43739</v>
      </c>
    </row>
    <row r="26" spans="1:22" x14ac:dyDescent="0.3">
      <c r="A26">
        <v>1</v>
      </c>
      <c r="B26">
        <v>2020</v>
      </c>
      <c r="C26" s="8">
        <v>43831</v>
      </c>
    </row>
    <row r="27" spans="1:22" x14ac:dyDescent="0.3">
      <c r="A27">
        <v>2</v>
      </c>
      <c r="B27">
        <v>2020</v>
      </c>
      <c r="C27" s="8">
        <v>43922</v>
      </c>
    </row>
    <row r="28" spans="1:22" x14ac:dyDescent="0.3">
      <c r="A28">
        <v>3</v>
      </c>
      <c r="B28">
        <v>2020</v>
      </c>
      <c r="C28" s="8">
        <v>44013</v>
      </c>
    </row>
    <row r="29" spans="1:22" x14ac:dyDescent="0.3">
      <c r="A29">
        <v>4</v>
      </c>
      <c r="B29">
        <v>2020</v>
      </c>
      <c r="C29" s="8">
        <v>44105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CFCAC-7AB7-4C3E-9A5D-B846136878DD}">
  <dimension ref="A1:P73"/>
  <sheetViews>
    <sheetView tabSelected="1" workbookViewId="0">
      <selection activeCell="P24" sqref="P24"/>
    </sheetView>
  </sheetViews>
  <sheetFormatPr defaultRowHeight="14.4" x14ac:dyDescent="0.3"/>
  <cols>
    <col min="1" max="5" width="8.88671875" style="5"/>
    <col min="6" max="6" width="15.21875" style="5" customWidth="1"/>
    <col min="7" max="12" width="9" bestFit="1" customWidth="1"/>
    <col min="13" max="14" width="9" style="1" bestFit="1" customWidth="1"/>
    <col min="15" max="15" width="30.88671875" style="5" customWidth="1"/>
    <col min="16" max="16" width="29.6640625" style="5" customWidth="1"/>
    <col min="17" max="16384" width="8.88671875" style="5"/>
  </cols>
  <sheetData>
    <row r="1" spans="1:16" x14ac:dyDescent="0.3">
      <c r="A1" s="5" t="s">
        <v>1</v>
      </c>
      <c r="B1" s="5" t="s">
        <v>39</v>
      </c>
      <c r="F1" s="5" t="s">
        <v>81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1" t="s">
        <v>23</v>
      </c>
      <c r="N1" s="1" t="s">
        <v>24</v>
      </c>
      <c r="O1" s="5" t="s">
        <v>41</v>
      </c>
      <c r="P1" s="5" t="s">
        <v>42</v>
      </c>
    </row>
    <row r="2" spans="1:16" x14ac:dyDescent="0.3">
      <c r="A2" s="5">
        <v>2014</v>
      </c>
      <c r="B2" s="6" t="e">
        <f>Monthly!#REF!</f>
        <v>#REF!</v>
      </c>
      <c r="C2" s="6"/>
      <c r="D2" s="6"/>
      <c r="E2" s="6"/>
      <c r="F2" s="6">
        <f>Monthly!U2</f>
        <v>42.1</v>
      </c>
      <c r="G2" s="6">
        <f>Monthly!V2</f>
        <v>21.52</v>
      </c>
      <c r="H2" s="6">
        <f>Monthly!Q2</f>
        <v>7.6</v>
      </c>
      <c r="I2" s="6">
        <f>Monthly!R2</f>
        <v>8.9600000000000009</v>
      </c>
      <c r="J2" s="6">
        <f>Monthly!W2</f>
        <v>6.26</v>
      </c>
      <c r="K2" s="6">
        <f>Monthly!X2</f>
        <v>5.0999999999999996</v>
      </c>
      <c r="L2" s="6">
        <f>100-SUM(F2:K2)</f>
        <v>8.4599999999999937</v>
      </c>
      <c r="M2" s="6">
        <f>Monthly!O2</f>
        <v>0</v>
      </c>
      <c r="N2" s="6">
        <f>Monthly!P2</f>
        <v>3</v>
      </c>
      <c r="O2" s="7">
        <f>SUM(Monthly!M2:M13)</f>
        <v>1270573</v>
      </c>
      <c r="P2" s="7">
        <f>O2/(F2/100)</f>
        <v>3017988.1235154392</v>
      </c>
    </row>
    <row r="3" spans="1:16" x14ac:dyDescent="0.3">
      <c r="A3" s="5">
        <v>2015</v>
      </c>
      <c r="B3" s="6" t="e">
        <f>Monthly!#REF!</f>
        <v>#REF!</v>
      </c>
      <c r="C3" s="6"/>
      <c r="D3" s="6"/>
      <c r="E3" s="6"/>
      <c r="F3" s="6">
        <f>Monthly!U14</f>
        <v>45</v>
      </c>
      <c r="G3" s="6">
        <f>Monthly!V14</f>
        <v>16.5</v>
      </c>
      <c r="H3" s="6">
        <f>Monthly!Q14</f>
        <v>7.8</v>
      </c>
      <c r="I3" s="6">
        <f>Monthly!R14</f>
        <v>7.95</v>
      </c>
      <c r="J3" s="6">
        <f>Monthly!W14</f>
        <v>7.25</v>
      </c>
      <c r="K3" s="6">
        <f>Monthly!X14</f>
        <v>5.03</v>
      </c>
      <c r="L3" s="6">
        <f t="shared" ref="L3:L7" si="0">100-SUM(F3:K3)</f>
        <v>10.469999999999999</v>
      </c>
      <c r="M3" s="6">
        <f>Monthly!O14</f>
        <v>1</v>
      </c>
      <c r="N3" s="6">
        <f>Monthly!P14</f>
        <v>3</v>
      </c>
      <c r="O3" s="7">
        <f>SUM(Monthly!M14:M25)</f>
        <v>1415558</v>
      </c>
      <c r="P3" s="7">
        <f t="shared" ref="P3:P6" si="1">O3/(F3/100)</f>
        <v>3145684.4444444445</v>
      </c>
    </row>
    <row r="4" spans="1:16" x14ac:dyDescent="0.3">
      <c r="A4" s="5">
        <v>2016</v>
      </c>
      <c r="B4" s="6" t="e">
        <f>Monthly!#REF!</f>
        <v>#REF!</v>
      </c>
      <c r="C4" s="6"/>
      <c r="D4" s="6"/>
      <c r="E4" s="6"/>
      <c r="F4" s="6">
        <f>Monthly!U26</f>
        <v>46.8</v>
      </c>
      <c r="G4" s="6">
        <f>Monthly!V26</f>
        <v>16.34</v>
      </c>
      <c r="H4" s="6">
        <f>Monthly!Q26</f>
        <v>8.5</v>
      </c>
      <c r="I4" s="6">
        <f>Monthly!R26</f>
        <v>6.01</v>
      </c>
      <c r="J4" s="6">
        <f>Monthly!W26</f>
        <v>7.25</v>
      </c>
      <c r="K4" s="6">
        <f>Monthly!X26</f>
        <v>5.14</v>
      </c>
      <c r="L4" s="6">
        <f t="shared" si="0"/>
        <v>9.9599999999999937</v>
      </c>
      <c r="M4" s="6">
        <f>Monthly!O26</f>
        <v>3</v>
      </c>
      <c r="N4" s="6">
        <f>Monthly!P26</f>
        <v>7</v>
      </c>
      <c r="O4" s="7">
        <f>SUM(Monthly!M26:M37)</f>
        <v>1501473</v>
      </c>
      <c r="P4" s="7">
        <f t="shared" si="1"/>
        <v>3208275.641025641</v>
      </c>
    </row>
    <row r="5" spans="1:16" x14ac:dyDescent="0.3">
      <c r="A5" s="5">
        <v>2017</v>
      </c>
      <c r="B5" s="6" t="e">
        <f>Monthly!#REF!</f>
        <v>#REF!</v>
      </c>
      <c r="C5" s="6"/>
      <c r="D5" s="6"/>
      <c r="E5" s="6"/>
      <c r="F5" s="6">
        <f>Monthly!U38</f>
        <v>47.3</v>
      </c>
      <c r="G5" s="6">
        <f>Monthly!V38</f>
        <v>16.72</v>
      </c>
      <c r="H5" s="6">
        <f>Monthly!Q38</f>
        <v>7.75</v>
      </c>
      <c r="I5" s="6">
        <f>Monthly!R38</f>
        <v>5.66</v>
      </c>
      <c r="J5" s="6">
        <f>Monthly!W38</f>
        <v>7.25</v>
      </c>
      <c r="K5" s="6">
        <f>Monthly!X38</f>
        <v>4.7</v>
      </c>
      <c r="L5" s="6">
        <f t="shared" si="0"/>
        <v>10.620000000000005</v>
      </c>
      <c r="M5" s="6">
        <f>Monthly!O38</f>
        <v>1</v>
      </c>
      <c r="N5" s="6">
        <f>Monthly!P38</f>
        <v>6</v>
      </c>
      <c r="O5" s="7">
        <f>SUM(Monthly!M38:M49)</f>
        <v>1730309</v>
      </c>
      <c r="P5" s="7">
        <f t="shared" si="1"/>
        <v>3658158.5623678649</v>
      </c>
    </row>
    <row r="6" spans="1:16" x14ac:dyDescent="0.3">
      <c r="A6" s="5">
        <v>2018</v>
      </c>
      <c r="B6" s="6" t="e">
        <f>Monthly!#REF!</f>
        <v>#REF!</v>
      </c>
      <c r="C6" s="6"/>
      <c r="D6" s="6"/>
      <c r="E6" s="6"/>
      <c r="F6" s="6">
        <f>Monthly!U50</f>
        <v>49.7</v>
      </c>
      <c r="G6" s="6">
        <f>Monthly!V50</f>
        <v>16.399999999999999</v>
      </c>
      <c r="H6" s="6">
        <f>Monthly!Q50</f>
        <v>7.5</v>
      </c>
      <c r="I6" s="6">
        <f>Monthly!R50</f>
        <v>5.9</v>
      </c>
      <c r="J6" s="6">
        <f>Monthly!W50</f>
        <v>7.25</v>
      </c>
      <c r="K6" s="6">
        <f>Monthly!X50</f>
        <v>4.3</v>
      </c>
      <c r="L6" s="6">
        <f t="shared" si="0"/>
        <v>8.9500000000000028</v>
      </c>
      <c r="M6" s="6">
        <f>Monthly!O50</f>
        <v>2</v>
      </c>
      <c r="N6" s="6">
        <f>Monthly!P50</f>
        <v>4</v>
      </c>
      <c r="O6" s="7">
        <f>SUM(Monthly!M50:M61)</f>
        <v>1865743</v>
      </c>
      <c r="P6" s="7">
        <f t="shared" si="1"/>
        <v>3754010.0603621728</v>
      </c>
    </row>
    <row r="7" spans="1:16" x14ac:dyDescent="0.3">
      <c r="A7" s="5" t="s">
        <v>43</v>
      </c>
      <c r="B7" s="6" t="e">
        <f>Monthly!#REF!</f>
        <v>#REF!</v>
      </c>
      <c r="C7" s="6"/>
      <c r="D7" s="6"/>
      <c r="E7" s="6"/>
      <c r="F7" s="6">
        <f>Monthly!U62</f>
        <v>51</v>
      </c>
      <c r="G7" s="6">
        <f>Monthly!V62</f>
        <v>16.2</v>
      </c>
      <c r="H7" s="6">
        <f>Monthly!Q62</f>
        <v>7.3</v>
      </c>
      <c r="I7" s="6">
        <f>Monthly!R62</f>
        <v>7</v>
      </c>
      <c r="J7" s="6">
        <f>Monthly!W62</f>
        <v>7.25</v>
      </c>
      <c r="K7" s="6">
        <f>Monthly!X62</f>
        <v>4.5</v>
      </c>
      <c r="L7" s="6">
        <f t="shared" si="0"/>
        <v>6.75</v>
      </c>
      <c r="M7" s="6">
        <f>Monthly!O62</f>
        <v>1</v>
      </c>
      <c r="N7" s="6">
        <f>Monthly!P62</f>
        <v>3</v>
      </c>
      <c r="O7" s="7">
        <f>(SUM(Monthly!M62:M73)/8)*12</f>
        <v>1813619.25</v>
      </c>
      <c r="P7" s="7">
        <f>(O7/(F7/100))</f>
        <v>3556116.176470588</v>
      </c>
    </row>
    <row r="8" spans="1:16" x14ac:dyDescent="0.3">
      <c r="F8" s="6">
        <f>AVERAGE(F2:F7)</f>
        <v>46.983333333333327</v>
      </c>
      <c r="G8" s="6">
        <f t="shared" ref="G8:L8" si="2">AVERAGE(G2:G7)</f>
        <v>17.279999999999998</v>
      </c>
      <c r="H8" s="6">
        <f t="shared" si="2"/>
        <v>7.7416666666666663</v>
      </c>
      <c r="I8" s="6">
        <f t="shared" si="2"/>
        <v>6.913333333333334</v>
      </c>
      <c r="J8" s="6">
        <f t="shared" si="2"/>
        <v>7.085</v>
      </c>
      <c r="K8" s="6">
        <f t="shared" si="2"/>
        <v>4.7949999999999999</v>
      </c>
      <c r="L8" s="6">
        <f t="shared" si="2"/>
        <v>9.2016666666666662</v>
      </c>
    </row>
    <row r="9" spans="1:16" x14ac:dyDescent="0.3">
      <c r="G9" s="2"/>
      <c r="H9" s="2"/>
      <c r="I9" s="2"/>
      <c r="J9" s="2"/>
      <c r="K9" s="2"/>
      <c r="L9" s="2"/>
    </row>
    <row r="10" spans="1:16" x14ac:dyDescent="0.3">
      <c r="G10" s="2"/>
      <c r="H10" s="2"/>
      <c r="I10" s="2"/>
      <c r="J10" s="2"/>
      <c r="K10" s="2"/>
      <c r="L10" s="2"/>
    </row>
    <row r="11" spans="1:16" x14ac:dyDescent="0.3">
      <c r="G11" s="2"/>
      <c r="H11" s="2"/>
      <c r="I11" s="2"/>
      <c r="J11" s="2"/>
      <c r="K11" s="2"/>
      <c r="L11" s="2"/>
    </row>
    <row r="12" spans="1:16" x14ac:dyDescent="0.3">
      <c r="G12" s="2"/>
      <c r="H12" s="2"/>
      <c r="I12" s="2"/>
      <c r="J12" s="2"/>
      <c r="K12" s="2"/>
      <c r="L12" s="2"/>
    </row>
    <row r="13" spans="1:16" x14ac:dyDescent="0.3">
      <c r="G13" s="2"/>
      <c r="H13" s="2"/>
      <c r="I13" s="2"/>
      <c r="J13" s="2"/>
      <c r="K13" s="2"/>
      <c r="L13" s="2"/>
    </row>
    <row r="14" spans="1:16" x14ac:dyDescent="0.3">
      <c r="G14" s="2"/>
      <c r="H14" s="2"/>
      <c r="I14" s="2"/>
      <c r="J14" s="2"/>
      <c r="K14" s="2"/>
      <c r="L14" s="2"/>
    </row>
    <row r="15" spans="1:16" x14ac:dyDescent="0.3">
      <c r="G15" s="2"/>
      <c r="H15" s="2"/>
      <c r="I15" s="2"/>
      <c r="J15" s="2"/>
      <c r="K15" s="2"/>
      <c r="L15" s="2"/>
    </row>
    <row r="16" spans="1:16" x14ac:dyDescent="0.3">
      <c r="G16" s="2"/>
      <c r="H16" s="2"/>
      <c r="I16" s="2"/>
      <c r="J16" s="2"/>
      <c r="K16" s="2"/>
      <c r="L16" s="2"/>
    </row>
    <row r="17" spans="7:12" x14ac:dyDescent="0.3">
      <c r="G17" s="2"/>
      <c r="H17" s="2"/>
      <c r="I17" s="2"/>
      <c r="J17" s="2"/>
      <c r="K17" s="2"/>
      <c r="L17" s="2"/>
    </row>
    <row r="18" spans="7:12" x14ac:dyDescent="0.3">
      <c r="G18" s="2"/>
      <c r="H18" s="2"/>
      <c r="I18" s="2"/>
      <c r="J18" s="2"/>
      <c r="K18" s="2"/>
      <c r="L18" s="2"/>
    </row>
    <row r="19" spans="7:12" x14ac:dyDescent="0.3">
      <c r="G19" s="2"/>
      <c r="H19" s="2"/>
      <c r="I19" s="2"/>
      <c r="J19" s="2"/>
      <c r="K19" s="2"/>
      <c r="L19" s="2"/>
    </row>
    <row r="20" spans="7:12" x14ac:dyDescent="0.3">
      <c r="G20" s="2"/>
      <c r="H20" s="2"/>
      <c r="I20" s="2"/>
      <c r="J20" s="2"/>
      <c r="K20" s="2"/>
      <c r="L20" s="2"/>
    </row>
    <row r="21" spans="7:12" x14ac:dyDescent="0.3">
      <c r="G21" s="2"/>
      <c r="H21" s="2"/>
      <c r="I21" s="2"/>
      <c r="J21" s="2"/>
      <c r="K21" s="2"/>
      <c r="L21" s="2"/>
    </row>
    <row r="22" spans="7:12" x14ac:dyDescent="0.3">
      <c r="G22" s="2"/>
      <c r="H22" s="2"/>
      <c r="I22" s="2"/>
      <c r="J22" s="2"/>
      <c r="K22" s="2"/>
      <c r="L22" s="2"/>
    </row>
    <row r="23" spans="7:12" x14ac:dyDescent="0.3">
      <c r="G23" s="2"/>
      <c r="H23" s="2"/>
      <c r="I23" s="2"/>
      <c r="J23" s="2"/>
      <c r="K23" s="2"/>
      <c r="L23" s="2"/>
    </row>
    <row r="24" spans="7:12" x14ac:dyDescent="0.3">
      <c r="G24" s="2"/>
      <c r="H24" s="2"/>
      <c r="I24" s="2"/>
      <c r="J24" s="2"/>
      <c r="K24" s="2"/>
      <c r="L24" s="2"/>
    </row>
    <row r="25" spans="7:12" x14ac:dyDescent="0.3">
      <c r="G25" s="2"/>
      <c r="H25" s="2"/>
      <c r="I25" s="2"/>
      <c r="J25" s="2"/>
      <c r="K25" s="2"/>
      <c r="L25" s="2"/>
    </row>
    <row r="26" spans="7:12" x14ac:dyDescent="0.3">
      <c r="G26" s="2"/>
      <c r="H26" s="2"/>
      <c r="I26" s="2"/>
      <c r="J26" s="2"/>
      <c r="K26" s="2"/>
      <c r="L26" s="2"/>
    </row>
    <row r="27" spans="7:12" x14ac:dyDescent="0.3">
      <c r="G27" s="2"/>
      <c r="H27" s="2"/>
      <c r="I27" s="2"/>
      <c r="J27" s="2"/>
      <c r="K27" s="2"/>
      <c r="L27" s="2"/>
    </row>
    <row r="28" spans="7:12" x14ac:dyDescent="0.3">
      <c r="G28" s="2"/>
      <c r="H28" s="2"/>
      <c r="I28" s="2"/>
      <c r="J28" s="2"/>
      <c r="K28" s="2"/>
      <c r="L28" s="2"/>
    </row>
    <row r="29" spans="7:12" x14ac:dyDescent="0.3">
      <c r="G29" s="2"/>
      <c r="H29" s="2"/>
      <c r="I29" s="2"/>
      <c r="J29" s="2"/>
      <c r="K29" s="2"/>
      <c r="L29" s="2"/>
    </row>
    <row r="30" spans="7:12" x14ac:dyDescent="0.3">
      <c r="G30" s="2"/>
      <c r="H30" s="2"/>
      <c r="I30" s="2"/>
      <c r="J30" s="2"/>
      <c r="K30" s="2"/>
      <c r="L30" s="2"/>
    </row>
    <row r="31" spans="7:12" x14ac:dyDescent="0.3">
      <c r="G31" s="2"/>
      <c r="H31" s="2"/>
      <c r="I31" s="2"/>
      <c r="J31" s="2"/>
      <c r="K31" s="2"/>
      <c r="L31" s="2"/>
    </row>
    <row r="32" spans="7:12" x14ac:dyDescent="0.3">
      <c r="G32" s="2"/>
      <c r="H32" s="2"/>
      <c r="I32" s="2"/>
      <c r="J32" s="2"/>
      <c r="K32" s="2"/>
      <c r="L32" s="2"/>
    </row>
    <row r="33" spans="7:12" x14ac:dyDescent="0.3">
      <c r="G33" s="2"/>
      <c r="H33" s="2"/>
      <c r="I33" s="2"/>
      <c r="J33" s="2"/>
      <c r="K33" s="2"/>
      <c r="L33" s="2"/>
    </row>
    <row r="34" spans="7:12" x14ac:dyDescent="0.3">
      <c r="G34" s="2"/>
      <c r="H34" s="2"/>
      <c r="I34" s="2"/>
      <c r="J34" s="2"/>
      <c r="K34" s="2"/>
      <c r="L34" s="2"/>
    </row>
    <row r="35" spans="7:12" x14ac:dyDescent="0.3">
      <c r="G35" s="2"/>
      <c r="H35" s="2"/>
      <c r="I35" s="2"/>
      <c r="J35" s="2"/>
      <c r="K35" s="2"/>
      <c r="L35" s="2"/>
    </row>
    <row r="36" spans="7:12" x14ac:dyDescent="0.3">
      <c r="G36" s="2"/>
      <c r="H36" s="2"/>
      <c r="I36" s="2"/>
      <c r="J36" s="2"/>
      <c r="K36" s="2"/>
      <c r="L36" s="2"/>
    </row>
    <row r="37" spans="7:12" x14ac:dyDescent="0.3">
      <c r="G37" s="2"/>
      <c r="H37" s="2"/>
      <c r="I37" s="2"/>
      <c r="J37" s="2"/>
      <c r="K37" s="2"/>
      <c r="L37" s="2"/>
    </row>
    <row r="38" spans="7:12" x14ac:dyDescent="0.3">
      <c r="G38" s="2"/>
      <c r="H38" s="2"/>
      <c r="I38" s="2"/>
      <c r="J38" s="2"/>
      <c r="K38" s="2"/>
      <c r="L38" s="2"/>
    </row>
    <row r="39" spans="7:12" x14ac:dyDescent="0.3">
      <c r="G39" s="2"/>
      <c r="H39" s="2"/>
      <c r="I39" s="2"/>
      <c r="J39" s="2"/>
      <c r="K39" s="2"/>
      <c r="L39" s="2"/>
    </row>
    <row r="40" spans="7:12" x14ac:dyDescent="0.3">
      <c r="G40" s="2"/>
      <c r="H40" s="2"/>
      <c r="I40" s="2"/>
      <c r="J40" s="2"/>
      <c r="K40" s="2"/>
      <c r="L40" s="2"/>
    </row>
    <row r="41" spans="7:12" x14ac:dyDescent="0.3">
      <c r="G41" s="2"/>
      <c r="H41" s="2"/>
      <c r="I41" s="2"/>
      <c r="J41" s="2"/>
      <c r="K41" s="2"/>
      <c r="L41" s="2"/>
    </row>
    <row r="42" spans="7:12" x14ac:dyDescent="0.3">
      <c r="G42" s="2"/>
      <c r="H42" s="2"/>
      <c r="I42" s="2"/>
      <c r="J42" s="2"/>
      <c r="K42" s="2"/>
      <c r="L42" s="2"/>
    </row>
    <row r="43" spans="7:12" x14ac:dyDescent="0.3">
      <c r="G43" s="2"/>
      <c r="H43" s="2"/>
      <c r="I43" s="2"/>
      <c r="J43" s="2"/>
      <c r="K43" s="2"/>
      <c r="L43" s="2"/>
    </row>
    <row r="44" spans="7:12" x14ac:dyDescent="0.3">
      <c r="G44" s="2"/>
      <c r="H44" s="2"/>
      <c r="I44" s="2"/>
      <c r="J44" s="2"/>
      <c r="K44" s="2"/>
      <c r="L44" s="2"/>
    </row>
    <row r="45" spans="7:12" x14ac:dyDescent="0.3">
      <c r="G45" s="2"/>
      <c r="H45" s="2"/>
      <c r="I45" s="2"/>
      <c r="J45" s="2"/>
      <c r="K45" s="2"/>
      <c r="L45" s="2"/>
    </row>
    <row r="46" spans="7:12" x14ac:dyDescent="0.3">
      <c r="G46" s="2"/>
      <c r="H46" s="2"/>
      <c r="I46" s="2"/>
      <c r="J46" s="2"/>
      <c r="K46" s="2"/>
      <c r="L46" s="2"/>
    </row>
    <row r="47" spans="7:12" x14ac:dyDescent="0.3">
      <c r="G47" s="2"/>
      <c r="H47" s="2"/>
      <c r="I47" s="2"/>
      <c r="J47" s="2"/>
      <c r="K47" s="2"/>
      <c r="L47" s="2"/>
    </row>
    <row r="48" spans="7:12" x14ac:dyDescent="0.3">
      <c r="G48" s="2"/>
      <c r="H48" s="2"/>
      <c r="I48" s="2"/>
      <c r="J48" s="2"/>
      <c r="K48" s="2"/>
      <c r="L48" s="2"/>
    </row>
    <row r="49" spans="7:12" x14ac:dyDescent="0.3">
      <c r="G49" s="2"/>
      <c r="H49" s="2"/>
      <c r="I49" s="2"/>
      <c r="J49" s="2"/>
      <c r="K49" s="2"/>
      <c r="L49" s="2"/>
    </row>
    <row r="50" spans="7:12" x14ac:dyDescent="0.3">
      <c r="G50" s="2"/>
      <c r="H50" s="2"/>
      <c r="I50" s="2"/>
      <c r="J50" s="2"/>
      <c r="K50" s="2"/>
      <c r="L50" s="2"/>
    </row>
    <row r="51" spans="7:12" x14ac:dyDescent="0.3">
      <c r="G51" s="2"/>
      <c r="H51" s="2"/>
      <c r="I51" s="2"/>
      <c r="J51" s="2"/>
      <c r="K51" s="2"/>
      <c r="L51" s="2"/>
    </row>
    <row r="52" spans="7:12" x14ac:dyDescent="0.3">
      <c r="G52" s="2"/>
      <c r="H52" s="2"/>
      <c r="I52" s="2"/>
      <c r="J52" s="2"/>
      <c r="K52" s="2"/>
      <c r="L52" s="2"/>
    </row>
    <row r="53" spans="7:12" x14ac:dyDescent="0.3">
      <c r="G53" s="2"/>
      <c r="H53" s="2"/>
      <c r="I53" s="2"/>
      <c r="J53" s="2"/>
      <c r="K53" s="2"/>
      <c r="L53" s="2"/>
    </row>
    <row r="54" spans="7:12" x14ac:dyDescent="0.3">
      <c r="G54" s="2"/>
      <c r="H54" s="2"/>
      <c r="I54" s="2"/>
      <c r="J54" s="2"/>
      <c r="K54" s="2"/>
      <c r="L54" s="2"/>
    </row>
    <row r="55" spans="7:12" x14ac:dyDescent="0.3">
      <c r="G55" s="2"/>
      <c r="H55" s="2"/>
      <c r="I55" s="2"/>
      <c r="J55" s="2"/>
      <c r="K55" s="2"/>
      <c r="L55" s="2"/>
    </row>
    <row r="56" spans="7:12" x14ac:dyDescent="0.3">
      <c r="G56" s="2"/>
      <c r="H56" s="2"/>
      <c r="I56" s="2"/>
      <c r="J56" s="2"/>
      <c r="K56" s="2"/>
      <c r="L56" s="2"/>
    </row>
    <row r="57" spans="7:12" x14ac:dyDescent="0.3">
      <c r="G57" s="2"/>
      <c r="H57" s="2"/>
      <c r="I57" s="2"/>
      <c r="J57" s="2"/>
      <c r="K57" s="2"/>
      <c r="L57" s="2"/>
    </row>
    <row r="58" spans="7:12" x14ac:dyDescent="0.3">
      <c r="G58" s="2"/>
      <c r="H58" s="2"/>
      <c r="I58" s="2"/>
      <c r="J58" s="2"/>
      <c r="K58" s="2"/>
      <c r="L58" s="2"/>
    </row>
    <row r="59" spans="7:12" x14ac:dyDescent="0.3">
      <c r="G59" s="2"/>
      <c r="H59" s="2"/>
      <c r="I59" s="2"/>
      <c r="J59" s="2"/>
      <c r="K59" s="2"/>
      <c r="L59" s="2"/>
    </row>
    <row r="60" spans="7:12" x14ac:dyDescent="0.3">
      <c r="G60" s="2"/>
      <c r="H60" s="2"/>
      <c r="I60" s="2"/>
      <c r="J60" s="2"/>
      <c r="K60" s="2"/>
      <c r="L60" s="2"/>
    </row>
    <row r="61" spans="7:12" x14ac:dyDescent="0.3">
      <c r="G61" s="2"/>
      <c r="H61" s="2"/>
      <c r="I61" s="2"/>
      <c r="J61" s="2"/>
      <c r="K61" s="2"/>
      <c r="L61" s="2"/>
    </row>
    <row r="62" spans="7:12" x14ac:dyDescent="0.3">
      <c r="G62" s="2"/>
      <c r="H62" s="2"/>
      <c r="I62" s="2"/>
      <c r="J62" s="2"/>
      <c r="K62" s="2"/>
      <c r="L62" s="2"/>
    </row>
    <row r="63" spans="7:12" x14ac:dyDescent="0.3">
      <c r="G63" s="2"/>
      <c r="H63" s="2"/>
      <c r="I63" s="2"/>
      <c r="J63" s="2"/>
      <c r="K63" s="2"/>
      <c r="L63" s="2"/>
    </row>
    <row r="64" spans="7:12" x14ac:dyDescent="0.3">
      <c r="G64" s="2"/>
      <c r="H64" s="2"/>
      <c r="I64" s="2"/>
      <c r="J64" s="2"/>
      <c r="K64" s="2"/>
      <c r="L64" s="2"/>
    </row>
    <row r="65" spans="7:12" x14ac:dyDescent="0.3">
      <c r="G65" s="2"/>
      <c r="H65" s="2"/>
      <c r="I65" s="2"/>
      <c r="J65" s="2"/>
      <c r="K65" s="2"/>
      <c r="L65" s="2"/>
    </row>
    <row r="66" spans="7:12" x14ac:dyDescent="0.3">
      <c r="G66" s="2"/>
      <c r="H66" s="2"/>
      <c r="I66" s="2"/>
      <c r="J66" s="2"/>
      <c r="K66" s="2"/>
      <c r="L66" s="2"/>
    </row>
    <row r="67" spans="7:12" x14ac:dyDescent="0.3">
      <c r="G67" s="2"/>
      <c r="H67" s="2"/>
      <c r="I67" s="2"/>
      <c r="J67" s="2"/>
      <c r="K67" s="2"/>
      <c r="L67" s="2"/>
    </row>
    <row r="68" spans="7:12" x14ac:dyDescent="0.3">
      <c r="G68" s="2"/>
      <c r="H68" s="2"/>
      <c r="I68" s="2"/>
      <c r="J68" s="2"/>
      <c r="K68" s="2"/>
      <c r="L68" s="2"/>
    </row>
    <row r="69" spans="7:12" x14ac:dyDescent="0.3">
      <c r="G69" s="2"/>
      <c r="H69" s="2"/>
      <c r="I69" s="2"/>
      <c r="J69" s="2"/>
      <c r="K69" s="2"/>
      <c r="L69" s="2"/>
    </row>
    <row r="70" spans="7:12" x14ac:dyDescent="0.3">
      <c r="G70" s="2"/>
      <c r="H70" s="2"/>
      <c r="I70" s="2"/>
      <c r="J70" s="2"/>
      <c r="K70" s="2"/>
      <c r="L70" s="2"/>
    </row>
    <row r="71" spans="7:12" x14ac:dyDescent="0.3">
      <c r="G71" s="2"/>
      <c r="H71" s="2"/>
      <c r="I71" s="2"/>
      <c r="J71" s="2"/>
      <c r="K71" s="2"/>
      <c r="L71" s="2"/>
    </row>
    <row r="72" spans="7:12" x14ac:dyDescent="0.3">
      <c r="G72" s="2"/>
      <c r="H72" s="2"/>
      <c r="I72" s="2"/>
      <c r="J72" s="2"/>
      <c r="K72" s="2"/>
      <c r="L72" s="2"/>
    </row>
    <row r="73" spans="7:12" x14ac:dyDescent="0.3">
      <c r="G73" s="2"/>
      <c r="H73" s="2"/>
      <c r="I73" s="2"/>
      <c r="J73" s="2"/>
      <c r="K73" s="2"/>
      <c r="L73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2792-F909-4D84-82F5-706CB912561A}">
  <dimension ref="A1:J75"/>
  <sheetViews>
    <sheetView workbookViewId="0">
      <selection activeCell="F18" sqref="F18"/>
    </sheetView>
  </sheetViews>
  <sheetFormatPr defaultRowHeight="14.4" x14ac:dyDescent="0.3"/>
  <cols>
    <col min="1" max="1" width="13" customWidth="1"/>
    <col min="2" max="2" width="27.33203125" customWidth="1"/>
    <col min="3" max="3" width="35.6640625" customWidth="1"/>
    <col min="4" max="4" width="49.77734375" customWidth="1"/>
    <col min="5" max="5" width="49.88671875" customWidth="1"/>
    <col min="7" max="7" width="9.44140625" customWidth="1"/>
    <col min="8" max="8" width="7.6640625" customWidth="1"/>
  </cols>
  <sheetData>
    <row r="1" spans="1:10" x14ac:dyDescent="0.3">
      <c r="A1" t="s">
        <v>46</v>
      </c>
      <c r="B1" t="s">
        <v>11</v>
      </c>
      <c r="C1" t="s">
        <v>26</v>
      </c>
      <c r="D1" t="s">
        <v>27</v>
      </c>
      <c r="E1" t="s">
        <v>28</v>
      </c>
      <c r="I1" t="s">
        <v>29</v>
      </c>
      <c r="J1" t="s">
        <v>30</v>
      </c>
    </row>
    <row r="2" spans="1:10" x14ac:dyDescent="0.3">
      <c r="A2" s="8">
        <v>41640</v>
      </c>
      <c r="B2" s="1">
        <v>102416</v>
      </c>
      <c r="I2" t="s">
        <v>31</v>
      </c>
      <c r="J2" s="4">
        <f>_xlfn.FORECAST.ETS.STAT($B$2:$B$60,$A$2:$A$60,1,1,1)</f>
        <v>0.1</v>
      </c>
    </row>
    <row r="3" spans="1:10" x14ac:dyDescent="0.3">
      <c r="A3" s="8">
        <v>41671</v>
      </c>
      <c r="B3" s="1">
        <v>109104</v>
      </c>
      <c r="I3" t="s">
        <v>32</v>
      </c>
      <c r="J3" s="4">
        <f>_xlfn.FORECAST.ETS.STAT($B$2:$B$60,$A$2:$A$60,2,1,1)</f>
        <v>1E-3</v>
      </c>
    </row>
    <row r="4" spans="1:10" x14ac:dyDescent="0.3">
      <c r="A4" s="8">
        <v>41702</v>
      </c>
      <c r="B4" s="1">
        <v>113350</v>
      </c>
      <c r="I4" t="s">
        <v>33</v>
      </c>
      <c r="J4" s="4">
        <f>_xlfn.FORECAST.ETS.STAT($B$2:$B$60,$A$2:$A$60,3,1,1)</f>
        <v>2.2204460492503131E-16</v>
      </c>
    </row>
    <row r="5" spans="1:10" x14ac:dyDescent="0.3">
      <c r="A5" s="8">
        <v>41733</v>
      </c>
      <c r="B5" s="1">
        <v>86196</v>
      </c>
      <c r="I5" t="s">
        <v>34</v>
      </c>
      <c r="J5" s="4">
        <f>_xlfn.FORECAST.ETS.STAT($B$2:$B$60,$A$2:$A$60,4,1,1)</f>
        <v>0.89102420636844015</v>
      </c>
    </row>
    <row r="6" spans="1:10" x14ac:dyDescent="0.3">
      <c r="A6" s="8">
        <v>41764</v>
      </c>
      <c r="B6" s="1">
        <v>100925</v>
      </c>
      <c r="I6" t="s">
        <v>35</v>
      </c>
      <c r="J6" s="4">
        <f>_xlfn.FORECAST.ETS.STAT($B$2:$B$60,$A$2:$A$60,5,1,1)</f>
        <v>6.1715270199254886E-2</v>
      </c>
    </row>
    <row r="7" spans="1:10" x14ac:dyDescent="0.3">
      <c r="A7" s="8">
        <v>41795</v>
      </c>
      <c r="B7" s="1">
        <v>112773</v>
      </c>
      <c r="I7" t="s">
        <v>36</v>
      </c>
      <c r="J7" s="4">
        <f>_xlfn.FORECAST.ETS.STAT($B$2:$B$60,$A$2:$A$60,6,1,1)</f>
        <v>9559.2563475665957</v>
      </c>
    </row>
    <row r="8" spans="1:10" x14ac:dyDescent="0.3">
      <c r="A8" s="8">
        <v>41826</v>
      </c>
      <c r="B8" s="1">
        <v>101380</v>
      </c>
      <c r="I8" t="s">
        <v>37</v>
      </c>
      <c r="J8" s="4">
        <f>_xlfn.FORECAST.ETS.STAT($B$2:$B$60,$A$2:$A$60,7,1,1)</f>
        <v>11873.708685358954</v>
      </c>
    </row>
    <row r="9" spans="1:10" x14ac:dyDescent="0.3">
      <c r="A9" s="8">
        <v>41857</v>
      </c>
      <c r="B9" s="1">
        <v>110776</v>
      </c>
    </row>
    <row r="10" spans="1:10" x14ac:dyDescent="0.3">
      <c r="A10" s="8">
        <v>41888</v>
      </c>
      <c r="B10" s="1">
        <v>109742</v>
      </c>
    </row>
    <row r="11" spans="1:10" x14ac:dyDescent="0.3">
      <c r="A11" s="8">
        <v>41919</v>
      </c>
      <c r="B11" s="1">
        <v>103973</v>
      </c>
    </row>
    <row r="12" spans="1:10" x14ac:dyDescent="0.3">
      <c r="A12" s="8">
        <v>41950</v>
      </c>
      <c r="B12" s="1">
        <v>110147</v>
      </c>
    </row>
    <row r="13" spans="1:10" x14ac:dyDescent="0.3">
      <c r="A13" s="8">
        <v>41981</v>
      </c>
      <c r="B13" s="1">
        <v>109791</v>
      </c>
    </row>
    <row r="14" spans="1:10" x14ac:dyDescent="0.3">
      <c r="A14" s="8">
        <v>42012</v>
      </c>
      <c r="B14" s="1">
        <v>116606</v>
      </c>
    </row>
    <row r="15" spans="1:10" x14ac:dyDescent="0.3">
      <c r="A15" s="8">
        <v>42043</v>
      </c>
      <c r="B15" s="1">
        <v>118551</v>
      </c>
    </row>
    <row r="16" spans="1:10" x14ac:dyDescent="0.3">
      <c r="A16" s="8">
        <v>42074</v>
      </c>
      <c r="B16" s="1">
        <v>111555</v>
      </c>
    </row>
    <row r="17" spans="1:2" x14ac:dyDescent="0.3">
      <c r="A17" s="8">
        <v>42105</v>
      </c>
      <c r="B17" s="1">
        <v>111748</v>
      </c>
    </row>
    <row r="18" spans="1:2" x14ac:dyDescent="0.3">
      <c r="A18" s="8">
        <v>42136</v>
      </c>
      <c r="B18" s="1">
        <v>114825</v>
      </c>
    </row>
    <row r="19" spans="1:2" x14ac:dyDescent="0.3">
      <c r="A19" s="8">
        <v>42167</v>
      </c>
      <c r="B19" s="1">
        <v>114756</v>
      </c>
    </row>
    <row r="20" spans="1:2" x14ac:dyDescent="0.3">
      <c r="A20" s="8">
        <v>42198</v>
      </c>
      <c r="B20" s="1">
        <v>121712</v>
      </c>
    </row>
    <row r="21" spans="1:2" x14ac:dyDescent="0.3">
      <c r="A21" s="8">
        <v>42229</v>
      </c>
      <c r="B21" s="1">
        <v>117864</v>
      </c>
    </row>
    <row r="22" spans="1:2" x14ac:dyDescent="0.3">
      <c r="A22" s="8">
        <v>42260</v>
      </c>
      <c r="B22" s="1">
        <v>113759</v>
      </c>
    </row>
    <row r="23" spans="1:2" x14ac:dyDescent="0.3">
      <c r="A23" s="8">
        <v>42291</v>
      </c>
      <c r="B23" s="1">
        <v>134209</v>
      </c>
    </row>
    <row r="24" spans="1:2" x14ac:dyDescent="0.3">
      <c r="A24" s="8">
        <v>42322</v>
      </c>
      <c r="B24" s="1">
        <v>120824</v>
      </c>
    </row>
    <row r="25" spans="1:2" x14ac:dyDescent="0.3">
      <c r="A25" s="8">
        <v>42353</v>
      </c>
      <c r="B25" s="1">
        <v>119149</v>
      </c>
    </row>
    <row r="26" spans="1:2" x14ac:dyDescent="0.3">
      <c r="A26" s="8">
        <v>42384</v>
      </c>
      <c r="B26" s="1">
        <v>113606</v>
      </c>
    </row>
    <row r="27" spans="1:2" x14ac:dyDescent="0.3">
      <c r="A27" s="8">
        <v>42415</v>
      </c>
      <c r="B27" s="1">
        <v>117451</v>
      </c>
    </row>
    <row r="28" spans="1:2" x14ac:dyDescent="0.3">
      <c r="A28" s="8">
        <v>42446</v>
      </c>
      <c r="B28" s="1">
        <v>129345</v>
      </c>
    </row>
    <row r="29" spans="1:2" x14ac:dyDescent="0.3">
      <c r="A29" s="8">
        <v>42477</v>
      </c>
      <c r="B29" s="1">
        <v>126569</v>
      </c>
    </row>
    <row r="30" spans="1:2" x14ac:dyDescent="0.3">
      <c r="A30" s="8">
        <v>42508</v>
      </c>
      <c r="B30" s="1">
        <v>123034</v>
      </c>
    </row>
    <row r="31" spans="1:2" x14ac:dyDescent="0.3">
      <c r="A31" s="8">
        <v>42539</v>
      </c>
      <c r="B31" s="1">
        <v>98840</v>
      </c>
    </row>
    <row r="32" spans="1:2" x14ac:dyDescent="0.3">
      <c r="A32" s="8">
        <v>42570</v>
      </c>
      <c r="B32" s="1">
        <v>121023</v>
      </c>
    </row>
    <row r="33" spans="1:2" x14ac:dyDescent="0.3">
      <c r="A33" s="8">
        <v>42601</v>
      </c>
      <c r="B33" s="1">
        <v>132211</v>
      </c>
    </row>
    <row r="34" spans="1:2" x14ac:dyDescent="0.3">
      <c r="A34" s="8">
        <v>42632</v>
      </c>
      <c r="B34" s="1">
        <v>149143</v>
      </c>
    </row>
    <row r="35" spans="1:2" x14ac:dyDescent="0.3">
      <c r="A35" s="8">
        <v>42663</v>
      </c>
      <c r="B35" s="1">
        <v>133793</v>
      </c>
    </row>
    <row r="36" spans="1:2" x14ac:dyDescent="0.3">
      <c r="A36" s="8">
        <v>42694</v>
      </c>
      <c r="B36" s="1">
        <v>135550</v>
      </c>
    </row>
    <row r="37" spans="1:2" x14ac:dyDescent="0.3">
      <c r="A37" s="8">
        <v>42725</v>
      </c>
      <c r="B37" s="1">
        <v>120908</v>
      </c>
    </row>
    <row r="38" spans="1:2" x14ac:dyDescent="0.3">
      <c r="A38" s="8">
        <v>42756</v>
      </c>
      <c r="B38" s="1">
        <v>144396</v>
      </c>
    </row>
    <row r="39" spans="1:2" x14ac:dyDescent="0.3">
      <c r="A39" s="8">
        <v>42787</v>
      </c>
      <c r="B39" s="1">
        <v>130280</v>
      </c>
    </row>
    <row r="40" spans="1:2" x14ac:dyDescent="0.3">
      <c r="A40" s="8">
        <v>42818</v>
      </c>
      <c r="B40" s="1">
        <v>139763</v>
      </c>
    </row>
    <row r="41" spans="1:2" x14ac:dyDescent="0.3">
      <c r="A41" s="8">
        <v>42849</v>
      </c>
      <c r="B41" s="1">
        <v>151215</v>
      </c>
    </row>
    <row r="42" spans="1:2" x14ac:dyDescent="0.3">
      <c r="A42" s="8">
        <v>42880</v>
      </c>
      <c r="B42" s="1">
        <v>136962</v>
      </c>
    </row>
    <row r="43" spans="1:2" x14ac:dyDescent="0.3">
      <c r="A43" s="8">
        <v>42911</v>
      </c>
      <c r="B43" s="1">
        <v>106394</v>
      </c>
    </row>
    <row r="44" spans="1:2" x14ac:dyDescent="0.3">
      <c r="A44" s="8">
        <v>42942</v>
      </c>
      <c r="B44" s="1">
        <v>166346</v>
      </c>
    </row>
    <row r="45" spans="1:2" x14ac:dyDescent="0.3">
      <c r="A45" s="8">
        <v>42973</v>
      </c>
      <c r="B45" s="1">
        <v>163701</v>
      </c>
    </row>
    <row r="46" spans="1:2" x14ac:dyDescent="0.3">
      <c r="A46" s="8">
        <v>43004</v>
      </c>
      <c r="B46" s="1">
        <v>160140</v>
      </c>
    </row>
    <row r="47" spans="1:2" x14ac:dyDescent="0.3">
      <c r="A47" s="8">
        <v>43035</v>
      </c>
      <c r="B47" s="1">
        <v>146446</v>
      </c>
    </row>
    <row r="48" spans="1:2" x14ac:dyDescent="0.3">
      <c r="A48" s="8">
        <v>43066</v>
      </c>
      <c r="B48" s="1">
        <v>154600</v>
      </c>
    </row>
    <row r="49" spans="1:5" x14ac:dyDescent="0.3">
      <c r="A49" s="8">
        <v>43097</v>
      </c>
      <c r="B49" s="1">
        <v>130066</v>
      </c>
    </row>
    <row r="50" spans="1:5" x14ac:dyDescent="0.3">
      <c r="A50" s="8">
        <v>43128</v>
      </c>
      <c r="B50" s="1">
        <v>151351</v>
      </c>
    </row>
    <row r="51" spans="1:5" x14ac:dyDescent="0.3">
      <c r="A51" s="8">
        <v>43159</v>
      </c>
      <c r="B51" s="1">
        <v>149824</v>
      </c>
    </row>
    <row r="52" spans="1:5" x14ac:dyDescent="0.3">
      <c r="A52" s="8">
        <v>43190</v>
      </c>
      <c r="B52" s="1">
        <v>160598</v>
      </c>
    </row>
    <row r="53" spans="1:5" x14ac:dyDescent="0.3">
      <c r="A53" s="8">
        <v>43221</v>
      </c>
      <c r="B53" s="1">
        <v>172986</v>
      </c>
    </row>
    <row r="54" spans="1:5" x14ac:dyDescent="0.3">
      <c r="A54" s="8">
        <v>43252</v>
      </c>
      <c r="B54" s="1">
        <v>172512</v>
      </c>
    </row>
    <row r="55" spans="1:5" x14ac:dyDescent="0.3">
      <c r="A55" s="8">
        <v>43283</v>
      </c>
      <c r="B55" s="1">
        <v>144981</v>
      </c>
    </row>
    <row r="56" spans="1:5" x14ac:dyDescent="0.3">
      <c r="A56" s="8">
        <v>43314</v>
      </c>
      <c r="B56" s="1">
        <v>164369</v>
      </c>
    </row>
    <row r="57" spans="1:5" x14ac:dyDescent="0.3">
      <c r="A57" s="8">
        <v>43345</v>
      </c>
      <c r="B57" s="1">
        <v>158189</v>
      </c>
    </row>
    <row r="58" spans="1:5" x14ac:dyDescent="0.3">
      <c r="A58" s="8">
        <v>43376</v>
      </c>
      <c r="B58" s="1">
        <v>162290</v>
      </c>
    </row>
    <row r="59" spans="1:5" x14ac:dyDescent="0.3">
      <c r="A59" s="8">
        <v>43407</v>
      </c>
      <c r="B59" s="1">
        <v>146766</v>
      </c>
    </row>
    <row r="60" spans="1:5" x14ac:dyDescent="0.3">
      <c r="A60" s="8">
        <v>43438</v>
      </c>
      <c r="B60" s="1">
        <v>153539</v>
      </c>
      <c r="C60" s="1">
        <v>153539</v>
      </c>
      <c r="D60" s="1">
        <v>153539</v>
      </c>
      <c r="E60" s="1">
        <v>153539</v>
      </c>
    </row>
    <row r="61" spans="1:5" x14ac:dyDescent="0.3">
      <c r="A61" s="8">
        <v>43469</v>
      </c>
      <c r="B61" s="1">
        <f>Monthly!M62</f>
        <v>151721</v>
      </c>
      <c r="C61" s="1">
        <f t="shared" ref="C61:C75" si="0">_xlfn.FORECAST.ETS(A61,$B$2:$B$60,$A$2:$A$60,1,1)</f>
        <v>162278.48585307543</v>
      </c>
      <c r="D61" s="1">
        <f t="shared" ref="D61:D75" si="1">C61-_xlfn.FORECAST.ETS.CONFINT(A61,$B$2:$B$60,$A$2:$A$60,0.99,1,1)</f>
        <v>133137.80630381324</v>
      </c>
      <c r="E61" s="1">
        <f t="shared" ref="E61:E75" si="2">C61+_xlfn.FORECAST.ETS.CONFINT(A61,$B$2:$B$60,$A$2:$A$60,0.99,1,1)</f>
        <v>191419.16540233762</v>
      </c>
    </row>
    <row r="62" spans="1:5" x14ac:dyDescent="0.3">
      <c r="A62" s="8">
        <v>43500</v>
      </c>
      <c r="B62" s="1">
        <f>Monthly!M63</f>
        <v>149682</v>
      </c>
      <c r="C62" s="1">
        <f t="shared" si="0"/>
        <v>163336.54484544558</v>
      </c>
      <c r="D62" s="1">
        <f t="shared" si="1"/>
        <v>134047.61038789252</v>
      </c>
      <c r="E62" s="1">
        <f t="shared" si="2"/>
        <v>192625.47930299863</v>
      </c>
    </row>
    <row r="63" spans="1:5" x14ac:dyDescent="0.3">
      <c r="A63" s="8">
        <v>43531</v>
      </c>
      <c r="B63" s="1">
        <f>Monthly!M64</f>
        <v>158076</v>
      </c>
      <c r="C63" s="1">
        <f t="shared" si="0"/>
        <v>164394.60383781561</v>
      </c>
      <c r="D63" s="1">
        <f t="shared" si="1"/>
        <v>134955.2332245803</v>
      </c>
      <c r="E63" s="1">
        <f t="shared" si="2"/>
        <v>193833.97445105092</v>
      </c>
    </row>
    <row r="64" spans="1:5" x14ac:dyDescent="0.3">
      <c r="A64" s="8">
        <v>43562</v>
      </c>
      <c r="B64" s="1">
        <f>Monthly!M65</f>
        <v>143245</v>
      </c>
      <c r="C64" s="1">
        <f t="shared" si="0"/>
        <v>165452.66283018573</v>
      </c>
      <c r="D64" s="1">
        <f t="shared" si="1"/>
        <v>135860.67938390508</v>
      </c>
      <c r="E64" s="1">
        <f t="shared" si="2"/>
        <v>195044.64627646637</v>
      </c>
    </row>
    <row r="65" spans="1:5" x14ac:dyDescent="0.3">
      <c r="A65" s="8">
        <v>43593</v>
      </c>
      <c r="B65" s="1">
        <f>Monthly!M66</f>
        <v>134641</v>
      </c>
      <c r="C65" s="1">
        <f t="shared" si="0"/>
        <v>166510.72182255576</v>
      </c>
      <c r="D65" s="1">
        <f t="shared" si="1"/>
        <v>136763.953820606</v>
      </c>
      <c r="E65" s="1">
        <f t="shared" si="2"/>
        <v>196257.48982450552</v>
      </c>
    </row>
    <row r="66" spans="1:5" x14ac:dyDescent="0.3">
      <c r="A66" s="8">
        <v>43624</v>
      </c>
      <c r="B66" s="1">
        <f>Monthly!M67</f>
        <v>125708</v>
      </c>
      <c r="C66" s="1">
        <f t="shared" si="0"/>
        <v>167568.78081492591</v>
      </c>
      <c r="D66" s="1">
        <f t="shared" si="1"/>
        <v>137665.06186071457</v>
      </c>
      <c r="E66" s="1">
        <f t="shared" si="2"/>
        <v>197472.49976913724</v>
      </c>
    </row>
    <row r="67" spans="1:5" x14ac:dyDescent="0.3">
      <c r="A67" s="8">
        <v>43655</v>
      </c>
      <c r="B67" s="1">
        <f>Monthly!M68</f>
        <v>109264</v>
      </c>
      <c r="C67" s="1">
        <f t="shared" si="0"/>
        <v>168626.83980729594</v>
      </c>
      <c r="D67" s="1">
        <f t="shared" si="1"/>
        <v>138564.00918815326</v>
      </c>
      <c r="E67" s="1">
        <f t="shared" si="2"/>
        <v>198689.67042643862</v>
      </c>
    </row>
    <row r="68" spans="1:5" x14ac:dyDescent="0.3">
      <c r="A68" s="8">
        <v>43686</v>
      </c>
      <c r="B68" s="1">
        <f>Monthly!M69</f>
        <v>106413</v>
      </c>
      <c r="C68" s="1">
        <f t="shared" si="0"/>
        <v>169684.89879966609</v>
      </c>
      <c r="D68" s="1">
        <f t="shared" si="1"/>
        <v>139460.80183137528</v>
      </c>
      <c r="E68" s="1">
        <f t="shared" si="2"/>
        <v>199908.99576795689</v>
      </c>
    </row>
    <row r="69" spans="1:5" x14ac:dyDescent="0.3">
      <c r="A69" s="8">
        <v>43717</v>
      </c>
      <c r="B69" s="1"/>
      <c r="C69" s="1">
        <f t="shared" si="0"/>
        <v>170742.95779203609</v>
      </c>
      <c r="D69" s="1">
        <f t="shared" si="1"/>
        <v>140355.44615006354</v>
      </c>
      <c r="E69" s="1">
        <f t="shared" si="2"/>
        <v>201130.46943400864</v>
      </c>
    </row>
    <row r="70" spans="1:5" x14ac:dyDescent="0.3">
      <c r="A70" s="8">
        <v>43748</v>
      </c>
      <c r="B70" s="1"/>
      <c r="C70" s="1">
        <f t="shared" si="0"/>
        <v>171801.01678440624</v>
      </c>
      <c r="D70" s="1">
        <f t="shared" si="1"/>
        <v>141247.94882191214</v>
      </c>
      <c r="E70" s="1">
        <f t="shared" si="2"/>
        <v>202354.08474690033</v>
      </c>
    </row>
    <row r="71" spans="1:5" x14ac:dyDescent="0.3">
      <c r="A71" s="8">
        <v>43779</v>
      </c>
      <c r="B71" s="1"/>
      <c r="C71" s="1">
        <f t="shared" si="0"/>
        <v>172859.07577677627</v>
      </c>
      <c r="D71" s="1">
        <f t="shared" si="1"/>
        <v>142138.31682950485</v>
      </c>
      <c r="E71" s="1">
        <f t="shared" si="2"/>
        <v>203579.83472404769</v>
      </c>
    </row>
    <row r="72" spans="1:5" x14ac:dyDescent="0.3">
      <c r="A72" s="8">
        <v>43810</v>
      </c>
      <c r="B72" s="1"/>
      <c r="C72" s="1">
        <f t="shared" si="0"/>
        <v>173917.13476914642</v>
      </c>
      <c r="D72" s="1">
        <f t="shared" si="1"/>
        <v>143026.55744731342</v>
      </c>
      <c r="E72" s="1">
        <f t="shared" si="2"/>
        <v>204807.71209097942</v>
      </c>
    </row>
    <row r="73" spans="1:5" x14ac:dyDescent="0.3">
      <c r="A73" s="8">
        <v>43841</v>
      </c>
      <c r="B73" s="1"/>
      <c r="C73" s="1">
        <f t="shared" si="0"/>
        <v>174975.19376151645</v>
      </c>
      <c r="D73" s="1">
        <f t="shared" si="1"/>
        <v>143912.67822882728</v>
      </c>
      <c r="E73" s="1">
        <f t="shared" si="2"/>
        <v>206037.70929420562</v>
      </c>
    </row>
    <row r="74" spans="1:5" x14ac:dyDescent="0.3">
      <c r="A74" s="8">
        <v>43872</v>
      </c>
      <c r="B74" s="1"/>
      <c r="C74" s="1">
        <f t="shared" si="0"/>
        <v>176033.2527538866</v>
      </c>
      <c r="D74" s="1">
        <f t="shared" si="1"/>
        <v>144796.68699383544</v>
      </c>
      <c r="E74" s="1">
        <f t="shared" si="2"/>
        <v>207269.81851393776</v>
      </c>
    </row>
    <row r="75" spans="1:5" x14ac:dyDescent="0.3">
      <c r="A75" s="8">
        <v>43903</v>
      </c>
      <c r="B75" s="1"/>
      <c r="C75" s="1">
        <f t="shared" si="0"/>
        <v>177091.31174625663</v>
      </c>
      <c r="D75" s="1">
        <f t="shared" si="1"/>
        <v>145678.59181587031</v>
      </c>
      <c r="E75" s="1">
        <f t="shared" si="2"/>
        <v>208504.03167664295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DDFF-2908-4DB0-9AE8-DB0EDAB2F501}">
  <dimension ref="A1:I95"/>
  <sheetViews>
    <sheetView workbookViewId="0">
      <selection activeCell="K23" sqref="K23"/>
    </sheetView>
  </sheetViews>
  <sheetFormatPr defaultRowHeight="14.4" x14ac:dyDescent="0.3"/>
  <sheetData>
    <row r="1" spans="1:9" x14ac:dyDescent="0.3">
      <c r="A1" t="s">
        <v>48</v>
      </c>
    </row>
    <row r="2" spans="1:9" ht="15" thickBot="1" x14ac:dyDescent="0.35"/>
    <row r="3" spans="1:9" x14ac:dyDescent="0.3">
      <c r="A3" s="13" t="s">
        <v>49</v>
      </c>
      <c r="B3" s="13"/>
    </row>
    <row r="4" spans="1:9" x14ac:dyDescent="0.3">
      <c r="A4" s="10" t="s">
        <v>50</v>
      </c>
      <c r="B4" s="10">
        <v>0.7744398342000578</v>
      </c>
    </row>
    <row r="5" spans="1:9" x14ac:dyDescent="0.3">
      <c r="A5" s="10" t="s">
        <v>51</v>
      </c>
      <c r="B5" s="10">
        <v>0.59975705679581304</v>
      </c>
    </row>
    <row r="6" spans="1:9" x14ac:dyDescent="0.3">
      <c r="A6" s="10" t="s">
        <v>52</v>
      </c>
      <c r="B6" s="10">
        <v>0.5743448064336425</v>
      </c>
    </row>
    <row r="7" spans="1:9" x14ac:dyDescent="0.3">
      <c r="A7" s="10" t="s">
        <v>53</v>
      </c>
      <c r="B7" s="10">
        <v>13750.245559049934</v>
      </c>
    </row>
    <row r="8" spans="1:9" ht="15" thickBot="1" x14ac:dyDescent="0.35">
      <c r="A8" s="11" t="s">
        <v>54</v>
      </c>
      <c r="B8" s="11">
        <v>68</v>
      </c>
    </row>
    <row r="10" spans="1:9" ht="15" thickBot="1" x14ac:dyDescent="0.35">
      <c r="A10" t="s">
        <v>55</v>
      </c>
    </row>
    <row r="11" spans="1:9" x14ac:dyDescent="0.3">
      <c r="A11" s="12"/>
      <c r="B11" s="12" t="s">
        <v>60</v>
      </c>
      <c r="C11" s="12" t="s">
        <v>61</v>
      </c>
      <c r="D11" s="12" t="s">
        <v>62</v>
      </c>
      <c r="E11" s="12" t="s">
        <v>63</v>
      </c>
      <c r="F11" s="12" t="s">
        <v>64</v>
      </c>
    </row>
    <row r="12" spans="1:9" x14ac:dyDescent="0.3">
      <c r="A12" s="10" t="s">
        <v>56</v>
      </c>
      <c r="B12" s="10">
        <v>4</v>
      </c>
      <c r="C12" s="10">
        <v>17848969226.147137</v>
      </c>
      <c r="D12" s="10">
        <v>4462242306.5367842</v>
      </c>
      <c r="E12" s="10">
        <v>23.601099794319214</v>
      </c>
      <c r="F12" s="10">
        <v>5.9140101109084914E-12</v>
      </c>
    </row>
    <row r="13" spans="1:9" x14ac:dyDescent="0.3">
      <c r="A13" s="10" t="s">
        <v>57</v>
      </c>
      <c r="B13" s="10">
        <v>63</v>
      </c>
      <c r="C13" s="10">
        <v>11911362934.852863</v>
      </c>
      <c r="D13" s="10">
        <v>189069252.93417242</v>
      </c>
      <c r="E13" s="10"/>
      <c r="F13" s="10"/>
    </row>
    <row r="14" spans="1:9" ht="15" thickBot="1" x14ac:dyDescent="0.35">
      <c r="A14" s="11" t="s">
        <v>58</v>
      </c>
      <c r="B14" s="11">
        <v>67</v>
      </c>
      <c r="C14" s="11">
        <v>29760332161</v>
      </c>
      <c r="D14" s="11"/>
      <c r="E14" s="11"/>
      <c r="F14" s="11"/>
    </row>
    <row r="15" spans="1:9" ht="15" thickBot="1" x14ac:dyDescent="0.35"/>
    <row r="16" spans="1:9" x14ac:dyDescent="0.3">
      <c r="A16" s="12"/>
      <c r="B16" s="12" t="s">
        <v>65</v>
      </c>
      <c r="C16" s="12" t="s">
        <v>53</v>
      </c>
      <c r="D16" s="12" t="s">
        <v>66</v>
      </c>
      <c r="E16" s="12" t="s">
        <v>67</v>
      </c>
      <c r="F16" s="12" t="s">
        <v>68</v>
      </c>
      <c r="G16" s="12" t="s">
        <v>69</v>
      </c>
      <c r="H16" s="12" t="s">
        <v>70</v>
      </c>
      <c r="I16" s="12" t="s">
        <v>71</v>
      </c>
    </row>
    <row r="17" spans="1:9" x14ac:dyDescent="0.3">
      <c r="A17" s="10" t="s">
        <v>59</v>
      </c>
      <c r="B17" s="10">
        <v>557439.76511233381</v>
      </c>
      <c r="C17" s="10">
        <v>62176.459474324387</v>
      </c>
      <c r="D17" s="10">
        <v>8.9654472098484028</v>
      </c>
      <c r="E17" s="10">
        <v>7.4307816962804006E-13</v>
      </c>
      <c r="F17" s="10">
        <v>433190.02535439353</v>
      </c>
      <c r="G17" s="10">
        <v>681689.5048702741</v>
      </c>
      <c r="H17" s="10">
        <v>433190.02535439353</v>
      </c>
      <c r="I17" s="10">
        <v>681689.5048702741</v>
      </c>
    </row>
    <row r="18" spans="1:9" x14ac:dyDescent="0.3">
      <c r="A18" s="10" t="s">
        <v>23</v>
      </c>
      <c r="B18" s="10">
        <v>10117.814425576764</v>
      </c>
      <c r="C18" s="10">
        <v>2927.3496944243784</v>
      </c>
      <c r="D18" s="10">
        <v>3.4563053552665113</v>
      </c>
      <c r="E18" s="10">
        <v>9.8597906028461812E-4</v>
      </c>
      <c r="F18" s="10">
        <v>4267.9728490728257</v>
      </c>
      <c r="G18" s="10">
        <v>15967.656002080701</v>
      </c>
      <c r="H18" s="10">
        <v>4267.9728490728257</v>
      </c>
      <c r="I18" s="10">
        <v>15967.656002080701</v>
      </c>
    </row>
    <row r="19" spans="1:9" x14ac:dyDescent="0.3">
      <c r="A19" s="10" t="s">
        <v>24</v>
      </c>
      <c r="B19" s="10">
        <v>1881.6341013927135</v>
      </c>
      <c r="C19" s="10">
        <v>3935.0267505161755</v>
      </c>
      <c r="D19" s="10">
        <v>0.47817568232436819</v>
      </c>
      <c r="E19" s="10">
        <v>0.63418034284458535</v>
      </c>
      <c r="F19" s="10">
        <v>-5981.8893900674102</v>
      </c>
      <c r="G19" s="10">
        <v>9745.1575928528364</v>
      </c>
      <c r="H19" s="10">
        <v>-5981.8893900674102</v>
      </c>
      <c r="I19" s="10">
        <v>9745.1575928528364</v>
      </c>
    </row>
    <row r="20" spans="1:9" x14ac:dyDescent="0.3">
      <c r="A20" s="10" t="s">
        <v>18</v>
      </c>
      <c r="B20" s="10">
        <v>-53440.000132411202</v>
      </c>
      <c r="C20" s="10">
        <v>13119.848699120006</v>
      </c>
      <c r="D20" s="10">
        <v>-4.0732177144691928</v>
      </c>
      <c r="E20" s="10">
        <v>1.3198563875732456E-4</v>
      </c>
      <c r="F20" s="10">
        <v>-79657.925699600717</v>
      </c>
      <c r="G20" s="10">
        <v>-27222.074565221686</v>
      </c>
      <c r="H20" s="10">
        <v>-79657.925699600717</v>
      </c>
      <c r="I20" s="10">
        <v>-27222.074565221686</v>
      </c>
    </row>
    <row r="21" spans="1:9" ht="15" thickBot="1" x14ac:dyDescent="0.35">
      <c r="A21" s="11" t="s">
        <v>19</v>
      </c>
      <c r="B21" s="11">
        <v>-5291.9470290130021</v>
      </c>
      <c r="C21" s="11">
        <v>4613.9739575000694</v>
      </c>
      <c r="D21" s="11">
        <v>-1.1469390763272254</v>
      </c>
      <c r="E21" s="11">
        <v>0.25574408748214872</v>
      </c>
      <c r="F21" s="11">
        <v>-14512.238250420261</v>
      </c>
      <c r="G21" s="11">
        <v>3928.3441923942582</v>
      </c>
      <c r="H21" s="11">
        <v>-14512.238250420261</v>
      </c>
      <c r="I21" s="11">
        <v>3928.3441923942582</v>
      </c>
    </row>
    <row r="25" spans="1:9" x14ac:dyDescent="0.3">
      <c r="A25" t="s">
        <v>72</v>
      </c>
    </row>
    <row r="26" spans="1:9" ht="15" thickBot="1" x14ac:dyDescent="0.35"/>
    <row r="27" spans="1:9" x14ac:dyDescent="0.3">
      <c r="A27" s="12" t="s">
        <v>73</v>
      </c>
      <c r="B27" s="12" t="s">
        <v>79</v>
      </c>
      <c r="C27" s="12" t="s">
        <v>74</v>
      </c>
      <c r="D27" s="12" t="s">
        <v>75</v>
      </c>
    </row>
    <row r="28" spans="1:9" x14ac:dyDescent="0.3">
      <c r="A28" s="10">
        <v>1</v>
      </c>
      <c r="B28" s="10">
        <v>109524.82103023029</v>
      </c>
      <c r="C28" s="10">
        <v>-7108.8210302302905</v>
      </c>
      <c r="D28" s="10">
        <v>-0.53315594132729882</v>
      </c>
    </row>
    <row r="29" spans="1:9" x14ac:dyDescent="0.3">
      <c r="A29" s="10">
        <v>2</v>
      </c>
      <c r="B29" s="10">
        <v>109524.82103023029</v>
      </c>
      <c r="C29" s="10">
        <v>-420.82103023029049</v>
      </c>
      <c r="D29" s="10">
        <v>-3.1561243636412932E-2</v>
      </c>
    </row>
    <row r="30" spans="1:9" x14ac:dyDescent="0.3">
      <c r="A30" s="10">
        <v>3</v>
      </c>
      <c r="B30" s="10">
        <v>109524.82103023029</v>
      </c>
      <c r="C30" s="10">
        <v>3825.1789697697095</v>
      </c>
      <c r="D30" s="10">
        <v>0.28688539009497188</v>
      </c>
    </row>
    <row r="31" spans="1:9" x14ac:dyDescent="0.3">
      <c r="A31" s="10">
        <v>4</v>
      </c>
      <c r="B31" s="10">
        <v>114299.50192862793</v>
      </c>
      <c r="C31" s="10">
        <v>-28103.501928627928</v>
      </c>
      <c r="D31" s="10">
        <v>-2.1077403639272361</v>
      </c>
    </row>
    <row r="32" spans="1:9" x14ac:dyDescent="0.3">
      <c r="A32" s="10">
        <v>5</v>
      </c>
      <c r="B32" s="10">
        <v>114299.50192862793</v>
      </c>
      <c r="C32" s="10">
        <v>-13374.501928627928</v>
      </c>
      <c r="D32" s="10">
        <v>-1.0030770412165513</v>
      </c>
    </row>
    <row r="33" spans="1:4" x14ac:dyDescent="0.3">
      <c r="A33" s="10">
        <v>6</v>
      </c>
      <c r="B33" s="10">
        <v>114299.50192862793</v>
      </c>
      <c r="C33" s="10">
        <v>-1526.5019286279276</v>
      </c>
      <c r="D33" s="10">
        <v>-0.11448643442205138</v>
      </c>
    </row>
    <row r="34" spans="1:4" x14ac:dyDescent="0.3">
      <c r="A34" s="10">
        <v>7</v>
      </c>
      <c r="B34" s="10">
        <v>114299.50192862793</v>
      </c>
      <c r="C34" s="10">
        <v>-12919.501928627928</v>
      </c>
      <c r="D34" s="10">
        <v>-0.96895240194481802</v>
      </c>
    </row>
    <row r="35" spans="1:4" x14ac:dyDescent="0.3">
      <c r="A35" s="10">
        <v>8</v>
      </c>
      <c r="B35" s="10">
        <v>114299.50192862793</v>
      </c>
      <c r="C35" s="10">
        <v>-3523.5019286279276</v>
      </c>
      <c r="D35" s="10">
        <v>-0.26425985118172529</v>
      </c>
    </row>
    <row r="36" spans="1:4" x14ac:dyDescent="0.3">
      <c r="A36" s="10">
        <v>9</v>
      </c>
      <c r="B36" s="10">
        <v>114299.50192862793</v>
      </c>
      <c r="C36" s="10">
        <v>-4557.5019286279276</v>
      </c>
      <c r="D36" s="10">
        <v>-0.34180903141682933</v>
      </c>
    </row>
    <row r="37" spans="1:4" x14ac:dyDescent="0.3">
      <c r="A37" s="10">
        <v>10</v>
      </c>
      <c r="B37" s="10">
        <v>114299.50192862793</v>
      </c>
      <c r="C37" s="10">
        <v>-10326.501928627928</v>
      </c>
      <c r="D37" s="10">
        <v>-0.77447945769953286</v>
      </c>
    </row>
    <row r="38" spans="1:4" x14ac:dyDescent="0.3">
      <c r="A38" s="10">
        <v>11</v>
      </c>
      <c r="B38" s="10">
        <v>114299.50192862793</v>
      </c>
      <c r="C38" s="10">
        <v>-4152.5019286279276</v>
      </c>
      <c r="D38" s="10">
        <v>-0.31143435250462709</v>
      </c>
    </row>
    <row r="39" spans="1:4" x14ac:dyDescent="0.3">
      <c r="A39" s="10">
        <v>12</v>
      </c>
      <c r="B39" s="10">
        <v>114299.50192862793</v>
      </c>
      <c r="C39" s="10">
        <v>-4508.5019286279276</v>
      </c>
      <c r="D39" s="10">
        <v>-0.33813407026448883</v>
      </c>
    </row>
    <row r="40" spans="1:4" x14ac:dyDescent="0.3">
      <c r="A40" s="10">
        <v>13</v>
      </c>
      <c r="B40" s="10">
        <v>114299.50192862793</v>
      </c>
      <c r="C40" s="10">
        <v>2306.4980713720724</v>
      </c>
      <c r="D40" s="10">
        <v>0.17298552673960615</v>
      </c>
    </row>
    <row r="41" spans="1:4" x14ac:dyDescent="0.3">
      <c r="A41" s="10">
        <v>14</v>
      </c>
      <c r="B41" s="10">
        <v>114299.50192862793</v>
      </c>
      <c r="C41" s="10">
        <v>4251.4980713720724</v>
      </c>
      <c r="D41" s="10">
        <v>0.31885898472536767</v>
      </c>
    </row>
    <row r="42" spans="1:4" x14ac:dyDescent="0.3">
      <c r="A42" s="10">
        <v>15</v>
      </c>
      <c r="B42" s="10">
        <v>114299.50192862793</v>
      </c>
      <c r="C42" s="10">
        <v>-2744.5019286279276</v>
      </c>
      <c r="D42" s="10">
        <v>-0.20583546878023007</v>
      </c>
    </row>
    <row r="43" spans="1:4" x14ac:dyDescent="0.3">
      <c r="A43" s="10">
        <v>16</v>
      </c>
      <c r="B43" s="10">
        <v>114920.04432894971</v>
      </c>
      <c r="C43" s="10">
        <v>-3172.0443289497052</v>
      </c>
      <c r="D43" s="10">
        <v>-0.2379008098447393</v>
      </c>
    </row>
    <row r="44" spans="1:4" x14ac:dyDescent="0.3">
      <c r="A44" s="10">
        <v>17</v>
      </c>
      <c r="B44" s="10">
        <v>114920.04432894971</v>
      </c>
      <c r="C44" s="10">
        <v>-95.044328949705232</v>
      </c>
      <c r="D44" s="10">
        <v>-7.1282493191926598E-3</v>
      </c>
    </row>
    <row r="45" spans="1:4" x14ac:dyDescent="0.3">
      <c r="A45" s="10">
        <v>18</v>
      </c>
      <c r="B45" s="10">
        <v>114920.04432894971</v>
      </c>
      <c r="C45" s="10">
        <v>-164.04432894970523</v>
      </c>
      <c r="D45" s="10">
        <v>-1.2303194615345639E-2</v>
      </c>
    </row>
    <row r="46" spans="1:4" x14ac:dyDescent="0.3">
      <c r="A46" s="10">
        <v>19</v>
      </c>
      <c r="B46" s="10">
        <v>114920.04432894971</v>
      </c>
      <c r="C46" s="10">
        <v>6791.9556710502948</v>
      </c>
      <c r="D46" s="10">
        <v>0.50939129060262722</v>
      </c>
    </row>
    <row r="47" spans="1:4" x14ac:dyDescent="0.3">
      <c r="A47" s="10">
        <v>20</v>
      </c>
      <c r="B47" s="10">
        <v>114920.04432894971</v>
      </c>
      <c r="C47" s="10">
        <v>2943.9556710502948</v>
      </c>
      <c r="D47" s="10">
        <v>0.22079434133311029</v>
      </c>
    </row>
    <row r="48" spans="1:4" x14ac:dyDescent="0.3">
      <c r="A48" s="10">
        <v>21</v>
      </c>
      <c r="B48" s="10">
        <v>114920.04432894971</v>
      </c>
      <c r="C48" s="10">
        <v>-1161.0443289497052</v>
      </c>
      <c r="D48" s="10">
        <v>-8.7077404184396662E-2</v>
      </c>
    </row>
    <row r="49" spans="1:4" x14ac:dyDescent="0.3">
      <c r="A49" s="10">
        <v>22</v>
      </c>
      <c r="B49" s="10">
        <v>114920.04432894971</v>
      </c>
      <c r="C49" s="10">
        <v>19288.955671050295</v>
      </c>
      <c r="D49" s="10">
        <v>1.4466563828638415</v>
      </c>
    </row>
    <row r="50" spans="1:4" x14ac:dyDescent="0.3">
      <c r="A50" s="10">
        <v>23</v>
      </c>
      <c r="B50" s="10">
        <v>114920.04432894971</v>
      </c>
      <c r="C50" s="10">
        <v>5903.9556710502948</v>
      </c>
      <c r="D50" s="10">
        <v>0.44279199461735408</v>
      </c>
    </row>
    <row r="51" spans="1:4" x14ac:dyDescent="0.3">
      <c r="A51" s="10">
        <v>24</v>
      </c>
      <c r="B51" s="10">
        <v>114920.04432894971</v>
      </c>
      <c r="C51" s="10">
        <v>4228.9556710502948</v>
      </c>
      <c r="D51" s="10">
        <v>0.31716832257306071</v>
      </c>
    </row>
    <row r="52" spans="1:4" x14ac:dyDescent="0.3">
      <c r="A52" s="10">
        <v>25</v>
      </c>
      <c r="B52" s="10">
        <v>114920.04432894971</v>
      </c>
      <c r="C52" s="10">
        <v>-1314.0443289497052</v>
      </c>
      <c r="D52" s="10">
        <v>-9.855228288456197E-2</v>
      </c>
    </row>
    <row r="53" spans="1:4" x14ac:dyDescent="0.3">
      <c r="A53" s="10">
        <v>26</v>
      </c>
      <c r="B53" s="10">
        <v>114920.04432894971</v>
      </c>
      <c r="C53" s="10">
        <v>2530.9556710502948</v>
      </c>
      <c r="D53" s="10">
        <v>0.18981966876338305</v>
      </c>
    </row>
    <row r="54" spans="1:4" x14ac:dyDescent="0.3">
      <c r="A54" s="10">
        <v>27</v>
      </c>
      <c r="B54" s="10">
        <v>114920.04432894971</v>
      </c>
      <c r="C54" s="10">
        <v>14424.955671050295</v>
      </c>
      <c r="D54" s="10">
        <v>1.0818602390886518</v>
      </c>
    </row>
    <row r="55" spans="1:4" x14ac:dyDescent="0.3">
      <c r="A55" s="10">
        <v>28</v>
      </c>
      <c r="B55" s="10">
        <v>134734.96293586647</v>
      </c>
      <c r="C55" s="10">
        <v>-8165.9629358664679</v>
      </c>
      <c r="D55" s="10">
        <v>-0.61244074613799637</v>
      </c>
    </row>
    <row r="56" spans="1:4" x14ac:dyDescent="0.3">
      <c r="A56" s="10">
        <v>29</v>
      </c>
      <c r="B56" s="10">
        <v>134734.96293586647</v>
      </c>
      <c r="C56" s="10">
        <v>-11700.962935866468</v>
      </c>
      <c r="D56" s="10">
        <v>-0.87756294355684827</v>
      </c>
    </row>
    <row r="57" spans="1:4" x14ac:dyDescent="0.3">
      <c r="A57" s="10">
        <v>30</v>
      </c>
      <c r="B57" s="10">
        <v>134734.96293586647</v>
      </c>
      <c r="C57" s="10">
        <v>-35894.962935866468</v>
      </c>
      <c r="D57" s="10">
        <v>-2.6920937623267784</v>
      </c>
    </row>
    <row r="58" spans="1:4" x14ac:dyDescent="0.3">
      <c r="A58" s="10">
        <v>31</v>
      </c>
      <c r="B58" s="10">
        <v>134734.96293586647</v>
      </c>
      <c r="C58" s="10">
        <v>-13711.962935866468</v>
      </c>
      <c r="D58" s="10">
        <v>-1.028386349217191</v>
      </c>
    </row>
    <row r="59" spans="1:4" x14ac:dyDescent="0.3">
      <c r="A59" s="10">
        <v>32</v>
      </c>
      <c r="B59" s="10">
        <v>134734.96293586647</v>
      </c>
      <c r="C59" s="10">
        <v>-2523.9629358664679</v>
      </c>
      <c r="D59" s="10">
        <v>-0.18929521916850206</v>
      </c>
    </row>
    <row r="60" spans="1:4" x14ac:dyDescent="0.3">
      <c r="A60" s="10">
        <v>33</v>
      </c>
      <c r="B60" s="10">
        <v>134734.96293586647</v>
      </c>
      <c r="C60" s="10">
        <v>14408.037064133532</v>
      </c>
      <c r="D60" s="10">
        <v>1.0805913569831247</v>
      </c>
    </row>
    <row r="61" spans="1:4" x14ac:dyDescent="0.3">
      <c r="A61" s="10">
        <v>34</v>
      </c>
      <c r="B61" s="10">
        <v>134734.96293586647</v>
      </c>
      <c r="C61" s="10">
        <v>-941.96293586646789</v>
      </c>
      <c r="D61" s="10">
        <v>-7.0646473392936643E-2</v>
      </c>
    </row>
    <row r="62" spans="1:4" x14ac:dyDescent="0.3">
      <c r="A62" s="10">
        <v>35</v>
      </c>
      <c r="B62" s="10">
        <v>134734.96293586647</v>
      </c>
      <c r="C62" s="10">
        <v>815.03706413353211</v>
      </c>
      <c r="D62" s="10">
        <v>6.112713364098777E-2</v>
      </c>
    </row>
    <row r="63" spans="1:4" x14ac:dyDescent="0.3">
      <c r="A63" s="10">
        <v>36</v>
      </c>
      <c r="B63" s="10">
        <v>134734.96293586647</v>
      </c>
      <c r="C63" s="10">
        <v>-13826.962935866468</v>
      </c>
      <c r="D63" s="10">
        <v>-1.0370112580441126</v>
      </c>
    </row>
    <row r="64" spans="1:4" x14ac:dyDescent="0.3">
      <c r="A64" s="10">
        <v>37</v>
      </c>
      <c r="B64" s="10">
        <v>134734.96293586647</v>
      </c>
      <c r="C64" s="10">
        <v>9661.0370641335321</v>
      </c>
      <c r="D64" s="10">
        <v>0.72457012044923785</v>
      </c>
    </row>
    <row r="65" spans="1:4" x14ac:dyDescent="0.3">
      <c r="A65" s="10">
        <v>38</v>
      </c>
      <c r="B65" s="10">
        <v>134734.96293586647</v>
      </c>
      <c r="C65" s="10">
        <v>-4454.9629358664679</v>
      </c>
      <c r="D65" s="10">
        <v>-0.33411868825359486</v>
      </c>
    </row>
    <row r="66" spans="1:4" x14ac:dyDescent="0.3">
      <c r="A66" s="10">
        <v>39</v>
      </c>
      <c r="B66" s="10">
        <v>134734.96293586647</v>
      </c>
      <c r="C66" s="10">
        <v>5028.0370641335321</v>
      </c>
      <c r="D66" s="10">
        <v>0.37709879353508202</v>
      </c>
    </row>
    <row r="67" spans="1:4" x14ac:dyDescent="0.3">
      <c r="A67" s="10">
        <v>40</v>
      </c>
      <c r="B67" s="10">
        <v>153179.44190479745</v>
      </c>
      <c r="C67" s="10">
        <v>-1964.4419047974516</v>
      </c>
      <c r="D67" s="10">
        <v>-0.14733158543184596</v>
      </c>
    </row>
    <row r="68" spans="1:4" x14ac:dyDescent="0.3">
      <c r="A68" s="10">
        <v>41</v>
      </c>
      <c r="B68" s="10">
        <v>153179.44190479745</v>
      </c>
      <c r="C68" s="10">
        <v>-16217.441904797452</v>
      </c>
      <c r="D68" s="10">
        <v>-1.2162952855197939</v>
      </c>
    </row>
    <row r="69" spans="1:4" x14ac:dyDescent="0.3">
      <c r="A69" s="10">
        <v>42</v>
      </c>
      <c r="B69" s="10">
        <v>153179.44190479745</v>
      </c>
      <c r="C69" s="10">
        <v>-46785.441904797452</v>
      </c>
      <c r="D69" s="10">
        <v>-3.5088710509227545</v>
      </c>
    </row>
    <row r="70" spans="1:4" x14ac:dyDescent="0.3">
      <c r="A70" s="10">
        <v>43</v>
      </c>
      <c r="B70" s="10">
        <v>153179.44190479745</v>
      </c>
      <c r="C70" s="10">
        <v>13166.558095202548</v>
      </c>
      <c r="D70" s="10">
        <v>0.98748141856946903</v>
      </c>
    </row>
    <row r="71" spans="1:4" x14ac:dyDescent="0.3">
      <c r="A71" s="10">
        <v>44</v>
      </c>
      <c r="B71" s="10">
        <v>153179.44190479745</v>
      </c>
      <c r="C71" s="10">
        <v>10521.558095202548</v>
      </c>
      <c r="D71" s="10">
        <v>0.78910851555027151</v>
      </c>
    </row>
    <row r="72" spans="1:4" x14ac:dyDescent="0.3">
      <c r="A72" s="10">
        <v>45</v>
      </c>
      <c r="B72" s="10">
        <v>153179.44190479745</v>
      </c>
      <c r="C72" s="10">
        <v>6960.5580952025484</v>
      </c>
      <c r="D72" s="10">
        <v>0.52203633874446331</v>
      </c>
    </row>
    <row r="73" spans="1:4" x14ac:dyDescent="0.3">
      <c r="A73" s="10">
        <v>46</v>
      </c>
      <c r="B73" s="10">
        <v>153179.44190479745</v>
      </c>
      <c r="C73" s="10">
        <v>-6733.4419047974516</v>
      </c>
      <c r="D73" s="10">
        <v>-0.50500280452392654</v>
      </c>
    </row>
    <row r="74" spans="1:4" x14ac:dyDescent="0.3">
      <c r="A74" s="10">
        <v>47</v>
      </c>
      <c r="B74" s="10">
        <v>153179.44190479745</v>
      </c>
      <c r="C74" s="10">
        <v>1420.5580952025484</v>
      </c>
      <c r="D74" s="10">
        <v>0.10654073090841253</v>
      </c>
    </row>
    <row r="75" spans="1:4" x14ac:dyDescent="0.3">
      <c r="A75" s="10">
        <v>48</v>
      </c>
      <c r="B75" s="10">
        <v>153179.44190479745</v>
      </c>
      <c r="C75" s="10">
        <v>-23113.441904797452</v>
      </c>
      <c r="D75" s="10">
        <v>-1.7334898183063294</v>
      </c>
    </row>
    <row r="76" spans="1:4" x14ac:dyDescent="0.3">
      <c r="A76" s="10">
        <v>49</v>
      </c>
      <c r="B76" s="10">
        <v>153179.44190479745</v>
      </c>
      <c r="C76" s="10">
        <v>-1828.4419047974516</v>
      </c>
      <c r="D76" s="10">
        <v>-0.13713169325392124</v>
      </c>
    </row>
    <row r="77" spans="1:4" x14ac:dyDescent="0.3">
      <c r="A77" s="10">
        <v>50</v>
      </c>
      <c r="B77" s="10">
        <v>153179.44190479745</v>
      </c>
      <c r="C77" s="10">
        <v>-3355.4419047974516</v>
      </c>
      <c r="D77" s="10">
        <v>-0.25165548263400239</v>
      </c>
    </row>
    <row r="78" spans="1:4" x14ac:dyDescent="0.3">
      <c r="A78" s="10">
        <v>51</v>
      </c>
      <c r="B78" s="10">
        <v>153179.44190479745</v>
      </c>
      <c r="C78" s="10">
        <v>7418.5580952025484</v>
      </c>
      <c r="D78" s="10">
        <v>0.55638597563776859</v>
      </c>
    </row>
    <row r="79" spans="1:4" x14ac:dyDescent="0.3">
      <c r="A79" s="10">
        <v>52</v>
      </c>
      <c r="B79" s="10">
        <v>146046.85167239583</v>
      </c>
      <c r="C79" s="10">
        <v>26939.148327604169</v>
      </c>
      <c r="D79" s="10">
        <v>2.0204147669609074</v>
      </c>
    </row>
    <row r="80" spans="1:4" x14ac:dyDescent="0.3">
      <c r="A80" s="10">
        <v>53</v>
      </c>
      <c r="B80" s="10">
        <v>146046.85167239583</v>
      </c>
      <c r="C80" s="10">
        <v>26465.148327604169</v>
      </c>
      <c r="D80" s="10">
        <v>1.9848651427525519</v>
      </c>
    </row>
    <row r="81" spans="1:4" x14ac:dyDescent="0.3">
      <c r="A81" s="10">
        <v>54</v>
      </c>
      <c r="B81" s="10">
        <v>146046.85167239583</v>
      </c>
      <c r="C81" s="10">
        <v>-1065.851672395831</v>
      </c>
      <c r="D81" s="10">
        <v>-7.9938030412486843E-2</v>
      </c>
    </row>
    <row r="82" spans="1:4" x14ac:dyDescent="0.3">
      <c r="A82" s="10">
        <v>55</v>
      </c>
      <c r="B82" s="10">
        <v>146046.85167239583</v>
      </c>
      <c r="C82" s="10">
        <v>18322.148327604169</v>
      </c>
      <c r="D82" s="10">
        <v>1.3741465985993098</v>
      </c>
    </row>
    <row r="83" spans="1:4" x14ac:dyDescent="0.3">
      <c r="A83" s="10">
        <v>56</v>
      </c>
      <c r="B83" s="10">
        <v>146046.85167239583</v>
      </c>
      <c r="C83" s="10">
        <v>12142.148327604169</v>
      </c>
      <c r="D83" s="10">
        <v>0.91065149816126034</v>
      </c>
    </row>
    <row r="84" spans="1:4" x14ac:dyDescent="0.3">
      <c r="A84" s="10">
        <v>57</v>
      </c>
      <c r="B84" s="10">
        <v>146046.85167239583</v>
      </c>
      <c r="C84" s="10">
        <v>16243.148327604169</v>
      </c>
      <c r="D84" s="10">
        <v>1.2182232468500047</v>
      </c>
    </row>
    <row r="85" spans="1:4" x14ac:dyDescent="0.3">
      <c r="A85" s="10">
        <v>58</v>
      </c>
      <c r="B85" s="10">
        <v>146046.85167239583</v>
      </c>
      <c r="C85" s="10">
        <v>719.14832760416903</v>
      </c>
      <c r="D85" s="10">
        <v>5.393555442277502E-2</v>
      </c>
    </row>
    <row r="86" spans="1:4" x14ac:dyDescent="0.3">
      <c r="A86" s="10">
        <v>59</v>
      </c>
      <c r="B86" s="10">
        <v>146046.85167239583</v>
      </c>
      <c r="C86" s="10">
        <v>7492.148327604169</v>
      </c>
      <c r="D86" s="10">
        <v>0.56190518472486384</v>
      </c>
    </row>
    <row r="87" spans="1:4" x14ac:dyDescent="0.3">
      <c r="A87" s="10">
        <v>60</v>
      </c>
      <c r="B87" s="10">
        <v>146046.85167239583</v>
      </c>
      <c r="C87" s="10">
        <v>-17708.851672395831</v>
      </c>
      <c r="D87" s="10">
        <v>-1.3281498356860235</v>
      </c>
    </row>
    <row r="88" spans="1:4" x14ac:dyDescent="0.3">
      <c r="A88" s="10">
        <v>61</v>
      </c>
      <c r="B88" s="10">
        <v>146046.85167239583</v>
      </c>
      <c r="C88" s="10">
        <v>5674.148327604169</v>
      </c>
      <c r="D88" s="10">
        <v>0.42555662605231143</v>
      </c>
    </row>
    <row r="89" spans="1:4" x14ac:dyDescent="0.3">
      <c r="A89" s="10">
        <v>62</v>
      </c>
      <c r="B89" s="10">
        <v>146046.85167239583</v>
      </c>
      <c r="C89" s="10">
        <v>3635.148327604169</v>
      </c>
      <c r="D89" s="10">
        <v>0.27263324259063138</v>
      </c>
    </row>
    <row r="90" spans="1:4" x14ac:dyDescent="0.3">
      <c r="A90" s="10">
        <v>63</v>
      </c>
      <c r="B90" s="10">
        <v>146046.85167239583</v>
      </c>
      <c r="C90" s="10">
        <v>12029.148327604169</v>
      </c>
      <c r="D90" s="10">
        <v>0.90217658774871989</v>
      </c>
    </row>
    <row r="91" spans="1:4" x14ac:dyDescent="0.3">
      <c r="A91" s="10">
        <v>64</v>
      </c>
      <c r="B91" s="10">
        <v>115132.38073233342</v>
      </c>
      <c r="C91" s="10">
        <v>28112.619267666581</v>
      </c>
      <c r="D91" s="10">
        <v>2.108424157126823</v>
      </c>
    </row>
    <row r="92" spans="1:4" x14ac:dyDescent="0.3">
      <c r="A92" s="10">
        <v>65</v>
      </c>
      <c r="B92" s="10">
        <v>115132.38073233342</v>
      </c>
      <c r="C92" s="10">
        <v>19508.619267666581</v>
      </c>
      <c r="D92" s="10">
        <v>1.4631309784587037</v>
      </c>
    </row>
    <row r="93" spans="1:4" x14ac:dyDescent="0.3">
      <c r="A93" s="10">
        <v>66</v>
      </c>
      <c r="B93" s="10">
        <v>115132.38073233342</v>
      </c>
      <c r="C93" s="10">
        <v>10575.619267666581</v>
      </c>
      <c r="D93" s="10">
        <v>0.79316306062486941</v>
      </c>
    </row>
    <row r="94" spans="1:4" x14ac:dyDescent="0.3">
      <c r="A94" s="10">
        <v>67</v>
      </c>
      <c r="B94" s="10">
        <v>115132.38073233342</v>
      </c>
      <c r="C94" s="10">
        <v>-5868.3807323334186</v>
      </c>
      <c r="D94" s="10">
        <v>-0.44012390241773336</v>
      </c>
    </row>
    <row r="95" spans="1:4" ht="15" thickBot="1" x14ac:dyDescent="0.35">
      <c r="A95" s="11">
        <v>68</v>
      </c>
      <c r="B95" s="11">
        <v>115132.38073233342</v>
      </c>
      <c r="C95" s="11">
        <v>-8719.3807323334186</v>
      </c>
      <c r="D95" s="11">
        <v>-0.6539466421181992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BA2D-B762-45CB-B119-D6A32B48EC45}">
  <dimension ref="A1:E8"/>
  <sheetViews>
    <sheetView workbookViewId="0">
      <selection activeCell="E14" sqref="E14"/>
    </sheetView>
  </sheetViews>
  <sheetFormatPr defaultRowHeight="14.4" x14ac:dyDescent="0.3"/>
  <cols>
    <col min="2" max="2" width="24.33203125" customWidth="1"/>
    <col min="3" max="3" width="32.6640625" customWidth="1"/>
    <col min="4" max="4" width="46.77734375" customWidth="1"/>
    <col min="5" max="5" width="46.88671875" customWidth="1"/>
  </cols>
  <sheetData>
    <row r="1" spans="1:5" x14ac:dyDescent="0.3">
      <c r="A1" t="s">
        <v>1</v>
      </c>
      <c r="B1" t="s">
        <v>41</v>
      </c>
      <c r="C1" t="s">
        <v>76</v>
      </c>
      <c r="D1" t="s">
        <v>77</v>
      </c>
      <c r="E1" t="s">
        <v>78</v>
      </c>
    </row>
    <row r="2" spans="1:5" x14ac:dyDescent="0.3">
      <c r="A2" s="14">
        <v>2014</v>
      </c>
      <c r="B2" s="1">
        <v>1270573</v>
      </c>
    </row>
    <row r="3" spans="1:5" x14ac:dyDescent="0.3">
      <c r="A3" s="14">
        <v>2015</v>
      </c>
      <c r="B3" s="1">
        <v>1415558</v>
      </c>
    </row>
    <row r="4" spans="1:5" x14ac:dyDescent="0.3">
      <c r="A4" s="14">
        <v>2016</v>
      </c>
      <c r="B4" s="1">
        <v>1501473</v>
      </c>
    </row>
    <row r="5" spans="1:5" x14ac:dyDescent="0.3">
      <c r="A5" s="14">
        <v>2017</v>
      </c>
      <c r="B5" s="1">
        <v>1730309</v>
      </c>
    </row>
    <row r="6" spans="1:5" x14ac:dyDescent="0.3">
      <c r="A6" s="14">
        <v>2018</v>
      </c>
      <c r="B6" s="1">
        <v>1865743</v>
      </c>
      <c r="C6" s="1">
        <v>1865743</v>
      </c>
      <c r="D6" s="1">
        <v>1865743</v>
      </c>
      <c r="E6" s="1">
        <v>1865743</v>
      </c>
    </row>
    <row r="7" spans="1:5" x14ac:dyDescent="0.3">
      <c r="A7" s="14">
        <v>2019</v>
      </c>
      <c r="B7" s="1">
        <f>Yearly!O7</f>
        <v>1813619.25</v>
      </c>
      <c r="C7" s="1">
        <f>_xlfn.FORECAST.ETS(A7,$B$2:$B$6,$A$2:$A$6,1,1)</f>
        <v>2024524.2082476143</v>
      </c>
      <c r="D7" s="1">
        <f>C7-_xlfn.FORECAST.ETS.CONFINT(A7,$B$2:$B$6,$A$2:$A$6,0.95,1,1)</f>
        <v>1958511.4662276797</v>
      </c>
      <c r="E7" s="1">
        <f>C7+_xlfn.FORECAST.ETS.CONFINT(A7,$B$2:$B$6,$A$2:$A$6,0.95,1,1)</f>
        <v>2090536.9502675489</v>
      </c>
    </row>
    <row r="8" spans="1:5" x14ac:dyDescent="0.3">
      <c r="A8" s="14">
        <v>2020</v>
      </c>
      <c r="C8" s="1">
        <f>_xlfn.FORECAST.ETS(A8,$B$2:$B$6,$A$2:$A$6,1,1)</f>
        <v>2177215.6838408746</v>
      </c>
      <c r="D8" s="1">
        <f>C8-_xlfn.FORECAST.ETS.CONFINT(A8,$B$2:$B$6,$A$2:$A$6,0.95,1,1)</f>
        <v>2110672.7115317993</v>
      </c>
      <c r="E8" s="1">
        <f>C8+_xlfn.FORECAST.ETS.CONFINT(A8,$B$2:$B$6,$A$2:$A$6,0.95,1,1)</f>
        <v>2243758.6561499499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</vt:lpstr>
      <vt:lpstr>Quaterly</vt:lpstr>
      <vt:lpstr>Yearly</vt:lpstr>
      <vt:lpstr>Monthly Forecast</vt:lpstr>
      <vt:lpstr>Linear Regression</vt:lpstr>
      <vt:lpstr>Yearly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MITTAL</dc:creator>
  <cp:lastModifiedBy>PUSHKAR MITTAL</cp:lastModifiedBy>
  <dcterms:created xsi:type="dcterms:W3CDTF">2019-09-05T08:49:59Z</dcterms:created>
  <dcterms:modified xsi:type="dcterms:W3CDTF">2019-09-07T17:31:06Z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ec38b851-40c0-4123-a097-362f0e56607b</vt:lpwstr>
  </property>
</Properties>
</file>