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drawings/drawing7.xml" ContentType="application/vnd.openxmlformats-officedocument.drawing+xml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drawings/drawing8.xml" ContentType="application/vnd.openxmlformats-officedocument.drawing+xml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drawings/drawing9.xml" ContentType="application/vnd.openxmlformats-officedocument.drawing+xml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drawings/drawing10.xml" ContentType="application/vnd.openxmlformats-officedocument.drawing+xml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drawings/drawing11.xml" ContentType="application/vnd.openxmlformats-officedocument.drawing+xml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drawings/drawing12.xml" ContentType="application/vnd.openxmlformats-officedocument.drawing+xml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drawings/drawing13.xml" ContentType="application/vnd.openxmlformats-officedocument.drawing+xml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drawings/drawing14.xml" ContentType="application/vnd.openxmlformats-officedocument.drawing+xml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drawings/drawing15.xml" ContentType="application/vnd.openxmlformats-officedocument.drawing+xml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drawings/drawing16.xml" ContentType="application/vnd.openxmlformats-officedocument.drawing+xml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comments3.xml" ContentType="application/vnd.openxmlformats-officedocument.spreadsheetml.comments+xml"/>
  <Override PartName="/xl/drawings/drawing17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8.xml" ContentType="application/vnd.openxmlformats-officedocument.drawing+xml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drawings/drawing19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0.xml" ContentType="application/vnd.openxmlformats-officedocument.drawing+xml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drawings/drawing21.xml" ContentType="application/vnd.openxmlformats-officedocument.drawing+xml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drawings/drawing22.xml" ContentType="application/vnd.openxmlformats-officedocument.drawing+xml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drawings/drawing23.xml" ContentType="application/vnd.openxmlformats-officedocument.drawing+xml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drawings/drawing24.xml" ContentType="application/vnd.openxmlformats-officedocument.drawing+xml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drawings/drawing25.xml" ContentType="application/vnd.openxmlformats-officedocument.drawing+xml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drawings/drawing26.xml" ContentType="application/vnd.openxmlformats-officedocument.drawing+xml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drawings/drawing27.xml" ContentType="application/vnd.openxmlformats-officedocument.drawing+xml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drawings/drawing28.xml" ContentType="application/vnd.openxmlformats-officedocument.drawing+xml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drawings/drawing29.xml" ContentType="application/vnd.openxmlformats-officedocument.drawing+xml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filterPrivacy="1" codeName="ThisWorkbook"/>
  <xr:revisionPtr revIDLastSave="0" documentId="13_ncr:1_{E695CCBE-7823-4E5F-BB39-9EB1199A407A}" xr6:coauthVersionLast="47" xr6:coauthVersionMax="47" xr10:uidLastSave="{00000000-0000-0000-0000-000000000000}"/>
  <bookViews>
    <workbookView xWindow="-110" yWindow="-110" windowWidth="19420" windowHeight="10300" xr2:uid="{FD06DF30-9414-4D31-8822-6BE7C93E0F67}"/>
  </bookViews>
  <sheets>
    <sheet name="DRAFT-SERTIF" sheetId="5" r:id="rId1"/>
    <sheet name="PERHITUNGAN 1" sheetId="1" r:id="rId2"/>
    <sheet name="REGRESI 1" sheetId="19" r:id="rId3"/>
    <sheet name="PERHITUNGAN 2" sheetId="44" r:id="rId4"/>
    <sheet name="REGRESI 2" sheetId="22" r:id="rId5"/>
    <sheet name="PERHITUNGAN 3" sheetId="45" r:id="rId6"/>
    <sheet name="REGRESI 3" sheetId="25" r:id="rId7"/>
    <sheet name="PERHITUNGAN 4" sheetId="46" r:id="rId8"/>
    <sheet name="REGRESI 4" sheetId="27" r:id="rId9"/>
    <sheet name="PERHITUNGAN 5" sheetId="47" r:id="rId10"/>
    <sheet name="REGRESI 5" sheetId="29" r:id="rId11"/>
    <sheet name="PERHITUNGAN 6" sheetId="48" r:id="rId12"/>
    <sheet name="REGRESI 6" sheetId="31" r:id="rId13"/>
    <sheet name="PERHITUNGAN 7" sheetId="49" r:id="rId14"/>
    <sheet name="REGRESI 7" sheetId="33" r:id="rId15"/>
    <sheet name="PERHITUNGAN 8" sheetId="50" r:id="rId16"/>
    <sheet name="REGRESI 8" sheetId="35" r:id="rId17"/>
    <sheet name="PERHITUNGAN 9" sheetId="51" r:id="rId18"/>
    <sheet name="REGRESI 9" sheetId="37" r:id="rId19"/>
    <sheet name="PERHITUNGAN 10" sheetId="52" r:id="rId20"/>
    <sheet name="REGRESI 10" sheetId="39" r:id="rId21"/>
    <sheet name="PERHITUNGAN 11" sheetId="53" r:id="rId22"/>
    <sheet name="REGRESI 11" sheetId="41" r:id="rId23"/>
    <sheet name="PERHITUNGAN 12" sheetId="54" r:id="rId24"/>
    <sheet name="REGRESI 12" sheetId="43" r:id="rId25"/>
    <sheet name="PERHITUNGAN 13" sheetId="80" r:id="rId26"/>
    <sheet name="REGRESI 13" sheetId="81" r:id="rId27"/>
    <sheet name="PERHITUNGAN 14" sheetId="82" r:id="rId28"/>
    <sheet name="REGRESI 14" sheetId="83" r:id="rId29"/>
    <sheet name="PERHITUNGAN 15" sheetId="84" r:id="rId30"/>
    <sheet name="REGRESI 15" sheetId="85" r:id="rId31"/>
    <sheet name="PERHITUNGAN 16" sheetId="86" r:id="rId32"/>
    <sheet name="REGRESI 16" sheetId="87" r:id="rId33"/>
    <sheet name="PERHITUNGAN 17" sheetId="88" r:id="rId34"/>
    <sheet name="REGRESI 17" sheetId="89" r:id="rId35"/>
    <sheet name="PERHITUNGAN 18" sheetId="90" r:id="rId36"/>
    <sheet name="REGRESI 18" sheetId="91" r:id="rId37"/>
    <sheet name="PERHITUNGAN 19" sheetId="92" r:id="rId38"/>
    <sheet name="REGRESI 19" sheetId="93" r:id="rId39"/>
    <sheet name="PERHITUNGAN 20" sheetId="94" r:id="rId40"/>
    <sheet name="REGRESI 20" sheetId="95" r:id="rId41"/>
    <sheet name="PERHITUNGAN 21" sheetId="96" r:id="rId42"/>
    <sheet name="REGRESI 21" sheetId="97" r:id="rId43"/>
    <sheet name="PERHITUNGAN 22" sheetId="98" r:id="rId44"/>
    <sheet name="REGRESI 22" sheetId="99" r:id="rId45"/>
    <sheet name="PERHITUNGAN 23" sheetId="100" r:id="rId46"/>
    <sheet name="REGRESI 23" sheetId="101" r:id="rId47"/>
    <sheet name="PERHITUNGAN 24" sheetId="102" r:id="rId48"/>
    <sheet name="REGRESI 24" sheetId="103" r:id="rId49"/>
    <sheet name="regresi PRT" sheetId="18" r:id="rId50"/>
    <sheet name="Database" sheetId="20" r:id="rId51"/>
  </sheets>
  <definedNames>
    <definedName name="_xlnm.Print_Area" localSheetId="0">'DRAFT-SERTIF'!$A$1:$K$293</definedName>
    <definedName name="_xlnm.Print_Area" localSheetId="1">'PERHITUNGAN 1'!$A$1:$Y$124</definedName>
    <definedName name="_xlnm.Print_Area" localSheetId="19">'PERHITUNGAN 10'!$A$1:$Y$115</definedName>
    <definedName name="_xlnm.Print_Area" localSheetId="21">'PERHITUNGAN 11'!$A$1:$Y$115</definedName>
    <definedName name="_xlnm.Print_Area" localSheetId="23">'PERHITUNGAN 12'!$A$1:$Y$115</definedName>
    <definedName name="_xlnm.Print_Area" localSheetId="25">'PERHITUNGAN 13'!$A$1:$Y$124</definedName>
    <definedName name="_xlnm.Print_Area" localSheetId="27">'PERHITUNGAN 14'!$A$1:$Y$115</definedName>
    <definedName name="_xlnm.Print_Area" localSheetId="29">'PERHITUNGAN 15'!$A$1:$Y$115</definedName>
    <definedName name="_xlnm.Print_Area" localSheetId="31">'PERHITUNGAN 16'!$A$1:$Y$115</definedName>
    <definedName name="_xlnm.Print_Area" localSheetId="33">'PERHITUNGAN 17'!$A$1:$Y$115</definedName>
    <definedName name="_xlnm.Print_Area" localSheetId="35">'PERHITUNGAN 18'!$A$1:$Y$115</definedName>
    <definedName name="_xlnm.Print_Area" localSheetId="37">'PERHITUNGAN 19'!$A$1:$Y$115</definedName>
    <definedName name="_xlnm.Print_Area" localSheetId="3">'PERHITUNGAN 2'!$A$1:$Y$115</definedName>
    <definedName name="_xlnm.Print_Area" localSheetId="39">'PERHITUNGAN 20'!$A$1:$Y$115</definedName>
    <definedName name="_xlnm.Print_Area" localSheetId="41">'PERHITUNGAN 21'!$A$1:$Y$115</definedName>
    <definedName name="_xlnm.Print_Area" localSheetId="43">'PERHITUNGAN 22'!$A$1:$Y$115</definedName>
    <definedName name="_xlnm.Print_Area" localSheetId="45">'PERHITUNGAN 23'!$A$1:$Y$115</definedName>
    <definedName name="_xlnm.Print_Area" localSheetId="47">'PERHITUNGAN 24'!$A$1:$Y$115</definedName>
    <definedName name="_xlnm.Print_Area" localSheetId="5">'PERHITUNGAN 3'!$A$1:$Y$115</definedName>
    <definedName name="_xlnm.Print_Area" localSheetId="7">'PERHITUNGAN 4'!$A$1:$Y$115</definedName>
    <definedName name="_xlnm.Print_Area" localSheetId="9">'PERHITUNGAN 5'!$A$1:$Y$115</definedName>
    <definedName name="_xlnm.Print_Area" localSheetId="11">'PERHITUNGAN 6'!$A$1:$Y$115</definedName>
    <definedName name="_xlnm.Print_Area" localSheetId="13">'PERHITUNGAN 7'!$A$1:$Y$115</definedName>
    <definedName name="_xlnm.Print_Area" localSheetId="15">'PERHITUNGAN 8'!$A$1:$Y$115</definedName>
    <definedName name="_xlnm.Print_Area" localSheetId="17">'PERHITUNGAN 9'!$A$1:$Y$115</definedName>
  </definedNames>
  <calcPr calcId="191029"/>
</workbook>
</file>

<file path=xl/calcChain.xml><?xml version="1.0" encoding="utf-8"?>
<calcChain xmlns="http://schemas.openxmlformats.org/spreadsheetml/2006/main">
  <c r="I5" i="94" l="1"/>
  <c r="I5" i="90"/>
  <c r="I6" i="90"/>
  <c r="I6" i="92"/>
  <c r="G121" i="92"/>
  <c r="G122" i="92" s="1"/>
  <c r="G120" i="92"/>
  <c r="F120" i="92"/>
  <c r="E120" i="92"/>
  <c r="C120" i="92"/>
  <c r="G113" i="92"/>
  <c r="G114" i="92" s="1"/>
  <c r="G112" i="92"/>
  <c r="F112" i="92"/>
  <c r="E112" i="92"/>
  <c r="C112" i="92"/>
  <c r="G105" i="92"/>
  <c r="G106" i="92" s="1"/>
  <c r="G104" i="92"/>
  <c r="F104" i="92"/>
  <c r="E104" i="92"/>
  <c r="C104" i="92"/>
  <c r="G121" i="90"/>
  <c r="G122" i="90" s="1"/>
  <c r="G120" i="90"/>
  <c r="F120" i="90"/>
  <c r="E120" i="90"/>
  <c r="C120" i="90"/>
  <c r="G113" i="90"/>
  <c r="G114" i="90" s="1"/>
  <c r="G112" i="90"/>
  <c r="F112" i="90"/>
  <c r="E112" i="90"/>
  <c r="C112" i="90"/>
  <c r="G105" i="90"/>
  <c r="G106" i="90" s="1"/>
  <c r="G104" i="90"/>
  <c r="F104" i="90"/>
  <c r="E104" i="90"/>
  <c r="C104" i="90"/>
  <c r="G121" i="88"/>
  <c r="G122" i="88" s="1"/>
  <c r="G120" i="88"/>
  <c r="F120" i="88"/>
  <c r="E120" i="88"/>
  <c r="C120" i="88"/>
  <c r="G113" i="88"/>
  <c r="G114" i="88" s="1"/>
  <c r="G112" i="88"/>
  <c r="F112" i="88"/>
  <c r="E112" i="88"/>
  <c r="C112" i="88"/>
  <c r="G105" i="88"/>
  <c r="G106" i="88" s="1"/>
  <c r="G104" i="88"/>
  <c r="F104" i="88"/>
  <c r="E104" i="88"/>
  <c r="C104" i="88"/>
  <c r="G105" i="86"/>
  <c r="G106" i="86" s="1"/>
  <c r="G104" i="86"/>
  <c r="F104" i="86"/>
  <c r="E104" i="86"/>
  <c r="C104" i="86"/>
  <c r="G121" i="86"/>
  <c r="G122" i="86" s="1"/>
  <c r="G120" i="86"/>
  <c r="F120" i="86"/>
  <c r="E120" i="86"/>
  <c r="C120" i="86"/>
  <c r="E112" i="86"/>
  <c r="C112" i="86"/>
  <c r="F107" i="54"/>
  <c r="C72" i="52"/>
  <c r="E72" i="52"/>
  <c r="F72" i="52"/>
  <c r="G72" i="52"/>
  <c r="C104" i="94"/>
  <c r="E104" i="94"/>
  <c r="F104" i="94"/>
  <c r="G104" i="94"/>
  <c r="G105" i="94"/>
  <c r="G106" i="94"/>
  <c r="C112" i="94"/>
  <c r="E112" i="94"/>
  <c r="F112" i="94"/>
  <c r="G112" i="94"/>
  <c r="G113" i="94"/>
  <c r="G114" i="94"/>
  <c r="C120" i="94"/>
  <c r="E120" i="94"/>
  <c r="F120" i="94"/>
  <c r="G120" i="94"/>
  <c r="G121" i="94"/>
  <c r="G122" i="94"/>
  <c r="C48" i="88"/>
  <c r="C88" i="82"/>
  <c r="N86" i="1"/>
  <c r="E48" i="49"/>
  <c r="C48" i="49"/>
  <c r="C96" i="47"/>
  <c r="F67" i="47"/>
  <c r="E11" i="44"/>
  <c r="E13" i="1"/>
  <c r="O60" i="46"/>
  <c r="P60" i="46"/>
  <c r="Q60" i="46"/>
  <c r="R60" i="46"/>
  <c r="S60" i="46"/>
  <c r="T60" i="46"/>
  <c r="U60" i="46"/>
  <c r="V60" i="46"/>
  <c r="W60" i="46"/>
  <c r="O66" i="46"/>
  <c r="P66" i="46"/>
  <c r="Q66" i="46"/>
  <c r="R66" i="46"/>
  <c r="S66" i="46"/>
  <c r="T66" i="46"/>
  <c r="U66" i="46"/>
  <c r="V66" i="46"/>
  <c r="W66" i="46"/>
  <c r="O69" i="46"/>
  <c r="P69" i="46"/>
  <c r="Q69" i="46"/>
  <c r="R69" i="46"/>
  <c r="S69" i="46"/>
  <c r="T69" i="46"/>
  <c r="U69" i="46"/>
  <c r="V69" i="46"/>
  <c r="W69" i="46"/>
  <c r="O70" i="46"/>
  <c r="P70" i="46"/>
  <c r="Q70" i="46"/>
  <c r="R70" i="46"/>
  <c r="S70" i="46"/>
  <c r="T70" i="46"/>
  <c r="U70" i="46"/>
  <c r="V70" i="46"/>
  <c r="W70" i="46"/>
  <c r="O71" i="46"/>
  <c r="P71" i="46"/>
  <c r="Q71" i="46"/>
  <c r="R71" i="46"/>
  <c r="S71" i="46"/>
  <c r="T71" i="46"/>
  <c r="U71" i="46"/>
  <c r="V71" i="46"/>
  <c r="W71" i="46"/>
  <c r="V61" i="1"/>
  <c r="U61" i="1"/>
  <c r="T61" i="1"/>
  <c r="S61" i="1"/>
  <c r="R61" i="1"/>
  <c r="Q61" i="1"/>
  <c r="P61" i="1"/>
  <c r="O61" i="1"/>
  <c r="F112" i="86" l="1"/>
  <c r="J233" i="5"/>
  <c r="J234" i="5"/>
  <c r="J235" i="5"/>
  <c r="J236" i="5"/>
  <c r="J237" i="5"/>
  <c r="J238" i="5"/>
  <c r="J239" i="5"/>
  <c r="G113" i="86" l="1"/>
  <c r="G114" i="86" s="1"/>
  <c r="G112" i="86"/>
  <c r="J271" i="5"/>
  <c r="J272" i="5"/>
  <c r="J273" i="5"/>
  <c r="J274" i="5"/>
  <c r="J275" i="5"/>
  <c r="J276" i="5"/>
  <c r="J277" i="5"/>
  <c r="J256" i="5"/>
  <c r="G256" i="5"/>
  <c r="C256" i="5"/>
  <c r="J194" i="5"/>
  <c r="G194" i="5"/>
  <c r="C194" i="5"/>
  <c r="J270" i="5"/>
  <c r="C56" i="94"/>
  <c r="B269" i="5"/>
  <c r="J279" i="5"/>
  <c r="J278" i="5"/>
  <c r="J259" i="5"/>
  <c r="J260" i="5"/>
  <c r="J261" i="5"/>
  <c r="J262" i="5"/>
  <c r="J263" i="5"/>
  <c r="J264" i="5"/>
  <c r="J265" i="5"/>
  <c r="J266" i="5"/>
  <c r="J267" i="5"/>
  <c r="J258" i="5"/>
  <c r="B257" i="5"/>
  <c r="J245" i="5"/>
  <c r="J246" i="5"/>
  <c r="J247" i="5"/>
  <c r="J248" i="5"/>
  <c r="J249" i="5"/>
  <c r="J250" i="5"/>
  <c r="J251" i="5"/>
  <c r="J252" i="5"/>
  <c r="J253" i="5"/>
  <c r="J244" i="5"/>
  <c r="B243" i="5"/>
  <c r="J232" i="5"/>
  <c r="B231" i="5"/>
  <c r="J241" i="5"/>
  <c r="J240" i="5"/>
  <c r="J221" i="5"/>
  <c r="J222" i="5"/>
  <c r="J223" i="5"/>
  <c r="J224" i="5"/>
  <c r="J225" i="5"/>
  <c r="J226" i="5"/>
  <c r="J227" i="5"/>
  <c r="J228" i="5"/>
  <c r="J229" i="5"/>
  <c r="J220" i="5"/>
  <c r="J197" i="5"/>
  <c r="J198" i="5"/>
  <c r="J199" i="5"/>
  <c r="J200" i="5"/>
  <c r="J201" i="5"/>
  <c r="J202" i="5"/>
  <c r="J203" i="5"/>
  <c r="J196" i="5"/>
  <c r="J209" i="5"/>
  <c r="J210" i="5"/>
  <c r="J211" i="5"/>
  <c r="J212" i="5"/>
  <c r="J213" i="5"/>
  <c r="J214" i="5"/>
  <c r="J215" i="5"/>
  <c r="J216" i="5"/>
  <c r="J217" i="5"/>
  <c r="J208" i="5"/>
  <c r="B219" i="5"/>
  <c r="B207" i="5" l="1"/>
  <c r="J205" i="5" l="1"/>
  <c r="J204" i="5"/>
  <c r="B195" i="5"/>
  <c r="J183" i="5"/>
  <c r="J184" i="5"/>
  <c r="J185" i="5"/>
  <c r="J186" i="5"/>
  <c r="J187" i="5"/>
  <c r="J188" i="5"/>
  <c r="J189" i="5"/>
  <c r="J190" i="5"/>
  <c r="J191" i="5"/>
  <c r="J182" i="5"/>
  <c r="B181" i="5"/>
  <c r="S48" i="103"/>
  <c r="S47" i="103"/>
  <c r="S46" i="103"/>
  <c r="S45" i="103"/>
  <c r="S44" i="103"/>
  <c r="S43" i="103"/>
  <c r="S42" i="103"/>
  <c r="V41" i="103"/>
  <c r="S41" i="103"/>
  <c r="V40" i="103"/>
  <c r="S40" i="103"/>
  <c r="V39" i="103"/>
  <c r="S39" i="103"/>
  <c r="V38" i="103"/>
  <c r="S38" i="103"/>
  <c r="T29" i="103" s="1"/>
  <c r="R28" i="103"/>
  <c r="R27" i="103"/>
  <c r="R26" i="103"/>
  <c r="R25" i="103"/>
  <c r="R24" i="103"/>
  <c r="R23" i="103"/>
  <c r="R22" i="103"/>
  <c r="R21" i="103"/>
  <c r="R20" i="103"/>
  <c r="R19" i="103"/>
  <c r="R15" i="103"/>
  <c r="R14" i="103"/>
  <c r="R13" i="103"/>
  <c r="R12" i="103"/>
  <c r="R11" i="103"/>
  <c r="R10" i="103"/>
  <c r="R9" i="103"/>
  <c r="R8" i="103"/>
  <c r="R7" i="103"/>
  <c r="R6" i="103"/>
  <c r="T4" i="103"/>
  <c r="R4" i="103"/>
  <c r="E120" i="102"/>
  <c r="C120" i="102"/>
  <c r="E112" i="102"/>
  <c r="C112" i="102"/>
  <c r="E104" i="102"/>
  <c r="C104" i="102"/>
  <c r="E96" i="102"/>
  <c r="C96" i="102"/>
  <c r="E88" i="102"/>
  <c r="C88" i="102"/>
  <c r="E80" i="102"/>
  <c r="C80" i="102"/>
  <c r="E72" i="102"/>
  <c r="C72" i="102"/>
  <c r="X71" i="102"/>
  <c r="W71" i="102"/>
  <c r="V71" i="102"/>
  <c r="U71" i="102"/>
  <c r="T71" i="102"/>
  <c r="S71" i="102"/>
  <c r="R71" i="102"/>
  <c r="Q71" i="102"/>
  <c r="P71" i="102"/>
  <c r="O71" i="102"/>
  <c r="X70" i="102"/>
  <c r="W70" i="102"/>
  <c r="V70" i="102"/>
  <c r="U70" i="102"/>
  <c r="T70" i="102"/>
  <c r="S70" i="102"/>
  <c r="R70" i="102"/>
  <c r="Q70" i="102"/>
  <c r="P70" i="102"/>
  <c r="O70" i="102"/>
  <c r="X69" i="102"/>
  <c r="W69" i="102"/>
  <c r="V69" i="102"/>
  <c r="U69" i="102"/>
  <c r="T69" i="102"/>
  <c r="S69" i="102"/>
  <c r="R69" i="102"/>
  <c r="Q69" i="102"/>
  <c r="P69" i="102"/>
  <c r="O69" i="102"/>
  <c r="X66" i="102"/>
  <c r="W66" i="102"/>
  <c r="V66" i="102"/>
  <c r="U66" i="102"/>
  <c r="T66" i="102"/>
  <c r="S66" i="102"/>
  <c r="R66" i="102"/>
  <c r="Q66" i="102"/>
  <c r="P66" i="102"/>
  <c r="O66" i="102"/>
  <c r="E64" i="102"/>
  <c r="C64" i="102"/>
  <c r="X58" i="102"/>
  <c r="W58" i="102"/>
  <c r="V58" i="102"/>
  <c r="U58" i="102"/>
  <c r="T58" i="102"/>
  <c r="S58" i="102"/>
  <c r="R58" i="102"/>
  <c r="Q58" i="102"/>
  <c r="P58" i="102"/>
  <c r="O58" i="102"/>
  <c r="X56" i="102"/>
  <c r="N94" i="102" s="1"/>
  <c r="W56" i="102"/>
  <c r="N93" i="102" s="1"/>
  <c r="V56" i="102"/>
  <c r="N92" i="102" s="1"/>
  <c r="U56" i="102"/>
  <c r="N91" i="102" s="1"/>
  <c r="T56" i="102"/>
  <c r="N90" i="102" s="1"/>
  <c r="S56" i="102"/>
  <c r="N89" i="102" s="1"/>
  <c r="C6" i="103" s="1"/>
  <c r="D6" i="103" s="1"/>
  <c r="R56" i="102"/>
  <c r="N88" i="102" s="1"/>
  <c r="Q56" i="102"/>
  <c r="N87" i="102" s="1"/>
  <c r="E56" i="102"/>
  <c r="C56" i="102"/>
  <c r="P56" i="102" s="1"/>
  <c r="N86" i="102" s="1"/>
  <c r="E48" i="102"/>
  <c r="C48" i="102"/>
  <c r="O56" i="102" s="1"/>
  <c r="N85" i="102" s="1"/>
  <c r="H33" i="102"/>
  <c r="G33" i="102"/>
  <c r="F33" i="102"/>
  <c r="E33" i="102"/>
  <c r="I33" i="102" s="1"/>
  <c r="D33" i="102"/>
  <c r="E32" i="102"/>
  <c r="I32" i="102" s="1"/>
  <c r="D32" i="102"/>
  <c r="H32" i="102" s="1"/>
  <c r="I28" i="102"/>
  <c r="G28" i="102"/>
  <c r="E28" i="102"/>
  <c r="D28" i="102"/>
  <c r="F28" i="102" s="1"/>
  <c r="I27" i="102"/>
  <c r="H27" i="102"/>
  <c r="G27" i="102"/>
  <c r="E27" i="102"/>
  <c r="D27" i="102"/>
  <c r="F27" i="102" s="1"/>
  <c r="P26" i="102"/>
  <c r="T26" i="102" s="1"/>
  <c r="S63" i="102" s="1"/>
  <c r="O24" i="102"/>
  <c r="E24" i="102"/>
  <c r="D24" i="102"/>
  <c r="E23" i="102"/>
  <c r="D23" i="102"/>
  <c r="P22" i="102"/>
  <c r="T22" i="102" s="1"/>
  <c r="P20" i="102"/>
  <c r="T20" i="102" s="1"/>
  <c r="O20" i="102"/>
  <c r="E19" i="102"/>
  <c r="P18" i="102"/>
  <c r="T18" i="102" s="1"/>
  <c r="E18" i="102"/>
  <c r="E17" i="102"/>
  <c r="E16" i="102"/>
  <c r="O14" i="102"/>
  <c r="P13" i="102"/>
  <c r="T13" i="102" s="1"/>
  <c r="O13" i="102"/>
  <c r="O11" i="102"/>
  <c r="E11" i="102"/>
  <c r="F84" i="102" s="1"/>
  <c r="G84" i="102" s="1"/>
  <c r="P10" i="102"/>
  <c r="T10" i="102" s="1"/>
  <c r="P9" i="102"/>
  <c r="T9" i="102" s="1"/>
  <c r="O9" i="102"/>
  <c r="O8" i="102"/>
  <c r="E7" i="102"/>
  <c r="I6" i="102"/>
  <c r="P28" i="102" s="1"/>
  <c r="T28" i="102" s="1"/>
  <c r="W62" i="102" s="1"/>
  <c r="E6" i="102"/>
  <c r="J5" i="102"/>
  <c r="I5" i="102"/>
  <c r="E5" i="102"/>
  <c r="O4" i="102"/>
  <c r="G3" i="102"/>
  <c r="C2" i="102"/>
  <c r="AA97" i="102" s="1"/>
  <c r="S48" i="101"/>
  <c r="S47" i="101"/>
  <c r="S46" i="101"/>
  <c r="S45" i="101"/>
  <c r="S44" i="101"/>
  <c r="S43" i="101"/>
  <c r="S42" i="101"/>
  <c r="V41" i="101"/>
  <c r="S41" i="101"/>
  <c r="V40" i="101"/>
  <c r="S40" i="101"/>
  <c r="V39" i="101"/>
  <c r="S39" i="101"/>
  <c r="V38" i="101"/>
  <c r="S38" i="101"/>
  <c r="R28" i="101"/>
  <c r="R27" i="101"/>
  <c r="R26" i="101"/>
  <c r="R25" i="101"/>
  <c r="R24" i="101"/>
  <c r="R23" i="101"/>
  <c r="R22" i="101"/>
  <c r="R21" i="101"/>
  <c r="R20" i="101"/>
  <c r="R19" i="101"/>
  <c r="T4" i="101"/>
  <c r="R4" i="101"/>
  <c r="E120" i="100"/>
  <c r="C120" i="100"/>
  <c r="X56" i="100" s="1"/>
  <c r="N94" i="100" s="1"/>
  <c r="E112" i="100"/>
  <c r="C112" i="100"/>
  <c r="E104" i="100"/>
  <c r="C104" i="100"/>
  <c r="E96" i="100"/>
  <c r="C96" i="100"/>
  <c r="U56" i="100" s="1"/>
  <c r="N91" i="100" s="1"/>
  <c r="E88" i="100"/>
  <c r="C88" i="100"/>
  <c r="E80" i="100"/>
  <c r="C80" i="100"/>
  <c r="E72" i="100"/>
  <c r="C72" i="100"/>
  <c r="R56" i="100" s="1"/>
  <c r="N88" i="100" s="1"/>
  <c r="X71" i="100"/>
  <c r="W71" i="100"/>
  <c r="V71" i="100"/>
  <c r="U71" i="100"/>
  <c r="T71" i="100"/>
  <c r="S71" i="100"/>
  <c r="R71" i="100"/>
  <c r="Q71" i="100"/>
  <c r="P71" i="100"/>
  <c r="O71" i="100"/>
  <c r="X70" i="100"/>
  <c r="W70" i="100"/>
  <c r="V70" i="100"/>
  <c r="U70" i="100"/>
  <c r="T70" i="100"/>
  <c r="S70" i="100"/>
  <c r="R70" i="100"/>
  <c r="Q70" i="100"/>
  <c r="P70" i="100"/>
  <c r="O70" i="100"/>
  <c r="X69" i="100"/>
  <c r="W69" i="100"/>
  <c r="V69" i="100"/>
  <c r="U69" i="100"/>
  <c r="T69" i="100"/>
  <c r="S69" i="100"/>
  <c r="R69" i="100"/>
  <c r="Q69" i="100"/>
  <c r="P69" i="100"/>
  <c r="O69" i="100"/>
  <c r="X66" i="100"/>
  <c r="W66" i="100"/>
  <c r="V66" i="100"/>
  <c r="U66" i="100"/>
  <c r="T66" i="100"/>
  <c r="S66" i="100"/>
  <c r="R66" i="100"/>
  <c r="Q66" i="100"/>
  <c r="P66" i="100"/>
  <c r="O66" i="100"/>
  <c r="E64" i="100"/>
  <c r="C64" i="100"/>
  <c r="Q56" i="100" s="1"/>
  <c r="N87" i="100" s="1"/>
  <c r="X58" i="100"/>
  <c r="W58" i="100"/>
  <c r="V58" i="100"/>
  <c r="U58" i="100"/>
  <c r="T58" i="100"/>
  <c r="S58" i="100"/>
  <c r="R58" i="100"/>
  <c r="Q58" i="100"/>
  <c r="P58" i="100"/>
  <c r="O58" i="100"/>
  <c r="W56" i="100"/>
  <c r="N93" i="100" s="1"/>
  <c r="V56" i="100"/>
  <c r="N92" i="100" s="1"/>
  <c r="C9" i="101" s="1"/>
  <c r="T56" i="100"/>
  <c r="N90" i="100" s="1"/>
  <c r="C7" i="101" s="1"/>
  <c r="S56" i="100"/>
  <c r="N89" i="100" s="1"/>
  <c r="C6" i="101" s="1"/>
  <c r="O56" i="100"/>
  <c r="N85" i="100" s="1"/>
  <c r="E56" i="100"/>
  <c r="C56" i="100"/>
  <c r="P56" i="100" s="1"/>
  <c r="N86" i="100" s="1"/>
  <c r="E48" i="100"/>
  <c r="C48" i="100"/>
  <c r="E33" i="100"/>
  <c r="D33" i="100"/>
  <c r="E32" i="100"/>
  <c r="G32" i="100" s="1"/>
  <c r="D32" i="100"/>
  <c r="G28" i="100"/>
  <c r="F28" i="100"/>
  <c r="E28" i="100"/>
  <c r="I28" i="100" s="1"/>
  <c r="D28" i="100"/>
  <c r="H28" i="100" s="1"/>
  <c r="G27" i="100"/>
  <c r="E27" i="100"/>
  <c r="I27" i="100" s="1"/>
  <c r="D27" i="100"/>
  <c r="H27" i="100" s="1"/>
  <c r="E24" i="100"/>
  <c r="D24" i="100"/>
  <c r="K28" i="100" s="1"/>
  <c r="E23" i="100"/>
  <c r="D23" i="100"/>
  <c r="E19" i="100"/>
  <c r="E18" i="100"/>
  <c r="E17" i="100"/>
  <c r="E16" i="100"/>
  <c r="E11" i="100"/>
  <c r="F59" i="100" s="1"/>
  <c r="E7" i="100"/>
  <c r="I6" i="100"/>
  <c r="P28" i="100" s="1"/>
  <c r="T28" i="100" s="1"/>
  <c r="X62" i="100" s="1"/>
  <c r="E6" i="100"/>
  <c r="I5" i="100"/>
  <c r="E5" i="100"/>
  <c r="G3" i="100"/>
  <c r="C2" i="100"/>
  <c r="AA39" i="100" s="1"/>
  <c r="S48" i="99"/>
  <c r="S47" i="99"/>
  <c r="T25" i="99" s="1"/>
  <c r="S46" i="99"/>
  <c r="S45" i="99"/>
  <c r="S44" i="99"/>
  <c r="S43" i="99"/>
  <c r="S42" i="99"/>
  <c r="V41" i="99"/>
  <c r="S41" i="99"/>
  <c r="V40" i="99"/>
  <c r="S40" i="99"/>
  <c r="V39" i="99"/>
  <c r="S39" i="99"/>
  <c r="T22" i="99" s="1"/>
  <c r="V38" i="99"/>
  <c r="S38" i="99"/>
  <c r="R28" i="99"/>
  <c r="R27" i="99"/>
  <c r="R26" i="99"/>
  <c r="R25" i="99"/>
  <c r="R24" i="99"/>
  <c r="R23" i="99"/>
  <c r="R22" i="99"/>
  <c r="R21" i="99"/>
  <c r="R20" i="99"/>
  <c r="R19" i="99"/>
  <c r="T4" i="99"/>
  <c r="R4" i="99"/>
  <c r="E120" i="98"/>
  <c r="C120" i="98"/>
  <c r="E112" i="98"/>
  <c r="C112" i="98"/>
  <c r="E104" i="98"/>
  <c r="C104" i="98"/>
  <c r="E96" i="98"/>
  <c r="C96" i="98"/>
  <c r="N93" i="98"/>
  <c r="E88" i="98"/>
  <c r="C88" i="98"/>
  <c r="E80" i="98"/>
  <c r="C80" i="98"/>
  <c r="E72" i="98"/>
  <c r="C72" i="98"/>
  <c r="R56" i="98" s="1"/>
  <c r="N88" i="98" s="1"/>
  <c r="X71" i="98"/>
  <c r="W71" i="98"/>
  <c r="V71" i="98"/>
  <c r="U71" i="98"/>
  <c r="T71" i="98"/>
  <c r="S71" i="98"/>
  <c r="R71" i="98"/>
  <c r="Q71" i="98"/>
  <c r="P71" i="98"/>
  <c r="O71" i="98"/>
  <c r="X70" i="98"/>
  <c r="W70" i="98"/>
  <c r="V70" i="98"/>
  <c r="U70" i="98"/>
  <c r="T70" i="98"/>
  <c r="S70" i="98"/>
  <c r="R70" i="98"/>
  <c r="Q70" i="98"/>
  <c r="P70" i="98"/>
  <c r="O70" i="98"/>
  <c r="X69" i="98"/>
  <c r="W69" i="98"/>
  <c r="V69" i="98"/>
  <c r="U69" i="98"/>
  <c r="T69" i="98"/>
  <c r="S69" i="98"/>
  <c r="R69" i="98"/>
  <c r="Q69" i="98"/>
  <c r="P69" i="98"/>
  <c r="O69" i="98"/>
  <c r="X66" i="98"/>
  <c r="W66" i="98"/>
  <c r="V66" i="98"/>
  <c r="U66" i="98"/>
  <c r="T66" i="98"/>
  <c r="S66" i="98"/>
  <c r="R66" i="98"/>
  <c r="Q66" i="98"/>
  <c r="P66" i="98"/>
  <c r="O66" i="98"/>
  <c r="E64" i="98"/>
  <c r="C64" i="98"/>
  <c r="X58" i="98"/>
  <c r="W58" i="98"/>
  <c r="V58" i="98"/>
  <c r="U58" i="98"/>
  <c r="T58" i="98"/>
  <c r="S58" i="98"/>
  <c r="R58" i="98"/>
  <c r="Q58" i="98"/>
  <c r="P58" i="98"/>
  <c r="O58" i="98"/>
  <c r="X56" i="98"/>
  <c r="N94" i="98" s="1"/>
  <c r="C11" i="99" s="1"/>
  <c r="J11" i="99" s="1"/>
  <c r="W56" i="98"/>
  <c r="V56" i="98"/>
  <c r="N92" i="98" s="1"/>
  <c r="U56" i="98"/>
  <c r="N91" i="98" s="1"/>
  <c r="C8" i="99" s="1"/>
  <c r="T56" i="98"/>
  <c r="N90" i="98" s="1"/>
  <c r="S56" i="98"/>
  <c r="N89" i="98" s="1"/>
  <c r="Q56" i="98"/>
  <c r="N87" i="98" s="1"/>
  <c r="E56" i="98"/>
  <c r="C56" i="98"/>
  <c r="P56" i="98" s="1"/>
  <c r="N86" i="98" s="1"/>
  <c r="N51" i="98"/>
  <c r="E48" i="98"/>
  <c r="C48" i="98"/>
  <c r="O56" i="98" s="1"/>
  <c r="N85" i="98" s="1"/>
  <c r="AD39" i="98"/>
  <c r="F33" i="98"/>
  <c r="E33" i="98"/>
  <c r="I33" i="98" s="1"/>
  <c r="D33" i="98"/>
  <c r="H33" i="98" s="1"/>
  <c r="I32" i="98"/>
  <c r="G32" i="98"/>
  <c r="F32" i="98"/>
  <c r="E32" i="98"/>
  <c r="D32" i="98"/>
  <c r="F28" i="98"/>
  <c r="E28" i="98"/>
  <c r="D28" i="98"/>
  <c r="H28" i="98" s="1"/>
  <c r="I27" i="98"/>
  <c r="H27" i="98"/>
  <c r="F27" i="98"/>
  <c r="E27" i="98"/>
  <c r="G27" i="98" s="1"/>
  <c r="D27" i="98"/>
  <c r="P25" i="98"/>
  <c r="T25" i="98" s="1"/>
  <c r="E24" i="98"/>
  <c r="K33" i="98" s="1"/>
  <c r="D24" i="98"/>
  <c r="E23" i="98"/>
  <c r="D23" i="98"/>
  <c r="E19" i="98"/>
  <c r="E18" i="98"/>
  <c r="E17" i="98"/>
  <c r="E16" i="98"/>
  <c r="P13" i="98"/>
  <c r="T13" i="98" s="1"/>
  <c r="E11" i="98"/>
  <c r="F110" i="98" s="1"/>
  <c r="G110" i="98" s="1"/>
  <c r="E7" i="98"/>
  <c r="I6" i="98"/>
  <c r="P28" i="98" s="1"/>
  <c r="T28" i="98" s="1"/>
  <c r="E6" i="98"/>
  <c r="I5" i="98"/>
  <c r="E5" i="98"/>
  <c r="T4" i="98"/>
  <c r="G3" i="98"/>
  <c r="C2" i="98"/>
  <c r="O55" i="98" s="1"/>
  <c r="S48" i="97"/>
  <c r="S47" i="97"/>
  <c r="S46" i="97"/>
  <c r="S45" i="97"/>
  <c r="S44" i="97"/>
  <c r="S43" i="97"/>
  <c r="S42" i="97"/>
  <c r="V41" i="97"/>
  <c r="S41" i="97"/>
  <c r="V40" i="97"/>
  <c r="S40" i="97"/>
  <c r="V39" i="97"/>
  <c r="S39" i="97"/>
  <c r="V38" i="97"/>
  <c r="S38" i="97"/>
  <c r="T4" i="97"/>
  <c r="R4" i="97"/>
  <c r="E120" i="96"/>
  <c r="C120" i="96"/>
  <c r="E112" i="96"/>
  <c r="C112" i="96"/>
  <c r="W56" i="96" s="1"/>
  <c r="N93" i="96" s="1"/>
  <c r="E104" i="96"/>
  <c r="C104" i="96"/>
  <c r="F101" i="96"/>
  <c r="G101" i="96" s="1"/>
  <c r="N96" i="96"/>
  <c r="E96" i="96"/>
  <c r="C96" i="96"/>
  <c r="N92" i="96"/>
  <c r="E88" i="96"/>
  <c r="C88" i="96"/>
  <c r="T56" i="96" s="1"/>
  <c r="N90" i="96" s="1"/>
  <c r="E80" i="96"/>
  <c r="C80" i="96"/>
  <c r="S56" i="96" s="1"/>
  <c r="N89" i="96" s="1"/>
  <c r="C6" i="97" s="1"/>
  <c r="E6" i="97" s="1"/>
  <c r="E72" i="96"/>
  <c r="C72" i="96"/>
  <c r="R56" i="96" s="1"/>
  <c r="N88" i="96" s="1"/>
  <c r="X71" i="96"/>
  <c r="W71" i="96"/>
  <c r="V71" i="96"/>
  <c r="U71" i="96"/>
  <c r="T71" i="96"/>
  <c r="S71" i="96"/>
  <c r="R71" i="96"/>
  <c r="Q71" i="96"/>
  <c r="P71" i="96"/>
  <c r="O71" i="96"/>
  <c r="X70" i="96"/>
  <c r="W70" i="96"/>
  <c r="V70" i="96"/>
  <c r="U70" i="96"/>
  <c r="T70" i="96"/>
  <c r="S70" i="96"/>
  <c r="R70" i="96"/>
  <c r="Q70" i="96"/>
  <c r="P70" i="96"/>
  <c r="O70" i="96"/>
  <c r="X69" i="96"/>
  <c r="W69" i="96"/>
  <c r="V69" i="96"/>
  <c r="U69" i="96"/>
  <c r="T69" i="96"/>
  <c r="S69" i="96"/>
  <c r="R69" i="96"/>
  <c r="Q69" i="96"/>
  <c r="P69" i="96"/>
  <c r="O69" i="96"/>
  <c r="X66" i="96"/>
  <c r="W66" i="96"/>
  <c r="V66" i="96"/>
  <c r="U66" i="96"/>
  <c r="T66" i="96"/>
  <c r="S66" i="96"/>
  <c r="R66" i="96"/>
  <c r="Q66" i="96"/>
  <c r="P66" i="96"/>
  <c r="O66" i="96"/>
  <c r="E64" i="96"/>
  <c r="C64" i="96"/>
  <c r="Q56" i="96" s="1"/>
  <c r="N87" i="96" s="1"/>
  <c r="C4" i="97" s="1"/>
  <c r="X58" i="96"/>
  <c r="W58" i="96"/>
  <c r="V58" i="96"/>
  <c r="U58" i="96"/>
  <c r="T58" i="96"/>
  <c r="S58" i="96"/>
  <c r="R58" i="96"/>
  <c r="Q58" i="96"/>
  <c r="P58" i="96"/>
  <c r="O58" i="96"/>
  <c r="X56" i="96"/>
  <c r="N94" i="96" s="1"/>
  <c r="V56" i="96"/>
  <c r="U56" i="96"/>
  <c r="N91" i="96" s="1"/>
  <c r="E56" i="96"/>
  <c r="C56" i="96"/>
  <c r="P56" i="96" s="1"/>
  <c r="N86" i="96" s="1"/>
  <c r="C3" i="97" s="1"/>
  <c r="N52" i="96"/>
  <c r="E48" i="96"/>
  <c r="C48" i="96"/>
  <c r="O56" i="96" s="1"/>
  <c r="N85" i="96" s="1"/>
  <c r="U47" i="96"/>
  <c r="Y47" i="96" s="1"/>
  <c r="O47" i="96"/>
  <c r="S47" i="96" s="1"/>
  <c r="E42" i="96"/>
  <c r="AB38" i="96"/>
  <c r="AA38" i="96"/>
  <c r="F33" i="96"/>
  <c r="E33" i="96"/>
  <c r="D33" i="96"/>
  <c r="H33" i="96" s="1"/>
  <c r="I32" i="96"/>
  <c r="G32" i="96"/>
  <c r="F32" i="96"/>
  <c r="E32" i="96"/>
  <c r="D32" i="96"/>
  <c r="H32" i="96" s="1"/>
  <c r="H28" i="96"/>
  <c r="E28" i="96"/>
  <c r="D28" i="96"/>
  <c r="F28" i="96" s="1"/>
  <c r="H27" i="96"/>
  <c r="F27" i="96"/>
  <c r="E27" i="96"/>
  <c r="D27" i="96"/>
  <c r="P26" i="96"/>
  <c r="T26" i="96" s="1"/>
  <c r="E24" i="96"/>
  <c r="D24" i="96"/>
  <c r="P23" i="96"/>
  <c r="T23" i="96" s="1"/>
  <c r="O23" i="96"/>
  <c r="E23" i="96"/>
  <c r="D23" i="96"/>
  <c r="O22" i="96"/>
  <c r="P20" i="96"/>
  <c r="T20" i="96" s="1"/>
  <c r="O19" i="96"/>
  <c r="E19" i="96"/>
  <c r="T18" i="96"/>
  <c r="P18" i="96"/>
  <c r="O18" i="96"/>
  <c r="E18" i="96"/>
  <c r="E17" i="96"/>
  <c r="P16" i="96"/>
  <c r="T16" i="96" s="1"/>
  <c r="O16" i="96"/>
  <c r="E16" i="96"/>
  <c r="P15" i="96"/>
  <c r="T15" i="96" s="1"/>
  <c r="O14" i="96"/>
  <c r="P13" i="96"/>
  <c r="T13" i="96" s="1"/>
  <c r="O12" i="96"/>
  <c r="E11" i="96"/>
  <c r="F118" i="96" s="1"/>
  <c r="G118" i="96" s="1"/>
  <c r="O10" i="96"/>
  <c r="P8" i="96"/>
  <c r="T8" i="96" s="1"/>
  <c r="P7" i="96"/>
  <c r="T7" i="96" s="1"/>
  <c r="O7" i="96"/>
  <c r="E7" i="96"/>
  <c r="P6" i="96"/>
  <c r="T6" i="96" s="1"/>
  <c r="I6" i="96"/>
  <c r="P28" i="96" s="1"/>
  <c r="T28" i="96" s="1"/>
  <c r="O62" i="96" s="1"/>
  <c r="E6" i="96"/>
  <c r="J5" i="96"/>
  <c r="I5" i="96"/>
  <c r="E5" i="96"/>
  <c r="T4" i="96"/>
  <c r="P4" i="96"/>
  <c r="G3" i="96"/>
  <c r="C2" i="96"/>
  <c r="AA98" i="96" s="1"/>
  <c r="S48" i="95"/>
  <c r="S47" i="95"/>
  <c r="S46" i="95"/>
  <c r="S45" i="95"/>
  <c r="S44" i="95"/>
  <c r="S43" i="95"/>
  <c r="S42" i="95"/>
  <c r="V41" i="95"/>
  <c r="S41" i="95"/>
  <c r="V40" i="95"/>
  <c r="S40" i="95"/>
  <c r="V39" i="95"/>
  <c r="S39" i="95"/>
  <c r="V38" i="95"/>
  <c r="S38" i="95"/>
  <c r="T4" i="95"/>
  <c r="R4" i="95"/>
  <c r="X56" i="94"/>
  <c r="N94" i="94" s="1"/>
  <c r="W56" i="94"/>
  <c r="N93" i="94" s="1"/>
  <c r="V56" i="94"/>
  <c r="N92" i="94" s="1"/>
  <c r="AA99" i="94"/>
  <c r="N99" i="94"/>
  <c r="E96" i="94"/>
  <c r="C96" i="94"/>
  <c r="E88" i="94"/>
  <c r="C88" i="94"/>
  <c r="T56" i="94" s="1"/>
  <c r="N90" i="94" s="1"/>
  <c r="F85" i="94"/>
  <c r="G85" i="94" s="1"/>
  <c r="S84" i="94"/>
  <c r="E80" i="94"/>
  <c r="C80" i="94"/>
  <c r="S56" i="94" s="1"/>
  <c r="N89" i="94" s="1"/>
  <c r="C6" i="95" s="1"/>
  <c r="K6" i="95" s="1"/>
  <c r="F76" i="94"/>
  <c r="G76" i="94" s="1"/>
  <c r="E72" i="94"/>
  <c r="C72" i="94"/>
  <c r="R56" i="94" s="1"/>
  <c r="N88" i="94" s="1"/>
  <c r="X71" i="94"/>
  <c r="W71" i="94"/>
  <c r="V71" i="94"/>
  <c r="U71" i="94"/>
  <c r="T71" i="94"/>
  <c r="S71" i="94"/>
  <c r="R71" i="94"/>
  <c r="Q71" i="94"/>
  <c r="P71" i="94"/>
  <c r="O71" i="94"/>
  <c r="X70" i="94"/>
  <c r="W70" i="94"/>
  <c r="V70" i="94"/>
  <c r="U70" i="94"/>
  <c r="T70" i="94"/>
  <c r="S70" i="94"/>
  <c r="R70" i="94"/>
  <c r="Q70" i="94"/>
  <c r="P70" i="94"/>
  <c r="O70" i="94"/>
  <c r="X69" i="94"/>
  <c r="W69" i="94"/>
  <c r="V69" i="94"/>
  <c r="U69" i="94"/>
  <c r="T69" i="94"/>
  <c r="S69" i="94"/>
  <c r="R69" i="94"/>
  <c r="Q69" i="94"/>
  <c r="P69" i="94"/>
  <c r="O69" i="94"/>
  <c r="X66" i="94"/>
  <c r="W66" i="94"/>
  <c r="V66" i="94"/>
  <c r="U66" i="94"/>
  <c r="T66" i="94"/>
  <c r="S66" i="94"/>
  <c r="R66" i="94"/>
  <c r="Q66" i="94"/>
  <c r="P66" i="94"/>
  <c r="O66" i="94"/>
  <c r="E64" i="94"/>
  <c r="C64" i="94"/>
  <c r="X58" i="94"/>
  <c r="W58" i="94"/>
  <c r="V58" i="94"/>
  <c r="U58" i="94"/>
  <c r="T58" i="94"/>
  <c r="S58" i="94"/>
  <c r="R58" i="94"/>
  <c r="Q58" i="94"/>
  <c r="P58" i="94"/>
  <c r="O58" i="94"/>
  <c r="U56" i="94"/>
  <c r="N91" i="94" s="1"/>
  <c r="Q56" i="94"/>
  <c r="N87" i="94" s="1"/>
  <c r="E56" i="94"/>
  <c r="P56" i="94"/>
  <c r="N86" i="94" s="1"/>
  <c r="N49" i="94"/>
  <c r="U48" i="94"/>
  <c r="Y48" i="94" s="1"/>
  <c r="E48" i="94"/>
  <c r="C48" i="94"/>
  <c r="O56" i="94" s="1"/>
  <c r="N85" i="94" s="1"/>
  <c r="F47" i="94"/>
  <c r="G47" i="94" s="1"/>
  <c r="F44" i="94"/>
  <c r="G44" i="94" s="1"/>
  <c r="F43" i="94"/>
  <c r="E42" i="94"/>
  <c r="B42" i="94"/>
  <c r="AA39" i="94"/>
  <c r="AB38" i="94"/>
  <c r="E33" i="94"/>
  <c r="G33" i="94" s="1"/>
  <c r="D33" i="94"/>
  <c r="I32" i="94"/>
  <c r="E32" i="94"/>
  <c r="G32" i="94" s="1"/>
  <c r="D32" i="94"/>
  <c r="E28" i="94"/>
  <c r="D28" i="94"/>
  <c r="F28" i="94" s="1"/>
  <c r="E27" i="94"/>
  <c r="D27" i="94"/>
  <c r="P24" i="94"/>
  <c r="T24" i="94" s="1"/>
  <c r="E24" i="94"/>
  <c r="D24" i="94"/>
  <c r="E23" i="94"/>
  <c r="D23" i="94"/>
  <c r="O22" i="94"/>
  <c r="O21" i="94"/>
  <c r="O20" i="94"/>
  <c r="P19" i="94"/>
  <c r="T19" i="94" s="1"/>
  <c r="E19" i="94"/>
  <c r="E18" i="94"/>
  <c r="O17" i="94"/>
  <c r="E17" i="94"/>
  <c r="E16" i="94"/>
  <c r="P15" i="94"/>
  <c r="T15" i="94" s="1"/>
  <c r="P13" i="94"/>
  <c r="T13" i="94" s="1"/>
  <c r="O12" i="94"/>
  <c r="P11" i="94"/>
  <c r="T11" i="94" s="1"/>
  <c r="O11" i="94"/>
  <c r="E11" i="94"/>
  <c r="F84" i="94" s="1"/>
  <c r="G84" i="94" s="1"/>
  <c r="P9" i="94"/>
  <c r="T9" i="94" s="1"/>
  <c r="P8" i="94"/>
  <c r="T8" i="94" s="1"/>
  <c r="E7" i="94"/>
  <c r="P6" i="94"/>
  <c r="T6" i="94" s="1"/>
  <c r="I6" i="94"/>
  <c r="P28" i="94" s="1"/>
  <c r="T28" i="94" s="1"/>
  <c r="E6" i="94"/>
  <c r="E5" i="94"/>
  <c r="T4" i="94"/>
  <c r="P4" i="94"/>
  <c r="G3" i="94"/>
  <c r="C2" i="94"/>
  <c r="N97" i="94" s="1"/>
  <c r="S48" i="93"/>
  <c r="S47" i="93"/>
  <c r="S46" i="93"/>
  <c r="S45" i="93"/>
  <c r="S44" i="93"/>
  <c r="S43" i="93"/>
  <c r="S42" i="93"/>
  <c r="V41" i="93"/>
  <c r="S41" i="93"/>
  <c r="V40" i="93"/>
  <c r="S40" i="93"/>
  <c r="V39" i="93"/>
  <c r="S39" i="93"/>
  <c r="V38" i="93"/>
  <c r="S38" i="93"/>
  <c r="T4" i="93"/>
  <c r="R4" i="93"/>
  <c r="W56" i="92"/>
  <c r="N93" i="92" s="1"/>
  <c r="E96" i="92"/>
  <c r="C96" i="92"/>
  <c r="U56" i="92" s="1"/>
  <c r="N91" i="92" s="1"/>
  <c r="F92" i="92"/>
  <c r="G92" i="92" s="1"/>
  <c r="E88" i="92"/>
  <c r="C88" i="92"/>
  <c r="T56" i="92" s="1"/>
  <c r="N90" i="92" s="1"/>
  <c r="E80" i="92"/>
  <c r="C80" i="92"/>
  <c r="E72" i="92"/>
  <c r="C72" i="92"/>
  <c r="R56" i="92" s="1"/>
  <c r="N88" i="92" s="1"/>
  <c r="X71" i="92"/>
  <c r="W71" i="92"/>
  <c r="V71" i="92"/>
  <c r="U71" i="92"/>
  <c r="T71" i="92"/>
  <c r="S71" i="92"/>
  <c r="R71" i="92"/>
  <c r="Q71" i="92"/>
  <c r="P71" i="92"/>
  <c r="O71" i="92"/>
  <c r="X70" i="92"/>
  <c r="W70" i="92"/>
  <c r="V70" i="92"/>
  <c r="U70" i="92"/>
  <c r="T70" i="92"/>
  <c r="S70" i="92"/>
  <c r="R70" i="92"/>
  <c r="Q70" i="92"/>
  <c r="P70" i="92"/>
  <c r="O70" i="92"/>
  <c r="X69" i="92"/>
  <c r="W69" i="92"/>
  <c r="V69" i="92"/>
  <c r="U69" i="92"/>
  <c r="T69" i="92"/>
  <c r="S69" i="92"/>
  <c r="R69" i="92"/>
  <c r="Q69" i="92"/>
  <c r="P69" i="92"/>
  <c r="O69" i="92"/>
  <c r="X66" i="92"/>
  <c r="W66" i="92"/>
  <c r="V66" i="92"/>
  <c r="U66" i="92"/>
  <c r="T66" i="92"/>
  <c r="S66" i="92"/>
  <c r="R66" i="92"/>
  <c r="Q66" i="92"/>
  <c r="P66" i="92"/>
  <c r="O66" i="92"/>
  <c r="E64" i="92"/>
  <c r="C64" i="92"/>
  <c r="Q56" i="92" s="1"/>
  <c r="N87" i="92" s="1"/>
  <c r="X58" i="92"/>
  <c r="W58" i="92"/>
  <c r="V58" i="92"/>
  <c r="U58" i="92"/>
  <c r="T58" i="92"/>
  <c r="S58" i="92"/>
  <c r="R58" i="92"/>
  <c r="Q58" i="92"/>
  <c r="P58" i="92"/>
  <c r="O58" i="92"/>
  <c r="X56" i="92"/>
  <c r="N94" i="92" s="1"/>
  <c r="V56" i="92"/>
  <c r="N92" i="92" s="1"/>
  <c r="S56" i="92"/>
  <c r="N89" i="92" s="1"/>
  <c r="E56" i="92"/>
  <c r="C56" i="92"/>
  <c r="P56" i="92" s="1"/>
  <c r="N86" i="92" s="1"/>
  <c r="E48" i="92"/>
  <c r="C48" i="92"/>
  <c r="O56" i="92" s="1"/>
  <c r="N85" i="92" s="1"/>
  <c r="E42" i="92"/>
  <c r="I33" i="92"/>
  <c r="G33" i="92"/>
  <c r="F33" i="92"/>
  <c r="E33" i="92"/>
  <c r="D33" i="92"/>
  <c r="H33" i="92" s="1"/>
  <c r="I32" i="92"/>
  <c r="H32" i="92"/>
  <c r="G32" i="92"/>
  <c r="E32" i="92"/>
  <c r="D32" i="92"/>
  <c r="F32" i="92" s="1"/>
  <c r="E28" i="92"/>
  <c r="G28" i="92" s="1"/>
  <c r="D28" i="92"/>
  <c r="I27" i="92"/>
  <c r="E27" i="92"/>
  <c r="G27" i="92" s="1"/>
  <c r="D27" i="92"/>
  <c r="E24" i="92"/>
  <c r="D24" i="92"/>
  <c r="E23" i="92"/>
  <c r="D23" i="92"/>
  <c r="E19" i="92"/>
  <c r="E18" i="92"/>
  <c r="E17" i="92"/>
  <c r="E16" i="92"/>
  <c r="E11" i="92"/>
  <c r="E7" i="92"/>
  <c r="P28" i="92"/>
  <c r="T28" i="92" s="1"/>
  <c r="P62" i="92" s="1"/>
  <c r="E6" i="92"/>
  <c r="I5" i="92"/>
  <c r="E5" i="92"/>
  <c r="G3" i="92"/>
  <c r="C2" i="92"/>
  <c r="O20" i="92" s="1"/>
  <c r="S48" i="91"/>
  <c r="S47" i="91"/>
  <c r="S46" i="91"/>
  <c r="S45" i="91"/>
  <c r="S44" i="91"/>
  <c r="S43" i="91"/>
  <c r="S42" i="91"/>
  <c r="V41" i="91"/>
  <c r="S41" i="91"/>
  <c r="V40" i="91"/>
  <c r="S40" i="91"/>
  <c r="V39" i="91"/>
  <c r="S39" i="91"/>
  <c r="V38" i="91"/>
  <c r="S38" i="91"/>
  <c r="T4" i="91"/>
  <c r="R4" i="91"/>
  <c r="V56" i="90"/>
  <c r="E96" i="90"/>
  <c r="C96" i="90"/>
  <c r="U56" i="90" s="1"/>
  <c r="N91" i="90" s="1"/>
  <c r="N92" i="90"/>
  <c r="E88" i="90"/>
  <c r="C88" i="90"/>
  <c r="E80" i="90"/>
  <c r="C80" i="90"/>
  <c r="S56" i="90" s="1"/>
  <c r="N89" i="90" s="1"/>
  <c r="E72" i="90"/>
  <c r="C72" i="90"/>
  <c r="R56" i="90" s="1"/>
  <c r="N88" i="90" s="1"/>
  <c r="X71" i="90"/>
  <c r="W71" i="90"/>
  <c r="V71" i="90"/>
  <c r="U71" i="90"/>
  <c r="T71" i="90"/>
  <c r="S71" i="90"/>
  <c r="R71" i="90"/>
  <c r="Q71" i="90"/>
  <c r="P71" i="90"/>
  <c r="O71" i="90"/>
  <c r="X70" i="90"/>
  <c r="W70" i="90"/>
  <c r="V70" i="90"/>
  <c r="U70" i="90"/>
  <c r="T70" i="90"/>
  <c r="S70" i="90"/>
  <c r="R70" i="90"/>
  <c r="Q70" i="90"/>
  <c r="P70" i="90"/>
  <c r="O70" i="90"/>
  <c r="X69" i="90"/>
  <c r="W69" i="90"/>
  <c r="V69" i="90"/>
  <c r="U69" i="90"/>
  <c r="T69" i="90"/>
  <c r="S69" i="90"/>
  <c r="R69" i="90"/>
  <c r="Q69" i="90"/>
  <c r="P69" i="90"/>
  <c r="O69" i="90"/>
  <c r="X66" i="90"/>
  <c r="W66" i="90"/>
  <c r="V66" i="90"/>
  <c r="U66" i="90"/>
  <c r="T66" i="90"/>
  <c r="S66" i="90"/>
  <c r="R66" i="90"/>
  <c r="Q66" i="90"/>
  <c r="P66" i="90"/>
  <c r="O66" i="90"/>
  <c r="E64" i="90"/>
  <c r="C64" i="90"/>
  <c r="Q56" i="90" s="1"/>
  <c r="N87" i="90" s="1"/>
  <c r="X58" i="90"/>
  <c r="W58" i="90"/>
  <c r="V58" i="90"/>
  <c r="U58" i="90"/>
  <c r="T58" i="90"/>
  <c r="S58" i="90"/>
  <c r="R58" i="90"/>
  <c r="Q58" i="90"/>
  <c r="P58" i="90"/>
  <c r="O58" i="90"/>
  <c r="X56" i="90"/>
  <c r="N94" i="90" s="1"/>
  <c r="W56" i="90"/>
  <c r="N93" i="90" s="1"/>
  <c r="T56" i="90"/>
  <c r="N90" i="90" s="1"/>
  <c r="E56" i="90"/>
  <c r="C56" i="90"/>
  <c r="P56" i="90" s="1"/>
  <c r="N86" i="90" s="1"/>
  <c r="O55" i="90"/>
  <c r="N51" i="90"/>
  <c r="O49" i="90"/>
  <c r="S49" i="90" s="1"/>
  <c r="O48" i="90"/>
  <c r="S48" i="90" s="1"/>
  <c r="N48" i="90"/>
  <c r="E48" i="90"/>
  <c r="C48" i="90"/>
  <c r="O56" i="90" s="1"/>
  <c r="N85" i="90" s="1"/>
  <c r="G42" i="90"/>
  <c r="C42" i="90"/>
  <c r="AB39" i="90"/>
  <c r="AA38" i="90"/>
  <c r="H33" i="90"/>
  <c r="E33" i="90"/>
  <c r="D33" i="90"/>
  <c r="F33" i="90" s="1"/>
  <c r="H32" i="90"/>
  <c r="G32" i="90"/>
  <c r="E32" i="90"/>
  <c r="I32" i="90" s="1"/>
  <c r="D32" i="90"/>
  <c r="F32" i="90" s="1"/>
  <c r="H28" i="90"/>
  <c r="G28" i="90"/>
  <c r="F28" i="90"/>
  <c r="E28" i="90"/>
  <c r="I28" i="90" s="1"/>
  <c r="D28" i="90"/>
  <c r="H27" i="90"/>
  <c r="F27" i="90"/>
  <c r="E27" i="90"/>
  <c r="D27" i="90"/>
  <c r="P25" i="90"/>
  <c r="T25" i="90" s="1"/>
  <c r="O25" i="90"/>
  <c r="E24" i="90"/>
  <c r="D24" i="90"/>
  <c r="E23" i="90"/>
  <c r="D23" i="90"/>
  <c r="P22" i="90"/>
  <c r="T22" i="90" s="1"/>
  <c r="T20" i="90"/>
  <c r="P20" i="90"/>
  <c r="O20" i="90"/>
  <c r="E19" i="90"/>
  <c r="E18" i="90"/>
  <c r="E17" i="90"/>
  <c r="P16" i="90"/>
  <c r="T16" i="90" s="1"/>
  <c r="O16" i="90"/>
  <c r="E16" i="90"/>
  <c r="O14" i="90"/>
  <c r="O13" i="90"/>
  <c r="P11" i="90"/>
  <c r="T11" i="90" s="1"/>
  <c r="E11" i="90"/>
  <c r="P26" i="90" s="1"/>
  <c r="T26" i="90" s="1"/>
  <c r="T9" i="90"/>
  <c r="P9" i="90"/>
  <c r="O9" i="90"/>
  <c r="P7" i="90"/>
  <c r="T7" i="90" s="1"/>
  <c r="E7" i="90"/>
  <c r="P28" i="90"/>
  <c r="T28" i="90" s="1"/>
  <c r="W62" i="90" s="1"/>
  <c r="E6" i="90"/>
  <c r="J5" i="90"/>
  <c r="E5" i="90"/>
  <c r="G3" i="90"/>
  <c r="C2" i="90"/>
  <c r="T47" i="90" s="1"/>
  <c r="S48" i="89"/>
  <c r="S47" i="89"/>
  <c r="S46" i="89"/>
  <c r="S45" i="89"/>
  <c r="S44" i="89"/>
  <c r="S43" i="89"/>
  <c r="S42" i="89"/>
  <c r="V41" i="89"/>
  <c r="S41" i="89"/>
  <c r="V40" i="89"/>
  <c r="S40" i="89"/>
  <c r="V39" i="89"/>
  <c r="S39" i="89"/>
  <c r="V38" i="89"/>
  <c r="S38" i="89"/>
  <c r="T4" i="89"/>
  <c r="R4" i="89"/>
  <c r="W56" i="88"/>
  <c r="N93" i="88" s="1"/>
  <c r="E96" i="88"/>
  <c r="C96" i="88"/>
  <c r="U56" i="88" s="1"/>
  <c r="N91" i="88" s="1"/>
  <c r="E88" i="88"/>
  <c r="C88" i="88"/>
  <c r="T56" i="88" s="1"/>
  <c r="N90" i="88" s="1"/>
  <c r="E80" i="88"/>
  <c r="C80" i="88"/>
  <c r="E72" i="88"/>
  <c r="C72" i="88"/>
  <c r="R56" i="88" s="1"/>
  <c r="N88" i="88" s="1"/>
  <c r="X71" i="88"/>
  <c r="W71" i="88"/>
  <c r="V71" i="88"/>
  <c r="U71" i="88"/>
  <c r="T71" i="88"/>
  <c r="S71" i="88"/>
  <c r="R71" i="88"/>
  <c r="Q71" i="88"/>
  <c r="P71" i="88"/>
  <c r="O71" i="88"/>
  <c r="X70" i="88"/>
  <c r="W70" i="88"/>
  <c r="V70" i="88"/>
  <c r="U70" i="88"/>
  <c r="T70" i="88"/>
  <c r="S70" i="88"/>
  <c r="R70" i="88"/>
  <c r="Q70" i="88"/>
  <c r="P70" i="88"/>
  <c r="O70" i="88"/>
  <c r="X69" i="88"/>
  <c r="W69" i="88"/>
  <c r="V69" i="88"/>
  <c r="U69" i="88"/>
  <c r="T69" i="88"/>
  <c r="S69" i="88"/>
  <c r="R69" i="88"/>
  <c r="Q69" i="88"/>
  <c r="P69" i="88"/>
  <c r="O69" i="88"/>
  <c r="X66" i="88"/>
  <c r="W66" i="88"/>
  <c r="V66" i="88"/>
  <c r="U66" i="88"/>
  <c r="T66" i="88"/>
  <c r="S66" i="88"/>
  <c r="R66" i="88"/>
  <c r="Q66" i="88"/>
  <c r="P66" i="88"/>
  <c r="O66" i="88"/>
  <c r="E64" i="88"/>
  <c r="C64" i="88"/>
  <c r="Q56" i="88" s="1"/>
  <c r="N87" i="88" s="1"/>
  <c r="X58" i="88"/>
  <c r="W58" i="88"/>
  <c r="V58" i="88"/>
  <c r="U58" i="88"/>
  <c r="T58" i="88"/>
  <c r="S58" i="88"/>
  <c r="R58" i="88"/>
  <c r="Q58" i="88"/>
  <c r="P58" i="88"/>
  <c r="O58" i="88"/>
  <c r="X56" i="88"/>
  <c r="N94" i="88" s="1"/>
  <c r="V56" i="88"/>
  <c r="N92" i="88" s="1"/>
  <c r="S56" i="88"/>
  <c r="N89" i="88" s="1"/>
  <c r="C6" i="89" s="1"/>
  <c r="H6" i="89" s="1"/>
  <c r="E56" i="88"/>
  <c r="C56" i="88"/>
  <c r="P56" i="88" s="1"/>
  <c r="N86" i="88" s="1"/>
  <c r="E48" i="88"/>
  <c r="O56" i="88"/>
  <c r="N85" i="88" s="1"/>
  <c r="I33" i="88"/>
  <c r="H33" i="88"/>
  <c r="G33" i="88"/>
  <c r="F33" i="88"/>
  <c r="E33" i="88"/>
  <c r="D33" i="88"/>
  <c r="H32" i="88"/>
  <c r="F32" i="88"/>
  <c r="E32" i="88"/>
  <c r="I32" i="88" s="1"/>
  <c r="D32" i="88"/>
  <c r="I28" i="88"/>
  <c r="G28" i="88"/>
  <c r="E28" i="88"/>
  <c r="D28" i="88"/>
  <c r="G27" i="88"/>
  <c r="E27" i="88"/>
  <c r="I27" i="88" s="1"/>
  <c r="D27" i="88"/>
  <c r="E24" i="88"/>
  <c r="D24" i="88"/>
  <c r="E23" i="88"/>
  <c r="D23" i="88"/>
  <c r="E19" i="88"/>
  <c r="E18" i="88"/>
  <c r="E17" i="88"/>
  <c r="E16" i="88"/>
  <c r="E11" i="88"/>
  <c r="E7" i="88"/>
  <c r="I6" i="88"/>
  <c r="P28" i="88" s="1"/>
  <c r="T28" i="88" s="1"/>
  <c r="E6" i="88"/>
  <c r="I5" i="88"/>
  <c r="E5" i="88"/>
  <c r="G3" i="88"/>
  <c r="C2" i="88"/>
  <c r="O99" i="88" s="1"/>
  <c r="S48" i="87"/>
  <c r="S47" i="87"/>
  <c r="S46" i="87"/>
  <c r="S45" i="87"/>
  <c r="S44" i="87"/>
  <c r="S43" i="87"/>
  <c r="S42" i="87"/>
  <c r="V41" i="87"/>
  <c r="S41" i="87"/>
  <c r="V40" i="87"/>
  <c r="S40" i="87"/>
  <c r="V39" i="87"/>
  <c r="S39" i="87"/>
  <c r="V38" i="87"/>
  <c r="S38" i="87"/>
  <c r="T4" i="87"/>
  <c r="R4" i="87"/>
  <c r="V56" i="86"/>
  <c r="N92" i="86" s="1"/>
  <c r="E96" i="86"/>
  <c r="C96" i="86"/>
  <c r="U56" i="86" s="1"/>
  <c r="N91" i="86" s="1"/>
  <c r="E88" i="86"/>
  <c r="C88" i="86"/>
  <c r="T56" i="86" s="1"/>
  <c r="N90" i="86" s="1"/>
  <c r="E80" i="86"/>
  <c r="C80" i="86"/>
  <c r="S56" i="86" s="1"/>
  <c r="N89" i="86" s="1"/>
  <c r="C6" i="87" s="1"/>
  <c r="E72" i="86"/>
  <c r="C72" i="86"/>
  <c r="R56" i="86" s="1"/>
  <c r="N88" i="86" s="1"/>
  <c r="X71" i="86"/>
  <c r="W71" i="86"/>
  <c r="V71" i="86"/>
  <c r="U71" i="86"/>
  <c r="T71" i="86"/>
  <c r="S71" i="86"/>
  <c r="R71" i="86"/>
  <c r="Q71" i="86"/>
  <c r="P71" i="86"/>
  <c r="O71" i="86"/>
  <c r="X70" i="86"/>
  <c r="W70" i="86"/>
  <c r="V70" i="86"/>
  <c r="U70" i="86"/>
  <c r="T70" i="86"/>
  <c r="S70" i="86"/>
  <c r="R70" i="86"/>
  <c r="Q70" i="86"/>
  <c r="P70" i="86"/>
  <c r="O70" i="86"/>
  <c r="X69" i="86"/>
  <c r="W69" i="86"/>
  <c r="V69" i="86"/>
  <c r="U69" i="86"/>
  <c r="T69" i="86"/>
  <c r="S69" i="86"/>
  <c r="R69" i="86"/>
  <c r="Q69" i="86"/>
  <c r="P69" i="86"/>
  <c r="O69" i="86"/>
  <c r="X66" i="86"/>
  <c r="W66" i="86"/>
  <c r="V66" i="86"/>
  <c r="U66" i="86"/>
  <c r="T66" i="86"/>
  <c r="S66" i="86"/>
  <c r="R66" i="86"/>
  <c r="Q66" i="86"/>
  <c r="P66" i="86"/>
  <c r="O66" i="86"/>
  <c r="E64" i="86"/>
  <c r="C64" i="86"/>
  <c r="Q56" i="86" s="1"/>
  <c r="N87" i="86" s="1"/>
  <c r="X58" i="86"/>
  <c r="W58" i="86"/>
  <c r="V58" i="86"/>
  <c r="U58" i="86"/>
  <c r="T58" i="86"/>
  <c r="S58" i="86"/>
  <c r="R58" i="86"/>
  <c r="Q58" i="86"/>
  <c r="P58" i="86"/>
  <c r="O58" i="86"/>
  <c r="X56" i="86"/>
  <c r="N94" i="86" s="1"/>
  <c r="W56" i="86"/>
  <c r="N93" i="86" s="1"/>
  <c r="E56" i="86"/>
  <c r="C56" i="86"/>
  <c r="P56" i="86" s="1"/>
  <c r="N86" i="86" s="1"/>
  <c r="C3" i="87" s="1"/>
  <c r="E48" i="86"/>
  <c r="C48" i="86"/>
  <c r="O56" i="86" s="1"/>
  <c r="N85" i="86" s="1"/>
  <c r="E33" i="86"/>
  <c r="G33" i="86" s="1"/>
  <c r="D33" i="86"/>
  <c r="I32" i="86"/>
  <c r="E32" i="86"/>
  <c r="G32" i="86" s="1"/>
  <c r="D32" i="86"/>
  <c r="E28" i="86"/>
  <c r="D28" i="86"/>
  <c r="H28" i="86" s="1"/>
  <c r="E27" i="86"/>
  <c r="D27" i="86"/>
  <c r="H27" i="86" s="1"/>
  <c r="E24" i="86"/>
  <c r="D24" i="86"/>
  <c r="E23" i="86"/>
  <c r="D23" i="86"/>
  <c r="O19" i="86"/>
  <c r="E19" i="86"/>
  <c r="E18" i="86"/>
  <c r="E17" i="86"/>
  <c r="E16" i="86"/>
  <c r="O15" i="86"/>
  <c r="E11" i="86"/>
  <c r="F91" i="86" s="1"/>
  <c r="G91" i="86" s="1"/>
  <c r="E7" i="86"/>
  <c r="I6" i="86"/>
  <c r="P28" i="86" s="1"/>
  <c r="T28" i="86" s="1"/>
  <c r="W62" i="86" s="1"/>
  <c r="E6" i="86"/>
  <c r="I5" i="86"/>
  <c r="E5" i="86"/>
  <c r="P4" i="86"/>
  <c r="G3" i="86"/>
  <c r="C2" i="86"/>
  <c r="U48" i="86" s="1"/>
  <c r="Y48" i="86" s="1"/>
  <c r="S48" i="85"/>
  <c r="S47" i="85"/>
  <c r="S46" i="85"/>
  <c r="S45" i="85"/>
  <c r="S44" i="85"/>
  <c r="S43" i="85"/>
  <c r="S42" i="85"/>
  <c r="V41" i="85"/>
  <c r="S41" i="85"/>
  <c r="V40" i="85"/>
  <c r="S40" i="85"/>
  <c r="V39" i="85"/>
  <c r="S39" i="85"/>
  <c r="V38" i="85"/>
  <c r="S38" i="85"/>
  <c r="T4" i="85"/>
  <c r="R4" i="85"/>
  <c r="E120" i="84"/>
  <c r="C120" i="84"/>
  <c r="E112" i="84"/>
  <c r="C112" i="84"/>
  <c r="V56" i="84"/>
  <c r="N92" i="84" s="1"/>
  <c r="C9" i="85" s="1"/>
  <c r="I9" i="85" s="1"/>
  <c r="E96" i="84"/>
  <c r="C96" i="84"/>
  <c r="U56" i="84" s="1"/>
  <c r="N91" i="84" s="1"/>
  <c r="E88" i="84"/>
  <c r="C88" i="84"/>
  <c r="T56" i="84" s="1"/>
  <c r="N90" i="84" s="1"/>
  <c r="E80" i="84"/>
  <c r="C80" i="84"/>
  <c r="S56" i="84" s="1"/>
  <c r="N89" i="84" s="1"/>
  <c r="C6" i="85" s="1"/>
  <c r="E72" i="84"/>
  <c r="C72" i="84"/>
  <c r="R56" i="84" s="1"/>
  <c r="N88" i="84" s="1"/>
  <c r="X71" i="84"/>
  <c r="W71" i="84"/>
  <c r="V71" i="84"/>
  <c r="U71" i="84"/>
  <c r="T71" i="84"/>
  <c r="S71" i="84"/>
  <c r="R71" i="84"/>
  <c r="Q71" i="84"/>
  <c r="P71" i="84"/>
  <c r="O71" i="84"/>
  <c r="X70" i="84"/>
  <c r="W70" i="84"/>
  <c r="V70" i="84"/>
  <c r="U70" i="84"/>
  <c r="T70" i="84"/>
  <c r="S70" i="84"/>
  <c r="R70" i="84"/>
  <c r="Q70" i="84"/>
  <c r="P70" i="84"/>
  <c r="O70" i="84"/>
  <c r="X69" i="84"/>
  <c r="W69" i="84"/>
  <c r="V69" i="84"/>
  <c r="U69" i="84"/>
  <c r="T69" i="84"/>
  <c r="S69" i="84"/>
  <c r="R69" i="84"/>
  <c r="Q69" i="84"/>
  <c r="P69" i="84"/>
  <c r="O69" i="84"/>
  <c r="X66" i="84"/>
  <c r="W66" i="84"/>
  <c r="V66" i="84"/>
  <c r="U66" i="84"/>
  <c r="T66" i="84"/>
  <c r="S66" i="84"/>
  <c r="R66" i="84"/>
  <c r="Q66" i="84"/>
  <c r="P66" i="84"/>
  <c r="O66" i="84"/>
  <c r="E64" i="84"/>
  <c r="C64" i="84"/>
  <c r="Q56" i="84" s="1"/>
  <c r="N87" i="84" s="1"/>
  <c r="X58" i="84"/>
  <c r="W58" i="84"/>
  <c r="V58" i="84"/>
  <c r="U58" i="84"/>
  <c r="T58" i="84"/>
  <c r="S58" i="84"/>
  <c r="R58" i="84"/>
  <c r="Q58" i="84"/>
  <c r="P58" i="84"/>
  <c r="O58" i="84"/>
  <c r="X56" i="84"/>
  <c r="N94" i="84" s="1"/>
  <c r="W56" i="84"/>
  <c r="N93" i="84" s="1"/>
  <c r="E56" i="84"/>
  <c r="C56" i="84"/>
  <c r="P56" i="84" s="1"/>
  <c r="N86" i="84" s="1"/>
  <c r="E48" i="84"/>
  <c r="C48" i="84"/>
  <c r="O56" i="84" s="1"/>
  <c r="N85" i="84" s="1"/>
  <c r="AA38" i="84"/>
  <c r="E33" i="84"/>
  <c r="I33" i="84" s="1"/>
  <c r="D33" i="84"/>
  <c r="F33" i="84" s="1"/>
  <c r="H32" i="84"/>
  <c r="E32" i="84"/>
  <c r="I32" i="84" s="1"/>
  <c r="D32" i="84"/>
  <c r="F32" i="84" s="1"/>
  <c r="E28" i="84"/>
  <c r="D28" i="84"/>
  <c r="E27" i="84"/>
  <c r="D27" i="84"/>
  <c r="O24" i="84"/>
  <c r="E24" i="84"/>
  <c r="D24" i="84"/>
  <c r="E23" i="84"/>
  <c r="K32" i="84" s="1"/>
  <c r="D23" i="84"/>
  <c r="E19" i="84"/>
  <c r="E18" i="84"/>
  <c r="E17" i="84"/>
  <c r="E16" i="84"/>
  <c r="O14" i="84"/>
  <c r="E11" i="84"/>
  <c r="P8" i="84"/>
  <c r="T8" i="84" s="1"/>
  <c r="P7" i="84"/>
  <c r="T7" i="84" s="1"/>
  <c r="E7" i="84"/>
  <c r="I6" i="84"/>
  <c r="P28" i="84" s="1"/>
  <c r="T28" i="84" s="1"/>
  <c r="Q62" i="84" s="1"/>
  <c r="E6" i="84"/>
  <c r="I5" i="84"/>
  <c r="E5" i="84"/>
  <c r="O4" i="84"/>
  <c r="G3" i="84"/>
  <c r="C2" i="84"/>
  <c r="AA99" i="84" s="1"/>
  <c r="S48" i="83"/>
  <c r="S47" i="83"/>
  <c r="S46" i="83"/>
  <c r="S45" i="83"/>
  <c r="S44" i="83"/>
  <c r="S43" i="83"/>
  <c r="S42" i="83"/>
  <c r="V41" i="83"/>
  <c r="S41" i="83"/>
  <c r="V40" i="83"/>
  <c r="S40" i="83"/>
  <c r="V39" i="83"/>
  <c r="S39" i="83"/>
  <c r="V38" i="83"/>
  <c r="S38" i="83"/>
  <c r="R28" i="83"/>
  <c r="R27" i="83"/>
  <c r="R26" i="83"/>
  <c r="R25" i="83"/>
  <c r="C202" i="5" s="1"/>
  <c r="R24" i="83"/>
  <c r="C201" i="5" s="1"/>
  <c r="R23" i="83"/>
  <c r="R22" i="83"/>
  <c r="R21" i="83"/>
  <c r="C198" i="5" s="1"/>
  <c r="R20" i="83"/>
  <c r="R19" i="83"/>
  <c r="T4" i="83"/>
  <c r="R4" i="83"/>
  <c r="E120" i="82"/>
  <c r="C120" i="82"/>
  <c r="E112" i="82"/>
  <c r="C112" i="82"/>
  <c r="E104" i="82"/>
  <c r="C104" i="82"/>
  <c r="V56" i="82" s="1"/>
  <c r="N92" i="82" s="1"/>
  <c r="C9" i="83" s="1"/>
  <c r="E96" i="82"/>
  <c r="C96" i="82"/>
  <c r="U56" i="82" s="1"/>
  <c r="N91" i="82" s="1"/>
  <c r="E88" i="82"/>
  <c r="T56" i="82"/>
  <c r="N90" i="82" s="1"/>
  <c r="C7" i="83" s="1"/>
  <c r="E80" i="82"/>
  <c r="C80" i="82"/>
  <c r="E72" i="82"/>
  <c r="C72" i="82"/>
  <c r="R56" i="82" s="1"/>
  <c r="N88" i="82" s="1"/>
  <c r="X71" i="82"/>
  <c r="W71" i="82"/>
  <c r="V71" i="82"/>
  <c r="U71" i="82"/>
  <c r="T71" i="82"/>
  <c r="S71" i="82"/>
  <c r="R71" i="82"/>
  <c r="Q71" i="82"/>
  <c r="P71" i="82"/>
  <c r="O71" i="82"/>
  <c r="X70" i="82"/>
  <c r="W70" i="82"/>
  <c r="V70" i="82"/>
  <c r="U70" i="82"/>
  <c r="T70" i="82"/>
  <c r="S70" i="82"/>
  <c r="R70" i="82"/>
  <c r="Q70" i="82"/>
  <c r="P70" i="82"/>
  <c r="O70" i="82"/>
  <c r="X69" i="82"/>
  <c r="W69" i="82"/>
  <c r="V69" i="82"/>
  <c r="U69" i="82"/>
  <c r="T69" i="82"/>
  <c r="S69" i="82"/>
  <c r="R69" i="82"/>
  <c r="Q69" i="82"/>
  <c r="P69" i="82"/>
  <c r="O69" i="82"/>
  <c r="X66" i="82"/>
  <c r="W66" i="82"/>
  <c r="V66" i="82"/>
  <c r="U66" i="82"/>
  <c r="T66" i="82"/>
  <c r="S66" i="82"/>
  <c r="R66" i="82"/>
  <c r="Q66" i="82"/>
  <c r="P66" i="82"/>
  <c r="O66" i="82"/>
  <c r="E64" i="82"/>
  <c r="C64" i="82"/>
  <c r="X58" i="82"/>
  <c r="W58" i="82"/>
  <c r="V58" i="82"/>
  <c r="U58" i="82"/>
  <c r="T58" i="82"/>
  <c r="S58" i="82"/>
  <c r="R58" i="82"/>
  <c r="Q58" i="82"/>
  <c r="P58" i="82"/>
  <c r="O58" i="82"/>
  <c r="X56" i="82"/>
  <c r="N94" i="82" s="1"/>
  <c r="W56" i="82"/>
  <c r="N93" i="82" s="1"/>
  <c r="S56" i="82"/>
  <c r="N89" i="82" s="1"/>
  <c r="Q56" i="82"/>
  <c r="N87" i="82" s="1"/>
  <c r="E56" i="82"/>
  <c r="C56" i="82"/>
  <c r="P56" i="82" s="1"/>
  <c r="N86" i="82" s="1"/>
  <c r="E48" i="82"/>
  <c r="C48" i="82"/>
  <c r="O56" i="82" s="1"/>
  <c r="N85" i="82" s="1"/>
  <c r="G33" i="82"/>
  <c r="E33" i="82"/>
  <c r="I33" i="82" s="1"/>
  <c r="D33" i="82"/>
  <c r="F33" i="82" s="1"/>
  <c r="H32" i="82"/>
  <c r="E32" i="82"/>
  <c r="I32" i="82" s="1"/>
  <c r="D32" i="82"/>
  <c r="F32" i="82" s="1"/>
  <c r="E28" i="82"/>
  <c r="D28" i="82"/>
  <c r="E27" i="82"/>
  <c r="D27" i="82"/>
  <c r="E24" i="82"/>
  <c r="J33" i="82" s="1"/>
  <c r="D24" i="82"/>
  <c r="E23" i="82"/>
  <c r="D23" i="82"/>
  <c r="E19" i="82"/>
  <c r="E18" i="82"/>
  <c r="E17" i="82"/>
  <c r="E16" i="82"/>
  <c r="E11" i="82"/>
  <c r="F115" i="82" s="1"/>
  <c r="E7" i="82"/>
  <c r="I6" i="82"/>
  <c r="P28" i="82" s="1"/>
  <c r="T28" i="82" s="1"/>
  <c r="E6" i="82"/>
  <c r="I5" i="82"/>
  <c r="E5" i="82"/>
  <c r="G3" i="82"/>
  <c r="C2" i="82"/>
  <c r="O99" i="82" s="1"/>
  <c r="S48" i="81"/>
  <c r="S47" i="81"/>
  <c r="S46" i="81"/>
  <c r="S45" i="81"/>
  <c r="S44" i="81"/>
  <c r="S43" i="81"/>
  <c r="S42" i="81"/>
  <c r="V41" i="81"/>
  <c r="T12" i="81" s="1"/>
  <c r="S41" i="81"/>
  <c r="V40" i="81"/>
  <c r="S40" i="81"/>
  <c r="V39" i="81"/>
  <c r="S39" i="81"/>
  <c r="V38" i="81"/>
  <c r="S38" i="81"/>
  <c r="T4" i="81"/>
  <c r="R4" i="81"/>
  <c r="E121" i="80"/>
  <c r="C121" i="80"/>
  <c r="F120" i="80"/>
  <c r="G120" i="80" s="1"/>
  <c r="F119" i="80"/>
  <c r="G119" i="80" s="1"/>
  <c r="F118" i="80"/>
  <c r="G118" i="80" s="1"/>
  <c r="F117" i="80"/>
  <c r="G117" i="80" s="1"/>
  <c r="F116" i="80"/>
  <c r="E113" i="80"/>
  <c r="C113" i="80"/>
  <c r="F112" i="80"/>
  <c r="G112" i="80" s="1"/>
  <c r="G111" i="80"/>
  <c r="F111" i="80"/>
  <c r="G110" i="80"/>
  <c r="F110" i="80"/>
  <c r="F109" i="80"/>
  <c r="G109" i="80" s="1"/>
  <c r="F108" i="80"/>
  <c r="E105" i="80"/>
  <c r="C105" i="80"/>
  <c r="V57" i="80" s="1"/>
  <c r="N93" i="80" s="1"/>
  <c r="F104" i="80"/>
  <c r="G104" i="80" s="1"/>
  <c r="F103" i="80"/>
  <c r="G103" i="80" s="1"/>
  <c r="F102" i="80"/>
  <c r="G102" i="80" s="1"/>
  <c r="F101" i="80"/>
  <c r="G101" i="80" s="1"/>
  <c r="AA100" i="80"/>
  <c r="O100" i="80"/>
  <c r="N100" i="80"/>
  <c r="F100" i="80"/>
  <c r="AA99" i="80"/>
  <c r="O99" i="80"/>
  <c r="N99" i="80"/>
  <c r="AA98" i="80"/>
  <c r="O98" i="80"/>
  <c r="N98" i="80"/>
  <c r="N97" i="80"/>
  <c r="E97" i="80"/>
  <c r="C97" i="80"/>
  <c r="U57" i="80" s="1"/>
  <c r="N92" i="80" s="1"/>
  <c r="F96" i="80"/>
  <c r="G96" i="80" s="1"/>
  <c r="F95" i="80"/>
  <c r="G95" i="80" s="1"/>
  <c r="F94" i="80"/>
  <c r="G94" i="80" s="1"/>
  <c r="F93" i="80"/>
  <c r="G93" i="80" s="1"/>
  <c r="F92" i="80"/>
  <c r="G92" i="80" s="1"/>
  <c r="E89" i="80"/>
  <c r="C89" i="80"/>
  <c r="F88" i="80"/>
  <c r="G88" i="80" s="1"/>
  <c r="F87" i="80"/>
  <c r="G87" i="80" s="1"/>
  <c r="F86" i="80"/>
  <c r="G86" i="80" s="1"/>
  <c r="S85" i="80"/>
  <c r="F85" i="80"/>
  <c r="G85" i="80" s="1"/>
  <c r="Q84" i="80"/>
  <c r="O84" i="80"/>
  <c r="N84" i="80"/>
  <c r="F84" i="80"/>
  <c r="G84" i="80" s="1"/>
  <c r="E81" i="80"/>
  <c r="C81" i="80"/>
  <c r="F80" i="80"/>
  <c r="G80" i="80" s="1"/>
  <c r="F79" i="80"/>
  <c r="G79" i="80" s="1"/>
  <c r="F78" i="80"/>
  <c r="G78" i="80" s="1"/>
  <c r="F77" i="80"/>
  <c r="G77" i="80" s="1"/>
  <c r="F76" i="80"/>
  <c r="E73" i="80"/>
  <c r="C73" i="80"/>
  <c r="R57" i="80" s="1"/>
  <c r="N89" i="80" s="1"/>
  <c r="X72" i="80"/>
  <c r="W72" i="80"/>
  <c r="V72" i="80"/>
  <c r="U72" i="80"/>
  <c r="T72" i="80"/>
  <c r="S72" i="80"/>
  <c r="R72" i="80"/>
  <c r="Q72" i="80"/>
  <c r="P72" i="80"/>
  <c r="O72" i="80"/>
  <c r="F72" i="80"/>
  <c r="G72" i="80" s="1"/>
  <c r="X71" i="80"/>
  <c r="W71" i="80"/>
  <c r="V71" i="80"/>
  <c r="U71" i="80"/>
  <c r="T71" i="80"/>
  <c r="S71" i="80"/>
  <c r="R71" i="80"/>
  <c r="Q71" i="80"/>
  <c r="P71" i="80"/>
  <c r="O71" i="80"/>
  <c r="F71" i="80"/>
  <c r="G71" i="80" s="1"/>
  <c r="X70" i="80"/>
  <c r="W70" i="80"/>
  <c r="V70" i="80"/>
  <c r="U70" i="80"/>
  <c r="T70" i="80"/>
  <c r="S70" i="80"/>
  <c r="R70" i="80"/>
  <c r="Q70" i="80"/>
  <c r="P70" i="80"/>
  <c r="O70" i="80"/>
  <c r="F70" i="80"/>
  <c r="G70" i="80" s="1"/>
  <c r="F69" i="80"/>
  <c r="G69" i="80" s="1"/>
  <c r="F68" i="80"/>
  <c r="X67" i="80"/>
  <c r="W67" i="80"/>
  <c r="V67" i="80"/>
  <c r="U67" i="80"/>
  <c r="T67" i="80"/>
  <c r="S67" i="80"/>
  <c r="R67" i="80"/>
  <c r="Q67" i="80"/>
  <c r="P67" i="80"/>
  <c r="O67" i="80"/>
  <c r="E65" i="80"/>
  <c r="C65" i="80"/>
  <c r="F64" i="80"/>
  <c r="G64" i="80" s="1"/>
  <c r="F63" i="80"/>
  <c r="G63" i="80" s="1"/>
  <c r="F62" i="80"/>
  <c r="G62" i="80" s="1"/>
  <c r="F61" i="80"/>
  <c r="G61" i="80" s="1"/>
  <c r="F60" i="80"/>
  <c r="X59" i="80"/>
  <c r="W59" i="80"/>
  <c r="V59" i="80"/>
  <c r="U59" i="80"/>
  <c r="T59" i="80"/>
  <c r="S59" i="80"/>
  <c r="R59" i="80"/>
  <c r="Q59" i="80"/>
  <c r="P59" i="80"/>
  <c r="O59" i="80"/>
  <c r="X57" i="80"/>
  <c r="N95" i="80" s="1"/>
  <c r="W57" i="80"/>
  <c r="N94" i="80" s="1"/>
  <c r="T57" i="80"/>
  <c r="N91" i="80" s="1"/>
  <c r="S57" i="80"/>
  <c r="N90" i="80" s="1"/>
  <c r="C6" i="81" s="1"/>
  <c r="I6" i="81" s="1"/>
  <c r="Q57" i="80"/>
  <c r="N88" i="80" s="1"/>
  <c r="C4" i="81" s="1"/>
  <c r="L4" i="81" s="1"/>
  <c r="E57" i="80"/>
  <c r="C57" i="80"/>
  <c r="P57" i="80" s="1"/>
  <c r="N87" i="80" s="1"/>
  <c r="O56" i="80"/>
  <c r="F56" i="80"/>
  <c r="G56" i="80" s="1"/>
  <c r="F55" i="80"/>
  <c r="G55" i="80" s="1"/>
  <c r="F54" i="80"/>
  <c r="G54" i="80" s="1"/>
  <c r="S53" i="80"/>
  <c r="O53" i="80"/>
  <c r="N53" i="80"/>
  <c r="F53" i="80"/>
  <c r="G53" i="80" s="1"/>
  <c r="S52" i="80"/>
  <c r="O52" i="80"/>
  <c r="N52" i="80"/>
  <c r="F52" i="80"/>
  <c r="G52" i="80" s="1"/>
  <c r="S51" i="80"/>
  <c r="O51" i="80"/>
  <c r="N51" i="80"/>
  <c r="O50" i="80"/>
  <c r="S50" i="80" s="1"/>
  <c r="N50" i="80"/>
  <c r="Y49" i="80"/>
  <c r="U49" i="80"/>
  <c r="T49" i="80"/>
  <c r="O49" i="80"/>
  <c r="S49" i="80" s="1"/>
  <c r="N49" i="80"/>
  <c r="E49" i="80"/>
  <c r="C49" i="80"/>
  <c r="O57" i="80" s="1"/>
  <c r="N86" i="80" s="1"/>
  <c r="Y48" i="80"/>
  <c r="U48" i="80"/>
  <c r="T48" i="80"/>
  <c r="O48" i="80"/>
  <c r="S48" i="80" s="1"/>
  <c r="N48" i="80"/>
  <c r="F48" i="80"/>
  <c r="G48" i="80" s="1"/>
  <c r="T47" i="80"/>
  <c r="N47" i="80"/>
  <c r="F47" i="80"/>
  <c r="G47" i="80" s="1"/>
  <c r="F46" i="80"/>
  <c r="G46" i="80" s="1"/>
  <c r="F45" i="80"/>
  <c r="G45" i="80" s="1"/>
  <c r="F44" i="80"/>
  <c r="G43" i="80"/>
  <c r="F43" i="80"/>
  <c r="E43" i="80"/>
  <c r="C43" i="80"/>
  <c r="B43" i="80"/>
  <c r="AD41" i="80"/>
  <c r="AC41" i="80"/>
  <c r="AD40" i="80"/>
  <c r="AC40" i="80"/>
  <c r="AB40" i="80"/>
  <c r="AA40" i="80"/>
  <c r="AD39" i="80"/>
  <c r="AC39" i="80"/>
  <c r="AB39" i="80"/>
  <c r="AA39" i="80"/>
  <c r="I34" i="80"/>
  <c r="K34" i="80" s="1"/>
  <c r="H34" i="80"/>
  <c r="G34" i="80"/>
  <c r="F34" i="80"/>
  <c r="J34" i="80" s="1"/>
  <c r="G25" i="80" s="1"/>
  <c r="I33" i="80"/>
  <c r="K33" i="80" s="1"/>
  <c r="H33" i="80"/>
  <c r="G33" i="80"/>
  <c r="F33" i="80"/>
  <c r="P29" i="80"/>
  <c r="T29" i="80" s="1"/>
  <c r="X63" i="80" s="1"/>
  <c r="I29" i="80"/>
  <c r="H29" i="80"/>
  <c r="G29" i="80"/>
  <c r="J29" i="80" s="1"/>
  <c r="F29" i="80"/>
  <c r="I28" i="80"/>
  <c r="K28" i="80" s="1"/>
  <c r="H28" i="80"/>
  <c r="G28" i="80"/>
  <c r="J28" i="80" s="1"/>
  <c r="F28" i="80"/>
  <c r="P27" i="80"/>
  <c r="T27" i="80" s="1"/>
  <c r="T26" i="80"/>
  <c r="P26" i="80"/>
  <c r="O26" i="80"/>
  <c r="P25" i="80"/>
  <c r="T25" i="80" s="1"/>
  <c r="O25" i="80"/>
  <c r="P24" i="80"/>
  <c r="T24" i="80" s="1"/>
  <c r="O24" i="80"/>
  <c r="P23" i="80"/>
  <c r="T23" i="80" s="1"/>
  <c r="O23" i="80"/>
  <c r="P22" i="80"/>
  <c r="T22" i="80" s="1"/>
  <c r="O22" i="80"/>
  <c r="P21" i="80"/>
  <c r="T21" i="80" s="1"/>
  <c r="O21" i="80"/>
  <c r="T20" i="80"/>
  <c r="P20" i="80"/>
  <c r="O20" i="80"/>
  <c r="P19" i="80"/>
  <c r="T19" i="80" s="1"/>
  <c r="O19" i="80"/>
  <c r="P18" i="80"/>
  <c r="T18" i="80" s="1"/>
  <c r="O18" i="80"/>
  <c r="P17" i="80"/>
  <c r="T17" i="80" s="1"/>
  <c r="O17" i="80"/>
  <c r="P16" i="80"/>
  <c r="T16" i="80" s="1"/>
  <c r="O16" i="80"/>
  <c r="P15" i="80"/>
  <c r="T15" i="80" s="1"/>
  <c r="O15" i="80"/>
  <c r="P14" i="80"/>
  <c r="T14" i="80" s="1"/>
  <c r="O14" i="80"/>
  <c r="E14" i="80"/>
  <c r="P13" i="80"/>
  <c r="T13" i="80" s="1"/>
  <c r="O13" i="80"/>
  <c r="E13" i="80"/>
  <c r="E12" i="82" s="1"/>
  <c r="T12" i="80"/>
  <c r="P12" i="80"/>
  <c r="O12" i="80"/>
  <c r="P11" i="80"/>
  <c r="T11" i="80" s="1"/>
  <c r="O11" i="80"/>
  <c r="E11" i="80"/>
  <c r="E10" i="82" s="1"/>
  <c r="P10" i="80"/>
  <c r="T10" i="80" s="1"/>
  <c r="O10" i="80"/>
  <c r="P8" i="80"/>
  <c r="T8" i="80" s="1"/>
  <c r="O8" i="80"/>
  <c r="P7" i="80"/>
  <c r="T7" i="80" s="1"/>
  <c r="O7" i="80"/>
  <c r="T6" i="80"/>
  <c r="P6" i="80"/>
  <c r="O6" i="80"/>
  <c r="J6" i="80"/>
  <c r="J5" i="80"/>
  <c r="T4" i="80"/>
  <c r="P4" i="80"/>
  <c r="O4" i="80"/>
  <c r="X58" i="54"/>
  <c r="W58" i="54"/>
  <c r="V58" i="54"/>
  <c r="U58" i="54"/>
  <c r="T58" i="54"/>
  <c r="S58" i="54"/>
  <c r="R58" i="54"/>
  <c r="Q58" i="54"/>
  <c r="P58" i="54"/>
  <c r="O58" i="54"/>
  <c r="X58" i="53"/>
  <c r="W58" i="53"/>
  <c r="V58" i="53"/>
  <c r="U58" i="53"/>
  <c r="T58" i="53"/>
  <c r="S58" i="53"/>
  <c r="R58" i="53"/>
  <c r="Q58" i="53"/>
  <c r="P58" i="53"/>
  <c r="O58" i="53"/>
  <c r="X58" i="52"/>
  <c r="W58" i="52"/>
  <c r="V58" i="52"/>
  <c r="U58" i="52"/>
  <c r="T58" i="52"/>
  <c r="S58" i="52"/>
  <c r="R58" i="52"/>
  <c r="Q58" i="52"/>
  <c r="P58" i="52"/>
  <c r="O58" i="52"/>
  <c r="X58" i="51"/>
  <c r="W58" i="51"/>
  <c r="V58" i="51"/>
  <c r="U58" i="51"/>
  <c r="T58" i="51"/>
  <c r="S58" i="51"/>
  <c r="R58" i="51"/>
  <c r="Q58" i="51"/>
  <c r="P58" i="51"/>
  <c r="O58" i="51"/>
  <c r="X58" i="50"/>
  <c r="W58" i="50"/>
  <c r="V58" i="50"/>
  <c r="U58" i="50"/>
  <c r="T58" i="50"/>
  <c r="S58" i="50"/>
  <c r="R58" i="50"/>
  <c r="Q58" i="50"/>
  <c r="P58" i="50"/>
  <c r="O58" i="50"/>
  <c r="X58" i="49"/>
  <c r="W58" i="49"/>
  <c r="V58" i="49"/>
  <c r="U58" i="49"/>
  <c r="T58" i="49"/>
  <c r="S58" i="49"/>
  <c r="R58" i="49"/>
  <c r="Q58" i="49"/>
  <c r="P58" i="49"/>
  <c r="O58" i="49"/>
  <c r="X58" i="48"/>
  <c r="W58" i="48"/>
  <c r="V58" i="48"/>
  <c r="U58" i="48"/>
  <c r="T58" i="48"/>
  <c r="S58" i="48"/>
  <c r="R58" i="48"/>
  <c r="Q58" i="48"/>
  <c r="P58" i="48"/>
  <c r="O58" i="48"/>
  <c r="X58" i="47"/>
  <c r="W58" i="47"/>
  <c r="V58" i="47"/>
  <c r="U58" i="47"/>
  <c r="T58" i="47"/>
  <c r="S58" i="47"/>
  <c r="R58" i="47"/>
  <c r="Q58" i="47"/>
  <c r="P58" i="47"/>
  <c r="O58" i="47"/>
  <c r="X58" i="46"/>
  <c r="W58" i="46"/>
  <c r="V58" i="46"/>
  <c r="U58" i="46"/>
  <c r="T58" i="46"/>
  <c r="S58" i="46"/>
  <c r="R58" i="46"/>
  <c r="Q58" i="46"/>
  <c r="P58" i="46"/>
  <c r="O58" i="46"/>
  <c r="X58" i="45"/>
  <c r="W58" i="45"/>
  <c r="V58" i="45"/>
  <c r="U58" i="45"/>
  <c r="T58" i="45"/>
  <c r="S58" i="45"/>
  <c r="R58" i="45"/>
  <c r="Q58" i="45"/>
  <c r="P58" i="45"/>
  <c r="O58" i="45"/>
  <c r="X58" i="44"/>
  <c r="W58" i="44"/>
  <c r="V58" i="44"/>
  <c r="U58" i="44"/>
  <c r="T58" i="44"/>
  <c r="S58" i="44"/>
  <c r="R58" i="44"/>
  <c r="Q58" i="44"/>
  <c r="P58" i="44"/>
  <c r="O58" i="44"/>
  <c r="C96" i="45"/>
  <c r="C46" i="5"/>
  <c r="R20" i="22"/>
  <c r="R20" i="25" s="1"/>
  <c r="R21" i="22"/>
  <c r="R21" i="25" s="1"/>
  <c r="R22" i="22"/>
  <c r="R22" i="25" s="1"/>
  <c r="R23" i="22"/>
  <c r="R23" i="25" s="1"/>
  <c r="R24" i="22"/>
  <c r="R24" i="25" s="1"/>
  <c r="R25" i="22"/>
  <c r="R25" i="25" s="1"/>
  <c r="R26" i="22"/>
  <c r="R26" i="25" s="1"/>
  <c r="R27" i="22"/>
  <c r="R27" i="25" s="1"/>
  <c r="R27" i="27" s="1"/>
  <c r="R28" i="22"/>
  <c r="R28" i="25" s="1"/>
  <c r="R28" i="27" s="1"/>
  <c r="R19" i="22"/>
  <c r="R19" i="25" s="1"/>
  <c r="E88" i="44"/>
  <c r="R20" i="27" l="1"/>
  <c r="C52" i="5"/>
  <c r="C56" i="5"/>
  <c r="R24" i="27"/>
  <c r="R22" i="27"/>
  <c r="C54" i="5"/>
  <c r="R19" i="27"/>
  <c r="C51" i="5"/>
  <c r="R21" i="27"/>
  <c r="C53" i="5"/>
  <c r="X63" i="90"/>
  <c r="R63" i="90"/>
  <c r="S63" i="90"/>
  <c r="R27" i="29"/>
  <c r="C74" i="5"/>
  <c r="R28" i="29"/>
  <c r="C75" i="5"/>
  <c r="C58" i="5"/>
  <c r="R26" i="27"/>
  <c r="C57" i="5"/>
  <c r="R25" i="27"/>
  <c r="R64" i="80"/>
  <c r="U64" i="80"/>
  <c r="T64" i="80"/>
  <c r="R23" i="27"/>
  <c r="C55" i="5"/>
  <c r="C48" i="5"/>
  <c r="C47" i="5"/>
  <c r="J33" i="80"/>
  <c r="G24" i="80" s="1"/>
  <c r="P26" i="82"/>
  <c r="T26" i="82" s="1"/>
  <c r="G32" i="82"/>
  <c r="J32" i="82" s="1"/>
  <c r="AA38" i="82"/>
  <c r="F47" i="82"/>
  <c r="G47" i="82" s="1"/>
  <c r="F59" i="82"/>
  <c r="F77" i="82"/>
  <c r="G77" i="82" s="1"/>
  <c r="F91" i="82"/>
  <c r="R19" i="85"/>
  <c r="C196" i="5"/>
  <c r="R27" i="85"/>
  <c r="C204" i="5"/>
  <c r="E12" i="84"/>
  <c r="O17" i="84"/>
  <c r="O23" i="84"/>
  <c r="AD38" i="84"/>
  <c r="T4" i="86"/>
  <c r="P8" i="86"/>
  <c r="T8" i="86" s="1"/>
  <c r="P15" i="86"/>
  <c r="T15" i="86" s="1"/>
  <c r="P19" i="86"/>
  <c r="T19" i="86" s="1"/>
  <c r="I33" i="86"/>
  <c r="F47" i="86"/>
  <c r="G47" i="86" s="1"/>
  <c r="N52" i="86"/>
  <c r="F70" i="86"/>
  <c r="G70" i="86" s="1"/>
  <c r="O8" i="88"/>
  <c r="P26" i="88"/>
  <c r="T26" i="88" s="1"/>
  <c r="O63" i="88" s="1"/>
  <c r="F53" i="88"/>
  <c r="G53" i="88" s="1"/>
  <c r="F78" i="88"/>
  <c r="G78" i="88" s="1"/>
  <c r="F60" i="90"/>
  <c r="G60" i="90" s="1"/>
  <c r="F68" i="90"/>
  <c r="G68" i="90" s="1"/>
  <c r="F91" i="92"/>
  <c r="F78" i="92"/>
  <c r="G78" i="92" s="1"/>
  <c r="F59" i="92"/>
  <c r="F46" i="92"/>
  <c r="G46" i="92" s="1"/>
  <c r="P26" i="92"/>
  <c r="T26" i="92" s="1"/>
  <c r="F77" i="92"/>
  <c r="G77" i="92" s="1"/>
  <c r="F43" i="92"/>
  <c r="F75" i="92"/>
  <c r="F94" i="92"/>
  <c r="G94" i="92" s="1"/>
  <c r="F54" i="92"/>
  <c r="G54" i="92" s="1"/>
  <c r="F87" i="92"/>
  <c r="G87" i="92" s="1"/>
  <c r="F86" i="92"/>
  <c r="G86" i="92" s="1"/>
  <c r="F53" i="92"/>
  <c r="G53" i="92" s="1"/>
  <c r="E13" i="82"/>
  <c r="E13" i="94"/>
  <c r="T95" i="80"/>
  <c r="AC40" i="82"/>
  <c r="F78" i="82"/>
  <c r="G78" i="82" s="1"/>
  <c r="F94" i="82"/>
  <c r="G94" i="82" s="1"/>
  <c r="R20" i="85"/>
  <c r="C197" i="5"/>
  <c r="R28" i="85"/>
  <c r="C205" i="5"/>
  <c r="O6" i="84"/>
  <c r="P12" i="84"/>
  <c r="T12" i="84" s="1"/>
  <c r="AC40" i="84"/>
  <c r="O21" i="86"/>
  <c r="P24" i="86"/>
  <c r="T24" i="86" s="1"/>
  <c r="F28" i="86"/>
  <c r="AB38" i="86"/>
  <c r="U47" i="86"/>
  <c r="Y47" i="86" s="1"/>
  <c r="F55" i="86"/>
  <c r="G55" i="86" s="1"/>
  <c r="O10" i="88"/>
  <c r="O18" i="88"/>
  <c r="F46" i="88"/>
  <c r="G46" i="88" s="1"/>
  <c r="F54" i="88"/>
  <c r="G54" i="88" s="1"/>
  <c r="F59" i="88"/>
  <c r="F62" i="90"/>
  <c r="G62" i="90" s="1"/>
  <c r="F27" i="92"/>
  <c r="H27" i="92"/>
  <c r="K27" i="92" s="1"/>
  <c r="P10" i="82"/>
  <c r="T10" i="82" s="1"/>
  <c r="O19" i="82"/>
  <c r="AD40" i="82"/>
  <c r="F61" i="82"/>
  <c r="G61" i="82" s="1"/>
  <c r="F71" i="82"/>
  <c r="G71" i="82" s="1"/>
  <c r="P18" i="84"/>
  <c r="T18" i="84" s="1"/>
  <c r="AD40" i="84"/>
  <c r="O48" i="84"/>
  <c r="S48" i="84" s="1"/>
  <c r="O10" i="86"/>
  <c r="O22" i="86"/>
  <c r="AD38" i="86"/>
  <c r="P10" i="88"/>
  <c r="T10" i="88" s="1"/>
  <c r="J33" i="88"/>
  <c r="T46" i="88"/>
  <c r="F63" i="88"/>
  <c r="G63" i="88" s="1"/>
  <c r="H27" i="94"/>
  <c r="F27" i="94"/>
  <c r="F110" i="82"/>
  <c r="G110" i="82" s="1"/>
  <c r="F95" i="82"/>
  <c r="F44" i="82"/>
  <c r="G44" i="82" s="1"/>
  <c r="U48" i="82"/>
  <c r="Y48" i="82" s="1"/>
  <c r="F63" i="82"/>
  <c r="G63" i="82" s="1"/>
  <c r="F117" i="82"/>
  <c r="G117" i="82" s="1"/>
  <c r="R22" i="85"/>
  <c r="C199" i="5"/>
  <c r="T48" i="84"/>
  <c r="O62" i="84"/>
  <c r="Q83" i="84"/>
  <c r="O17" i="86"/>
  <c r="AA39" i="86"/>
  <c r="J5" i="88"/>
  <c r="F47" i="88"/>
  <c r="F71" i="88"/>
  <c r="G71" i="88" s="1"/>
  <c r="F52" i="88"/>
  <c r="G52" i="88" s="1"/>
  <c r="F94" i="88"/>
  <c r="G94" i="88" s="1"/>
  <c r="F75" i="88"/>
  <c r="F61" i="88"/>
  <c r="G61" i="88" s="1"/>
  <c r="P20" i="88"/>
  <c r="T20" i="88" s="1"/>
  <c r="O83" i="88"/>
  <c r="O97" i="88"/>
  <c r="I33" i="96"/>
  <c r="G33" i="96"/>
  <c r="F45" i="82"/>
  <c r="G45" i="82" s="1"/>
  <c r="F51" i="82"/>
  <c r="G51" i="82" s="1"/>
  <c r="F68" i="82"/>
  <c r="G68" i="82" s="1"/>
  <c r="F83" i="82"/>
  <c r="R23" i="85"/>
  <c r="C200" i="5"/>
  <c r="P4" i="84"/>
  <c r="O8" i="84"/>
  <c r="O15" i="84"/>
  <c r="O19" i="84"/>
  <c r="P24" i="84"/>
  <c r="T24" i="84" s="1"/>
  <c r="G33" i="84"/>
  <c r="J33" i="84" s="1"/>
  <c r="U48" i="84"/>
  <c r="Y48" i="84" s="1"/>
  <c r="R21" i="85"/>
  <c r="O12" i="86"/>
  <c r="P17" i="86"/>
  <c r="T17" i="86" s="1"/>
  <c r="AD40" i="86"/>
  <c r="F95" i="86"/>
  <c r="G95" i="86" s="1"/>
  <c r="P12" i="88"/>
  <c r="T12" i="88" s="1"/>
  <c r="G32" i="88"/>
  <c r="J32" i="88" s="1"/>
  <c r="F84" i="88"/>
  <c r="G84" i="88" s="1"/>
  <c r="AA97" i="88"/>
  <c r="I27" i="90"/>
  <c r="G27" i="90"/>
  <c r="F28" i="92"/>
  <c r="H28" i="92"/>
  <c r="K8" i="99"/>
  <c r="J8" i="99"/>
  <c r="D8" i="99"/>
  <c r="F24" i="80"/>
  <c r="O15" i="82"/>
  <c r="O23" i="82"/>
  <c r="F46" i="82"/>
  <c r="G46" i="82" s="1"/>
  <c r="F52" i="82"/>
  <c r="G52" i="82" s="1"/>
  <c r="F69" i="82"/>
  <c r="G69" i="82" s="1"/>
  <c r="F85" i="82"/>
  <c r="G85" i="82" s="1"/>
  <c r="P21" i="84"/>
  <c r="T21" i="84" s="1"/>
  <c r="P26" i="84"/>
  <c r="T26" i="84" s="1"/>
  <c r="H33" i="84"/>
  <c r="K33" i="84" s="1"/>
  <c r="O50" i="84"/>
  <c r="S50" i="84" s="1"/>
  <c r="R25" i="85"/>
  <c r="N51" i="86"/>
  <c r="N97" i="86"/>
  <c r="Q83" i="86"/>
  <c r="O6" i="86"/>
  <c r="E13" i="86"/>
  <c r="O23" i="86"/>
  <c r="F27" i="86"/>
  <c r="B42" i="86"/>
  <c r="AC38" i="88"/>
  <c r="N48" i="88"/>
  <c r="F86" i="88"/>
  <c r="G86" i="88" s="1"/>
  <c r="F77" i="90"/>
  <c r="G77" i="90" s="1"/>
  <c r="F46" i="90"/>
  <c r="G46" i="90" s="1"/>
  <c r="F87" i="90"/>
  <c r="G87" i="90" s="1"/>
  <c r="F95" i="90"/>
  <c r="G95" i="90" s="1"/>
  <c r="F51" i="90"/>
  <c r="G51" i="90" s="1"/>
  <c r="F91" i="90"/>
  <c r="H33" i="82"/>
  <c r="K33" i="82" s="1"/>
  <c r="F53" i="82"/>
  <c r="G53" i="82" s="1"/>
  <c r="F109" i="82"/>
  <c r="G109" i="82" s="1"/>
  <c r="P10" i="84"/>
  <c r="T10" i="84" s="1"/>
  <c r="P16" i="84"/>
  <c r="T16" i="84" s="1"/>
  <c r="G32" i="84"/>
  <c r="J32" i="84" s="1"/>
  <c r="G23" i="84" s="1"/>
  <c r="T46" i="84"/>
  <c r="N97" i="84"/>
  <c r="P6" i="86"/>
  <c r="T6" i="86" s="1"/>
  <c r="P14" i="86"/>
  <c r="T14" i="86" s="1"/>
  <c r="P23" i="86"/>
  <c r="T23" i="86" s="1"/>
  <c r="F44" i="86"/>
  <c r="G44" i="86" s="1"/>
  <c r="O50" i="86"/>
  <c r="S50" i="86" s="1"/>
  <c r="J6" i="88"/>
  <c r="O16" i="88"/>
  <c r="F42" i="88"/>
  <c r="T48" i="88"/>
  <c r="J6" i="101"/>
  <c r="H6" i="101"/>
  <c r="D6" i="101"/>
  <c r="T46" i="82"/>
  <c r="F55" i="82"/>
  <c r="G55" i="82" s="1"/>
  <c r="F75" i="82"/>
  <c r="G75" i="82" s="1"/>
  <c r="F111" i="82"/>
  <c r="G111" i="82" s="1"/>
  <c r="R26" i="85"/>
  <c r="C203" i="5"/>
  <c r="N46" i="86"/>
  <c r="AA98" i="86"/>
  <c r="AA98" i="88"/>
  <c r="AC40" i="88"/>
  <c r="P21" i="88"/>
  <c r="T21" i="88" s="1"/>
  <c r="O7" i="88"/>
  <c r="O4" i="88"/>
  <c r="N51" i="88"/>
  <c r="U47" i="88"/>
  <c r="Y47" i="88" s="1"/>
  <c r="AD39" i="88"/>
  <c r="O21" i="88"/>
  <c r="P14" i="88"/>
  <c r="T14" i="88" s="1"/>
  <c r="N99" i="88"/>
  <c r="O49" i="88"/>
  <c r="S49" i="88" s="1"/>
  <c r="N46" i="88"/>
  <c r="AB38" i="88"/>
  <c r="O24" i="88"/>
  <c r="O12" i="88"/>
  <c r="F43" i="88"/>
  <c r="G43" i="88" s="1"/>
  <c r="N50" i="88"/>
  <c r="F69" i="88"/>
  <c r="G69" i="88" s="1"/>
  <c r="F45" i="90"/>
  <c r="G45" i="90" s="1"/>
  <c r="F53" i="90"/>
  <c r="G53" i="90" s="1"/>
  <c r="J28" i="92"/>
  <c r="J7" i="101"/>
  <c r="F7" i="101"/>
  <c r="L7" i="101"/>
  <c r="O7" i="90"/>
  <c r="P13" i="90"/>
  <c r="T13" i="90" s="1"/>
  <c r="O18" i="90"/>
  <c r="N47" i="90"/>
  <c r="O52" i="90"/>
  <c r="S52" i="90" s="1"/>
  <c r="I28" i="92"/>
  <c r="V62" i="92"/>
  <c r="O9" i="94"/>
  <c r="O13" i="94"/>
  <c r="P17" i="94"/>
  <c r="T17" i="94" s="1"/>
  <c r="P25" i="94"/>
  <c r="T25" i="94" s="1"/>
  <c r="H28" i="94"/>
  <c r="AD38" i="94"/>
  <c r="N46" i="94"/>
  <c r="O50" i="94"/>
  <c r="S50" i="94" s="1"/>
  <c r="F79" i="94"/>
  <c r="G79" i="94" s="1"/>
  <c r="P11" i="96"/>
  <c r="T11" i="96" s="1"/>
  <c r="O21" i="96"/>
  <c r="P25" i="96"/>
  <c r="T25" i="96" s="1"/>
  <c r="F43" i="96"/>
  <c r="F87" i="96"/>
  <c r="G87" i="96" s="1"/>
  <c r="N97" i="96"/>
  <c r="P4" i="98"/>
  <c r="P6" i="98"/>
  <c r="T6" i="98" s="1"/>
  <c r="P17" i="98"/>
  <c r="T17" i="98" s="1"/>
  <c r="O22" i="98"/>
  <c r="AC39" i="98"/>
  <c r="O50" i="98"/>
  <c r="S50" i="98" s="1"/>
  <c r="F62" i="98"/>
  <c r="G62" i="98" s="1"/>
  <c r="F92" i="98"/>
  <c r="G92" i="98" s="1"/>
  <c r="J5" i="100"/>
  <c r="O8" i="100"/>
  <c r="O12" i="100"/>
  <c r="P20" i="100"/>
  <c r="T20" i="100" s="1"/>
  <c r="P23" i="100"/>
  <c r="T23" i="100" s="1"/>
  <c r="F27" i="100"/>
  <c r="F43" i="100"/>
  <c r="O97" i="100"/>
  <c r="P16" i="102"/>
  <c r="T16" i="102" s="1"/>
  <c r="P21" i="102"/>
  <c r="T21" i="102" s="1"/>
  <c r="O25" i="102"/>
  <c r="F32" i="102"/>
  <c r="J32" i="102" s="1"/>
  <c r="AC38" i="102"/>
  <c r="N51" i="102"/>
  <c r="F59" i="102"/>
  <c r="F68" i="102"/>
  <c r="G68" i="102" s="1"/>
  <c r="Q83" i="102"/>
  <c r="N97" i="102"/>
  <c r="F111" i="102"/>
  <c r="G111" i="102" s="1"/>
  <c r="P8" i="100"/>
  <c r="T8" i="100" s="1"/>
  <c r="P12" i="100"/>
  <c r="T12" i="100" s="1"/>
  <c r="O17" i="100"/>
  <c r="O21" i="100"/>
  <c r="N46" i="100"/>
  <c r="O99" i="100"/>
  <c r="G32" i="102"/>
  <c r="G42" i="102"/>
  <c r="F52" i="102"/>
  <c r="G52" i="102" s="1"/>
  <c r="F61" i="102"/>
  <c r="G61" i="102" s="1"/>
  <c r="F69" i="102"/>
  <c r="G69" i="102" s="1"/>
  <c r="F91" i="102"/>
  <c r="O99" i="102"/>
  <c r="J27" i="92"/>
  <c r="O10" i="94"/>
  <c r="P14" i="94"/>
  <c r="T14" i="94" s="1"/>
  <c r="O23" i="94"/>
  <c r="AC39" i="94"/>
  <c r="O47" i="94"/>
  <c r="S47" i="94" s="1"/>
  <c r="N52" i="94"/>
  <c r="O97" i="94"/>
  <c r="O7" i="98"/>
  <c r="O15" i="98"/>
  <c r="O18" i="98"/>
  <c r="AD40" i="98"/>
  <c r="N52" i="98"/>
  <c r="N83" i="98"/>
  <c r="O9" i="100"/>
  <c r="P17" i="100"/>
  <c r="T17" i="100" s="1"/>
  <c r="P21" i="100"/>
  <c r="T21" i="100" s="1"/>
  <c r="I32" i="100"/>
  <c r="N47" i="100"/>
  <c r="T28" i="101"/>
  <c r="P11" i="102"/>
  <c r="T11" i="102" s="1"/>
  <c r="H28" i="102"/>
  <c r="F46" i="102"/>
  <c r="G46" i="102" s="1"/>
  <c r="F53" i="102"/>
  <c r="G53" i="102" s="1"/>
  <c r="F86" i="102"/>
  <c r="G86" i="102" s="1"/>
  <c r="F102" i="102"/>
  <c r="G102" i="102" s="1"/>
  <c r="T13" i="103"/>
  <c r="T24" i="103"/>
  <c r="T25" i="103"/>
  <c r="O6" i="94"/>
  <c r="O15" i="94"/>
  <c r="O19" i="94"/>
  <c r="P23" i="94"/>
  <c r="T23" i="94" s="1"/>
  <c r="AD40" i="94"/>
  <c r="U47" i="94"/>
  <c r="Y47" i="94" s="1"/>
  <c r="F54" i="94"/>
  <c r="G54" i="94" s="1"/>
  <c r="N98" i="94"/>
  <c r="P8" i="98"/>
  <c r="T8" i="98" s="1"/>
  <c r="P15" i="98"/>
  <c r="T15" i="98" s="1"/>
  <c r="O23" i="98"/>
  <c r="G33" i="98"/>
  <c r="B42" i="98"/>
  <c r="N48" i="98"/>
  <c r="F53" i="98"/>
  <c r="G53" i="98" s="1"/>
  <c r="O83" i="98"/>
  <c r="O4" i="100"/>
  <c r="J6" i="100"/>
  <c r="O10" i="100"/>
  <c r="P14" i="100"/>
  <c r="T14" i="100" s="1"/>
  <c r="O24" i="100"/>
  <c r="P7" i="102"/>
  <c r="T7" i="102" s="1"/>
  <c r="O18" i="102"/>
  <c r="F63" i="102"/>
  <c r="G63" i="102" s="1"/>
  <c r="F75" i="102"/>
  <c r="G75" i="102" s="1"/>
  <c r="F87" i="102"/>
  <c r="G87" i="102" s="1"/>
  <c r="F103" i="102"/>
  <c r="G103" i="102" s="1"/>
  <c r="F115" i="102"/>
  <c r="F109" i="96"/>
  <c r="G109" i="96" s="1"/>
  <c r="J5" i="98"/>
  <c r="O19" i="98"/>
  <c r="P23" i="98"/>
  <c r="T23" i="98" s="1"/>
  <c r="E42" i="98"/>
  <c r="U48" i="98"/>
  <c r="Y48" i="98" s="1"/>
  <c r="F55" i="98"/>
  <c r="G55" i="98" s="1"/>
  <c r="F85" i="98"/>
  <c r="G85" i="98" s="1"/>
  <c r="N96" i="98"/>
  <c r="P4" i="100"/>
  <c r="O6" i="100"/>
  <c r="P10" i="100"/>
  <c r="T10" i="100" s="1"/>
  <c r="O15" i="100"/>
  <c r="O18" i="100"/>
  <c r="O22" i="100"/>
  <c r="P24" i="100"/>
  <c r="T24" i="100" s="1"/>
  <c r="T27" i="101"/>
  <c r="J28" i="102"/>
  <c r="F77" i="102"/>
  <c r="G77" i="102" s="1"/>
  <c r="F94" i="102"/>
  <c r="G94" i="102" s="1"/>
  <c r="F118" i="102"/>
  <c r="G118" i="102" s="1"/>
  <c r="T26" i="103"/>
  <c r="F67" i="96"/>
  <c r="P9" i="98"/>
  <c r="T9" i="98" s="1"/>
  <c r="O16" i="98"/>
  <c r="P19" i="98"/>
  <c r="T19" i="98" s="1"/>
  <c r="F42" i="98"/>
  <c r="F87" i="98"/>
  <c r="G87" i="98" s="1"/>
  <c r="N98" i="98"/>
  <c r="T4" i="100"/>
  <c r="P6" i="100"/>
  <c r="T6" i="100" s="1"/>
  <c r="P15" i="100"/>
  <c r="T15" i="100" s="1"/>
  <c r="AD39" i="100"/>
  <c r="N48" i="100"/>
  <c r="T23" i="101"/>
  <c r="F78" i="102"/>
  <c r="G78" i="102" s="1"/>
  <c r="F95" i="102"/>
  <c r="G95" i="102" s="1"/>
  <c r="F119" i="102"/>
  <c r="G119" i="102" s="1"/>
  <c r="P13" i="92"/>
  <c r="T13" i="92" s="1"/>
  <c r="I33" i="94"/>
  <c r="F54" i="96"/>
  <c r="G54" i="96" s="1"/>
  <c r="O20" i="98"/>
  <c r="AD38" i="98"/>
  <c r="F44" i="98"/>
  <c r="G44" i="98" s="1"/>
  <c r="N49" i="98"/>
  <c r="F67" i="98"/>
  <c r="AA98" i="98"/>
  <c r="O19" i="100"/>
  <c r="B42" i="100"/>
  <c r="O52" i="100"/>
  <c r="S52" i="100" s="1"/>
  <c r="N48" i="102"/>
  <c r="F71" i="102"/>
  <c r="G71" i="102" s="1"/>
  <c r="F107" i="102"/>
  <c r="T20" i="103"/>
  <c r="F60" i="96"/>
  <c r="G60" i="96" s="1"/>
  <c r="F117" i="96"/>
  <c r="G117" i="96" s="1"/>
  <c r="O6" i="98"/>
  <c r="P11" i="98"/>
  <c r="T11" i="98" s="1"/>
  <c r="O17" i="98"/>
  <c r="P20" i="98"/>
  <c r="T20" i="98" s="1"/>
  <c r="P24" i="98"/>
  <c r="T24" i="98" s="1"/>
  <c r="AA39" i="98"/>
  <c r="O47" i="98"/>
  <c r="S47" i="98" s="1"/>
  <c r="O49" i="98"/>
  <c r="S49" i="98" s="1"/>
  <c r="F77" i="98"/>
  <c r="G77" i="98" s="1"/>
  <c r="N99" i="98"/>
  <c r="O7" i="100"/>
  <c r="O11" i="100"/>
  <c r="O16" i="100"/>
  <c r="P19" i="100"/>
  <c r="T19" i="100" s="1"/>
  <c r="O23" i="100"/>
  <c r="F42" i="100"/>
  <c r="O48" i="102"/>
  <c r="S48" i="102" s="1"/>
  <c r="F110" i="102"/>
  <c r="G110" i="102" s="1"/>
  <c r="T10" i="103"/>
  <c r="J6" i="87"/>
  <c r="K6" i="87"/>
  <c r="E6" i="85"/>
  <c r="L6" i="85"/>
  <c r="T28" i="81"/>
  <c r="G191" i="5" s="1"/>
  <c r="T23" i="81"/>
  <c r="G186" i="5" s="1"/>
  <c r="T22" i="81"/>
  <c r="G185" i="5" s="1"/>
  <c r="G98" i="80"/>
  <c r="G99" i="80" s="1"/>
  <c r="G89" i="80"/>
  <c r="O91" i="80" s="1"/>
  <c r="B7" i="81" s="1"/>
  <c r="F73" i="80"/>
  <c r="R37" i="80" s="1"/>
  <c r="R39" i="80" s="1"/>
  <c r="R41" i="80" s="1"/>
  <c r="R60" i="80" s="1"/>
  <c r="G68" i="80"/>
  <c r="G73" i="80"/>
  <c r="O89" i="80" s="1"/>
  <c r="B5" i="81" s="1"/>
  <c r="C8" i="81"/>
  <c r="C2" i="83"/>
  <c r="G57" i="80"/>
  <c r="O87" i="80" s="1"/>
  <c r="B3" i="81" s="1"/>
  <c r="C8" i="83"/>
  <c r="V62" i="82"/>
  <c r="U62" i="82"/>
  <c r="T62" i="82"/>
  <c r="S62" i="82"/>
  <c r="X62" i="82"/>
  <c r="P62" i="82"/>
  <c r="O62" i="82"/>
  <c r="W62" i="82"/>
  <c r="R62" i="82"/>
  <c r="Q62" i="82"/>
  <c r="I27" i="82"/>
  <c r="G27" i="82"/>
  <c r="C4" i="87"/>
  <c r="D4" i="81"/>
  <c r="L9" i="83"/>
  <c r="D9" i="83"/>
  <c r="J9" i="83"/>
  <c r="G9" i="83"/>
  <c r="K9" i="83"/>
  <c r="E9" i="83"/>
  <c r="I9" i="83"/>
  <c r="H9" i="83"/>
  <c r="F9" i="83"/>
  <c r="J6" i="82"/>
  <c r="G24" i="82"/>
  <c r="T47" i="82"/>
  <c r="T21" i="83"/>
  <c r="G198" i="5" s="1"/>
  <c r="T25" i="83"/>
  <c r="G202" i="5" s="1"/>
  <c r="T20" i="83"/>
  <c r="G197" i="5" s="1"/>
  <c r="C7" i="81"/>
  <c r="C4" i="83"/>
  <c r="G91" i="92"/>
  <c r="C9" i="81"/>
  <c r="G74" i="80"/>
  <c r="F113" i="80"/>
  <c r="W37" i="80" s="1"/>
  <c r="W39" i="80" s="1"/>
  <c r="G108" i="80"/>
  <c r="AC38" i="82"/>
  <c r="N50" i="82"/>
  <c r="I6" i="85"/>
  <c r="H6" i="85"/>
  <c r="G6" i="85"/>
  <c r="F6" i="85"/>
  <c r="K6" i="85"/>
  <c r="D6" i="85"/>
  <c r="J6" i="85"/>
  <c r="C8" i="85"/>
  <c r="F57" i="80"/>
  <c r="P37" i="80" s="1"/>
  <c r="P39" i="80" s="1"/>
  <c r="Q63" i="80"/>
  <c r="G90" i="80"/>
  <c r="G97" i="80"/>
  <c r="O92" i="80" s="1"/>
  <c r="B8" i="81" s="1"/>
  <c r="T94" i="80"/>
  <c r="F105" i="80"/>
  <c r="V37" i="80" s="1"/>
  <c r="V39" i="80" s="1"/>
  <c r="G100" i="80"/>
  <c r="D6" i="81"/>
  <c r="T9" i="81"/>
  <c r="T15" i="81"/>
  <c r="T14" i="81"/>
  <c r="T13" i="81"/>
  <c r="T8" i="81"/>
  <c r="T6" i="81"/>
  <c r="T10" i="81"/>
  <c r="O4" i="82"/>
  <c r="O24" i="82"/>
  <c r="K32" i="82"/>
  <c r="G23" i="82" s="1"/>
  <c r="AA98" i="82"/>
  <c r="J3" i="87"/>
  <c r="I3" i="87"/>
  <c r="H3" i="87"/>
  <c r="G3" i="87"/>
  <c r="L3" i="87"/>
  <c r="D3" i="87"/>
  <c r="E3" i="87"/>
  <c r="F3" i="87"/>
  <c r="K3" i="87"/>
  <c r="H4" i="81"/>
  <c r="G4" i="81"/>
  <c r="F4" i="81"/>
  <c r="E4" i="81"/>
  <c r="J4" i="81"/>
  <c r="C3" i="83"/>
  <c r="I4" i="81"/>
  <c r="H28" i="82"/>
  <c r="F28" i="82"/>
  <c r="C5" i="83"/>
  <c r="T26" i="85"/>
  <c r="G215" i="5" s="1"/>
  <c r="G60" i="80"/>
  <c r="F65" i="80"/>
  <c r="Q37" i="80" s="1"/>
  <c r="Q39" i="80" s="1"/>
  <c r="T7" i="81"/>
  <c r="O50" i="82"/>
  <c r="S50" i="82" s="1"/>
  <c r="F49" i="80"/>
  <c r="O37" i="80" s="1"/>
  <c r="O39" i="80" s="1"/>
  <c r="G58" i="80"/>
  <c r="V63" i="80"/>
  <c r="F121" i="80"/>
  <c r="X37" i="80" s="1"/>
  <c r="X39" i="80" s="1"/>
  <c r="G116" i="80"/>
  <c r="T11" i="81"/>
  <c r="T27" i="81"/>
  <c r="G190" i="5" s="1"/>
  <c r="T19" i="81"/>
  <c r="G182" i="5" s="1"/>
  <c r="T26" i="81"/>
  <c r="G189" i="5" s="1"/>
  <c r="T25" i="81"/>
  <c r="G188" i="5" s="1"/>
  <c r="T24" i="81"/>
  <c r="G187" i="5" s="1"/>
  <c r="T21" i="81"/>
  <c r="G184" i="5" s="1"/>
  <c r="P4" i="82"/>
  <c r="P7" i="82"/>
  <c r="T7" i="82" s="1"/>
  <c r="P12" i="82"/>
  <c r="T12" i="82" s="1"/>
  <c r="O17" i="82"/>
  <c r="P24" i="82"/>
  <c r="T24" i="82" s="1"/>
  <c r="O51" i="82"/>
  <c r="S51" i="82" s="1"/>
  <c r="G115" i="82"/>
  <c r="F7" i="83"/>
  <c r="L7" i="83"/>
  <c r="D7" i="83"/>
  <c r="I7" i="83"/>
  <c r="K7" i="83"/>
  <c r="E7" i="83"/>
  <c r="J7" i="83"/>
  <c r="H7" i="83"/>
  <c r="G7" i="83"/>
  <c r="I28" i="84"/>
  <c r="G28" i="84"/>
  <c r="N99" i="82"/>
  <c r="O97" i="82"/>
  <c r="N98" i="82"/>
  <c r="O98" i="82"/>
  <c r="Q83" i="82"/>
  <c r="N51" i="82"/>
  <c r="O49" i="82"/>
  <c r="S49" i="82" s="1"/>
  <c r="N48" i="82"/>
  <c r="F42" i="82"/>
  <c r="AD39" i="82"/>
  <c r="P20" i="82"/>
  <c r="T20" i="82" s="1"/>
  <c r="O18" i="82"/>
  <c r="O16" i="82"/>
  <c r="O7" i="82"/>
  <c r="J5" i="82"/>
  <c r="AA99" i="82"/>
  <c r="O83" i="82"/>
  <c r="N49" i="82"/>
  <c r="O47" i="82"/>
  <c r="S47" i="82" s="1"/>
  <c r="E42" i="82"/>
  <c r="AC39" i="82"/>
  <c r="P25" i="82"/>
  <c r="T25" i="82" s="1"/>
  <c r="O20" i="82"/>
  <c r="P13" i="82"/>
  <c r="T13" i="82" s="1"/>
  <c r="P11" i="82"/>
  <c r="T11" i="82" s="1"/>
  <c r="P9" i="82"/>
  <c r="T9" i="82" s="1"/>
  <c r="AA97" i="82"/>
  <c r="N83" i="82"/>
  <c r="O55" i="82"/>
  <c r="O52" i="82"/>
  <c r="S52" i="82" s="1"/>
  <c r="N47" i="82"/>
  <c r="C42" i="82"/>
  <c r="AB39" i="82"/>
  <c r="O25" i="82"/>
  <c r="P22" i="82"/>
  <c r="T22" i="82" s="1"/>
  <c r="O13" i="82"/>
  <c r="O11" i="82"/>
  <c r="O9" i="82"/>
  <c r="N97" i="82"/>
  <c r="N52" i="82"/>
  <c r="B42" i="82"/>
  <c r="AA39" i="82"/>
  <c r="P23" i="82"/>
  <c r="T23" i="82" s="1"/>
  <c r="O22" i="82"/>
  <c r="P19" i="82"/>
  <c r="T19" i="82" s="1"/>
  <c r="P17" i="82"/>
  <c r="T17" i="82" s="1"/>
  <c r="P15" i="82"/>
  <c r="T15" i="82" s="1"/>
  <c r="P6" i="82"/>
  <c r="T6" i="82" s="1"/>
  <c r="T4" i="82"/>
  <c r="N96" i="82"/>
  <c r="S84" i="82"/>
  <c r="U47" i="82"/>
  <c r="Y47" i="82" s="1"/>
  <c r="N46" i="82"/>
  <c r="AB38" i="82"/>
  <c r="O21" i="82"/>
  <c r="P14" i="82"/>
  <c r="T14" i="82" s="1"/>
  <c r="O12" i="82"/>
  <c r="O10" i="82"/>
  <c r="C3" i="81"/>
  <c r="H6" i="81"/>
  <c r="G6" i="81"/>
  <c r="F6" i="81"/>
  <c r="E6" i="81"/>
  <c r="J6" i="81"/>
  <c r="P16" i="82"/>
  <c r="T16" i="82" s="1"/>
  <c r="Q64" i="80"/>
  <c r="X64" i="80"/>
  <c r="P64" i="80"/>
  <c r="W64" i="80"/>
  <c r="O64" i="80"/>
  <c r="V64" i="80"/>
  <c r="S64" i="80"/>
  <c r="G44" i="80"/>
  <c r="C2" i="81"/>
  <c r="G76" i="80"/>
  <c r="F81" i="80"/>
  <c r="S37" i="80" s="1"/>
  <c r="S39" i="80" s="1"/>
  <c r="C5" i="81"/>
  <c r="Q89" i="80"/>
  <c r="F97" i="80"/>
  <c r="U37" i="80" s="1"/>
  <c r="U39" i="80" s="1"/>
  <c r="K6" i="81"/>
  <c r="O8" i="82"/>
  <c r="R63" i="82"/>
  <c r="Q63" i="82"/>
  <c r="X63" i="82"/>
  <c r="P63" i="82"/>
  <c r="W63" i="82"/>
  <c r="O63" i="82"/>
  <c r="T63" i="82"/>
  <c r="O48" i="82"/>
  <c r="S48" i="82" s="1"/>
  <c r="G59" i="82"/>
  <c r="T28" i="83"/>
  <c r="G205" i="5" s="1"/>
  <c r="T22" i="85"/>
  <c r="G211" i="5" s="1"/>
  <c r="T62" i="86"/>
  <c r="S62" i="86"/>
  <c r="R62" i="86"/>
  <c r="Q62" i="86"/>
  <c r="V62" i="86"/>
  <c r="O62" i="86"/>
  <c r="U62" i="86"/>
  <c r="X62" i="86"/>
  <c r="P62" i="86"/>
  <c r="I28" i="86"/>
  <c r="K28" i="86" s="1"/>
  <c r="G28" i="86"/>
  <c r="J28" i="86" s="1"/>
  <c r="C5" i="87"/>
  <c r="E10" i="102"/>
  <c r="E10" i="100"/>
  <c r="E10" i="98"/>
  <c r="E10" i="94"/>
  <c r="E10" i="96"/>
  <c r="E10" i="88"/>
  <c r="E10" i="86"/>
  <c r="E10" i="90"/>
  <c r="E10" i="84"/>
  <c r="E10" i="92"/>
  <c r="C2" i="85"/>
  <c r="U63" i="80"/>
  <c r="T63" i="80"/>
  <c r="S63" i="80"/>
  <c r="R63" i="80"/>
  <c r="W63" i="80"/>
  <c r="O63" i="80"/>
  <c r="G42" i="82"/>
  <c r="P63" i="80"/>
  <c r="K4" i="81"/>
  <c r="O6" i="82"/>
  <c r="P21" i="82"/>
  <c r="T21" i="82" s="1"/>
  <c r="I28" i="82"/>
  <c r="K28" i="82" s="1"/>
  <c r="G28" i="82"/>
  <c r="J28" i="82" s="1"/>
  <c r="AD38" i="82"/>
  <c r="G91" i="82"/>
  <c r="K28" i="84"/>
  <c r="K29" i="80"/>
  <c r="F25" i="80" s="1"/>
  <c r="L6" i="81"/>
  <c r="T20" i="81"/>
  <c r="G183" i="5" s="1"/>
  <c r="P8" i="82"/>
  <c r="T8" i="82" s="1"/>
  <c r="O14" i="82"/>
  <c r="P18" i="82"/>
  <c r="T18" i="82" s="1"/>
  <c r="H27" i="82"/>
  <c r="K27" i="82" s="1"/>
  <c r="F27" i="82"/>
  <c r="T48" i="82"/>
  <c r="R24" i="85"/>
  <c r="T24" i="83"/>
  <c r="G201" i="5" s="1"/>
  <c r="C7" i="87"/>
  <c r="U62" i="88"/>
  <c r="T62" i="88"/>
  <c r="S62" i="88"/>
  <c r="R62" i="88"/>
  <c r="W62" i="88"/>
  <c r="O62" i="88"/>
  <c r="X62" i="88"/>
  <c r="P62" i="88"/>
  <c r="Q63" i="88"/>
  <c r="X63" i="88"/>
  <c r="P63" i="88"/>
  <c r="W63" i="88"/>
  <c r="V63" i="88"/>
  <c r="S63" i="88"/>
  <c r="T63" i="88"/>
  <c r="R63" i="88"/>
  <c r="C9" i="89"/>
  <c r="E12" i="100"/>
  <c r="E12" i="102"/>
  <c r="E12" i="98"/>
  <c r="E12" i="96"/>
  <c r="E12" i="94"/>
  <c r="E12" i="92"/>
  <c r="E12" i="88"/>
  <c r="E12" i="86"/>
  <c r="F89" i="80"/>
  <c r="T37" i="80" s="1"/>
  <c r="T39" i="80" s="1"/>
  <c r="F43" i="82"/>
  <c r="F54" i="82"/>
  <c r="G54" i="82" s="1"/>
  <c r="G57" i="82" s="1"/>
  <c r="O83" i="84"/>
  <c r="N51" i="84"/>
  <c r="O49" i="84"/>
  <c r="S49" i="84" s="1"/>
  <c r="N48" i="84"/>
  <c r="F42" i="84"/>
  <c r="AD39" i="84"/>
  <c r="P20" i="84"/>
  <c r="T20" i="84" s="1"/>
  <c r="O18" i="84"/>
  <c r="O16" i="84"/>
  <c r="O7" i="84"/>
  <c r="J5" i="84"/>
  <c r="AA98" i="84"/>
  <c r="N96" i="84"/>
  <c r="N83" i="84"/>
  <c r="N49" i="84"/>
  <c r="O47" i="84"/>
  <c r="S47" i="84" s="1"/>
  <c r="E42" i="84"/>
  <c r="AC39" i="84"/>
  <c r="P25" i="84"/>
  <c r="T25" i="84" s="1"/>
  <c r="O20" i="84"/>
  <c r="P13" i="84"/>
  <c r="T13" i="84" s="1"/>
  <c r="P11" i="84"/>
  <c r="T11" i="84" s="1"/>
  <c r="P9" i="84"/>
  <c r="T9" i="84" s="1"/>
  <c r="O98" i="84"/>
  <c r="O55" i="84"/>
  <c r="O52" i="84"/>
  <c r="S52" i="84" s="1"/>
  <c r="N47" i="84"/>
  <c r="C42" i="84"/>
  <c r="AB39" i="84"/>
  <c r="O25" i="84"/>
  <c r="P22" i="84"/>
  <c r="T22" i="84" s="1"/>
  <c r="O13" i="84"/>
  <c r="O11" i="84"/>
  <c r="O9" i="84"/>
  <c r="N98" i="84"/>
  <c r="N52" i="84"/>
  <c r="B42" i="84"/>
  <c r="AA39" i="84"/>
  <c r="P23" i="84"/>
  <c r="T23" i="84" s="1"/>
  <c r="O22" i="84"/>
  <c r="P19" i="84"/>
  <c r="T19" i="84" s="1"/>
  <c r="P17" i="84"/>
  <c r="T17" i="84" s="1"/>
  <c r="P15" i="84"/>
  <c r="T15" i="84" s="1"/>
  <c r="P6" i="84"/>
  <c r="T6" i="84" s="1"/>
  <c r="T4" i="84"/>
  <c r="N99" i="84"/>
  <c r="O97" i="84"/>
  <c r="U47" i="84"/>
  <c r="Y47" i="84" s="1"/>
  <c r="N46" i="84"/>
  <c r="AB38" i="84"/>
  <c r="O21" i="84"/>
  <c r="P14" i="84"/>
  <c r="T14" i="84" s="1"/>
  <c r="O12" i="84"/>
  <c r="O10" i="84"/>
  <c r="J6" i="84"/>
  <c r="H28" i="84"/>
  <c r="F28" i="84"/>
  <c r="AC38" i="84"/>
  <c r="G42" i="84"/>
  <c r="T47" i="84"/>
  <c r="N50" i="84"/>
  <c r="C4" i="85"/>
  <c r="AA97" i="84"/>
  <c r="F54" i="86"/>
  <c r="G54" i="86" s="1"/>
  <c r="F77" i="86"/>
  <c r="G77" i="86" s="1"/>
  <c r="G6" i="87"/>
  <c r="F6" i="87"/>
  <c r="E6" i="87"/>
  <c r="L6" i="87"/>
  <c r="D6" i="87"/>
  <c r="I6" i="87"/>
  <c r="H6" i="87"/>
  <c r="H27" i="88"/>
  <c r="F27" i="88"/>
  <c r="J27" i="88" s="1"/>
  <c r="C3" i="89"/>
  <c r="AA38" i="92"/>
  <c r="F84" i="82"/>
  <c r="G84" i="82" s="1"/>
  <c r="F99" i="82"/>
  <c r="F116" i="82"/>
  <c r="G116" i="82" s="1"/>
  <c r="F108" i="82"/>
  <c r="G108" i="82" s="1"/>
  <c r="F100" i="82"/>
  <c r="G100" i="82" s="1"/>
  <c r="F93" i="82"/>
  <c r="G93" i="82" s="1"/>
  <c r="F76" i="82"/>
  <c r="G76" i="82" s="1"/>
  <c r="F79" i="82"/>
  <c r="G79" i="82" s="1"/>
  <c r="G83" i="82"/>
  <c r="F92" i="82"/>
  <c r="G92" i="82" s="1"/>
  <c r="F118" i="82"/>
  <c r="G118" i="82" s="1"/>
  <c r="T27" i="83"/>
  <c r="G204" i="5" s="1"/>
  <c r="T23" i="83"/>
  <c r="G200" i="5" s="1"/>
  <c r="T19" i="83"/>
  <c r="G196" i="5" s="1"/>
  <c r="T26" i="83"/>
  <c r="G203" i="5" s="1"/>
  <c r="T22" i="83"/>
  <c r="G199" i="5" s="1"/>
  <c r="O51" i="84"/>
  <c r="S51" i="84" s="1"/>
  <c r="S84" i="84"/>
  <c r="O99" i="84"/>
  <c r="D9" i="85"/>
  <c r="Q62" i="88"/>
  <c r="C6" i="91"/>
  <c r="P18" i="92"/>
  <c r="T18" i="92" s="1"/>
  <c r="W63" i="92"/>
  <c r="O63" i="92"/>
  <c r="V63" i="92"/>
  <c r="Q63" i="92"/>
  <c r="P63" i="92"/>
  <c r="X63" i="92"/>
  <c r="S63" i="92"/>
  <c r="R63" i="92"/>
  <c r="U63" i="92"/>
  <c r="T63" i="92"/>
  <c r="G59" i="92"/>
  <c r="C9" i="87"/>
  <c r="E13" i="102"/>
  <c r="E13" i="100"/>
  <c r="E13" i="98"/>
  <c r="E13" i="90"/>
  <c r="E13" i="92"/>
  <c r="E13" i="88"/>
  <c r="E13" i="96"/>
  <c r="E13" i="84"/>
  <c r="F87" i="82"/>
  <c r="G87" i="82" s="1"/>
  <c r="F101" i="82"/>
  <c r="G101" i="82" s="1"/>
  <c r="F107" i="82"/>
  <c r="F119" i="82"/>
  <c r="G119" i="82" s="1"/>
  <c r="R63" i="84"/>
  <c r="Q63" i="84"/>
  <c r="X63" i="84"/>
  <c r="P63" i="84"/>
  <c r="W63" i="84"/>
  <c r="O63" i="84"/>
  <c r="T63" i="84"/>
  <c r="V62" i="84"/>
  <c r="U62" i="84"/>
  <c r="T62" i="84"/>
  <c r="S62" i="84"/>
  <c r="X62" i="84"/>
  <c r="P62" i="84"/>
  <c r="R62" i="84"/>
  <c r="F93" i="86"/>
  <c r="G93" i="86" s="1"/>
  <c r="F85" i="86"/>
  <c r="G85" i="86" s="1"/>
  <c r="F83" i="86"/>
  <c r="F79" i="86"/>
  <c r="G79" i="86" s="1"/>
  <c r="F76" i="86"/>
  <c r="G76" i="86" s="1"/>
  <c r="F94" i="86"/>
  <c r="G94" i="86" s="1"/>
  <c r="F86" i="86"/>
  <c r="G86" i="86" s="1"/>
  <c r="F78" i="86"/>
  <c r="G78" i="86" s="1"/>
  <c r="F75" i="86"/>
  <c r="F71" i="86"/>
  <c r="G71" i="86" s="1"/>
  <c r="F69" i="86"/>
  <c r="G69" i="86" s="1"/>
  <c r="F63" i="86"/>
  <c r="G63" i="86" s="1"/>
  <c r="F61" i="86"/>
  <c r="G61" i="86" s="1"/>
  <c r="P26" i="86"/>
  <c r="T26" i="86" s="1"/>
  <c r="F68" i="86"/>
  <c r="G68" i="86" s="1"/>
  <c r="F62" i="86"/>
  <c r="G62" i="86" s="1"/>
  <c r="F53" i="86"/>
  <c r="G53" i="86" s="1"/>
  <c r="F46" i="86"/>
  <c r="G46" i="86" s="1"/>
  <c r="F67" i="86"/>
  <c r="F60" i="86"/>
  <c r="G60" i="86" s="1"/>
  <c r="F92" i="86"/>
  <c r="G92" i="86" s="1"/>
  <c r="F51" i="86"/>
  <c r="F45" i="86"/>
  <c r="G45" i="86" s="1"/>
  <c r="F59" i="86"/>
  <c r="F52" i="86"/>
  <c r="G52" i="86" s="1"/>
  <c r="I27" i="86"/>
  <c r="K27" i="86" s="1"/>
  <c r="G27" i="86"/>
  <c r="J27" i="86" s="1"/>
  <c r="H28" i="88"/>
  <c r="K28" i="88" s="1"/>
  <c r="F28" i="88"/>
  <c r="J28" i="88"/>
  <c r="V62" i="88"/>
  <c r="C5" i="89"/>
  <c r="C8" i="89"/>
  <c r="E12" i="90"/>
  <c r="C7" i="85"/>
  <c r="H9" i="85"/>
  <c r="G9" i="85"/>
  <c r="F9" i="85"/>
  <c r="E9" i="85"/>
  <c r="J9" i="85"/>
  <c r="H33" i="86"/>
  <c r="F33" i="86"/>
  <c r="J33" i="86" s="1"/>
  <c r="G24" i="86" s="1"/>
  <c r="C6" i="83"/>
  <c r="F60" i="82"/>
  <c r="G60" i="82" s="1"/>
  <c r="F62" i="82"/>
  <c r="G62" i="82" s="1"/>
  <c r="F67" i="82"/>
  <c r="F70" i="82"/>
  <c r="G70" i="82" s="1"/>
  <c r="F102" i="82"/>
  <c r="G102" i="82" s="1"/>
  <c r="H27" i="84"/>
  <c r="F27" i="84"/>
  <c r="T93" i="84"/>
  <c r="W62" i="84"/>
  <c r="C5" i="85"/>
  <c r="K9" i="85"/>
  <c r="T28" i="85"/>
  <c r="G217" i="5" s="1"/>
  <c r="T20" i="85"/>
  <c r="G209" i="5" s="1"/>
  <c r="T27" i="85"/>
  <c r="G216" i="5" s="1"/>
  <c r="T23" i="85"/>
  <c r="G212" i="5" s="1"/>
  <c r="T19" i="85"/>
  <c r="G208" i="5" s="1"/>
  <c r="T25" i="85"/>
  <c r="G214" i="5" s="1"/>
  <c r="T21" i="85"/>
  <c r="G210" i="5" s="1"/>
  <c r="K33" i="86"/>
  <c r="C2" i="87"/>
  <c r="F84" i="86"/>
  <c r="G84" i="86" s="1"/>
  <c r="G59" i="88"/>
  <c r="I33" i="90"/>
  <c r="G33" i="90"/>
  <c r="F23" i="92"/>
  <c r="F86" i="82"/>
  <c r="G86" i="82" s="1"/>
  <c r="G95" i="82"/>
  <c r="F103" i="82"/>
  <c r="G103" i="82" s="1"/>
  <c r="I27" i="84"/>
  <c r="G27" i="84"/>
  <c r="C3" i="85"/>
  <c r="T94" i="84"/>
  <c r="L9" i="85"/>
  <c r="H32" i="86"/>
  <c r="K32" i="86" s="1"/>
  <c r="F32" i="86"/>
  <c r="J32" i="86" s="1"/>
  <c r="F43" i="86"/>
  <c r="F87" i="86"/>
  <c r="G87" i="86" s="1"/>
  <c r="K27" i="88"/>
  <c r="U63" i="88"/>
  <c r="K28" i="90"/>
  <c r="J28" i="90"/>
  <c r="AA98" i="92"/>
  <c r="N96" i="92"/>
  <c r="S84" i="92"/>
  <c r="N98" i="92"/>
  <c r="N99" i="92"/>
  <c r="O97" i="92"/>
  <c r="N83" i="92"/>
  <c r="O98" i="92"/>
  <c r="O55" i="92"/>
  <c r="O52" i="92"/>
  <c r="S52" i="92" s="1"/>
  <c r="N47" i="92"/>
  <c r="C42" i="92"/>
  <c r="AB39" i="92"/>
  <c r="O25" i="92"/>
  <c r="P22" i="92"/>
  <c r="T22" i="92" s="1"/>
  <c r="O13" i="92"/>
  <c r="O11" i="92"/>
  <c r="O9" i="92"/>
  <c r="N52" i="92"/>
  <c r="B42" i="92"/>
  <c r="AA39" i="92"/>
  <c r="P23" i="92"/>
  <c r="T23" i="92" s="1"/>
  <c r="O22" i="92"/>
  <c r="P19" i="92"/>
  <c r="T19" i="92" s="1"/>
  <c r="P17" i="92"/>
  <c r="T17" i="92" s="1"/>
  <c r="P15" i="92"/>
  <c r="T15" i="92" s="1"/>
  <c r="P6" i="92"/>
  <c r="T6" i="92" s="1"/>
  <c r="T4" i="92"/>
  <c r="AA97" i="92"/>
  <c r="O50" i="92"/>
  <c r="S50" i="92" s="1"/>
  <c r="U48" i="92"/>
  <c r="Y48" i="92" s="1"/>
  <c r="AD40" i="92"/>
  <c r="AD38" i="92"/>
  <c r="P24" i="92"/>
  <c r="T24" i="92" s="1"/>
  <c r="O23" i="92"/>
  <c r="O19" i="92"/>
  <c r="O17" i="92"/>
  <c r="O15" i="92"/>
  <c r="P8" i="92"/>
  <c r="T8" i="92" s="1"/>
  <c r="O6" i="92"/>
  <c r="P4" i="92"/>
  <c r="N97" i="92"/>
  <c r="N50" i="92"/>
  <c r="T48" i="92"/>
  <c r="T46" i="92"/>
  <c r="AC40" i="92"/>
  <c r="AC38" i="92"/>
  <c r="O24" i="92"/>
  <c r="P21" i="92"/>
  <c r="T21" i="92" s="1"/>
  <c r="P12" i="92"/>
  <c r="T12" i="92" s="1"/>
  <c r="P10" i="92"/>
  <c r="T10" i="92" s="1"/>
  <c r="O8" i="92"/>
  <c r="J6" i="92"/>
  <c r="O4" i="92"/>
  <c r="O99" i="92"/>
  <c r="N51" i="92"/>
  <c r="O49" i="92"/>
  <c r="S49" i="92" s="1"/>
  <c r="N48" i="92"/>
  <c r="F42" i="92"/>
  <c r="AD39" i="92"/>
  <c r="P20" i="92"/>
  <c r="T20" i="92" s="1"/>
  <c r="O18" i="92"/>
  <c r="O16" i="92"/>
  <c r="O7" i="92"/>
  <c r="J5" i="92"/>
  <c r="Q83" i="92"/>
  <c r="N49" i="92"/>
  <c r="O47" i="92"/>
  <c r="S47" i="92" s="1"/>
  <c r="O12" i="92"/>
  <c r="P7" i="92"/>
  <c r="T7" i="92" s="1"/>
  <c r="O83" i="92"/>
  <c r="N46" i="92"/>
  <c r="P25" i="92"/>
  <c r="T25" i="92" s="1"/>
  <c r="O48" i="92"/>
  <c r="S48" i="92" s="1"/>
  <c r="O21" i="92"/>
  <c r="P11" i="92"/>
  <c r="T11" i="92" s="1"/>
  <c r="P16" i="92"/>
  <c r="T16" i="92" s="1"/>
  <c r="U47" i="92"/>
  <c r="Y47" i="92" s="1"/>
  <c r="G42" i="92"/>
  <c r="AB38" i="92"/>
  <c r="O14" i="92"/>
  <c r="P9" i="92"/>
  <c r="T9" i="92" s="1"/>
  <c r="AA99" i="92"/>
  <c r="O51" i="92"/>
  <c r="S51" i="92" s="1"/>
  <c r="P14" i="92"/>
  <c r="T14" i="92" s="1"/>
  <c r="AC39" i="92"/>
  <c r="O10" i="92"/>
  <c r="T47" i="92"/>
  <c r="C9" i="93"/>
  <c r="G57" i="84"/>
  <c r="O4" i="86"/>
  <c r="J6" i="86"/>
  <c r="O8" i="86"/>
  <c r="P10" i="86"/>
  <c r="T10" i="86" s="1"/>
  <c r="P12" i="86"/>
  <c r="T12" i="86" s="1"/>
  <c r="P21" i="86"/>
  <c r="T21" i="86" s="1"/>
  <c r="O24" i="86"/>
  <c r="AC38" i="86"/>
  <c r="AC40" i="86"/>
  <c r="T46" i="86"/>
  <c r="T48" i="86"/>
  <c r="N50" i="86"/>
  <c r="N83" i="86"/>
  <c r="O97" i="86"/>
  <c r="K32" i="88"/>
  <c r="G23" i="88" s="1"/>
  <c r="G75" i="88"/>
  <c r="E6" i="89"/>
  <c r="L6" i="89"/>
  <c r="D6" i="89"/>
  <c r="K6" i="89"/>
  <c r="J6" i="89"/>
  <c r="G6" i="89"/>
  <c r="F6" i="89"/>
  <c r="I6" i="89"/>
  <c r="G113" i="84"/>
  <c r="O9" i="86"/>
  <c r="O11" i="86"/>
  <c r="O13" i="86"/>
  <c r="P22" i="86"/>
  <c r="T22" i="86" s="1"/>
  <c r="O25" i="86"/>
  <c r="AB39" i="86"/>
  <c r="C42" i="86"/>
  <c r="N47" i="86"/>
  <c r="O52" i="86"/>
  <c r="S52" i="86" s="1"/>
  <c r="O55" i="86"/>
  <c r="N99" i="86"/>
  <c r="C4" i="89"/>
  <c r="K32" i="92"/>
  <c r="J32" i="92"/>
  <c r="G23" i="92" s="1"/>
  <c r="G43" i="92"/>
  <c r="C3" i="95"/>
  <c r="P9" i="86"/>
  <c r="T9" i="86" s="1"/>
  <c r="P11" i="86"/>
  <c r="T11" i="86" s="1"/>
  <c r="P13" i="86"/>
  <c r="T13" i="86" s="1"/>
  <c r="O20" i="86"/>
  <c r="P25" i="86"/>
  <c r="T25" i="86" s="1"/>
  <c r="AC39" i="86"/>
  <c r="E42" i="86"/>
  <c r="O47" i="86"/>
  <c r="S47" i="86" s="1"/>
  <c r="N49" i="86"/>
  <c r="K33" i="88"/>
  <c r="G24" i="88" s="1"/>
  <c r="C8" i="91"/>
  <c r="K28" i="92"/>
  <c r="F24" i="92"/>
  <c r="H33" i="94"/>
  <c r="F33" i="94"/>
  <c r="J33" i="94" s="1"/>
  <c r="G24" i="94" s="1"/>
  <c r="K33" i="94"/>
  <c r="C4" i="95"/>
  <c r="C5" i="97"/>
  <c r="J5" i="86"/>
  <c r="O7" i="86"/>
  <c r="O16" i="86"/>
  <c r="O18" i="86"/>
  <c r="P20" i="86"/>
  <c r="T20" i="86" s="1"/>
  <c r="AD39" i="86"/>
  <c r="F42" i="86"/>
  <c r="N48" i="86"/>
  <c r="O49" i="86"/>
  <c r="S49" i="86" s="1"/>
  <c r="X36" i="88"/>
  <c r="C2" i="89"/>
  <c r="C7" i="89"/>
  <c r="S62" i="90"/>
  <c r="R62" i="90"/>
  <c r="Q62" i="90"/>
  <c r="X62" i="90"/>
  <c r="P62" i="90"/>
  <c r="U62" i="90"/>
  <c r="V62" i="90"/>
  <c r="T62" i="90"/>
  <c r="O62" i="90"/>
  <c r="K33" i="92"/>
  <c r="G67" i="96"/>
  <c r="O98" i="86"/>
  <c r="N98" i="86"/>
  <c r="AA99" i="86"/>
  <c r="S84" i="86"/>
  <c r="O99" i="86"/>
  <c r="AA97" i="86"/>
  <c r="O83" i="86"/>
  <c r="P7" i="86"/>
  <c r="T7" i="86" s="1"/>
  <c r="O14" i="86"/>
  <c r="P16" i="86"/>
  <c r="T16" i="86" s="1"/>
  <c r="P18" i="86"/>
  <c r="T18" i="86" s="1"/>
  <c r="AA38" i="86"/>
  <c r="G42" i="86"/>
  <c r="T47" i="86"/>
  <c r="O48" i="86"/>
  <c r="S48" i="86" s="1"/>
  <c r="O51" i="86"/>
  <c r="S51" i="86" s="1"/>
  <c r="C8" i="87"/>
  <c r="N96" i="86"/>
  <c r="P7" i="88"/>
  <c r="T7" i="88" s="1"/>
  <c r="O14" i="88"/>
  <c r="P16" i="88"/>
  <c r="T16" i="88" s="1"/>
  <c r="P18" i="88"/>
  <c r="T18" i="88" s="1"/>
  <c r="AA38" i="88"/>
  <c r="G42" i="88"/>
  <c r="T47" i="88"/>
  <c r="O48" i="88"/>
  <c r="S48" i="88" s="1"/>
  <c r="O51" i="88"/>
  <c r="S51" i="88" s="1"/>
  <c r="F68" i="88"/>
  <c r="G68" i="88" s="1"/>
  <c r="F77" i="88"/>
  <c r="G77" i="88" s="1"/>
  <c r="Q83" i="88"/>
  <c r="F87" i="88"/>
  <c r="G87" i="88" s="1"/>
  <c r="F91" i="88"/>
  <c r="F95" i="88"/>
  <c r="G95" i="88" s="1"/>
  <c r="N97" i="88"/>
  <c r="K33" i="90"/>
  <c r="J33" i="90"/>
  <c r="G24" i="90" s="1"/>
  <c r="C7" i="91"/>
  <c r="P63" i="90"/>
  <c r="C9" i="91"/>
  <c r="C3" i="93"/>
  <c r="C7" i="93"/>
  <c r="C6" i="93"/>
  <c r="X63" i="96"/>
  <c r="P63" i="96"/>
  <c r="W63" i="96"/>
  <c r="O63" i="96"/>
  <c r="V63" i="96"/>
  <c r="U63" i="96"/>
  <c r="R63" i="96"/>
  <c r="Q63" i="96"/>
  <c r="T63" i="96"/>
  <c r="S63" i="96"/>
  <c r="I6" i="97"/>
  <c r="L6" i="97"/>
  <c r="D6" i="97"/>
  <c r="J6" i="97"/>
  <c r="H6" i="97"/>
  <c r="G6" i="97"/>
  <c r="F6" i="97"/>
  <c r="K6" i="97"/>
  <c r="P4" i="88"/>
  <c r="O6" i="88"/>
  <c r="P8" i="88"/>
  <c r="T8" i="88" s="1"/>
  <c r="O15" i="88"/>
  <c r="O17" i="88"/>
  <c r="O19" i="88"/>
  <c r="O23" i="88"/>
  <c r="P24" i="88"/>
  <c r="T24" i="88" s="1"/>
  <c r="AD38" i="88"/>
  <c r="AD40" i="88"/>
  <c r="F44" i="88"/>
  <c r="G44" i="88" s="1"/>
  <c r="G47" i="88"/>
  <c r="U48" i="88"/>
  <c r="Y48" i="88" s="1"/>
  <c r="O50" i="88"/>
  <c r="S50" i="88" s="1"/>
  <c r="F55" i="88"/>
  <c r="G55" i="88" s="1"/>
  <c r="S84" i="88"/>
  <c r="AA99" i="88"/>
  <c r="AC39" i="90"/>
  <c r="E42" i="90"/>
  <c r="C3" i="91"/>
  <c r="T4" i="88"/>
  <c r="P6" i="88"/>
  <c r="T6" i="88" s="1"/>
  <c r="P15" i="88"/>
  <c r="T15" i="88" s="1"/>
  <c r="P17" i="88"/>
  <c r="T17" i="88" s="1"/>
  <c r="P19" i="88"/>
  <c r="T19" i="88" s="1"/>
  <c r="O22" i="88"/>
  <c r="P23" i="88"/>
  <c r="T23" i="88" s="1"/>
  <c r="AA39" i="88"/>
  <c r="B42" i="88"/>
  <c r="N52" i="88"/>
  <c r="F76" i="88"/>
  <c r="G76" i="88" s="1"/>
  <c r="F79" i="88"/>
  <c r="G79" i="88" s="1"/>
  <c r="F83" i="88"/>
  <c r="F85" i="88"/>
  <c r="G85" i="88" s="1"/>
  <c r="F93" i="88"/>
  <c r="G93" i="88" s="1"/>
  <c r="N98" i="88"/>
  <c r="N98" i="90"/>
  <c r="N52" i="90"/>
  <c r="B42" i="90"/>
  <c r="AA39" i="90"/>
  <c r="P23" i="90"/>
  <c r="T23" i="90" s="1"/>
  <c r="O22" i="90"/>
  <c r="P19" i="90"/>
  <c r="T19" i="90" s="1"/>
  <c r="P17" i="90"/>
  <c r="T17" i="90" s="1"/>
  <c r="P15" i="90"/>
  <c r="T15" i="90" s="1"/>
  <c r="P6" i="90"/>
  <c r="T6" i="90" s="1"/>
  <c r="T4" i="90"/>
  <c r="AA99" i="90"/>
  <c r="S84" i="90"/>
  <c r="O50" i="90"/>
  <c r="S50" i="90" s="1"/>
  <c r="U48" i="90"/>
  <c r="Y48" i="90" s="1"/>
  <c r="AD40" i="90"/>
  <c r="AD38" i="90"/>
  <c r="P24" i="90"/>
  <c r="T24" i="90" s="1"/>
  <c r="O23" i="90"/>
  <c r="O19" i="90"/>
  <c r="O17" i="90"/>
  <c r="O15" i="90"/>
  <c r="P8" i="90"/>
  <c r="T8" i="90" s="1"/>
  <c r="O6" i="90"/>
  <c r="P4" i="90"/>
  <c r="O99" i="90"/>
  <c r="AA97" i="90"/>
  <c r="N50" i="90"/>
  <c r="T48" i="90"/>
  <c r="T46" i="90"/>
  <c r="AC40" i="90"/>
  <c r="AC38" i="90"/>
  <c r="O24" i="90"/>
  <c r="P21" i="90"/>
  <c r="T21" i="90" s="1"/>
  <c r="P12" i="90"/>
  <c r="T12" i="90" s="1"/>
  <c r="P10" i="90"/>
  <c r="T10" i="90" s="1"/>
  <c r="O8" i="90"/>
  <c r="J6" i="90"/>
  <c r="O4" i="90"/>
  <c r="N99" i="90"/>
  <c r="O97" i="90"/>
  <c r="U47" i="90"/>
  <c r="Y47" i="90" s="1"/>
  <c r="N46" i="90"/>
  <c r="AB38" i="90"/>
  <c r="O21" i="90"/>
  <c r="P14" i="90"/>
  <c r="T14" i="90" s="1"/>
  <c r="O12" i="90"/>
  <c r="O10" i="90"/>
  <c r="AA98" i="90"/>
  <c r="N96" i="90"/>
  <c r="N83" i="90"/>
  <c r="N49" i="90"/>
  <c r="O47" i="90"/>
  <c r="S47" i="90" s="1"/>
  <c r="O11" i="90"/>
  <c r="P18" i="90"/>
  <c r="T18" i="90" s="1"/>
  <c r="K27" i="90"/>
  <c r="J27" i="90"/>
  <c r="F23" i="90" s="1"/>
  <c r="AD39" i="90"/>
  <c r="F42" i="90"/>
  <c r="C2" i="91"/>
  <c r="C4" i="91"/>
  <c r="O83" i="90"/>
  <c r="N97" i="90"/>
  <c r="S62" i="92"/>
  <c r="R62" i="92"/>
  <c r="U62" i="92"/>
  <c r="O62" i="92"/>
  <c r="X62" i="92"/>
  <c r="W62" i="92"/>
  <c r="Q62" i="92"/>
  <c r="T62" i="92"/>
  <c r="W62" i="94"/>
  <c r="O62" i="94"/>
  <c r="V62" i="94"/>
  <c r="U62" i="94"/>
  <c r="T62" i="94"/>
  <c r="Q62" i="94"/>
  <c r="X62" i="94"/>
  <c r="S62" i="94"/>
  <c r="R62" i="94"/>
  <c r="P62" i="94"/>
  <c r="O9" i="88"/>
  <c r="O11" i="88"/>
  <c r="O13" i="88"/>
  <c r="P22" i="88"/>
  <c r="T22" i="88" s="1"/>
  <c r="O25" i="88"/>
  <c r="AB39" i="88"/>
  <c r="C42" i="88"/>
  <c r="F45" i="88"/>
  <c r="G45" i="88" s="1"/>
  <c r="N47" i="88"/>
  <c r="F51" i="88"/>
  <c r="O52" i="88"/>
  <c r="S52" i="88" s="1"/>
  <c r="O55" i="88"/>
  <c r="O98" i="88"/>
  <c r="K32" i="90"/>
  <c r="J32" i="90"/>
  <c r="G23" i="90" s="1"/>
  <c r="W63" i="90"/>
  <c r="O63" i="90"/>
  <c r="V63" i="90"/>
  <c r="U63" i="90"/>
  <c r="T63" i="90"/>
  <c r="Q63" i="90"/>
  <c r="Q83" i="90"/>
  <c r="G91" i="90"/>
  <c r="O98" i="90"/>
  <c r="C2" i="95"/>
  <c r="C7" i="95"/>
  <c r="J6" i="95"/>
  <c r="I6" i="95"/>
  <c r="H6" i="95"/>
  <c r="G6" i="95"/>
  <c r="L6" i="95"/>
  <c r="D6" i="95"/>
  <c r="E6" i="95"/>
  <c r="C2" i="97"/>
  <c r="J3" i="97"/>
  <c r="I3" i="97"/>
  <c r="H3" i="97"/>
  <c r="G3" i="97"/>
  <c r="L3" i="97"/>
  <c r="D3" i="97"/>
  <c r="K3" i="97"/>
  <c r="F3" i="97"/>
  <c r="E3" i="97"/>
  <c r="P9" i="88"/>
  <c r="T9" i="88" s="1"/>
  <c r="P11" i="88"/>
  <c r="T11" i="88" s="1"/>
  <c r="P13" i="88"/>
  <c r="T13" i="88" s="1"/>
  <c r="O20" i="88"/>
  <c r="P25" i="88"/>
  <c r="T25" i="88" s="1"/>
  <c r="AC39" i="88"/>
  <c r="E42" i="88"/>
  <c r="O47" i="88"/>
  <c r="S47" i="88" s="1"/>
  <c r="N49" i="88"/>
  <c r="F60" i="88"/>
  <c r="G60" i="88" s="1"/>
  <c r="F62" i="88"/>
  <c r="G62" i="88" s="1"/>
  <c r="F67" i="88"/>
  <c r="F70" i="88"/>
  <c r="G70" i="88" s="1"/>
  <c r="N83" i="88"/>
  <c r="F92" i="88"/>
  <c r="G92" i="88" s="1"/>
  <c r="N96" i="88"/>
  <c r="O51" i="90"/>
  <c r="S51" i="90" s="1"/>
  <c r="C5" i="91"/>
  <c r="G75" i="92"/>
  <c r="K32" i="94"/>
  <c r="G43" i="94"/>
  <c r="F6" i="95"/>
  <c r="G4" i="97"/>
  <c r="F4" i="97"/>
  <c r="E4" i="97"/>
  <c r="L4" i="97"/>
  <c r="D4" i="97"/>
  <c r="I4" i="97"/>
  <c r="H4" i="97"/>
  <c r="K4" i="97"/>
  <c r="J4" i="97"/>
  <c r="F67" i="90"/>
  <c r="F70" i="90"/>
  <c r="G70" i="90" s="1"/>
  <c r="F92" i="90"/>
  <c r="G92" i="90" s="1"/>
  <c r="C8" i="93"/>
  <c r="C5" i="93"/>
  <c r="I28" i="94"/>
  <c r="K28" i="94" s="1"/>
  <c r="G28" i="94"/>
  <c r="T62" i="96"/>
  <c r="S62" i="96"/>
  <c r="R62" i="96"/>
  <c r="Q62" i="96"/>
  <c r="V62" i="96"/>
  <c r="X62" i="96"/>
  <c r="W62" i="96"/>
  <c r="U62" i="96"/>
  <c r="F43" i="90"/>
  <c r="F54" i="90"/>
  <c r="G54" i="90" s="1"/>
  <c r="F84" i="90"/>
  <c r="G84" i="90" s="1"/>
  <c r="J33" i="92"/>
  <c r="G24" i="92" s="1"/>
  <c r="F52" i="92"/>
  <c r="G52" i="92" s="1"/>
  <c r="C4" i="93"/>
  <c r="J28" i="94"/>
  <c r="I27" i="94"/>
  <c r="K27" i="94" s="1"/>
  <c r="G27" i="94"/>
  <c r="J27" i="94" s="1"/>
  <c r="C5" i="95"/>
  <c r="P62" i="96"/>
  <c r="G28" i="98"/>
  <c r="I28" i="98"/>
  <c r="C8" i="101"/>
  <c r="F52" i="90"/>
  <c r="F59" i="90"/>
  <c r="F61" i="90"/>
  <c r="G61" i="90" s="1"/>
  <c r="F63" i="90"/>
  <c r="G63" i="90" s="1"/>
  <c r="F69" i="90"/>
  <c r="G69" i="90" s="1"/>
  <c r="F71" i="90"/>
  <c r="G71" i="90" s="1"/>
  <c r="F75" i="90"/>
  <c r="F78" i="90"/>
  <c r="G78" i="90" s="1"/>
  <c r="F86" i="90"/>
  <c r="G86" i="90" s="1"/>
  <c r="F94" i="90"/>
  <c r="G94" i="90" s="1"/>
  <c r="F44" i="92"/>
  <c r="G44" i="92" s="1"/>
  <c r="F47" i="92"/>
  <c r="G47" i="92" s="1"/>
  <c r="F55" i="92"/>
  <c r="G55" i="92" s="1"/>
  <c r="F68" i="92"/>
  <c r="G68" i="92" s="1"/>
  <c r="F71" i="92"/>
  <c r="G71" i="92" s="1"/>
  <c r="C2" i="93"/>
  <c r="F95" i="94"/>
  <c r="G95" i="94" s="1"/>
  <c r="F91" i="94"/>
  <c r="F87" i="94"/>
  <c r="G87" i="94" s="1"/>
  <c r="F77" i="94"/>
  <c r="G77" i="94" s="1"/>
  <c r="F68" i="94"/>
  <c r="G68" i="94" s="1"/>
  <c r="P26" i="94"/>
  <c r="T26" i="94" s="1"/>
  <c r="F53" i="94"/>
  <c r="G53" i="94" s="1"/>
  <c r="F46" i="94"/>
  <c r="G46" i="94" s="1"/>
  <c r="F92" i="94"/>
  <c r="G92" i="94" s="1"/>
  <c r="F70" i="94"/>
  <c r="G70" i="94" s="1"/>
  <c r="F67" i="94"/>
  <c r="F62" i="94"/>
  <c r="G62" i="94" s="1"/>
  <c r="F60" i="94"/>
  <c r="G60" i="94" s="1"/>
  <c r="F51" i="94"/>
  <c r="F45" i="94"/>
  <c r="G45" i="94" s="1"/>
  <c r="F94" i="94"/>
  <c r="G94" i="94" s="1"/>
  <c r="F86" i="94"/>
  <c r="G86" i="94" s="1"/>
  <c r="F78" i="94"/>
  <c r="G78" i="94" s="1"/>
  <c r="F75" i="94"/>
  <c r="F71" i="94"/>
  <c r="G71" i="94" s="1"/>
  <c r="F69" i="94"/>
  <c r="G69" i="94" s="1"/>
  <c r="F63" i="94"/>
  <c r="G63" i="94" s="1"/>
  <c r="F61" i="94"/>
  <c r="G61" i="94" s="1"/>
  <c r="F59" i="94"/>
  <c r="F52" i="94"/>
  <c r="G52" i="94" s="1"/>
  <c r="F55" i="94"/>
  <c r="G55" i="94" s="1"/>
  <c r="C8" i="95"/>
  <c r="G43" i="100"/>
  <c r="F44" i="90"/>
  <c r="G44" i="90" s="1"/>
  <c r="F47" i="90"/>
  <c r="G47" i="90" s="1"/>
  <c r="F55" i="90"/>
  <c r="G55" i="90" s="1"/>
  <c r="F95" i="92"/>
  <c r="G95" i="92" s="1"/>
  <c r="F85" i="92"/>
  <c r="G85" i="92" s="1"/>
  <c r="F83" i="92"/>
  <c r="F79" i="92"/>
  <c r="G79" i="92" s="1"/>
  <c r="F76" i="92"/>
  <c r="G76" i="92" s="1"/>
  <c r="F84" i="92"/>
  <c r="G84" i="92" s="1"/>
  <c r="F93" i="92"/>
  <c r="G93" i="92" s="1"/>
  <c r="F70" i="92"/>
  <c r="G70" i="92" s="1"/>
  <c r="F67" i="92"/>
  <c r="F62" i="92"/>
  <c r="G62" i="92" s="1"/>
  <c r="F60" i="92"/>
  <c r="G60" i="92" s="1"/>
  <c r="F63" i="92"/>
  <c r="G63" i="92" s="1"/>
  <c r="H32" i="94"/>
  <c r="F32" i="94"/>
  <c r="J32" i="94" s="1"/>
  <c r="G23" i="94" s="1"/>
  <c r="C9" i="95"/>
  <c r="F93" i="94"/>
  <c r="G93" i="94" s="1"/>
  <c r="G28" i="96"/>
  <c r="J28" i="96" s="1"/>
  <c r="I28" i="96"/>
  <c r="K28" i="96" s="1"/>
  <c r="C9" i="97"/>
  <c r="F76" i="90"/>
  <c r="G76" i="90" s="1"/>
  <c r="F79" i="90"/>
  <c r="G79" i="90" s="1"/>
  <c r="F83" i="90"/>
  <c r="F85" i="90"/>
  <c r="G85" i="90" s="1"/>
  <c r="F93" i="90"/>
  <c r="G93" i="90" s="1"/>
  <c r="F45" i="92"/>
  <c r="G45" i="92" s="1"/>
  <c r="F51" i="92"/>
  <c r="F61" i="92"/>
  <c r="G61" i="92" s="1"/>
  <c r="F69" i="92"/>
  <c r="G69" i="92" s="1"/>
  <c r="F83" i="94"/>
  <c r="G43" i="96"/>
  <c r="C8" i="97"/>
  <c r="C10" i="97"/>
  <c r="T93" i="96"/>
  <c r="H11" i="99"/>
  <c r="G11" i="99"/>
  <c r="F11" i="99"/>
  <c r="E11" i="99"/>
  <c r="L11" i="99"/>
  <c r="K11" i="99"/>
  <c r="D11" i="99"/>
  <c r="I11" i="99"/>
  <c r="O4" i="94"/>
  <c r="J6" i="94"/>
  <c r="O8" i="94"/>
  <c r="P10" i="94"/>
  <c r="T10" i="94" s="1"/>
  <c r="P12" i="94"/>
  <c r="T12" i="94" s="1"/>
  <c r="P21" i="94"/>
  <c r="T21" i="94" s="1"/>
  <c r="O24" i="94"/>
  <c r="AC38" i="94"/>
  <c r="AC40" i="94"/>
  <c r="T46" i="94"/>
  <c r="T48" i="94"/>
  <c r="N50" i="94"/>
  <c r="AA97" i="94"/>
  <c r="O99" i="94"/>
  <c r="G42" i="96"/>
  <c r="T47" i="96"/>
  <c r="N49" i="96"/>
  <c r="F62" i="96"/>
  <c r="G62" i="96" s="1"/>
  <c r="F68" i="96"/>
  <c r="G68" i="96" s="1"/>
  <c r="F102" i="96"/>
  <c r="G102" i="96" s="1"/>
  <c r="F110" i="96"/>
  <c r="G110" i="96" s="1"/>
  <c r="J33" i="98"/>
  <c r="G24" i="98" s="1"/>
  <c r="C2" i="99"/>
  <c r="C7" i="99"/>
  <c r="P22" i="94"/>
  <c r="T22" i="94" s="1"/>
  <c r="O25" i="94"/>
  <c r="AB39" i="94"/>
  <c r="C42" i="94"/>
  <c r="N47" i="94"/>
  <c r="O52" i="94"/>
  <c r="S52" i="94" s="1"/>
  <c r="O55" i="94"/>
  <c r="O98" i="94"/>
  <c r="F51" i="96"/>
  <c r="F45" i="96"/>
  <c r="G45" i="96" s="1"/>
  <c r="F116" i="96"/>
  <c r="G116" i="96" s="1"/>
  <c r="F108" i="96"/>
  <c r="G108" i="96" s="1"/>
  <c r="F100" i="96"/>
  <c r="G100" i="96" s="1"/>
  <c r="F93" i="96"/>
  <c r="G93" i="96" s="1"/>
  <c r="F85" i="96"/>
  <c r="G85" i="96" s="1"/>
  <c r="F83" i="96"/>
  <c r="F79" i="96"/>
  <c r="G79" i="96" s="1"/>
  <c r="F76" i="96"/>
  <c r="G76" i="96" s="1"/>
  <c r="F55" i="96"/>
  <c r="G55" i="96" s="1"/>
  <c r="F47" i="96"/>
  <c r="G47" i="96" s="1"/>
  <c r="F44" i="96"/>
  <c r="G44" i="96" s="1"/>
  <c r="F119" i="96"/>
  <c r="G119" i="96" s="1"/>
  <c r="F115" i="96"/>
  <c r="F111" i="96"/>
  <c r="G111" i="96" s="1"/>
  <c r="F107" i="96"/>
  <c r="F103" i="96"/>
  <c r="G103" i="96" s="1"/>
  <c r="F94" i="96"/>
  <c r="G94" i="96" s="1"/>
  <c r="F86" i="96"/>
  <c r="G86" i="96" s="1"/>
  <c r="F78" i="96"/>
  <c r="G78" i="96" s="1"/>
  <c r="F75" i="96"/>
  <c r="F71" i="96"/>
  <c r="G71" i="96" s="1"/>
  <c r="F69" i="96"/>
  <c r="G69" i="96" s="1"/>
  <c r="F63" i="96"/>
  <c r="G63" i="96" s="1"/>
  <c r="F61" i="96"/>
  <c r="G61" i="96" s="1"/>
  <c r="F59" i="96"/>
  <c r="F52" i="96"/>
  <c r="G52" i="96" s="1"/>
  <c r="F99" i="96"/>
  <c r="F53" i="96"/>
  <c r="G53" i="96" s="1"/>
  <c r="F46" i="96"/>
  <c r="G46" i="96" s="1"/>
  <c r="J33" i="96"/>
  <c r="N83" i="96"/>
  <c r="O97" i="96"/>
  <c r="K27" i="98"/>
  <c r="J27" i="98"/>
  <c r="G67" i="98"/>
  <c r="G59" i="100"/>
  <c r="N83" i="94"/>
  <c r="N96" i="94"/>
  <c r="AA98" i="94"/>
  <c r="G27" i="96"/>
  <c r="J27" i="96" s="1"/>
  <c r="I27" i="96"/>
  <c r="K27" i="96" s="1"/>
  <c r="AD38" i="96"/>
  <c r="F70" i="96"/>
  <c r="G70" i="96" s="1"/>
  <c r="Q83" i="96"/>
  <c r="F91" i="96"/>
  <c r="C7" i="97"/>
  <c r="C3" i="99"/>
  <c r="F78" i="98"/>
  <c r="G78" i="98" s="1"/>
  <c r="J5" i="94"/>
  <c r="O7" i="94"/>
  <c r="O16" i="94"/>
  <c r="O18" i="94"/>
  <c r="P20" i="94"/>
  <c r="T20" i="94" s="1"/>
  <c r="AD39" i="94"/>
  <c r="F42" i="94"/>
  <c r="N48" i="94"/>
  <c r="O49" i="94"/>
  <c r="S49" i="94" s="1"/>
  <c r="N51" i="94"/>
  <c r="O83" i="94"/>
  <c r="O98" i="96"/>
  <c r="O55" i="96"/>
  <c r="O52" i="96"/>
  <c r="S52" i="96" s="1"/>
  <c r="N47" i="96"/>
  <c r="C42" i="96"/>
  <c r="AB39" i="96"/>
  <c r="O25" i="96"/>
  <c r="P22" i="96"/>
  <c r="T22" i="96" s="1"/>
  <c r="O13" i="96"/>
  <c r="O11" i="96"/>
  <c r="O9" i="96"/>
  <c r="N98" i="96"/>
  <c r="AA99" i="96"/>
  <c r="S84" i="96"/>
  <c r="O50" i="96"/>
  <c r="S50" i="96" s="1"/>
  <c r="U48" i="96"/>
  <c r="Y48" i="96" s="1"/>
  <c r="AD40" i="96"/>
  <c r="O99" i="96"/>
  <c r="AA97" i="96"/>
  <c r="N50" i="96"/>
  <c r="T48" i="96"/>
  <c r="T46" i="96"/>
  <c r="AC40" i="96"/>
  <c r="AC38" i="96"/>
  <c r="O24" i="96"/>
  <c r="P21" i="96"/>
  <c r="T21" i="96" s="1"/>
  <c r="P12" i="96"/>
  <c r="T12" i="96" s="1"/>
  <c r="P10" i="96"/>
  <c r="T10" i="96" s="1"/>
  <c r="O8" i="96"/>
  <c r="J6" i="96"/>
  <c r="O4" i="96"/>
  <c r="O83" i="96"/>
  <c r="N51" i="96"/>
  <c r="O49" i="96"/>
  <c r="S49" i="96" s="1"/>
  <c r="N48" i="96"/>
  <c r="F42" i="96"/>
  <c r="AD39" i="96"/>
  <c r="P14" i="96"/>
  <c r="T14" i="96" s="1"/>
  <c r="O17" i="96"/>
  <c r="P19" i="96"/>
  <c r="T19" i="96" s="1"/>
  <c r="K33" i="96"/>
  <c r="AA39" i="96"/>
  <c r="N46" i="96"/>
  <c r="O48" i="96"/>
  <c r="S48" i="96" s="1"/>
  <c r="O51" i="96"/>
  <c r="S51" i="96" s="1"/>
  <c r="C11" i="97"/>
  <c r="F77" i="96"/>
  <c r="G77" i="96" s="1"/>
  <c r="F84" i="96"/>
  <c r="G84" i="96" s="1"/>
  <c r="F95" i="96"/>
  <c r="G95" i="96" s="1"/>
  <c r="Q62" i="98"/>
  <c r="X62" i="98"/>
  <c r="P62" i="98"/>
  <c r="W62" i="98"/>
  <c r="O62" i="98"/>
  <c r="T62" i="98"/>
  <c r="V62" i="98"/>
  <c r="U62" i="98"/>
  <c r="S62" i="98"/>
  <c r="R62" i="98"/>
  <c r="H32" i="98"/>
  <c r="K32" i="98" s="1"/>
  <c r="P7" i="94"/>
  <c r="T7" i="94" s="1"/>
  <c r="O14" i="94"/>
  <c r="P16" i="94"/>
  <c r="T16" i="94" s="1"/>
  <c r="P18" i="94"/>
  <c r="T18" i="94" s="1"/>
  <c r="AA38" i="94"/>
  <c r="G42" i="94"/>
  <c r="T47" i="94"/>
  <c r="O48" i="94"/>
  <c r="S48" i="94" s="1"/>
  <c r="O51" i="94"/>
  <c r="S51" i="94" s="1"/>
  <c r="Q83" i="94"/>
  <c r="O6" i="96"/>
  <c r="P9" i="96"/>
  <c r="T9" i="96" s="1"/>
  <c r="O15" i="96"/>
  <c r="P17" i="96"/>
  <c r="T17" i="96" s="1"/>
  <c r="O20" i="96"/>
  <c r="J32" i="96"/>
  <c r="G23" i="96" s="1"/>
  <c r="P24" i="96"/>
  <c r="T24" i="96" s="1"/>
  <c r="K32" i="96"/>
  <c r="AC39" i="96"/>
  <c r="B42" i="96"/>
  <c r="F92" i="96"/>
  <c r="G92" i="96" s="1"/>
  <c r="N99" i="96"/>
  <c r="F116" i="98"/>
  <c r="G116" i="98" s="1"/>
  <c r="F119" i="98"/>
  <c r="G119" i="98" s="1"/>
  <c r="F115" i="98"/>
  <c r="F111" i="98"/>
  <c r="G111" i="98" s="1"/>
  <c r="F107" i="98"/>
  <c r="F103" i="98"/>
  <c r="G103" i="98" s="1"/>
  <c r="F94" i="98"/>
  <c r="G94" i="98" s="1"/>
  <c r="F95" i="98"/>
  <c r="G95" i="98" s="1"/>
  <c r="F93" i="98"/>
  <c r="G93" i="98" s="1"/>
  <c r="F75" i="98"/>
  <c r="F71" i="98"/>
  <c r="G71" i="98" s="1"/>
  <c r="F69" i="98"/>
  <c r="G69" i="98" s="1"/>
  <c r="F63" i="98"/>
  <c r="G63" i="98" s="1"/>
  <c r="F61" i="98"/>
  <c r="G61" i="98" s="1"/>
  <c r="F59" i="98"/>
  <c r="F52" i="98"/>
  <c r="G52" i="98" s="1"/>
  <c r="F101" i="98"/>
  <c r="G101" i="98" s="1"/>
  <c r="F84" i="98"/>
  <c r="G84" i="98" s="1"/>
  <c r="F54" i="98"/>
  <c r="G54" i="98" s="1"/>
  <c r="F43" i="98"/>
  <c r="F118" i="98"/>
  <c r="G118" i="98" s="1"/>
  <c r="F100" i="98"/>
  <c r="G100" i="98" s="1"/>
  <c r="F86" i="98"/>
  <c r="G86" i="98" s="1"/>
  <c r="F68" i="98"/>
  <c r="G68" i="98" s="1"/>
  <c r="P26" i="98"/>
  <c r="T26" i="98" s="1"/>
  <c r="F99" i="98"/>
  <c r="F83" i="98"/>
  <c r="F51" i="98"/>
  <c r="F45" i="98"/>
  <c r="G45" i="98" s="1"/>
  <c r="F109" i="98"/>
  <c r="G109" i="98" s="1"/>
  <c r="F47" i="98"/>
  <c r="G47" i="98" s="1"/>
  <c r="F117" i="98"/>
  <c r="G117" i="98" s="1"/>
  <c r="F108" i="98"/>
  <c r="G108" i="98" s="1"/>
  <c r="F60" i="98"/>
  <c r="G60" i="98" s="1"/>
  <c r="F46" i="98"/>
  <c r="G46" i="98" s="1"/>
  <c r="F76" i="98"/>
  <c r="G76" i="98" s="1"/>
  <c r="F79" i="98"/>
  <c r="G79" i="98" s="1"/>
  <c r="F102" i="98"/>
  <c r="G102" i="98" s="1"/>
  <c r="C4" i="99"/>
  <c r="F70" i="98"/>
  <c r="G70" i="98" s="1"/>
  <c r="F91" i="98"/>
  <c r="C6" i="99"/>
  <c r="C5" i="101"/>
  <c r="J32" i="98"/>
  <c r="G23" i="98" s="1"/>
  <c r="C9" i="99"/>
  <c r="C10" i="99"/>
  <c r="F117" i="100"/>
  <c r="G117" i="100" s="1"/>
  <c r="F109" i="100"/>
  <c r="G109" i="100" s="1"/>
  <c r="F101" i="100"/>
  <c r="G101" i="100" s="1"/>
  <c r="F92" i="100"/>
  <c r="G92" i="100" s="1"/>
  <c r="F70" i="100"/>
  <c r="G70" i="100" s="1"/>
  <c r="F67" i="100"/>
  <c r="F62" i="100"/>
  <c r="G62" i="100" s="1"/>
  <c r="F60" i="100"/>
  <c r="G60" i="100" s="1"/>
  <c r="F116" i="100"/>
  <c r="G116" i="100" s="1"/>
  <c r="F108" i="100"/>
  <c r="G108" i="100" s="1"/>
  <c r="F100" i="100"/>
  <c r="G100" i="100" s="1"/>
  <c r="F93" i="100"/>
  <c r="G93" i="100" s="1"/>
  <c r="F85" i="100"/>
  <c r="G85" i="100" s="1"/>
  <c r="F83" i="100"/>
  <c r="F79" i="100"/>
  <c r="G79" i="100" s="1"/>
  <c r="F76" i="100"/>
  <c r="G76" i="100" s="1"/>
  <c r="F55" i="100"/>
  <c r="G55" i="100" s="1"/>
  <c r="F47" i="100"/>
  <c r="G47" i="100" s="1"/>
  <c r="F44" i="100"/>
  <c r="F118" i="100"/>
  <c r="G118" i="100" s="1"/>
  <c r="F110" i="100"/>
  <c r="G110" i="100" s="1"/>
  <c r="F102" i="100"/>
  <c r="G102" i="100" s="1"/>
  <c r="F95" i="100"/>
  <c r="G95" i="100" s="1"/>
  <c r="F91" i="100"/>
  <c r="F87" i="100"/>
  <c r="G87" i="100" s="1"/>
  <c r="F77" i="100"/>
  <c r="G77" i="100" s="1"/>
  <c r="F68" i="100"/>
  <c r="G68" i="100" s="1"/>
  <c r="P26" i="100"/>
  <c r="T26" i="100" s="1"/>
  <c r="F71" i="100"/>
  <c r="G71" i="100" s="1"/>
  <c r="F46" i="100"/>
  <c r="G46" i="100" s="1"/>
  <c r="F119" i="100"/>
  <c r="G119" i="100" s="1"/>
  <c r="F99" i="100"/>
  <c r="F52" i="100"/>
  <c r="G52" i="100" s="1"/>
  <c r="F45" i="100"/>
  <c r="G45" i="100" s="1"/>
  <c r="F111" i="100"/>
  <c r="G111" i="100" s="1"/>
  <c r="F84" i="100"/>
  <c r="G84" i="100" s="1"/>
  <c r="F78" i="100"/>
  <c r="G78" i="100" s="1"/>
  <c r="F75" i="100"/>
  <c r="F103" i="100"/>
  <c r="G103" i="100" s="1"/>
  <c r="F107" i="100"/>
  <c r="F69" i="100"/>
  <c r="G69" i="100" s="1"/>
  <c r="F63" i="100"/>
  <c r="G63" i="100" s="1"/>
  <c r="F53" i="100"/>
  <c r="G53" i="100" s="1"/>
  <c r="F115" i="100"/>
  <c r="F94" i="100"/>
  <c r="G94" i="100" s="1"/>
  <c r="F54" i="100"/>
  <c r="G54" i="100" s="1"/>
  <c r="F61" i="100"/>
  <c r="G61" i="100" s="1"/>
  <c r="F51" i="100"/>
  <c r="J9" i="101"/>
  <c r="I9" i="101"/>
  <c r="G9" i="101"/>
  <c r="E9" i="101"/>
  <c r="D9" i="101"/>
  <c r="K9" i="101"/>
  <c r="L9" i="101"/>
  <c r="H9" i="101"/>
  <c r="F86" i="100"/>
  <c r="G86" i="100" s="1"/>
  <c r="F9" i="101"/>
  <c r="K33" i="102"/>
  <c r="G24" i="102" s="1"/>
  <c r="J33" i="102"/>
  <c r="C11" i="101"/>
  <c r="K28" i="98"/>
  <c r="J28" i="98"/>
  <c r="F24" i="98" s="1"/>
  <c r="C5" i="99"/>
  <c r="I8" i="99"/>
  <c r="H8" i="99"/>
  <c r="G8" i="99"/>
  <c r="F8" i="99"/>
  <c r="L8" i="99"/>
  <c r="E8" i="99"/>
  <c r="T26" i="99"/>
  <c r="U62" i="100"/>
  <c r="R62" i="100"/>
  <c r="W62" i="100"/>
  <c r="O62" i="100"/>
  <c r="V62" i="100"/>
  <c r="T62" i="100"/>
  <c r="S62" i="100"/>
  <c r="Q62" i="100"/>
  <c r="P62" i="100"/>
  <c r="O9" i="98"/>
  <c r="O11" i="98"/>
  <c r="O13" i="98"/>
  <c r="P22" i="98"/>
  <c r="T22" i="98" s="1"/>
  <c r="O25" i="98"/>
  <c r="AB39" i="98"/>
  <c r="C42" i="98"/>
  <c r="N47" i="98"/>
  <c r="O52" i="98"/>
  <c r="S52" i="98" s="1"/>
  <c r="T21" i="99"/>
  <c r="O98" i="98"/>
  <c r="AA99" i="98"/>
  <c r="S84" i="98"/>
  <c r="O99" i="98"/>
  <c r="AA97" i="98"/>
  <c r="P7" i="98"/>
  <c r="T7" i="98" s="1"/>
  <c r="O14" i="98"/>
  <c r="P16" i="98"/>
  <c r="T16" i="98" s="1"/>
  <c r="P18" i="98"/>
  <c r="T18" i="98" s="1"/>
  <c r="AA38" i="98"/>
  <c r="G42" i="98"/>
  <c r="T47" i="98"/>
  <c r="O48" i="98"/>
  <c r="S48" i="98" s="1"/>
  <c r="O51" i="98"/>
  <c r="S51" i="98" s="1"/>
  <c r="Q83" i="98"/>
  <c r="T28" i="99"/>
  <c r="T24" i="99"/>
  <c r="T20" i="99"/>
  <c r="T27" i="99"/>
  <c r="T23" i="99"/>
  <c r="T19" i="99"/>
  <c r="K27" i="100"/>
  <c r="C4" i="101"/>
  <c r="O10" i="98"/>
  <c r="O12" i="98"/>
  <c r="P14" i="98"/>
  <c r="T14" i="98" s="1"/>
  <c r="O21" i="98"/>
  <c r="AB38" i="98"/>
  <c r="N46" i="98"/>
  <c r="U47" i="98"/>
  <c r="Y47" i="98" s="1"/>
  <c r="N97" i="98"/>
  <c r="F33" i="100"/>
  <c r="H33" i="100"/>
  <c r="O4" i="98"/>
  <c r="J6" i="98"/>
  <c r="O8" i="98"/>
  <c r="P10" i="98"/>
  <c r="T10" i="98" s="1"/>
  <c r="P12" i="98"/>
  <c r="T12" i="98" s="1"/>
  <c r="P21" i="98"/>
  <c r="T21" i="98" s="1"/>
  <c r="O24" i="98"/>
  <c r="AC38" i="98"/>
  <c r="AC40" i="98"/>
  <c r="T46" i="98"/>
  <c r="T48" i="98"/>
  <c r="N50" i="98"/>
  <c r="O97" i="98"/>
  <c r="I33" i="100"/>
  <c r="K33" i="100" s="1"/>
  <c r="G33" i="100"/>
  <c r="G59" i="102"/>
  <c r="C42" i="100"/>
  <c r="T46" i="100"/>
  <c r="N50" i="100"/>
  <c r="C2" i="101"/>
  <c r="H7" i="101"/>
  <c r="G7" i="101"/>
  <c r="I7" i="101"/>
  <c r="E7" i="101"/>
  <c r="D7" i="101"/>
  <c r="K7" i="101"/>
  <c r="T21" i="101"/>
  <c r="T24" i="101"/>
  <c r="C8" i="103"/>
  <c r="O13" i="100"/>
  <c r="P22" i="100"/>
  <c r="T22" i="100" s="1"/>
  <c r="O25" i="100"/>
  <c r="AB38" i="100"/>
  <c r="T48" i="100"/>
  <c r="N51" i="100"/>
  <c r="O83" i="100"/>
  <c r="AA97" i="100"/>
  <c r="T94" i="100" s="1"/>
  <c r="T93" i="102"/>
  <c r="C10" i="103"/>
  <c r="P9" i="100"/>
  <c r="T9" i="100" s="1"/>
  <c r="P11" i="100"/>
  <c r="T11" i="100" s="1"/>
  <c r="P13" i="100"/>
  <c r="T13" i="100" s="1"/>
  <c r="O20" i="100"/>
  <c r="J28" i="100"/>
  <c r="F24" i="100" s="1"/>
  <c r="F32" i="100"/>
  <c r="J32" i="100" s="1"/>
  <c r="H32" i="100"/>
  <c r="K32" i="100" s="1"/>
  <c r="AC38" i="100"/>
  <c r="U47" i="100"/>
  <c r="Y47" i="100" s="1"/>
  <c r="O55" i="100"/>
  <c r="K6" i="101"/>
  <c r="I6" i="101"/>
  <c r="G6" i="101"/>
  <c r="F6" i="101"/>
  <c r="L6" i="101"/>
  <c r="O98" i="100"/>
  <c r="E6" i="101"/>
  <c r="T19" i="101"/>
  <c r="K27" i="102"/>
  <c r="J27" i="102"/>
  <c r="J27" i="100"/>
  <c r="F23" i="100" s="1"/>
  <c r="C3" i="101"/>
  <c r="C5" i="103"/>
  <c r="AA98" i="100"/>
  <c r="N96" i="100"/>
  <c r="N83" i="100"/>
  <c r="N49" i="100"/>
  <c r="O47" i="100"/>
  <c r="S47" i="100" s="1"/>
  <c r="E42" i="100"/>
  <c r="AC39" i="100"/>
  <c r="P25" i="100"/>
  <c r="T25" i="100" s="1"/>
  <c r="N98" i="100"/>
  <c r="AA99" i="100"/>
  <c r="S84" i="100"/>
  <c r="O50" i="100"/>
  <c r="S50" i="100" s="1"/>
  <c r="U48" i="100"/>
  <c r="Y48" i="100" s="1"/>
  <c r="AD40" i="100"/>
  <c r="AD38" i="100"/>
  <c r="N97" i="100"/>
  <c r="Q83" i="100"/>
  <c r="O51" i="100"/>
  <c r="S51" i="100" s="1"/>
  <c r="O48" i="100"/>
  <c r="S48" i="100" s="1"/>
  <c r="T47" i="100"/>
  <c r="G42" i="100"/>
  <c r="AA38" i="100"/>
  <c r="P7" i="100"/>
  <c r="T7" i="100" s="1"/>
  <c r="O14" i="100"/>
  <c r="P16" i="100"/>
  <c r="T16" i="100" s="1"/>
  <c r="P18" i="100"/>
  <c r="T18" i="100" s="1"/>
  <c r="AB39" i="100"/>
  <c r="AC40" i="100"/>
  <c r="O49" i="100"/>
  <c r="S49" i="100" s="1"/>
  <c r="N52" i="100"/>
  <c r="C10" i="101"/>
  <c r="N99" i="100"/>
  <c r="T20" i="101"/>
  <c r="T25" i="101"/>
  <c r="X62" i="102"/>
  <c r="P62" i="102"/>
  <c r="V62" i="102"/>
  <c r="U62" i="102"/>
  <c r="T62" i="102"/>
  <c r="S62" i="102"/>
  <c r="R62" i="102"/>
  <c r="O62" i="102"/>
  <c r="Q62" i="102"/>
  <c r="AD39" i="102"/>
  <c r="O51" i="102"/>
  <c r="S51" i="102" s="1"/>
  <c r="C2" i="103"/>
  <c r="T94" i="102"/>
  <c r="G107" i="102"/>
  <c r="T7" i="103"/>
  <c r="T9" i="103"/>
  <c r="N99" i="102"/>
  <c r="O97" i="102"/>
  <c r="U47" i="102"/>
  <c r="Y47" i="102" s="1"/>
  <c r="N46" i="102"/>
  <c r="AB38" i="102"/>
  <c r="O21" i="102"/>
  <c r="P14" i="102"/>
  <c r="T14" i="102" s="1"/>
  <c r="O12" i="102"/>
  <c r="O10" i="102"/>
  <c r="O83" i="102"/>
  <c r="AA98" i="102"/>
  <c r="N96" i="102"/>
  <c r="N83" i="102"/>
  <c r="N49" i="102"/>
  <c r="O47" i="102"/>
  <c r="S47" i="102" s="1"/>
  <c r="E42" i="102"/>
  <c r="AC39" i="102"/>
  <c r="O98" i="102"/>
  <c r="O55" i="102"/>
  <c r="O52" i="102"/>
  <c r="S52" i="102" s="1"/>
  <c r="N47" i="102"/>
  <c r="C42" i="102"/>
  <c r="AB39" i="102"/>
  <c r="N98" i="102"/>
  <c r="N52" i="102"/>
  <c r="B42" i="102"/>
  <c r="AA39" i="102"/>
  <c r="P23" i="102"/>
  <c r="T23" i="102" s="1"/>
  <c r="O22" i="102"/>
  <c r="P19" i="102"/>
  <c r="T19" i="102" s="1"/>
  <c r="P17" i="102"/>
  <c r="T17" i="102" s="1"/>
  <c r="P15" i="102"/>
  <c r="T15" i="102" s="1"/>
  <c r="P6" i="102"/>
  <c r="T6" i="102" s="1"/>
  <c r="T4" i="102"/>
  <c r="AA99" i="102"/>
  <c r="S84" i="102"/>
  <c r="O50" i="102"/>
  <c r="S50" i="102" s="1"/>
  <c r="U48" i="102"/>
  <c r="Y48" i="102" s="1"/>
  <c r="AD40" i="102"/>
  <c r="AD38" i="102"/>
  <c r="P24" i="102"/>
  <c r="T24" i="102" s="1"/>
  <c r="O23" i="102"/>
  <c r="O19" i="102"/>
  <c r="O17" i="102"/>
  <c r="O15" i="102"/>
  <c r="P8" i="102"/>
  <c r="T8" i="102" s="1"/>
  <c r="O6" i="102"/>
  <c r="P4" i="102"/>
  <c r="J6" i="102"/>
  <c r="P12" i="102"/>
  <c r="T12" i="102" s="1"/>
  <c r="O16" i="102"/>
  <c r="K32" i="102"/>
  <c r="G23" i="102" s="1"/>
  <c r="P25" i="102"/>
  <c r="T25" i="102" s="1"/>
  <c r="T46" i="102"/>
  <c r="T48" i="102"/>
  <c r="K6" i="103"/>
  <c r="I6" i="103"/>
  <c r="H6" i="103"/>
  <c r="G6" i="103"/>
  <c r="F6" i="103"/>
  <c r="E6" i="103"/>
  <c r="J6" i="103"/>
  <c r="T14" i="103"/>
  <c r="T26" i="101"/>
  <c r="O49" i="102"/>
  <c r="S49" i="102" s="1"/>
  <c r="C7" i="103"/>
  <c r="L6" i="103"/>
  <c r="T8" i="103"/>
  <c r="T63" i="102"/>
  <c r="R63" i="102"/>
  <c r="Q63" i="102"/>
  <c r="X63" i="102"/>
  <c r="P63" i="102"/>
  <c r="W63" i="102"/>
  <c r="O63" i="102"/>
  <c r="V63" i="102"/>
  <c r="AC40" i="102"/>
  <c r="T47" i="102"/>
  <c r="C3" i="103"/>
  <c r="U63" i="102"/>
  <c r="T6" i="103"/>
  <c r="C9" i="103"/>
  <c r="C11" i="103"/>
  <c r="T12" i="103"/>
  <c r="T15" i="103"/>
  <c r="T11" i="103"/>
  <c r="T27" i="103"/>
  <c r="T23" i="103"/>
  <c r="T19" i="103"/>
  <c r="O7" i="102"/>
  <c r="K28" i="102"/>
  <c r="F24" i="102" s="1"/>
  <c r="AA38" i="102"/>
  <c r="F42" i="102"/>
  <c r="N50" i="102"/>
  <c r="C4" i="103"/>
  <c r="G91" i="102"/>
  <c r="G115" i="102"/>
  <c r="T28" i="103"/>
  <c r="F44" i="102"/>
  <c r="G44" i="102" s="1"/>
  <c r="F47" i="102"/>
  <c r="G47" i="102" s="1"/>
  <c r="F55" i="102"/>
  <c r="G55" i="102" s="1"/>
  <c r="T21" i="103"/>
  <c r="T22" i="101"/>
  <c r="F76" i="102"/>
  <c r="F79" i="102"/>
  <c r="G79" i="102" s="1"/>
  <c r="F83" i="102"/>
  <c r="F85" i="102"/>
  <c r="G85" i="102" s="1"/>
  <c r="F93" i="102"/>
  <c r="G93" i="102" s="1"/>
  <c r="F100" i="102"/>
  <c r="G100" i="102" s="1"/>
  <c r="F108" i="102"/>
  <c r="G108" i="102" s="1"/>
  <c r="F116" i="102"/>
  <c r="G116" i="102" s="1"/>
  <c r="F45" i="102"/>
  <c r="G45" i="102" s="1"/>
  <c r="F51" i="102"/>
  <c r="T22" i="103"/>
  <c r="F60" i="102"/>
  <c r="G60" i="102" s="1"/>
  <c r="F62" i="102"/>
  <c r="G62" i="102" s="1"/>
  <c r="F67" i="102"/>
  <c r="F70" i="102"/>
  <c r="G70" i="102" s="1"/>
  <c r="F92" i="102"/>
  <c r="G92" i="102" s="1"/>
  <c r="F101" i="102"/>
  <c r="G101" i="102" s="1"/>
  <c r="F109" i="102"/>
  <c r="G109" i="102" s="1"/>
  <c r="F117" i="102"/>
  <c r="G117" i="102" s="1"/>
  <c r="F99" i="102"/>
  <c r="F43" i="102"/>
  <c r="F54" i="102"/>
  <c r="G54" i="102" s="1"/>
  <c r="K190" i="5"/>
  <c r="K191" i="5"/>
  <c r="K216" i="5"/>
  <c r="K217" i="5"/>
  <c r="K241" i="5"/>
  <c r="K240" i="5"/>
  <c r="K278" i="5"/>
  <c r="G24" i="84" l="1"/>
  <c r="J33" i="100"/>
  <c r="G24" i="100" s="1"/>
  <c r="F23" i="98"/>
  <c r="F23" i="94"/>
  <c r="F24" i="90"/>
  <c r="S63" i="84"/>
  <c r="V63" i="84"/>
  <c r="U63" i="84"/>
  <c r="R28" i="87"/>
  <c r="C217" i="5"/>
  <c r="R27" i="87"/>
  <c r="C216" i="5"/>
  <c r="R28" i="31"/>
  <c r="C87" i="5"/>
  <c r="F112" i="102"/>
  <c r="W36" i="102" s="1"/>
  <c r="W38" i="102" s="1"/>
  <c r="W61" i="102" s="1"/>
  <c r="F48" i="94"/>
  <c r="O36" i="94" s="1"/>
  <c r="O38" i="94" s="1"/>
  <c r="O40" i="94" s="1"/>
  <c r="O59" i="94" s="1"/>
  <c r="R21" i="87"/>
  <c r="C210" i="5"/>
  <c r="V63" i="82"/>
  <c r="U63" i="82"/>
  <c r="S63" i="82"/>
  <c r="C66" i="5"/>
  <c r="R19" i="29"/>
  <c r="F23" i="86"/>
  <c r="F24" i="82"/>
  <c r="R25" i="87"/>
  <c r="C214" i="5"/>
  <c r="R20" i="87"/>
  <c r="C209" i="5"/>
  <c r="R19" i="87"/>
  <c r="C208" i="5"/>
  <c r="R27" i="31"/>
  <c r="C86" i="5"/>
  <c r="R25" i="29"/>
  <c r="C72" i="5"/>
  <c r="C69" i="5"/>
  <c r="R22" i="29"/>
  <c r="R24" i="87"/>
  <c r="C213" i="5"/>
  <c r="F23" i="102"/>
  <c r="G24" i="96"/>
  <c r="F24" i="96"/>
  <c r="G121" i="84"/>
  <c r="J27" i="84"/>
  <c r="K27" i="84"/>
  <c r="F23" i="84" s="1"/>
  <c r="G112" i="84"/>
  <c r="O93" i="84" s="1"/>
  <c r="Q93" i="84" s="1"/>
  <c r="Q87" i="80"/>
  <c r="R62" i="80"/>
  <c r="C71" i="5"/>
  <c r="R24" i="29"/>
  <c r="X38" i="88"/>
  <c r="R26" i="87"/>
  <c r="C215" i="5"/>
  <c r="R26" i="29"/>
  <c r="C73" i="5"/>
  <c r="F72" i="96"/>
  <c r="R36" i="96" s="1"/>
  <c r="R38" i="96" s="1"/>
  <c r="R61" i="96" s="1"/>
  <c r="G23" i="86"/>
  <c r="F24" i="86"/>
  <c r="R22" i="87"/>
  <c r="C211" i="5"/>
  <c r="C70" i="5"/>
  <c r="R23" i="29"/>
  <c r="F120" i="102"/>
  <c r="X36" i="102" s="1"/>
  <c r="X38" i="102" s="1"/>
  <c r="F23" i="88"/>
  <c r="R23" i="87"/>
  <c r="C212" i="5"/>
  <c r="C68" i="5"/>
  <c r="R21" i="29"/>
  <c r="C67" i="5"/>
  <c r="R20" i="29"/>
  <c r="F96" i="90"/>
  <c r="U36" i="90" s="1"/>
  <c r="U38" i="90" s="1"/>
  <c r="U61" i="90" s="1"/>
  <c r="F80" i="88"/>
  <c r="S36" i="88" s="1"/>
  <c r="S38" i="88" s="1"/>
  <c r="S40" i="88" s="1"/>
  <c r="S59" i="88" s="1"/>
  <c r="G48" i="88"/>
  <c r="O85" i="88" s="1"/>
  <c r="B2" i="89" s="1"/>
  <c r="G96" i="86"/>
  <c r="O91" i="86" s="1"/>
  <c r="F80" i="84"/>
  <c r="S36" i="84" s="1"/>
  <c r="S38" i="84" s="1"/>
  <c r="F56" i="84"/>
  <c r="P36" i="84" s="1"/>
  <c r="P38" i="84" s="1"/>
  <c r="G80" i="82"/>
  <c r="O89" i="82" s="1"/>
  <c r="B6" i="83" s="1"/>
  <c r="G56" i="82"/>
  <c r="O86" i="82" s="1"/>
  <c r="B3" i="83" s="1"/>
  <c r="U58" i="80"/>
  <c r="Q91" i="80"/>
  <c r="F9" i="99"/>
  <c r="E9" i="99"/>
  <c r="L9" i="99"/>
  <c r="D9" i="99"/>
  <c r="K9" i="99"/>
  <c r="G9" i="99"/>
  <c r="J9" i="99"/>
  <c r="I9" i="99"/>
  <c r="H9" i="99"/>
  <c r="G23" i="100"/>
  <c r="G58" i="84"/>
  <c r="P57" i="84"/>
  <c r="G58" i="82"/>
  <c r="P57" i="82"/>
  <c r="B8" i="87"/>
  <c r="Q91" i="86"/>
  <c r="G112" i="102"/>
  <c r="O93" i="102" s="1"/>
  <c r="G113" i="102"/>
  <c r="F104" i="100"/>
  <c r="V36" i="100" s="1"/>
  <c r="V38" i="100" s="1"/>
  <c r="G99" i="100"/>
  <c r="G44" i="100"/>
  <c r="F48" i="100"/>
  <c r="O36" i="100" s="1"/>
  <c r="O38" i="100" s="1"/>
  <c r="U63" i="98"/>
  <c r="T63" i="98"/>
  <c r="S63" i="98"/>
  <c r="X63" i="98"/>
  <c r="P63" i="98"/>
  <c r="W63" i="98"/>
  <c r="V63" i="98"/>
  <c r="O63" i="98"/>
  <c r="R63" i="98"/>
  <c r="Q63" i="98"/>
  <c r="F24" i="94"/>
  <c r="W40" i="102"/>
  <c r="W59" i="102" s="1"/>
  <c r="V57" i="90"/>
  <c r="L8" i="95"/>
  <c r="D8" i="95"/>
  <c r="K8" i="95"/>
  <c r="J8" i="95"/>
  <c r="I8" i="95"/>
  <c r="F8" i="95"/>
  <c r="E8" i="95"/>
  <c r="H8" i="95"/>
  <c r="G8" i="95"/>
  <c r="O94" i="88"/>
  <c r="Q94" i="88" s="1"/>
  <c r="X57" i="84"/>
  <c r="G122" i="84"/>
  <c r="F24" i="88"/>
  <c r="G120" i="82"/>
  <c r="O94" i="82" s="1"/>
  <c r="Q94" i="82" s="1"/>
  <c r="G121" i="82"/>
  <c r="F2" i="101"/>
  <c r="L2" i="101"/>
  <c r="D2" i="101"/>
  <c r="K2" i="101"/>
  <c r="H2" i="101"/>
  <c r="J2" i="101"/>
  <c r="I2" i="101"/>
  <c r="G2" i="101"/>
  <c r="E2" i="101"/>
  <c r="K7" i="91"/>
  <c r="J7" i="91"/>
  <c r="I7" i="91"/>
  <c r="H7" i="91"/>
  <c r="E7" i="91"/>
  <c r="G7" i="91"/>
  <c r="F7" i="91"/>
  <c r="D7" i="91"/>
  <c r="L7" i="91"/>
  <c r="O94" i="92"/>
  <c r="Q94" i="92" s="1"/>
  <c r="G83" i="86"/>
  <c r="F88" i="86"/>
  <c r="T36" i="86" s="1"/>
  <c r="T38" i="86" s="1"/>
  <c r="G75" i="98"/>
  <c r="F80" i="98"/>
  <c r="S36" i="98" s="1"/>
  <c r="S38" i="98" s="1"/>
  <c r="F80" i="94"/>
  <c r="S36" i="94" s="1"/>
  <c r="S38" i="94" s="1"/>
  <c r="G75" i="94"/>
  <c r="F96" i="94"/>
  <c r="U36" i="94" s="1"/>
  <c r="U38" i="94" s="1"/>
  <c r="G91" i="94"/>
  <c r="E5" i="95"/>
  <c r="L5" i="95"/>
  <c r="D5" i="95"/>
  <c r="K5" i="95"/>
  <c r="J5" i="95"/>
  <c r="G5" i="95"/>
  <c r="I5" i="95"/>
  <c r="H5" i="95"/>
  <c r="F5" i="95"/>
  <c r="F96" i="88"/>
  <c r="U36" i="88" s="1"/>
  <c r="U38" i="88" s="1"/>
  <c r="G91" i="88"/>
  <c r="H8" i="91"/>
  <c r="G8" i="91"/>
  <c r="F8" i="91"/>
  <c r="E8" i="91"/>
  <c r="J8" i="91"/>
  <c r="L8" i="91"/>
  <c r="K8" i="91"/>
  <c r="I8" i="91"/>
  <c r="D8" i="91"/>
  <c r="H9" i="93"/>
  <c r="G9" i="93"/>
  <c r="E9" i="93"/>
  <c r="J9" i="93"/>
  <c r="F9" i="93"/>
  <c r="D9" i="93"/>
  <c r="K9" i="93"/>
  <c r="I9" i="93"/>
  <c r="L9" i="93"/>
  <c r="G59" i="86"/>
  <c r="F64" i="86"/>
  <c r="Q36" i="86" s="1"/>
  <c r="Q38" i="86" s="1"/>
  <c r="F112" i="84"/>
  <c r="W36" i="84" s="1"/>
  <c r="W38" i="84" s="1"/>
  <c r="X62" i="80"/>
  <c r="X41" i="80"/>
  <c r="X60" i="80" s="1"/>
  <c r="G66" i="80"/>
  <c r="G65" i="80"/>
  <c r="O88" i="80" s="1"/>
  <c r="W62" i="80"/>
  <c r="W41" i="80"/>
  <c r="W60" i="80" s="1"/>
  <c r="G81" i="82"/>
  <c r="F72" i="98"/>
  <c r="R36" i="98" s="1"/>
  <c r="R38" i="98" s="1"/>
  <c r="K6" i="83"/>
  <c r="I6" i="83"/>
  <c r="F6" i="83"/>
  <c r="L6" i="83"/>
  <c r="E6" i="83"/>
  <c r="J6" i="83"/>
  <c r="H6" i="83"/>
  <c r="G6" i="83"/>
  <c r="D6" i="83"/>
  <c r="F104" i="82"/>
  <c r="V36" i="82" s="1"/>
  <c r="V38" i="82" s="1"/>
  <c r="G99" i="82"/>
  <c r="G115" i="98"/>
  <c r="F120" i="98"/>
  <c r="X36" i="98" s="1"/>
  <c r="X38" i="98" s="1"/>
  <c r="G75" i="90"/>
  <c r="F80" i="90"/>
  <c r="S36" i="90" s="1"/>
  <c r="S38" i="90" s="1"/>
  <c r="X61" i="88"/>
  <c r="X40" i="88"/>
  <c r="X59" i="88" s="1"/>
  <c r="F112" i="82"/>
  <c r="W36" i="82" s="1"/>
  <c r="W38" i="82" s="1"/>
  <c r="G107" i="82"/>
  <c r="L9" i="89"/>
  <c r="D9" i="89"/>
  <c r="K9" i="89"/>
  <c r="J9" i="89"/>
  <c r="I9" i="89"/>
  <c r="F9" i="89"/>
  <c r="E9" i="89"/>
  <c r="H9" i="89"/>
  <c r="G9" i="89"/>
  <c r="G91" i="80"/>
  <c r="T58" i="80"/>
  <c r="G114" i="80"/>
  <c r="G113" i="80"/>
  <c r="O94" i="80" s="1"/>
  <c r="Q94" i="80" s="1"/>
  <c r="F96" i="100"/>
  <c r="U36" i="100" s="1"/>
  <c r="U38" i="100" s="1"/>
  <c r="G91" i="100"/>
  <c r="F96" i="86"/>
  <c r="U36" i="86" s="1"/>
  <c r="U38" i="86" s="1"/>
  <c r="L5" i="85"/>
  <c r="D5" i="85"/>
  <c r="K5" i="85"/>
  <c r="J5" i="85"/>
  <c r="I5" i="85"/>
  <c r="F5" i="85"/>
  <c r="H5" i="85"/>
  <c r="E5" i="85"/>
  <c r="G5" i="85"/>
  <c r="G67" i="86"/>
  <c r="F72" i="86"/>
  <c r="R36" i="86" s="1"/>
  <c r="R38" i="86" s="1"/>
  <c r="G64" i="82"/>
  <c r="O87" i="82" s="1"/>
  <c r="G65" i="82"/>
  <c r="F48" i="102"/>
  <c r="O36" i="102" s="1"/>
  <c r="O38" i="102" s="1"/>
  <c r="G43" i="102"/>
  <c r="G67" i="102"/>
  <c r="F72" i="102"/>
  <c r="R36" i="102" s="1"/>
  <c r="R38" i="102" s="1"/>
  <c r="G76" i="102"/>
  <c r="F80" i="102"/>
  <c r="S36" i="102" s="1"/>
  <c r="S38" i="102" s="1"/>
  <c r="G99" i="96"/>
  <c r="F104" i="96"/>
  <c r="V36" i="96" s="1"/>
  <c r="V38" i="96" s="1"/>
  <c r="G75" i="96"/>
  <c r="F80" i="96"/>
  <c r="S36" i="96" s="1"/>
  <c r="S38" i="96" s="1"/>
  <c r="G83" i="92"/>
  <c r="F88" i="92"/>
  <c r="T36" i="92" s="1"/>
  <c r="T38" i="92" s="1"/>
  <c r="L5" i="93"/>
  <c r="D5" i="93"/>
  <c r="K5" i="93"/>
  <c r="I5" i="93"/>
  <c r="F5" i="93"/>
  <c r="G5" i="93"/>
  <c r="H5" i="93"/>
  <c r="E5" i="93"/>
  <c r="J5" i="93"/>
  <c r="O93" i="92"/>
  <c r="Q93" i="92" s="1"/>
  <c r="H2" i="95"/>
  <c r="G2" i="95"/>
  <c r="F2" i="95"/>
  <c r="E2" i="95"/>
  <c r="J2" i="95"/>
  <c r="I2" i="95"/>
  <c r="D2" i="95"/>
  <c r="L2" i="95"/>
  <c r="K2" i="95"/>
  <c r="F4" i="91"/>
  <c r="E4" i="91"/>
  <c r="L4" i="91"/>
  <c r="D4" i="91"/>
  <c r="K4" i="91"/>
  <c r="H4" i="91"/>
  <c r="G4" i="91"/>
  <c r="J4" i="91"/>
  <c r="I4" i="91"/>
  <c r="W36" i="88"/>
  <c r="W38" i="88" s="1"/>
  <c r="F72" i="84"/>
  <c r="R36" i="84" s="1"/>
  <c r="R38" i="84" s="1"/>
  <c r="J4" i="95"/>
  <c r="I4" i="95"/>
  <c r="H4" i="95"/>
  <c r="G4" i="95"/>
  <c r="L4" i="95"/>
  <c r="D4" i="95"/>
  <c r="F4" i="95"/>
  <c r="K4" i="95"/>
  <c r="E4" i="95"/>
  <c r="O92" i="90"/>
  <c r="G80" i="84"/>
  <c r="O89" i="84" s="1"/>
  <c r="G81" i="84"/>
  <c r="W36" i="86"/>
  <c r="W38" i="86" s="1"/>
  <c r="G2" i="85"/>
  <c r="F2" i="85"/>
  <c r="E2" i="85"/>
  <c r="L2" i="85"/>
  <c r="D2" i="85"/>
  <c r="I2" i="85"/>
  <c r="J2" i="85"/>
  <c r="H2" i="85"/>
  <c r="K2" i="85"/>
  <c r="T93" i="82"/>
  <c r="S41" i="80"/>
  <c r="S60" i="80" s="1"/>
  <c r="S62" i="80"/>
  <c r="J28" i="84"/>
  <c r="F24" i="84" s="1"/>
  <c r="R58" i="80"/>
  <c r="G75" i="80"/>
  <c r="K4" i="83"/>
  <c r="I4" i="83"/>
  <c r="F4" i="83"/>
  <c r="L4" i="83"/>
  <c r="J4" i="83"/>
  <c r="E4" i="83"/>
  <c r="H4" i="83"/>
  <c r="G4" i="83"/>
  <c r="D4" i="83"/>
  <c r="I2" i="83"/>
  <c r="G2" i="83"/>
  <c r="L2" i="83"/>
  <c r="D2" i="83"/>
  <c r="H2" i="83"/>
  <c r="F2" i="83"/>
  <c r="E2" i="83"/>
  <c r="K2" i="83"/>
  <c r="J2" i="83"/>
  <c r="H8" i="81"/>
  <c r="G8" i="81"/>
  <c r="F8" i="81"/>
  <c r="E8" i="81"/>
  <c r="J8" i="81"/>
  <c r="K8" i="81"/>
  <c r="I8" i="81"/>
  <c r="D8" i="81"/>
  <c r="L8" i="81"/>
  <c r="F7" i="97"/>
  <c r="I7" i="97"/>
  <c r="J7" i="97"/>
  <c r="H7" i="97"/>
  <c r="G7" i="97"/>
  <c r="E7" i="97"/>
  <c r="L7" i="97"/>
  <c r="K7" i="97"/>
  <c r="D7" i="97"/>
  <c r="I5" i="91"/>
  <c r="H5" i="91"/>
  <c r="G5" i="91"/>
  <c r="F5" i="91"/>
  <c r="K5" i="91"/>
  <c r="J5" i="91"/>
  <c r="E5" i="91"/>
  <c r="D5" i="91"/>
  <c r="L5" i="91"/>
  <c r="G8" i="89"/>
  <c r="F8" i="89"/>
  <c r="E8" i="89"/>
  <c r="L8" i="89"/>
  <c r="D8" i="89"/>
  <c r="K8" i="89"/>
  <c r="J8" i="89"/>
  <c r="H8" i="89"/>
  <c r="I8" i="89"/>
  <c r="G65" i="92"/>
  <c r="G64" i="92"/>
  <c r="O87" i="92" s="1"/>
  <c r="F23" i="96"/>
  <c r="G83" i="96"/>
  <c r="F88" i="96"/>
  <c r="T36" i="96" s="1"/>
  <c r="T38" i="96" s="1"/>
  <c r="X36" i="94"/>
  <c r="X38" i="94" s="1"/>
  <c r="F72" i="88"/>
  <c r="R36" i="88" s="1"/>
  <c r="R38" i="88" s="1"/>
  <c r="G67" i="88"/>
  <c r="L2" i="91"/>
  <c r="D2" i="91"/>
  <c r="K2" i="91"/>
  <c r="J2" i="91"/>
  <c r="I2" i="91"/>
  <c r="F2" i="91"/>
  <c r="G2" i="91"/>
  <c r="E2" i="91"/>
  <c r="H2" i="91"/>
  <c r="G73" i="96"/>
  <c r="G72" i="96"/>
  <c r="O88" i="96" s="1"/>
  <c r="V36" i="86"/>
  <c r="V38" i="86" s="1"/>
  <c r="F120" i="84"/>
  <c r="X36" i="84" s="1"/>
  <c r="X38" i="84" s="1"/>
  <c r="K3" i="81"/>
  <c r="J3" i="81"/>
  <c r="I3" i="81"/>
  <c r="H3" i="81"/>
  <c r="E3" i="81"/>
  <c r="L3" i="81"/>
  <c r="G3" i="81"/>
  <c r="F3" i="81"/>
  <c r="D3" i="81"/>
  <c r="F120" i="82"/>
  <c r="X36" i="82" s="1"/>
  <c r="X38" i="82" s="1"/>
  <c r="K8" i="85"/>
  <c r="J8" i="85"/>
  <c r="I8" i="85"/>
  <c r="H8" i="85"/>
  <c r="E8" i="85"/>
  <c r="D8" i="85"/>
  <c r="G8" i="85"/>
  <c r="F8" i="85"/>
  <c r="L8" i="85"/>
  <c r="F120" i="100"/>
  <c r="X36" i="100" s="1"/>
  <c r="X38" i="100" s="1"/>
  <c r="G115" i="100"/>
  <c r="G115" i="96"/>
  <c r="F120" i="96"/>
  <c r="X36" i="96" s="1"/>
  <c r="X38" i="96" s="1"/>
  <c r="E10" i="97"/>
  <c r="K10" i="97"/>
  <c r="H10" i="97"/>
  <c r="J10" i="97"/>
  <c r="I10" i="97"/>
  <c r="G10" i="97"/>
  <c r="F10" i="97"/>
  <c r="D10" i="97"/>
  <c r="L10" i="97"/>
  <c r="F72" i="94"/>
  <c r="R36" i="94" s="1"/>
  <c r="R38" i="94" s="1"/>
  <c r="G67" i="94"/>
  <c r="X36" i="90"/>
  <c r="X38" i="90" s="1"/>
  <c r="X36" i="92"/>
  <c r="X38" i="92" s="1"/>
  <c r="L4" i="89"/>
  <c r="D4" i="89"/>
  <c r="K4" i="89"/>
  <c r="F4" i="89"/>
  <c r="E4" i="89"/>
  <c r="H4" i="89"/>
  <c r="J4" i="89"/>
  <c r="I4" i="89"/>
  <c r="G4" i="89"/>
  <c r="G81" i="88"/>
  <c r="G80" i="88"/>
  <c r="O89" i="88" s="1"/>
  <c r="F7" i="85"/>
  <c r="E7" i="85"/>
  <c r="L7" i="85"/>
  <c r="D7" i="85"/>
  <c r="K7" i="85"/>
  <c r="H7" i="85"/>
  <c r="J7" i="85"/>
  <c r="I7" i="85"/>
  <c r="G7" i="85"/>
  <c r="K5" i="81"/>
  <c r="J5" i="81"/>
  <c r="I5" i="81"/>
  <c r="H5" i="81"/>
  <c r="E5" i="81"/>
  <c r="D5" i="81"/>
  <c r="G5" i="81"/>
  <c r="F5" i="81"/>
  <c r="L5" i="81"/>
  <c r="F3" i="103"/>
  <c r="L3" i="103"/>
  <c r="D3" i="103"/>
  <c r="K3" i="103"/>
  <c r="J3" i="103"/>
  <c r="I3" i="103"/>
  <c r="H3" i="103"/>
  <c r="G3" i="103"/>
  <c r="E3" i="103"/>
  <c r="F5" i="103"/>
  <c r="L5" i="103"/>
  <c r="D5" i="103"/>
  <c r="K5" i="103"/>
  <c r="J5" i="103"/>
  <c r="I5" i="103"/>
  <c r="H5" i="103"/>
  <c r="G5" i="103"/>
  <c r="E5" i="103"/>
  <c r="G120" i="102"/>
  <c r="O94" i="102" s="1"/>
  <c r="G121" i="102"/>
  <c r="T93" i="100"/>
  <c r="I8" i="103"/>
  <c r="G8" i="103"/>
  <c r="F8" i="103"/>
  <c r="E8" i="103"/>
  <c r="L8" i="103"/>
  <c r="D8" i="103"/>
  <c r="K8" i="103"/>
  <c r="J8" i="103"/>
  <c r="H8" i="103"/>
  <c r="H4" i="101"/>
  <c r="F4" i="101"/>
  <c r="E4" i="101"/>
  <c r="J4" i="101"/>
  <c r="D4" i="101"/>
  <c r="I4" i="101"/>
  <c r="G4" i="101"/>
  <c r="L4" i="101"/>
  <c r="K4" i="101"/>
  <c r="L11" i="101"/>
  <c r="D11" i="101"/>
  <c r="K11" i="101"/>
  <c r="G11" i="101"/>
  <c r="E11" i="101"/>
  <c r="I11" i="101"/>
  <c r="J11" i="101"/>
  <c r="H11" i="101"/>
  <c r="F11" i="101"/>
  <c r="G4" i="99"/>
  <c r="F4" i="99"/>
  <c r="E4" i="99"/>
  <c r="L4" i="99"/>
  <c r="D4" i="99"/>
  <c r="I4" i="99"/>
  <c r="K4" i="99"/>
  <c r="J4" i="99"/>
  <c r="H4" i="99"/>
  <c r="T94" i="96"/>
  <c r="T94" i="98"/>
  <c r="L7" i="99"/>
  <c r="D7" i="99"/>
  <c r="K7" i="99"/>
  <c r="J7" i="99"/>
  <c r="I7" i="99"/>
  <c r="H7" i="99"/>
  <c r="G7" i="99"/>
  <c r="F7" i="99"/>
  <c r="E7" i="99"/>
  <c r="G48" i="100"/>
  <c r="O85" i="100" s="1"/>
  <c r="G49" i="100"/>
  <c r="V36" i="94"/>
  <c r="V38" i="94" s="1"/>
  <c r="W36" i="90"/>
  <c r="W38" i="90" s="1"/>
  <c r="E8" i="101"/>
  <c r="L8" i="101"/>
  <c r="D8" i="101"/>
  <c r="H8" i="101"/>
  <c r="F8" i="101"/>
  <c r="J8" i="101"/>
  <c r="I8" i="101"/>
  <c r="G8" i="101"/>
  <c r="K8" i="101"/>
  <c r="F72" i="90"/>
  <c r="R36" i="90" s="1"/>
  <c r="R38" i="90" s="1"/>
  <c r="G67" i="90"/>
  <c r="F80" i="92"/>
  <c r="S36" i="92" s="1"/>
  <c r="S38" i="92" s="1"/>
  <c r="E2" i="97"/>
  <c r="L2" i="97"/>
  <c r="D2" i="97"/>
  <c r="K2" i="97"/>
  <c r="J2" i="97"/>
  <c r="G2" i="97"/>
  <c r="H2" i="97"/>
  <c r="F2" i="97"/>
  <c r="I2" i="97"/>
  <c r="G83" i="88"/>
  <c r="F88" i="88"/>
  <c r="T36" i="88" s="1"/>
  <c r="T38" i="88" s="1"/>
  <c r="T24" i="87"/>
  <c r="G225" i="5" s="1"/>
  <c r="I8" i="87"/>
  <c r="H8" i="87"/>
  <c r="G8" i="87"/>
  <c r="F8" i="87"/>
  <c r="K8" i="87"/>
  <c r="E8" i="87"/>
  <c r="L8" i="87"/>
  <c r="J8" i="87"/>
  <c r="D8" i="87"/>
  <c r="E3" i="95"/>
  <c r="L3" i="95"/>
  <c r="D3" i="95"/>
  <c r="K3" i="95"/>
  <c r="J3" i="95"/>
  <c r="G3" i="95"/>
  <c r="I3" i="95"/>
  <c r="H3" i="95"/>
  <c r="F3" i="95"/>
  <c r="F48" i="88"/>
  <c r="O36" i="88" s="1"/>
  <c r="O38" i="88" s="1"/>
  <c r="E2" i="87"/>
  <c r="L2" i="87"/>
  <c r="D2" i="87"/>
  <c r="K2" i="87"/>
  <c r="J2" i="87"/>
  <c r="G2" i="87"/>
  <c r="I2" i="87"/>
  <c r="H2" i="87"/>
  <c r="F2" i="87"/>
  <c r="G67" i="82"/>
  <c r="F72" i="82"/>
  <c r="R36" i="82" s="1"/>
  <c r="R38" i="82" s="1"/>
  <c r="G97" i="84"/>
  <c r="G96" i="84"/>
  <c r="O91" i="84" s="1"/>
  <c r="I4" i="85"/>
  <c r="H4" i="85"/>
  <c r="G4" i="85"/>
  <c r="F4" i="85"/>
  <c r="K4" i="85"/>
  <c r="J4" i="85"/>
  <c r="E4" i="85"/>
  <c r="D4" i="85"/>
  <c r="L4" i="85"/>
  <c r="G81" i="80"/>
  <c r="O90" i="80" s="1"/>
  <c r="G82" i="80"/>
  <c r="O92" i="84"/>
  <c r="G105" i="84"/>
  <c r="P58" i="80"/>
  <c r="G59" i="80"/>
  <c r="P62" i="80"/>
  <c r="P41" i="80"/>
  <c r="P60" i="80" s="1"/>
  <c r="L7" i="81"/>
  <c r="D7" i="81"/>
  <c r="K7" i="81"/>
  <c r="J7" i="81"/>
  <c r="I7" i="81"/>
  <c r="F7" i="81"/>
  <c r="H7" i="81"/>
  <c r="E7" i="81"/>
  <c r="G7" i="81"/>
  <c r="J27" i="82"/>
  <c r="F23" i="82" s="1"/>
  <c r="Q92" i="80"/>
  <c r="I6" i="93"/>
  <c r="H6" i="93"/>
  <c r="F6" i="93"/>
  <c r="K6" i="93"/>
  <c r="G6" i="93"/>
  <c r="E6" i="93"/>
  <c r="D6" i="93"/>
  <c r="L6" i="93"/>
  <c r="J6" i="93"/>
  <c r="L5" i="97"/>
  <c r="J5" i="97"/>
  <c r="I5" i="97"/>
  <c r="H5" i="97"/>
  <c r="G5" i="97"/>
  <c r="D5" i="97"/>
  <c r="E5" i="97"/>
  <c r="K5" i="97"/>
  <c r="F5" i="97"/>
  <c r="G51" i="102"/>
  <c r="F56" i="102"/>
  <c r="P36" i="102" s="1"/>
  <c r="P38" i="102" s="1"/>
  <c r="G91" i="98"/>
  <c r="F96" i="98"/>
  <c r="U36" i="98" s="1"/>
  <c r="U38" i="98" s="1"/>
  <c r="F96" i="96"/>
  <c r="U36" i="96" s="1"/>
  <c r="U38" i="96" s="1"/>
  <c r="G91" i="96"/>
  <c r="F88" i="94"/>
  <c r="T36" i="94" s="1"/>
  <c r="T38" i="94" s="1"/>
  <c r="G83" i="94"/>
  <c r="F48" i="82"/>
  <c r="O36" i="82" s="1"/>
  <c r="O38" i="82" s="1"/>
  <c r="G43" i="82"/>
  <c r="J11" i="97"/>
  <c r="H11" i="97"/>
  <c r="E11" i="97"/>
  <c r="L11" i="97"/>
  <c r="K11" i="97"/>
  <c r="I11" i="97"/>
  <c r="G11" i="97"/>
  <c r="D11" i="97"/>
  <c r="F11" i="97"/>
  <c r="J3" i="99"/>
  <c r="I3" i="99"/>
  <c r="H3" i="99"/>
  <c r="G3" i="99"/>
  <c r="L3" i="99"/>
  <c r="K3" i="99"/>
  <c r="D3" i="99"/>
  <c r="E3" i="99"/>
  <c r="F3" i="99"/>
  <c r="F64" i="100"/>
  <c r="Q36" i="100" s="1"/>
  <c r="Q38" i="100" s="1"/>
  <c r="K8" i="97"/>
  <c r="F8" i="97"/>
  <c r="I8" i="97"/>
  <c r="H8" i="97"/>
  <c r="G8" i="97"/>
  <c r="E8" i="97"/>
  <c r="L8" i="97"/>
  <c r="D8" i="97"/>
  <c r="J8" i="97"/>
  <c r="H9" i="97"/>
  <c r="K9" i="97"/>
  <c r="I9" i="97"/>
  <c r="G9" i="97"/>
  <c r="F9" i="97"/>
  <c r="E9" i="97"/>
  <c r="L9" i="97"/>
  <c r="J9" i="97"/>
  <c r="D9" i="97"/>
  <c r="I9" i="95"/>
  <c r="H9" i="95"/>
  <c r="G9" i="95"/>
  <c r="F9" i="95"/>
  <c r="K9" i="95"/>
  <c r="J9" i="95"/>
  <c r="E9" i="95"/>
  <c r="D9" i="95"/>
  <c r="L9" i="95"/>
  <c r="F64" i="94"/>
  <c r="Q36" i="94" s="1"/>
  <c r="Q38" i="94" s="1"/>
  <c r="G59" i="94"/>
  <c r="F56" i="94"/>
  <c r="P36" i="94" s="1"/>
  <c r="P38" i="94" s="1"/>
  <c r="G51" i="94"/>
  <c r="S63" i="94"/>
  <c r="R63" i="94"/>
  <c r="Q63" i="94"/>
  <c r="X63" i="94"/>
  <c r="P63" i="94"/>
  <c r="U63" i="94"/>
  <c r="W63" i="94"/>
  <c r="O63" i="94"/>
  <c r="V63" i="94"/>
  <c r="T63" i="94"/>
  <c r="G80" i="92"/>
  <c r="O89" i="92" s="1"/>
  <c r="G81" i="92"/>
  <c r="W36" i="92"/>
  <c r="W38" i="92" s="1"/>
  <c r="F7" i="93"/>
  <c r="E7" i="93"/>
  <c r="K7" i="93"/>
  <c r="H7" i="93"/>
  <c r="L7" i="93"/>
  <c r="J7" i="93"/>
  <c r="I7" i="93"/>
  <c r="G7" i="93"/>
  <c r="D7" i="93"/>
  <c r="E9" i="91"/>
  <c r="L9" i="91"/>
  <c r="D9" i="91"/>
  <c r="K9" i="91"/>
  <c r="J9" i="91"/>
  <c r="G9" i="91"/>
  <c r="H9" i="91"/>
  <c r="F9" i="91"/>
  <c r="I9" i="91"/>
  <c r="O92" i="88"/>
  <c r="F88" i="84"/>
  <c r="T36" i="84" s="1"/>
  <c r="T38" i="84" s="1"/>
  <c r="T24" i="85"/>
  <c r="G213" i="5" s="1"/>
  <c r="G64" i="84"/>
  <c r="O87" i="84" s="1"/>
  <c r="G65" i="84"/>
  <c r="G56" i="84"/>
  <c r="O86" i="84" s="1"/>
  <c r="H5" i="89"/>
  <c r="G5" i="89"/>
  <c r="F5" i="89"/>
  <c r="L5" i="89"/>
  <c r="K5" i="89"/>
  <c r="E5" i="89"/>
  <c r="J5" i="89"/>
  <c r="I5" i="89"/>
  <c r="D5" i="89"/>
  <c r="F56" i="86"/>
  <c r="P36" i="86" s="1"/>
  <c r="P38" i="86" s="1"/>
  <c r="G51" i="86"/>
  <c r="X36" i="86"/>
  <c r="X38" i="86" s="1"/>
  <c r="F9" i="87"/>
  <c r="E9" i="87"/>
  <c r="L9" i="87"/>
  <c r="D9" i="87"/>
  <c r="K9" i="87"/>
  <c r="H9" i="87"/>
  <c r="J9" i="87"/>
  <c r="I9" i="87"/>
  <c r="G9" i="87"/>
  <c r="F6" i="91"/>
  <c r="E6" i="91"/>
  <c r="L6" i="91"/>
  <c r="D6" i="91"/>
  <c r="K6" i="91"/>
  <c r="H6" i="91"/>
  <c r="J6" i="91"/>
  <c r="I6" i="91"/>
  <c r="G6" i="91"/>
  <c r="F96" i="84"/>
  <c r="U36" i="84" s="1"/>
  <c r="U38" i="84" s="1"/>
  <c r="T41" i="80"/>
  <c r="T60" i="80" s="1"/>
  <c r="T62" i="80"/>
  <c r="L7" i="87"/>
  <c r="D7" i="87"/>
  <c r="K7" i="87"/>
  <c r="J7" i="87"/>
  <c r="I7" i="87"/>
  <c r="F7" i="87"/>
  <c r="H7" i="87"/>
  <c r="G7" i="87"/>
  <c r="E7" i="87"/>
  <c r="F80" i="82"/>
  <c r="S36" i="82" s="1"/>
  <c r="S38" i="82" s="1"/>
  <c r="F96" i="82"/>
  <c r="U36" i="82" s="1"/>
  <c r="U38" i="82" s="1"/>
  <c r="V36" i="84"/>
  <c r="V38" i="84" s="1"/>
  <c r="O62" i="80"/>
  <c r="O41" i="80"/>
  <c r="O60" i="80" s="1"/>
  <c r="G106" i="80"/>
  <c r="G105" i="80"/>
  <c r="O93" i="80" s="1"/>
  <c r="L9" i="81"/>
  <c r="D9" i="81"/>
  <c r="K9" i="81"/>
  <c r="J9" i="81"/>
  <c r="I9" i="81"/>
  <c r="F9" i="81"/>
  <c r="H9" i="81"/>
  <c r="G9" i="81"/>
  <c r="E9" i="81"/>
  <c r="I8" i="83"/>
  <c r="G8" i="83"/>
  <c r="L8" i="83"/>
  <c r="D8" i="83"/>
  <c r="K8" i="83"/>
  <c r="E8" i="83"/>
  <c r="J8" i="83"/>
  <c r="H8" i="83"/>
  <c r="F8" i="83"/>
  <c r="F56" i="96"/>
  <c r="P36" i="96" s="1"/>
  <c r="P38" i="96" s="1"/>
  <c r="G51" i="96"/>
  <c r="Q62" i="80"/>
  <c r="Q41" i="80"/>
  <c r="Q60" i="80" s="1"/>
  <c r="K4" i="103"/>
  <c r="I4" i="103"/>
  <c r="H4" i="103"/>
  <c r="G4" i="103"/>
  <c r="F4" i="103"/>
  <c r="E4" i="103"/>
  <c r="L4" i="103"/>
  <c r="J4" i="103"/>
  <c r="D4" i="103"/>
  <c r="F7" i="103"/>
  <c r="L7" i="103"/>
  <c r="D7" i="103"/>
  <c r="K7" i="103"/>
  <c r="J7" i="103"/>
  <c r="I7" i="103"/>
  <c r="H7" i="103"/>
  <c r="E7" i="103"/>
  <c r="G7" i="103"/>
  <c r="O93" i="88"/>
  <c r="Q93" i="88" s="1"/>
  <c r="F104" i="102"/>
  <c r="V36" i="102" s="1"/>
  <c r="V38" i="102" s="1"/>
  <c r="G99" i="102"/>
  <c r="Q63" i="100"/>
  <c r="V63" i="100"/>
  <c r="S63" i="100"/>
  <c r="W63" i="100"/>
  <c r="U63" i="100"/>
  <c r="T63" i="100"/>
  <c r="R63" i="100"/>
  <c r="X63" i="100"/>
  <c r="P63" i="100"/>
  <c r="O63" i="100"/>
  <c r="F88" i="100"/>
  <c r="T36" i="100" s="1"/>
  <c r="T38" i="100" s="1"/>
  <c r="G83" i="100"/>
  <c r="K5" i="101"/>
  <c r="I5" i="101"/>
  <c r="H5" i="101"/>
  <c r="E5" i="101"/>
  <c r="D5" i="101"/>
  <c r="G5" i="101"/>
  <c r="L5" i="101"/>
  <c r="J5" i="101"/>
  <c r="F5" i="101"/>
  <c r="F56" i="98"/>
  <c r="P36" i="98" s="1"/>
  <c r="P38" i="98" s="1"/>
  <c r="G51" i="98"/>
  <c r="F96" i="102"/>
  <c r="U36" i="102" s="1"/>
  <c r="U38" i="102" s="1"/>
  <c r="J11" i="103"/>
  <c r="H11" i="103"/>
  <c r="G11" i="103"/>
  <c r="F11" i="103"/>
  <c r="E11" i="103"/>
  <c r="L11" i="103"/>
  <c r="D11" i="103"/>
  <c r="I11" i="103"/>
  <c r="K11" i="103"/>
  <c r="G64" i="102"/>
  <c r="O87" i="102" s="1"/>
  <c r="G65" i="102"/>
  <c r="T93" i="98"/>
  <c r="G51" i="100"/>
  <c r="F56" i="100"/>
  <c r="P36" i="100" s="1"/>
  <c r="P38" i="100" s="1"/>
  <c r="K10" i="99"/>
  <c r="J10" i="99"/>
  <c r="I10" i="99"/>
  <c r="H10" i="99"/>
  <c r="L10" i="99"/>
  <c r="G10" i="99"/>
  <c r="F10" i="99"/>
  <c r="E10" i="99"/>
  <c r="D10" i="99"/>
  <c r="G83" i="98"/>
  <c r="F88" i="98"/>
  <c r="T36" i="98" s="1"/>
  <c r="T38" i="98" s="1"/>
  <c r="G65" i="100"/>
  <c r="G64" i="100"/>
  <c r="O87" i="100" s="1"/>
  <c r="G59" i="96"/>
  <c r="F64" i="96"/>
  <c r="Q36" i="96" s="1"/>
  <c r="Q38" i="96" s="1"/>
  <c r="G49" i="96"/>
  <c r="G48" i="96"/>
  <c r="O85" i="96" s="1"/>
  <c r="G83" i="90"/>
  <c r="F88" i="90"/>
  <c r="T36" i="90" s="1"/>
  <c r="T38" i="90" s="1"/>
  <c r="V36" i="92"/>
  <c r="V38" i="92" s="1"/>
  <c r="G59" i="90"/>
  <c r="F64" i="90"/>
  <c r="Q36" i="90" s="1"/>
  <c r="Q38" i="90" s="1"/>
  <c r="G43" i="90"/>
  <c r="F48" i="90"/>
  <c r="O36" i="90" s="1"/>
  <c r="O38" i="90" s="1"/>
  <c r="K8" i="93"/>
  <c r="J8" i="93"/>
  <c r="H8" i="93"/>
  <c r="E8" i="93"/>
  <c r="L8" i="93"/>
  <c r="F8" i="93"/>
  <c r="G8" i="93"/>
  <c r="D8" i="93"/>
  <c r="I8" i="93"/>
  <c r="J7" i="89"/>
  <c r="I7" i="89"/>
  <c r="H7" i="89"/>
  <c r="G7" i="89"/>
  <c r="L7" i="89"/>
  <c r="K7" i="89"/>
  <c r="F7" i="89"/>
  <c r="E7" i="89"/>
  <c r="D7" i="89"/>
  <c r="G49" i="88"/>
  <c r="G49" i="92"/>
  <c r="G48" i="92"/>
  <c r="O85" i="92" s="1"/>
  <c r="V36" i="88"/>
  <c r="V38" i="88" s="1"/>
  <c r="G75" i="86"/>
  <c r="F80" i="86"/>
  <c r="S36" i="86" s="1"/>
  <c r="S38" i="86" s="1"/>
  <c r="G3" i="89"/>
  <c r="F3" i="89"/>
  <c r="E3" i="89"/>
  <c r="D3" i="89"/>
  <c r="L3" i="89"/>
  <c r="I3" i="89"/>
  <c r="K3" i="89"/>
  <c r="J3" i="89"/>
  <c r="H3" i="89"/>
  <c r="G97" i="86"/>
  <c r="G97" i="82"/>
  <c r="G96" i="82"/>
  <c r="O91" i="82" s="1"/>
  <c r="F2" i="81"/>
  <c r="E2" i="81"/>
  <c r="L2" i="81"/>
  <c r="D2" i="81"/>
  <c r="K2" i="81"/>
  <c r="H2" i="81"/>
  <c r="J2" i="81"/>
  <c r="I2" i="81"/>
  <c r="G2" i="81"/>
  <c r="F88" i="82"/>
  <c r="T36" i="82" s="1"/>
  <c r="T38" i="82" s="1"/>
  <c r="F3" i="83"/>
  <c r="L3" i="83"/>
  <c r="D3" i="83"/>
  <c r="I3" i="83"/>
  <c r="J3" i="83"/>
  <c r="H3" i="83"/>
  <c r="G3" i="83"/>
  <c r="E3" i="83"/>
  <c r="K3" i="83"/>
  <c r="V62" i="80"/>
  <c r="V41" i="80"/>
  <c r="V60" i="80" s="1"/>
  <c r="F64" i="84"/>
  <c r="Q36" i="84" s="1"/>
  <c r="Q38" i="84" s="1"/>
  <c r="G97" i="92"/>
  <c r="G96" i="92"/>
  <c r="O91" i="92" s="1"/>
  <c r="F64" i="82"/>
  <c r="Q36" i="82" s="1"/>
  <c r="Q38" i="82" s="1"/>
  <c r="G107" i="96"/>
  <c r="F112" i="96"/>
  <c r="W36" i="96" s="1"/>
  <c r="W38" i="96" s="1"/>
  <c r="G48" i="94"/>
  <c r="O85" i="94" s="1"/>
  <c r="G49" i="94"/>
  <c r="G65" i="88"/>
  <c r="G64" i="88"/>
  <c r="O87" i="88" s="1"/>
  <c r="G88" i="82"/>
  <c r="O90" i="82" s="1"/>
  <c r="G89" i="82"/>
  <c r="G83" i="102"/>
  <c r="F88" i="102"/>
  <c r="T36" i="102" s="1"/>
  <c r="T38" i="102" s="1"/>
  <c r="G10" i="101"/>
  <c r="F10" i="101"/>
  <c r="H10" i="101"/>
  <c r="D10" i="101"/>
  <c r="J10" i="101"/>
  <c r="I10" i="101"/>
  <c r="E10" i="101"/>
  <c r="L10" i="101"/>
  <c r="K10" i="101"/>
  <c r="G75" i="100"/>
  <c r="F80" i="100"/>
  <c r="S36" i="100" s="1"/>
  <c r="S38" i="100" s="1"/>
  <c r="W57" i="84"/>
  <c r="G114" i="84"/>
  <c r="G122" i="80"/>
  <c r="G121" i="80"/>
  <c r="O95" i="80" s="1"/>
  <c r="Q95" i="80" s="1"/>
  <c r="G10" i="103"/>
  <c r="E10" i="103"/>
  <c r="L10" i="103"/>
  <c r="D10" i="103"/>
  <c r="K10" i="103"/>
  <c r="J10" i="103"/>
  <c r="I10" i="103"/>
  <c r="H10" i="103"/>
  <c r="F10" i="103"/>
  <c r="F64" i="102"/>
  <c r="Q36" i="102" s="1"/>
  <c r="Q38" i="102" s="1"/>
  <c r="J5" i="99"/>
  <c r="I5" i="99"/>
  <c r="H5" i="99"/>
  <c r="G5" i="99"/>
  <c r="F5" i="99"/>
  <c r="D5" i="99"/>
  <c r="K5" i="99"/>
  <c r="E5" i="99"/>
  <c r="L5" i="99"/>
  <c r="F64" i="98"/>
  <c r="Q36" i="98" s="1"/>
  <c r="Q38" i="98" s="1"/>
  <c r="G59" i="98"/>
  <c r="G97" i="102"/>
  <c r="G96" i="102"/>
  <c r="O91" i="102" s="1"/>
  <c r="L9" i="103"/>
  <c r="D9" i="103"/>
  <c r="J9" i="103"/>
  <c r="I9" i="103"/>
  <c r="H9" i="103"/>
  <c r="G9" i="103"/>
  <c r="F9" i="103"/>
  <c r="E9" i="103"/>
  <c r="K9" i="103"/>
  <c r="I2" i="103"/>
  <c r="G2" i="103"/>
  <c r="F2" i="103"/>
  <c r="E2" i="103"/>
  <c r="L2" i="103"/>
  <c r="D2" i="103"/>
  <c r="K2" i="103"/>
  <c r="J2" i="103"/>
  <c r="H2" i="103"/>
  <c r="K3" i="101"/>
  <c r="I3" i="101"/>
  <c r="H3" i="101"/>
  <c r="E3" i="101"/>
  <c r="L3" i="101"/>
  <c r="J3" i="101"/>
  <c r="D3" i="101"/>
  <c r="G3" i="101"/>
  <c r="F3" i="101"/>
  <c r="F112" i="100"/>
  <c r="W36" i="100" s="1"/>
  <c r="W38" i="100" s="1"/>
  <c r="G107" i="100"/>
  <c r="F72" i="100"/>
  <c r="R36" i="100" s="1"/>
  <c r="R38" i="100" s="1"/>
  <c r="G67" i="100"/>
  <c r="G6" i="99"/>
  <c r="F6" i="99"/>
  <c r="E6" i="99"/>
  <c r="L6" i="99"/>
  <c r="D6" i="99"/>
  <c r="H6" i="99"/>
  <c r="K6" i="99"/>
  <c r="J6" i="99"/>
  <c r="I6" i="99"/>
  <c r="G99" i="98"/>
  <c r="F104" i="98"/>
  <c r="V36" i="98" s="1"/>
  <c r="V38" i="98" s="1"/>
  <c r="G43" i="98"/>
  <c r="F48" i="98"/>
  <c r="O36" i="98" s="1"/>
  <c r="O38" i="98" s="1"/>
  <c r="G107" i="98"/>
  <c r="F112" i="98"/>
  <c r="W36" i="98" s="1"/>
  <c r="W38" i="98" s="1"/>
  <c r="G73" i="98"/>
  <c r="G72" i="98"/>
  <c r="O88" i="98" s="1"/>
  <c r="E2" i="99"/>
  <c r="L2" i="99"/>
  <c r="D2" i="99"/>
  <c r="K2" i="99"/>
  <c r="J2" i="99"/>
  <c r="H2" i="99"/>
  <c r="G2" i="99"/>
  <c r="F2" i="99"/>
  <c r="I2" i="99"/>
  <c r="F48" i="96"/>
  <c r="O36" i="96" s="1"/>
  <c r="O38" i="96" s="1"/>
  <c r="G51" i="92"/>
  <c r="F56" i="92"/>
  <c r="P36" i="92" s="1"/>
  <c r="P38" i="92" s="1"/>
  <c r="G67" i="92"/>
  <c r="F72" i="92"/>
  <c r="R36" i="92" s="1"/>
  <c r="R38" i="92" s="1"/>
  <c r="W36" i="94"/>
  <c r="W38" i="94" s="1"/>
  <c r="G2" i="93"/>
  <c r="F2" i="93"/>
  <c r="L2" i="93"/>
  <c r="D2" i="93"/>
  <c r="I2" i="93"/>
  <c r="H2" i="93"/>
  <c r="E2" i="93"/>
  <c r="K2" i="93"/>
  <c r="J2" i="93"/>
  <c r="G52" i="90"/>
  <c r="F56" i="90"/>
  <c r="P36" i="90" s="1"/>
  <c r="P38" i="90" s="1"/>
  <c r="I4" i="93"/>
  <c r="H4" i="93"/>
  <c r="F4" i="93"/>
  <c r="K4" i="93"/>
  <c r="L4" i="93"/>
  <c r="E4" i="93"/>
  <c r="J4" i="93"/>
  <c r="G4" i="93"/>
  <c r="D4" i="93"/>
  <c r="V36" i="90"/>
  <c r="V38" i="90" s="1"/>
  <c r="G7" i="95"/>
  <c r="F7" i="95"/>
  <c r="E7" i="95"/>
  <c r="L7" i="95"/>
  <c r="D7" i="95"/>
  <c r="I7" i="95"/>
  <c r="J7" i="95"/>
  <c r="H7" i="95"/>
  <c r="K7" i="95"/>
  <c r="G97" i="90"/>
  <c r="G96" i="90"/>
  <c r="O91" i="90" s="1"/>
  <c r="G51" i="88"/>
  <c r="F56" i="88"/>
  <c r="P36" i="88" s="1"/>
  <c r="P38" i="88" s="1"/>
  <c r="I3" i="91"/>
  <c r="H3" i="91"/>
  <c r="G3" i="91"/>
  <c r="F3" i="91"/>
  <c r="K3" i="91"/>
  <c r="L3" i="91"/>
  <c r="J3" i="91"/>
  <c r="E3" i="91"/>
  <c r="D3" i="91"/>
  <c r="L3" i="93"/>
  <c r="D3" i="93"/>
  <c r="K3" i="93"/>
  <c r="I3" i="93"/>
  <c r="F3" i="93"/>
  <c r="J3" i="93"/>
  <c r="H3" i="93"/>
  <c r="G3" i="93"/>
  <c r="E3" i="93"/>
  <c r="J2" i="89"/>
  <c r="G2" i="89"/>
  <c r="F2" i="89"/>
  <c r="E2" i="89"/>
  <c r="D2" i="89"/>
  <c r="I2" i="89"/>
  <c r="H2" i="89"/>
  <c r="L2" i="89"/>
  <c r="K2" i="89"/>
  <c r="F48" i="92"/>
  <c r="O36" i="92" s="1"/>
  <c r="O38" i="92" s="1"/>
  <c r="F48" i="84"/>
  <c r="O36" i="84" s="1"/>
  <c r="O38" i="84" s="1"/>
  <c r="F48" i="86"/>
  <c r="O36" i="86" s="1"/>
  <c r="O38" i="86" s="1"/>
  <c r="G43" i="86"/>
  <c r="L3" i="85"/>
  <c r="D3" i="85"/>
  <c r="K3" i="85"/>
  <c r="J3" i="85"/>
  <c r="I3" i="85"/>
  <c r="F3" i="85"/>
  <c r="H3" i="85"/>
  <c r="E3" i="85"/>
  <c r="G3" i="85"/>
  <c r="F64" i="88"/>
  <c r="Q36" i="88" s="1"/>
  <c r="Q38" i="88" s="1"/>
  <c r="X63" i="86"/>
  <c r="P63" i="86"/>
  <c r="W63" i="86"/>
  <c r="O63" i="86"/>
  <c r="V63" i="86"/>
  <c r="U63" i="86"/>
  <c r="R63" i="86"/>
  <c r="T63" i="86"/>
  <c r="S63" i="86"/>
  <c r="Q63" i="86"/>
  <c r="G120" i="84"/>
  <c r="O94" i="84" s="1"/>
  <c r="Q94" i="84" s="1"/>
  <c r="F64" i="92"/>
  <c r="Q36" i="92" s="1"/>
  <c r="Q38" i="92" s="1"/>
  <c r="T94" i="82"/>
  <c r="J5" i="87"/>
  <c r="I5" i="87"/>
  <c r="H5" i="87"/>
  <c r="G5" i="87"/>
  <c r="L5" i="87"/>
  <c r="D5" i="87"/>
  <c r="K5" i="87"/>
  <c r="F5" i="87"/>
  <c r="E5" i="87"/>
  <c r="U41" i="80"/>
  <c r="U60" i="80" s="1"/>
  <c r="U62" i="80"/>
  <c r="G49" i="80"/>
  <c r="O86" i="80" s="1"/>
  <c r="G50" i="80"/>
  <c r="F5" i="83"/>
  <c r="L5" i="83"/>
  <c r="D5" i="83"/>
  <c r="I5" i="83"/>
  <c r="J5" i="83"/>
  <c r="H5" i="83"/>
  <c r="G5" i="83"/>
  <c r="E5" i="83"/>
  <c r="K5" i="83"/>
  <c r="F96" i="92"/>
  <c r="U36" i="92" s="1"/>
  <c r="U38" i="92" s="1"/>
  <c r="G4" i="87"/>
  <c r="F4" i="87"/>
  <c r="E4" i="87"/>
  <c r="L4" i="87"/>
  <c r="D4" i="87"/>
  <c r="I4" i="87"/>
  <c r="J4" i="87"/>
  <c r="H4" i="87"/>
  <c r="K4" i="87"/>
  <c r="F56" i="82"/>
  <c r="P36" i="82" s="1"/>
  <c r="P38" i="82" s="1"/>
  <c r="K229" i="5"/>
  <c r="K228" i="5"/>
  <c r="K204" i="5"/>
  <c r="K279" i="5"/>
  <c r="K205" i="5"/>
  <c r="K267" i="5"/>
  <c r="K253" i="5"/>
  <c r="K266" i="5"/>
  <c r="K252" i="5"/>
  <c r="C78" i="5" l="1"/>
  <c r="R19" i="31"/>
  <c r="R20" i="31"/>
  <c r="C79" i="5"/>
  <c r="C82" i="5"/>
  <c r="R23" i="31"/>
  <c r="R26" i="31"/>
  <c r="C85" i="5"/>
  <c r="R24" i="89"/>
  <c r="C225" i="5"/>
  <c r="R19" i="89"/>
  <c r="C220" i="5"/>
  <c r="T19" i="87"/>
  <c r="G220" i="5" s="1"/>
  <c r="C81" i="5"/>
  <c r="R22" i="31"/>
  <c r="C102" i="5"/>
  <c r="R28" i="33"/>
  <c r="R27" i="33"/>
  <c r="C101" i="5"/>
  <c r="O61" i="94"/>
  <c r="R40" i="96"/>
  <c r="R59" i="96" s="1"/>
  <c r="C80" i="5"/>
  <c r="R21" i="31"/>
  <c r="R26" i="89"/>
  <c r="C227" i="5"/>
  <c r="T26" i="87"/>
  <c r="G227" i="5" s="1"/>
  <c r="R20" i="89"/>
  <c r="C221" i="5"/>
  <c r="T20" i="87"/>
  <c r="G221" i="5" s="1"/>
  <c r="R22" i="89"/>
  <c r="C223" i="5"/>
  <c r="T22" i="87"/>
  <c r="G223" i="5" s="1"/>
  <c r="R27" i="89"/>
  <c r="C228" i="5"/>
  <c r="T27" i="87"/>
  <c r="G228" i="5" s="1"/>
  <c r="R24" i="31"/>
  <c r="C83" i="5"/>
  <c r="R25" i="31"/>
  <c r="C84" i="5"/>
  <c r="R25" i="89"/>
  <c r="C226" i="5"/>
  <c r="T25" i="87"/>
  <c r="G226" i="5" s="1"/>
  <c r="R23" i="89"/>
  <c r="C224" i="5"/>
  <c r="T23" i="87"/>
  <c r="G224" i="5" s="1"/>
  <c r="C222" i="5"/>
  <c r="R21" i="89"/>
  <c r="T21" i="87"/>
  <c r="G222" i="5" s="1"/>
  <c r="R28" i="89"/>
  <c r="C229" i="5"/>
  <c r="T28" i="87"/>
  <c r="G229" i="5" s="1"/>
  <c r="U40" i="90"/>
  <c r="U59" i="90" s="1"/>
  <c r="S61" i="88"/>
  <c r="Q85" i="88"/>
  <c r="Q89" i="82"/>
  <c r="Q86" i="82"/>
  <c r="Q61" i="88"/>
  <c r="Q40" i="88"/>
  <c r="Q59" i="88" s="1"/>
  <c r="Q61" i="84"/>
  <c r="Q40" i="84"/>
  <c r="Q59" i="84" s="1"/>
  <c r="G65" i="90"/>
  <c r="G64" i="90"/>
  <c r="O87" i="90" s="1"/>
  <c r="P61" i="100"/>
  <c r="P40" i="100"/>
  <c r="P59" i="100" s="1"/>
  <c r="X40" i="102"/>
  <c r="X59" i="102" s="1"/>
  <c r="X61" i="102"/>
  <c r="P61" i="86"/>
  <c r="P40" i="86"/>
  <c r="P59" i="86" s="1"/>
  <c r="G96" i="98"/>
  <c r="O91" i="98" s="1"/>
  <c r="G97" i="98"/>
  <c r="O93" i="90"/>
  <c r="Q93" i="90" s="1"/>
  <c r="X61" i="82"/>
  <c r="X40" i="82"/>
  <c r="X59" i="82" s="1"/>
  <c r="G88" i="92"/>
  <c r="O90" i="92" s="1"/>
  <c r="G89" i="92"/>
  <c r="G80" i="102"/>
  <c r="O89" i="102" s="1"/>
  <c r="G81" i="102"/>
  <c r="W61" i="84"/>
  <c r="W40" i="84"/>
  <c r="W59" i="84" s="1"/>
  <c r="W40" i="98"/>
  <c r="W59" i="98" s="1"/>
  <c r="W61" i="98"/>
  <c r="X58" i="80"/>
  <c r="G123" i="80"/>
  <c r="O92" i="92"/>
  <c r="R61" i="94"/>
  <c r="R40" i="94"/>
  <c r="R59" i="94" s="1"/>
  <c r="R61" i="102"/>
  <c r="R40" i="102"/>
  <c r="R59" i="102" s="1"/>
  <c r="B4" i="81"/>
  <c r="Q88" i="80"/>
  <c r="X57" i="92"/>
  <c r="V61" i="100"/>
  <c r="V40" i="100"/>
  <c r="V59" i="100" s="1"/>
  <c r="U61" i="92"/>
  <c r="U40" i="92"/>
  <c r="U59" i="92" s="1"/>
  <c r="G48" i="86"/>
  <c r="O85" i="86" s="1"/>
  <c r="G49" i="86"/>
  <c r="G73" i="92"/>
  <c r="G72" i="92"/>
  <c r="O88" i="92" s="1"/>
  <c r="G113" i="98"/>
  <c r="G112" i="98"/>
  <c r="O93" i="98" s="1"/>
  <c r="G113" i="100"/>
  <c r="G112" i="100"/>
  <c r="O93" i="100" s="1"/>
  <c r="S61" i="86"/>
  <c r="S40" i="86"/>
  <c r="S59" i="86" s="1"/>
  <c r="B4" i="101"/>
  <c r="Q87" i="100"/>
  <c r="G56" i="94"/>
  <c r="O86" i="94" s="1"/>
  <c r="G57" i="94"/>
  <c r="G56" i="102"/>
  <c r="O86" i="102" s="1"/>
  <c r="G57" i="102"/>
  <c r="R61" i="82"/>
  <c r="R40" i="82"/>
  <c r="R59" i="82" s="1"/>
  <c r="O92" i="94"/>
  <c r="G82" i="88"/>
  <c r="S57" i="88"/>
  <c r="X61" i="84"/>
  <c r="X40" i="84"/>
  <c r="X59" i="84" s="1"/>
  <c r="G73" i="88"/>
  <c r="G72" i="88"/>
  <c r="O88" i="88" s="1"/>
  <c r="B4" i="93"/>
  <c r="Q87" i="92"/>
  <c r="S57" i="84"/>
  <c r="G82" i="84"/>
  <c r="G73" i="84"/>
  <c r="G72" i="84"/>
  <c r="O88" i="84" s="1"/>
  <c r="G72" i="102"/>
  <c r="O88" i="102" s="1"/>
  <c r="G73" i="102"/>
  <c r="W58" i="80"/>
  <c r="G115" i="80"/>
  <c r="R61" i="98"/>
  <c r="R40" i="98"/>
  <c r="R59" i="98" s="1"/>
  <c r="G67" i="80"/>
  <c r="Q58" i="80"/>
  <c r="Q40" i="86"/>
  <c r="Q59" i="86" s="1"/>
  <c r="Q61" i="86"/>
  <c r="U40" i="94"/>
  <c r="U59" i="94" s="1"/>
  <c r="U61" i="94"/>
  <c r="O61" i="86"/>
  <c r="O40" i="86"/>
  <c r="O59" i="86" s="1"/>
  <c r="P40" i="90"/>
  <c r="P59" i="90" s="1"/>
  <c r="P61" i="90"/>
  <c r="P40" i="92"/>
  <c r="P59" i="92" s="1"/>
  <c r="P61" i="92"/>
  <c r="O40" i="98"/>
  <c r="O59" i="98" s="1"/>
  <c r="O61" i="98"/>
  <c r="W40" i="100"/>
  <c r="W59" i="100" s="1"/>
  <c r="W61" i="100"/>
  <c r="Q40" i="98"/>
  <c r="Q59" i="98" s="1"/>
  <c r="Q61" i="98"/>
  <c r="G90" i="82"/>
  <c r="T57" i="82"/>
  <c r="G98" i="86"/>
  <c r="U57" i="86"/>
  <c r="G81" i="86"/>
  <c r="G80" i="86"/>
  <c r="O89" i="86" s="1"/>
  <c r="T61" i="90"/>
  <c r="T40" i="90"/>
  <c r="T59" i="90" s="1"/>
  <c r="G66" i="100"/>
  <c r="Q57" i="100"/>
  <c r="Q57" i="84"/>
  <c r="G66" i="84"/>
  <c r="P61" i="94"/>
  <c r="P40" i="94"/>
  <c r="P59" i="94" s="1"/>
  <c r="G89" i="94"/>
  <c r="G88" i="94"/>
  <c r="O90" i="94" s="1"/>
  <c r="G73" i="82"/>
  <c r="G72" i="82"/>
  <c r="O88" i="82" s="1"/>
  <c r="S40" i="92"/>
  <c r="S59" i="92" s="1"/>
  <c r="S61" i="92"/>
  <c r="O57" i="100"/>
  <c r="G50" i="100"/>
  <c r="G122" i="102"/>
  <c r="X57" i="102"/>
  <c r="X61" i="96"/>
  <c r="X40" i="96"/>
  <c r="X59" i="96" s="1"/>
  <c r="V61" i="86"/>
  <c r="V40" i="86"/>
  <c r="V59" i="86" s="1"/>
  <c r="R40" i="88"/>
  <c r="R59" i="88" s="1"/>
  <c r="R61" i="88"/>
  <c r="G66" i="92"/>
  <c r="Q57" i="92"/>
  <c r="B6" i="85"/>
  <c r="Q89" i="84"/>
  <c r="W61" i="88"/>
  <c r="W40" i="88"/>
  <c r="W59" i="88" s="1"/>
  <c r="W57" i="92"/>
  <c r="S61" i="96"/>
  <c r="S40" i="96"/>
  <c r="S59" i="96" s="1"/>
  <c r="G48" i="102"/>
  <c r="O85" i="102" s="1"/>
  <c r="G49" i="102"/>
  <c r="U61" i="86"/>
  <c r="U40" i="86"/>
  <c r="U59" i="86" s="1"/>
  <c r="S40" i="90"/>
  <c r="S59" i="90" s="1"/>
  <c r="S61" i="90"/>
  <c r="G65" i="86"/>
  <c r="G64" i="86"/>
  <c r="O87" i="86" s="1"/>
  <c r="G81" i="94"/>
  <c r="G80" i="94"/>
  <c r="O89" i="94" s="1"/>
  <c r="X57" i="88"/>
  <c r="G114" i="102"/>
  <c r="W57" i="102"/>
  <c r="R40" i="92"/>
  <c r="R59" i="92" s="1"/>
  <c r="R61" i="92"/>
  <c r="G98" i="102"/>
  <c r="U57" i="102"/>
  <c r="G81" i="96"/>
  <c r="G80" i="96"/>
  <c r="O89" i="96" s="1"/>
  <c r="O61" i="102"/>
  <c r="O40" i="102"/>
  <c r="O59" i="102" s="1"/>
  <c r="G81" i="90"/>
  <c r="G80" i="90"/>
  <c r="O89" i="90" s="1"/>
  <c r="S61" i="94"/>
  <c r="S40" i="94"/>
  <c r="S59" i="94" s="1"/>
  <c r="B10" i="103"/>
  <c r="Q93" i="102"/>
  <c r="V61" i="90"/>
  <c r="V40" i="90"/>
  <c r="V59" i="90" s="1"/>
  <c r="W61" i="96"/>
  <c r="W40" i="96"/>
  <c r="W59" i="96" s="1"/>
  <c r="G56" i="98"/>
  <c r="O86" i="98" s="1"/>
  <c r="G57" i="98"/>
  <c r="P40" i="102"/>
  <c r="P59" i="102" s="1"/>
  <c r="P61" i="102"/>
  <c r="V40" i="94"/>
  <c r="V59" i="94" s="1"/>
  <c r="V61" i="94"/>
  <c r="T40" i="94"/>
  <c r="T59" i="94" s="1"/>
  <c r="T61" i="94"/>
  <c r="G73" i="90"/>
  <c r="G72" i="90"/>
  <c r="O88" i="90" s="1"/>
  <c r="O61" i="90"/>
  <c r="O40" i="90"/>
  <c r="O59" i="90" s="1"/>
  <c r="B2" i="97"/>
  <c r="Q85" i="96"/>
  <c r="T61" i="98"/>
  <c r="T40" i="98"/>
  <c r="T59" i="98" s="1"/>
  <c r="B4" i="103"/>
  <c r="Q87" i="102"/>
  <c r="T61" i="100"/>
  <c r="T40" i="100"/>
  <c r="T59" i="100" s="1"/>
  <c r="U40" i="82"/>
  <c r="U59" i="82" s="1"/>
  <c r="U61" i="82"/>
  <c r="X61" i="86"/>
  <c r="X40" i="86"/>
  <c r="X59" i="86" s="1"/>
  <c r="W61" i="92"/>
  <c r="W40" i="92"/>
  <c r="W59" i="92" s="1"/>
  <c r="Q61" i="94"/>
  <c r="Q40" i="94"/>
  <c r="Q59" i="94" s="1"/>
  <c r="G48" i="82"/>
  <c r="O85" i="82" s="1"/>
  <c r="G49" i="82"/>
  <c r="G96" i="96"/>
  <c r="O91" i="96" s="1"/>
  <c r="G97" i="96"/>
  <c r="B9" i="85"/>
  <c r="Q92" i="84"/>
  <c r="B8" i="85"/>
  <c r="Q91" i="84"/>
  <c r="R40" i="90"/>
  <c r="R59" i="90" s="1"/>
  <c r="R61" i="90"/>
  <c r="G121" i="100"/>
  <c r="G120" i="100"/>
  <c r="O94" i="100" s="1"/>
  <c r="O94" i="94"/>
  <c r="Q94" i="94" s="1"/>
  <c r="V61" i="96"/>
  <c r="V40" i="96"/>
  <c r="V59" i="96" s="1"/>
  <c r="X40" i="98"/>
  <c r="X59" i="98" s="1"/>
  <c r="X61" i="98"/>
  <c r="S61" i="98"/>
  <c r="S40" i="98"/>
  <c r="S59" i="98" s="1"/>
  <c r="G122" i="82"/>
  <c r="X57" i="82"/>
  <c r="P61" i="82"/>
  <c r="P40" i="82"/>
  <c r="P59" i="82" s="1"/>
  <c r="G74" i="98"/>
  <c r="R57" i="98"/>
  <c r="B8" i="103"/>
  <c r="Q91" i="102"/>
  <c r="B2" i="95"/>
  <c r="Q85" i="94"/>
  <c r="Q40" i="96"/>
  <c r="Q59" i="96" s="1"/>
  <c r="Q61" i="96"/>
  <c r="U40" i="102"/>
  <c r="U59" i="102" s="1"/>
  <c r="U61" i="102"/>
  <c r="G72" i="94"/>
  <c r="O88" i="94" s="1"/>
  <c r="G73" i="94"/>
  <c r="G89" i="96"/>
  <c r="G88" i="96"/>
  <c r="O90" i="96" s="1"/>
  <c r="O93" i="86"/>
  <c r="Q93" i="86" s="1"/>
  <c r="R61" i="86"/>
  <c r="R40" i="86"/>
  <c r="R59" i="86" s="1"/>
  <c r="V40" i="82"/>
  <c r="V59" i="82" s="1"/>
  <c r="V61" i="82"/>
  <c r="G89" i="86"/>
  <c r="G88" i="86"/>
  <c r="O90" i="86" s="1"/>
  <c r="G105" i="100"/>
  <c r="G104" i="100"/>
  <c r="O92" i="100" s="1"/>
  <c r="R40" i="100"/>
  <c r="R59" i="100" s="1"/>
  <c r="R61" i="100"/>
  <c r="B8" i="83"/>
  <c r="Q91" i="82"/>
  <c r="G65" i="96"/>
  <c r="G64" i="96"/>
  <c r="O87" i="96" s="1"/>
  <c r="G104" i="102"/>
  <c r="O92" i="102" s="1"/>
  <c r="G105" i="102"/>
  <c r="V57" i="88"/>
  <c r="Q61" i="100"/>
  <c r="Q40" i="100"/>
  <c r="Q59" i="100" s="1"/>
  <c r="B6" i="89"/>
  <c r="Q89" i="88"/>
  <c r="R61" i="84"/>
  <c r="R40" i="84"/>
  <c r="R59" i="84" s="1"/>
  <c r="G73" i="86"/>
  <c r="G72" i="86"/>
  <c r="O88" i="86" s="1"/>
  <c r="P61" i="84"/>
  <c r="P40" i="84"/>
  <c r="P59" i="84" s="1"/>
  <c r="G97" i="94"/>
  <c r="G96" i="94"/>
  <c r="O91" i="94" s="1"/>
  <c r="G88" i="102"/>
  <c r="O90" i="102" s="1"/>
  <c r="G89" i="102"/>
  <c r="G98" i="82"/>
  <c r="U57" i="82"/>
  <c r="P40" i="98"/>
  <c r="P59" i="98" s="1"/>
  <c r="P61" i="98"/>
  <c r="Q61" i="92"/>
  <c r="Q40" i="92"/>
  <c r="Q59" i="92" s="1"/>
  <c r="P61" i="88"/>
  <c r="P40" i="88"/>
  <c r="P59" i="88" s="1"/>
  <c r="G49" i="98"/>
  <c r="G48" i="98"/>
  <c r="O85" i="98" s="1"/>
  <c r="B7" i="83"/>
  <c r="Q90" i="82"/>
  <c r="G88" i="90"/>
  <c r="O90" i="90" s="1"/>
  <c r="G89" i="90"/>
  <c r="G66" i="102"/>
  <c r="Q57" i="102"/>
  <c r="W57" i="88"/>
  <c r="S40" i="84"/>
  <c r="S59" i="84" s="1"/>
  <c r="S61" i="84"/>
  <c r="V40" i="84"/>
  <c r="V59" i="84" s="1"/>
  <c r="V61" i="84"/>
  <c r="B4" i="85"/>
  <c r="Q87" i="84"/>
  <c r="B2" i="101"/>
  <c r="Q85" i="100"/>
  <c r="X61" i="92"/>
  <c r="X40" i="92"/>
  <c r="X59" i="92" s="1"/>
  <c r="G120" i="96"/>
  <c r="O94" i="96" s="1"/>
  <c r="G121" i="96"/>
  <c r="O92" i="86"/>
  <c r="O58" i="80"/>
  <c r="G51" i="80"/>
  <c r="V40" i="98"/>
  <c r="V59" i="98" s="1"/>
  <c r="V61" i="98"/>
  <c r="B4" i="89"/>
  <c r="Q87" i="88"/>
  <c r="Q61" i="82"/>
  <c r="Q40" i="82"/>
  <c r="Q59" i="82" s="1"/>
  <c r="V61" i="88"/>
  <c r="V40" i="88"/>
  <c r="V59" i="88" s="1"/>
  <c r="B2" i="81"/>
  <c r="Q86" i="80"/>
  <c r="O93" i="94"/>
  <c r="Q93" i="94" s="1"/>
  <c r="Q61" i="102"/>
  <c r="Q40" i="102"/>
  <c r="Q59" i="102" s="1"/>
  <c r="S61" i="100"/>
  <c r="S40" i="100"/>
  <c r="S59" i="100" s="1"/>
  <c r="G66" i="88"/>
  <c r="Q57" i="88"/>
  <c r="B8" i="93"/>
  <c r="Q91" i="92"/>
  <c r="B2" i="93"/>
  <c r="Q85" i="92"/>
  <c r="G48" i="90"/>
  <c r="O85" i="90" s="1"/>
  <c r="G49" i="90"/>
  <c r="O57" i="96"/>
  <c r="G50" i="96"/>
  <c r="G88" i="98"/>
  <c r="O90" i="98" s="1"/>
  <c r="G89" i="98"/>
  <c r="S40" i="82"/>
  <c r="S59" i="82" s="1"/>
  <c r="S61" i="82"/>
  <c r="O94" i="86"/>
  <c r="Q94" i="86" s="1"/>
  <c r="T40" i="84"/>
  <c r="T59" i="84" s="1"/>
  <c r="T61" i="84"/>
  <c r="G82" i="92"/>
  <c r="S57" i="92"/>
  <c r="O61" i="82"/>
  <c r="O40" i="82"/>
  <c r="O59" i="82" s="1"/>
  <c r="U61" i="96"/>
  <c r="U40" i="96"/>
  <c r="U59" i="96" s="1"/>
  <c r="G83" i="80"/>
  <c r="S58" i="80"/>
  <c r="U57" i="84"/>
  <c r="G98" i="84"/>
  <c r="T40" i="88"/>
  <c r="T59" i="88" s="1"/>
  <c r="T61" i="88"/>
  <c r="X40" i="90"/>
  <c r="X59" i="90" s="1"/>
  <c r="X61" i="90"/>
  <c r="X40" i="100"/>
  <c r="X59" i="100" s="1"/>
  <c r="X61" i="100"/>
  <c r="X61" i="94"/>
  <c r="X40" i="94"/>
  <c r="X59" i="94" s="1"/>
  <c r="B9" i="91"/>
  <c r="Q92" i="90"/>
  <c r="G104" i="96"/>
  <c r="O92" i="96" s="1"/>
  <c r="G105" i="96"/>
  <c r="Q57" i="82"/>
  <c r="G66" i="82"/>
  <c r="G112" i="82"/>
  <c r="O93" i="82" s="1"/>
  <c r="Q93" i="82" s="1"/>
  <c r="G113" i="82"/>
  <c r="G120" i="98"/>
  <c r="O94" i="98" s="1"/>
  <c r="G121" i="98"/>
  <c r="S57" i="82"/>
  <c r="G82" i="82"/>
  <c r="G96" i="88"/>
  <c r="O91" i="88" s="1"/>
  <c r="G97" i="88"/>
  <c r="G80" i="98"/>
  <c r="O89" i="98" s="1"/>
  <c r="G81" i="98"/>
  <c r="O40" i="100"/>
  <c r="O59" i="100" s="1"/>
  <c r="O61" i="100"/>
  <c r="G73" i="100"/>
  <c r="G72" i="100"/>
  <c r="O88" i="100" s="1"/>
  <c r="O57" i="88"/>
  <c r="G50" i="88"/>
  <c r="P61" i="96"/>
  <c r="P40" i="96"/>
  <c r="P59" i="96" s="1"/>
  <c r="B9" i="81"/>
  <c r="Q93" i="80"/>
  <c r="B9" i="89"/>
  <c r="Q92" i="88"/>
  <c r="G74" i="96"/>
  <c r="R57" i="96"/>
  <c r="U40" i="100"/>
  <c r="U59" i="100" s="1"/>
  <c r="U61" i="100"/>
  <c r="T61" i="102"/>
  <c r="T40" i="102"/>
  <c r="T59" i="102" s="1"/>
  <c r="G57" i="100"/>
  <c r="G56" i="100"/>
  <c r="O86" i="100" s="1"/>
  <c r="V58" i="80"/>
  <c r="G107" i="80"/>
  <c r="G65" i="98"/>
  <c r="G64" i="98"/>
  <c r="O87" i="98" s="1"/>
  <c r="G112" i="96"/>
  <c r="O93" i="96" s="1"/>
  <c r="G113" i="96"/>
  <c r="V61" i="92"/>
  <c r="V40" i="92"/>
  <c r="V59" i="92" s="1"/>
  <c r="V61" i="102"/>
  <c r="V40" i="102"/>
  <c r="V59" i="102" s="1"/>
  <c r="U40" i="84"/>
  <c r="U59" i="84" s="1"/>
  <c r="U61" i="84"/>
  <c r="B3" i="85"/>
  <c r="Q86" i="84"/>
  <c r="G48" i="84"/>
  <c r="O85" i="84" s="1"/>
  <c r="G49" i="84"/>
  <c r="G57" i="90"/>
  <c r="G56" i="90"/>
  <c r="O86" i="90" s="1"/>
  <c r="G57" i="92"/>
  <c r="G56" i="92"/>
  <c r="O86" i="92" s="1"/>
  <c r="G89" i="100"/>
  <c r="G88" i="100"/>
  <c r="O90" i="100" s="1"/>
  <c r="G65" i="94"/>
  <c r="G64" i="94"/>
  <c r="O87" i="94" s="1"/>
  <c r="V57" i="84"/>
  <c r="G106" i="84"/>
  <c r="B11" i="103"/>
  <c r="Q94" i="102"/>
  <c r="O61" i="84"/>
  <c r="O40" i="84"/>
  <c r="O59" i="84" s="1"/>
  <c r="G57" i="88"/>
  <c r="G56" i="88"/>
  <c r="O86" i="88" s="1"/>
  <c r="O61" i="96"/>
  <c r="O40" i="96"/>
  <c r="O59" i="96" s="1"/>
  <c r="B8" i="91"/>
  <c r="Q91" i="90"/>
  <c r="G105" i="98"/>
  <c r="G104" i="98"/>
  <c r="O92" i="98" s="1"/>
  <c r="O61" i="92"/>
  <c r="O40" i="92"/>
  <c r="O59" i="92" s="1"/>
  <c r="G98" i="90"/>
  <c r="U57" i="90"/>
  <c r="W40" i="94"/>
  <c r="W59" i="94" s="1"/>
  <c r="W61" i="94"/>
  <c r="B5" i="99"/>
  <c r="Q88" i="98"/>
  <c r="G80" i="100"/>
  <c r="O89" i="100" s="1"/>
  <c r="G81" i="100"/>
  <c r="O57" i="94"/>
  <c r="G50" i="94"/>
  <c r="U57" i="92"/>
  <c r="G98" i="92"/>
  <c r="T40" i="82"/>
  <c r="T59" i="82" s="1"/>
  <c r="T61" i="82"/>
  <c r="O57" i="92"/>
  <c r="G50" i="92"/>
  <c r="Q40" i="90"/>
  <c r="Q59" i="90" s="1"/>
  <c r="Q61" i="90"/>
  <c r="G57" i="96"/>
  <c r="G56" i="96"/>
  <c r="O86" i="96" s="1"/>
  <c r="G57" i="86"/>
  <c r="G56" i="86"/>
  <c r="O86" i="86" s="1"/>
  <c r="G89" i="84"/>
  <c r="G88" i="84"/>
  <c r="O90" i="84" s="1"/>
  <c r="B6" i="93"/>
  <c r="Q89" i="92"/>
  <c r="U61" i="98"/>
  <c r="U40" i="98"/>
  <c r="U59" i="98" s="1"/>
  <c r="B6" i="81"/>
  <c r="Q90" i="80"/>
  <c r="O61" i="88"/>
  <c r="O40" i="88"/>
  <c r="O59" i="88" s="1"/>
  <c r="G89" i="88"/>
  <c r="G88" i="88"/>
  <c r="O90" i="88" s="1"/>
  <c r="W61" i="90"/>
  <c r="W40" i="90"/>
  <c r="W59" i="90" s="1"/>
  <c r="O94" i="90"/>
  <c r="Q94" i="90" s="1"/>
  <c r="B5" i="97"/>
  <c r="Q88" i="96"/>
  <c r="T40" i="96"/>
  <c r="T59" i="96" s="1"/>
  <c r="T61" i="96"/>
  <c r="W61" i="86"/>
  <c r="W40" i="86"/>
  <c r="W59" i="86" s="1"/>
  <c r="T40" i="92"/>
  <c r="T59" i="92" s="1"/>
  <c r="T61" i="92"/>
  <c r="S40" i="102"/>
  <c r="S59" i="102" s="1"/>
  <c r="S61" i="102"/>
  <c r="B4" i="83"/>
  <c r="Q87" i="82"/>
  <c r="G96" i="100"/>
  <c r="O91" i="100" s="1"/>
  <c r="G97" i="100"/>
  <c r="W61" i="82"/>
  <c r="W40" i="82"/>
  <c r="W59" i="82" s="1"/>
  <c r="G104" i="82"/>
  <c r="O92" i="82" s="1"/>
  <c r="G105" i="82"/>
  <c r="U40" i="88"/>
  <c r="U59" i="88" s="1"/>
  <c r="U61" i="88"/>
  <c r="T61" i="86"/>
  <c r="T40" i="86"/>
  <c r="T59" i="86" s="1"/>
  <c r="R26" i="91" l="1"/>
  <c r="C239" i="5"/>
  <c r="T26" i="89"/>
  <c r="G239" i="5" s="1"/>
  <c r="C99" i="5"/>
  <c r="R25" i="33"/>
  <c r="C95" i="5"/>
  <c r="R21" i="33"/>
  <c r="C96" i="5"/>
  <c r="R22" i="33"/>
  <c r="R26" i="33"/>
  <c r="C100" i="5"/>
  <c r="R22" i="91"/>
  <c r="C235" i="5"/>
  <c r="T22" i="89"/>
  <c r="G235" i="5" s="1"/>
  <c r="R23" i="33"/>
  <c r="C97" i="5"/>
  <c r="R21" i="91"/>
  <c r="C234" i="5"/>
  <c r="T21" i="89"/>
  <c r="G234" i="5" s="1"/>
  <c r="R24" i="33"/>
  <c r="C98" i="5"/>
  <c r="C236" i="5"/>
  <c r="R23" i="91"/>
  <c r="T23" i="89"/>
  <c r="G236" i="5" s="1"/>
  <c r="C233" i="5"/>
  <c r="R20" i="91"/>
  <c r="T20" i="89"/>
  <c r="G233" i="5" s="1"/>
  <c r="C232" i="5"/>
  <c r="R19" i="91"/>
  <c r="T19" i="89"/>
  <c r="G232" i="5" s="1"/>
  <c r="C94" i="5"/>
  <c r="R20" i="33"/>
  <c r="C241" i="5"/>
  <c r="R28" i="91"/>
  <c r="T28" i="89"/>
  <c r="G241" i="5" s="1"/>
  <c r="R27" i="35"/>
  <c r="C113" i="5"/>
  <c r="C93" i="5"/>
  <c r="R19" i="33"/>
  <c r="R25" i="91"/>
  <c r="C238" i="5"/>
  <c r="T25" i="89"/>
  <c r="G238" i="5" s="1"/>
  <c r="R27" i="91"/>
  <c r="C240" i="5"/>
  <c r="T27" i="89"/>
  <c r="G240" i="5" s="1"/>
  <c r="C114" i="5"/>
  <c r="R28" i="35"/>
  <c r="C237" i="5"/>
  <c r="R24" i="91"/>
  <c r="T24" i="89"/>
  <c r="G237" i="5" s="1"/>
  <c r="B7" i="101"/>
  <c r="Q90" i="100"/>
  <c r="G122" i="98"/>
  <c r="X57" i="98"/>
  <c r="G50" i="90"/>
  <c r="O57" i="90"/>
  <c r="B4" i="87"/>
  <c r="Q87" i="86"/>
  <c r="B2" i="103"/>
  <c r="Q85" i="102"/>
  <c r="G74" i="84"/>
  <c r="R57" i="84"/>
  <c r="G74" i="92"/>
  <c r="R57" i="92"/>
  <c r="B9" i="93"/>
  <c r="Q92" i="92"/>
  <c r="S57" i="102"/>
  <c r="G82" i="102"/>
  <c r="G98" i="98"/>
  <c r="U57" i="98"/>
  <c r="B4" i="91"/>
  <c r="Q87" i="90"/>
  <c r="X57" i="90"/>
  <c r="G58" i="86"/>
  <c r="P57" i="86"/>
  <c r="G106" i="98"/>
  <c r="V57" i="98"/>
  <c r="G90" i="100"/>
  <c r="T57" i="100"/>
  <c r="B10" i="97"/>
  <c r="Q93" i="96"/>
  <c r="B11" i="99"/>
  <c r="Q94" i="98"/>
  <c r="B2" i="91"/>
  <c r="Q85" i="90"/>
  <c r="B2" i="99"/>
  <c r="Q85" i="98"/>
  <c r="B5" i="95"/>
  <c r="Q88" i="94"/>
  <c r="X57" i="100"/>
  <c r="G122" i="100"/>
  <c r="B8" i="97"/>
  <c r="Q91" i="96"/>
  <c r="G82" i="90"/>
  <c r="S57" i="90"/>
  <c r="G66" i="86"/>
  <c r="Q57" i="86"/>
  <c r="B5" i="83"/>
  <c r="Q88" i="82"/>
  <c r="P57" i="102"/>
  <c r="G58" i="102"/>
  <c r="O57" i="86"/>
  <c r="G50" i="86"/>
  <c r="B6" i="103"/>
  <c r="Q89" i="102"/>
  <c r="B8" i="99"/>
  <c r="Q91" i="98"/>
  <c r="G66" i="90"/>
  <c r="Q57" i="90"/>
  <c r="W57" i="96"/>
  <c r="G114" i="96"/>
  <c r="B6" i="91"/>
  <c r="Q89" i="90"/>
  <c r="B3" i="93"/>
  <c r="Q86" i="92"/>
  <c r="B4" i="99"/>
  <c r="Q87" i="98"/>
  <c r="G82" i="98"/>
  <c r="S57" i="98"/>
  <c r="B5" i="87"/>
  <c r="Q88" i="86"/>
  <c r="O57" i="82"/>
  <c r="G50" i="82"/>
  <c r="G90" i="92"/>
  <c r="T57" i="92"/>
  <c r="G58" i="96"/>
  <c r="P57" i="96"/>
  <c r="P57" i="92"/>
  <c r="G58" i="92"/>
  <c r="G74" i="86"/>
  <c r="R57" i="86"/>
  <c r="B7" i="89"/>
  <c r="Q90" i="88"/>
  <c r="B3" i="91"/>
  <c r="Q86" i="90"/>
  <c r="G98" i="88"/>
  <c r="U57" i="88"/>
  <c r="G90" i="98"/>
  <c r="T57" i="98"/>
  <c r="B9" i="87"/>
  <c r="Q92" i="86"/>
  <c r="B7" i="103"/>
  <c r="Q90" i="102"/>
  <c r="G106" i="102"/>
  <c r="V57" i="102"/>
  <c r="B9" i="101"/>
  <c r="Q92" i="100"/>
  <c r="W57" i="86"/>
  <c r="B6" i="97"/>
  <c r="Q89" i="96"/>
  <c r="B7" i="95"/>
  <c r="Q90" i="94"/>
  <c r="V57" i="94"/>
  <c r="W57" i="100"/>
  <c r="G114" i="100"/>
  <c r="B9" i="99"/>
  <c r="Q92" i="98"/>
  <c r="B11" i="101"/>
  <c r="Q94" i="100"/>
  <c r="B3" i="97"/>
  <c r="Q86" i="96"/>
  <c r="G114" i="82"/>
  <c r="W57" i="82"/>
  <c r="B7" i="99"/>
  <c r="Q90" i="98"/>
  <c r="G90" i="90"/>
  <c r="T57" i="90"/>
  <c r="B9" i="103"/>
  <c r="Q92" i="102"/>
  <c r="T57" i="94"/>
  <c r="G90" i="94"/>
  <c r="G74" i="102"/>
  <c r="R57" i="102"/>
  <c r="B5" i="89"/>
  <c r="Q88" i="88"/>
  <c r="G58" i="94"/>
  <c r="P57" i="94"/>
  <c r="B10" i="99"/>
  <c r="Q93" i="98"/>
  <c r="G74" i="82"/>
  <c r="R57" i="82"/>
  <c r="B3" i="103"/>
  <c r="Q86" i="102"/>
  <c r="G90" i="102"/>
  <c r="T57" i="102"/>
  <c r="B10" i="101"/>
  <c r="Q93" i="100"/>
  <c r="G90" i="88"/>
  <c r="T57" i="88"/>
  <c r="W57" i="94"/>
  <c r="G122" i="96"/>
  <c r="X57" i="96"/>
  <c r="V57" i="100"/>
  <c r="G106" i="100"/>
  <c r="G82" i="96"/>
  <c r="S57" i="96"/>
  <c r="G82" i="100"/>
  <c r="S57" i="100"/>
  <c r="B3" i="89"/>
  <c r="Q86" i="88"/>
  <c r="O57" i="84"/>
  <c r="G50" i="84"/>
  <c r="B3" i="101"/>
  <c r="Q86" i="100"/>
  <c r="B5" i="101"/>
  <c r="Q88" i="100"/>
  <c r="B4" i="97"/>
  <c r="Q87" i="96"/>
  <c r="B7" i="97"/>
  <c r="Q90" i="96"/>
  <c r="G58" i="98"/>
  <c r="P57" i="98"/>
  <c r="B6" i="95"/>
  <c r="Q89" i="94"/>
  <c r="B6" i="87"/>
  <c r="Q89" i="86"/>
  <c r="B5" i="103"/>
  <c r="Q88" i="102"/>
  <c r="R57" i="88"/>
  <c r="G74" i="88"/>
  <c r="B3" i="95"/>
  <c r="Q86" i="94"/>
  <c r="G114" i="98"/>
  <c r="W57" i="98"/>
  <c r="B3" i="87"/>
  <c r="Q86" i="86"/>
  <c r="X57" i="86"/>
  <c r="R57" i="94"/>
  <c r="G74" i="94"/>
  <c r="G98" i="96"/>
  <c r="U57" i="96"/>
  <c r="G98" i="100"/>
  <c r="U57" i="100"/>
  <c r="G50" i="98"/>
  <c r="O57" i="98"/>
  <c r="B2" i="87"/>
  <c r="Q85" i="86"/>
  <c r="B8" i="101"/>
  <c r="Q91" i="100"/>
  <c r="Q57" i="98"/>
  <c r="G66" i="98"/>
  <c r="B6" i="99"/>
  <c r="Q89" i="98"/>
  <c r="V57" i="86"/>
  <c r="B2" i="83"/>
  <c r="Q85" i="82"/>
  <c r="B9" i="95"/>
  <c r="Q92" i="94"/>
  <c r="B7" i="93"/>
  <c r="Q90" i="92"/>
  <c r="P57" i="90"/>
  <c r="G58" i="90"/>
  <c r="B8" i="89"/>
  <c r="Q91" i="88"/>
  <c r="G106" i="82"/>
  <c r="V57" i="82"/>
  <c r="B7" i="85"/>
  <c r="Q90" i="84"/>
  <c r="B4" i="95"/>
  <c r="Q87" i="94"/>
  <c r="V57" i="96"/>
  <c r="G106" i="96"/>
  <c r="B11" i="97"/>
  <c r="Q94" i="96"/>
  <c r="B7" i="91"/>
  <c r="Q90" i="90"/>
  <c r="B8" i="95"/>
  <c r="Q91" i="94"/>
  <c r="B7" i="87"/>
  <c r="Q90" i="86"/>
  <c r="B5" i="91"/>
  <c r="Q88" i="90"/>
  <c r="B9" i="83"/>
  <c r="Q92" i="82"/>
  <c r="G90" i="84"/>
  <c r="T57" i="84"/>
  <c r="B6" i="101"/>
  <c r="Q89" i="100"/>
  <c r="P57" i="88"/>
  <c r="G58" i="88"/>
  <c r="Q57" i="94"/>
  <c r="G66" i="94"/>
  <c r="B2" i="85"/>
  <c r="Q85" i="84"/>
  <c r="P57" i="100"/>
  <c r="G58" i="100"/>
  <c r="R57" i="100"/>
  <c r="G74" i="100"/>
  <c r="B9" i="97"/>
  <c r="Q92" i="96"/>
  <c r="G98" i="94"/>
  <c r="U57" i="94"/>
  <c r="G66" i="96"/>
  <c r="Q57" i="96"/>
  <c r="G90" i="86"/>
  <c r="T57" i="86"/>
  <c r="G90" i="96"/>
  <c r="T57" i="96"/>
  <c r="X57" i="94"/>
  <c r="G74" i="90"/>
  <c r="R57" i="90"/>
  <c r="B3" i="99"/>
  <c r="Q86" i="98"/>
  <c r="G82" i="94"/>
  <c r="S57" i="94"/>
  <c r="G50" i="102"/>
  <c r="O57" i="102"/>
  <c r="G82" i="86"/>
  <c r="S57" i="86"/>
  <c r="B5" i="85"/>
  <c r="Q88" i="84"/>
  <c r="B5" i="93"/>
  <c r="Q88" i="92"/>
  <c r="V57" i="92"/>
  <c r="W57" i="90"/>
  <c r="R27" i="93" l="1"/>
  <c r="C252" i="5"/>
  <c r="T27" i="91"/>
  <c r="G252" i="5" s="1"/>
  <c r="R22" i="93"/>
  <c r="C247" i="5"/>
  <c r="T22" i="91"/>
  <c r="G247" i="5" s="1"/>
  <c r="C249" i="5"/>
  <c r="R24" i="93"/>
  <c r="T24" i="91"/>
  <c r="G249" i="5" s="1"/>
  <c r="C125" i="5"/>
  <c r="R27" i="37"/>
  <c r="C139" i="5" s="1"/>
  <c r="C244" i="5"/>
  <c r="T19" i="91"/>
  <c r="G244" i="5" s="1"/>
  <c r="R19" i="93"/>
  <c r="R25" i="93"/>
  <c r="C250" i="5"/>
  <c r="T25" i="91"/>
  <c r="G250" i="5" s="1"/>
  <c r="R21" i="93"/>
  <c r="C246" i="5"/>
  <c r="T21" i="91"/>
  <c r="G246" i="5" s="1"/>
  <c r="R25" i="35"/>
  <c r="C111" i="5"/>
  <c r="C126" i="5"/>
  <c r="R28" i="37"/>
  <c r="C140" i="5" s="1"/>
  <c r="C253" i="5"/>
  <c r="R28" i="93"/>
  <c r="T28" i="91"/>
  <c r="G253" i="5" s="1"/>
  <c r="R23" i="93"/>
  <c r="C248" i="5"/>
  <c r="T23" i="91"/>
  <c r="G248" i="5" s="1"/>
  <c r="R26" i="93"/>
  <c r="C251" i="5"/>
  <c r="T26" i="91"/>
  <c r="G251" i="5" s="1"/>
  <c r="C245" i="5"/>
  <c r="R20" i="93"/>
  <c r="T20" i="91"/>
  <c r="G245" i="5" s="1"/>
  <c r="R23" i="35"/>
  <c r="C109" i="5"/>
  <c r="R26" i="35"/>
  <c r="C112" i="5"/>
  <c r="C107" i="5"/>
  <c r="R21" i="35"/>
  <c r="C105" i="5"/>
  <c r="R19" i="35"/>
  <c r="C106" i="5"/>
  <c r="R20" i="35"/>
  <c r="R24" i="35"/>
  <c r="C110" i="5"/>
  <c r="C108" i="5"/>
  <c r="R22" i="35"/>
  <c r="C122" i="5" l="1"/>
  <c r="R24" i="37"/>
  <c r="C136" i="5" s="1"/>
  <c r="R25" i="95"/>
  <c r="C264" i="5"/>
  <c r="T25" i="93"/>
  <c r="G264" i="5" s="1"/>
  <c r="C118" i="5"/>
  <c r="R20" i="37"/>
  <c r="C132" i="5" s="1"/>
  <c r="R23" i="95"/>
  <c r="C262" i="5"/>
  <c r="T23" i="93"/>
  <c r="G262" i="5" s="1"/>
  <c r="R22" i="95"/>
  <c r="C261" i="5"/>
  <c r="T22" i="93"/>
  <c r="G261" i="5" s="1"/>
  <c r="R25" i="37"/>
  <c r="C137" i="5" s="1"/>
  <c r="C123" i="5"/>
  <c r="C117" i="5"/>
  <c r="R19" i="37"/>
  <c r="C131" i="5" s="1"/>
  <c r="C267" i="5"/>
  <c r="R28" i="95"/>
  <c r="T28" i="93"/>
  <c r="G267" i="5" s="1"/>
  <c r="C258" i="5"/>
  <c r="R19" i="95"/>
  <c r="T19" i="93"/>
  <c r="G258" i="5" s="1"/>
  <c r="R26" i="37"/>
  <c r="C138" i="5" s="1"/>
  <c r="C124" i="5"/>
  <c r="C120" i="5"/>
  <c r="R22" i="37"/>
  <c r="C134" i="5" s="1"/>
  <c r="R21" i="95"/>
  <c r="C260" i="5"/>
  <c r="T21" i="93"/>
  <c r="G260" i="5" s="1"/>
  <c r="C263" i="5"/>
  <c r="R24" i="95"/>
  <c r="T24" i="93"/>
  <c r="G263" i="5" s="1"/>
  <c r="C119" i="5"/>
  <c r="R21" i="37"/>
  <c r="C133" i="5" s="1"/>
  <c r="C121" i="5"/>
  <c r="R23" i="37"/>
  <c r="C135" i="5" s="1"/>
  <c r="C259" i="5"/>
  <c r="R20" i="95"/>
  <c r="T20" i="93"/>
  <c r="G259" i="5" s="1"/>
  <c r="C265" i="5"/>
  <c r="R26" i="95"/>
  <c r="T26" i="93"/>
  <c r="G265" i="5" s="1"/>
  <c r="C266" i="5"/>
  <c r="R27" i="95"/>
  <c r="T27" i="93"/>
  <c r="G266" i="5" s="1"/>
  <c r="E120" i="54"/>
  <c r="C120" i="54"/>
  <c r="E112" i="54"/>
  <c r="C112" i="54"/>
  <c r="E104" i="54"/>
  <c r="C104" i="54"/>
  <c r="E96" i="54"/>
  <c r="C96" i="54"/>
  <c r="E88" i="54"/>
  <c r="C88" i="54"/>
  <c r="E80" i="54"/>
  <c r="C80" i="54"/>
  <c r="E72" i="54"/>
  <c r="C72" i="54"/>
  <c r="E64" i="54"/>
  <c r="C64" i="54"/>
  <c r="E56" i="54"/>
  <c r="C56" i="54"/>
  <c r="E48" i="54"/>
  <c r="C48" i="54"/>
  <c r="E120" i="53"/>
  <c r="C120" i="53"/>
  <c r="E112" i="53"/>
  <c r="C112" i="53"/>
  <c r="E104" i="53"/>
  <c r="C104" i="53"/>
  <c r="E96" i="53"/>
  <c r="C96" i="53"/>
  <c r="E88" i="53"/>
  <c r="C88" i="53"/>
  <c r="E80" i="53"/>
  <c r="C80" i="53"/>
  <c r="E72" i="53"/>
  <c r="C72" i="53"/>
  <c r="E64" i="53"/>
  <c r="C64" i="53"/>
  <c r="E56" i="53"/>
  <c r="C56" i="53"/>
  <c r="E48" i="53"/>
  <c r="C48" i="53"/>
  <c r="E120" i="52"/>
  <c r="C120" i="52"/>
  <c r="E112" i="52"/>
  <c r="C112" i="52"/>
  <c r="E104" i="52"/>
  <c r="C104" i="52"/>
  <c r="E96" i="52"/>
  <c r="C96" i="52"/>
  <c r="E88" i="52"/>
  <c r="C88" i="52"/>
  <c r="E80" i="52"/>
  <c r="C80" i="52"/>
  <c r="E64" i="52"/>
  <c r="C64" i="52"/>
  <c r="E56" i="52"/>
  <c r="C56" i="52"/>
  <c r="E48" i="52"/>
  <c r="C48" i="52"/>
  <c r="E120" i="51"/>
  <c r="C120" i="51"/>
  <c r="E112" i="51"/>
  <c r="C112" i="51"/>
  <c r="E104" i="51"/>
  <c r="C104" i="51"/>
  <c r="E96" i="51"/>
  <c r="C96" i="51"/>
  <c r="E88" i="51"/>
  <c r="C88" i="51"/>
  <c r="E80" i="51"/>
  <c r="C80" i="51"/>
  <c r="E72" i="51"/>
  <c r="C72" i="51"/>
  <c r="E64" i="51"/>
  <c r="C64" i="51"/>
  <c r="E56" i="51"/>
  <c r="C56" i="51"/>
  <c r="E48" i="51"/>
  <c r="C48" i="51"/>
  <c r="E120" i="50"/>
  <c r="C120" i="50"/>
  <c r="E112" i="50"/>
  <c r="C112" i="50"/>
  <c r="E104" i="50"/>
  <c r="C104" i="50"/>
  <c r="E96" i="50"/>
  <c r="C96" i="50"/>
  <c r="E88" i="50"/>
  <c r="C88" i="50"/>
  <c r="E80" i="50"/>
  <c r="C80" i="50"/>
  <c r="E72" i="50"/>
  <c r="C72" i="50"/>
  <c r="E64" i="50"/>
  <c r="C64" i="50"/>
  <c r="E56" i="50"/>
  <c r="C56" i="50"/>
  <c r="E48" i="50"/>
  <c r="C48" i="50"/>
  <c r="E120" i="49"/>
  <c r="C120" i="49"/>
  <c r="E112" i="49"/>
  <c r="C112" i="49"/>
  <c r="E104" i="49"/>
  <c r="C104" i="49"/>
  <c r="E96" i="49"/>
  <c r="C96" i="49"/>
  <c r="E88" i="49"/>
  <c r="C88" i="49"/>
  <c r="E80" i="49"/>
  <c r="C80" i="49"/>
  <c r="E72" i="49"/>
  <c r="C72" i="49"/>
  <c r="E64" i="49"/>
  <c r="C64" i="49"/>
  <c r="E56" i="49"/>
  <c r="C56" i="49"/>
  <c r="E120" i="48"/>
  <c r="C120" i="48"/>
  <c r="E112" i="48"/>
  <c r="C112" i="48"/>
  <c r="E104" i="48"/>
  <c r="C104" i="48"/>
  <c r="E96" i="48"/>
  <c r="C96" i="48"/>
  <c r="E88" i="48"/>
  <c r="C88" i="48"/>
  <c r="E80" i="48"/>
  <c r="C80" i="48"/>
  <c r="E72" i="48"/>
  <c r="C72" i="48"/>
  <c r="E64" i="48"/>
  <c r="C64" i="48"/>
  <c r="E56" i="48"/>
  <c r="C56" i="48"/>
  <c r="E48" i="48"/>
  <c r="C48" i="48"/>
  <c r="E120" i="47"/>
  <c r="C120" i="47"/>
  <c r="E112" i="47"/>
  <c r="C112" i="47"/>
  <c r="E104" i="47"/>
  <c r="C104" i="47"/>
  <c r="E96" i="47"/>
  <c r="E88" i="47"/>
  <c r="C88" i="47"/>
  <c r="E80" i="47"/>
  <c r="C80" i="47"/>
  <c r="E72" i="47"/>
  <c r="C72" i="47"/>
  <c r="E64" i="47"/>
  <c r="C64" i="47"/>
  <c r="E56" i="47"/>
  <c r="C56" i="47"/>
  <c r="E48" i="47"/>
  <c r="C48" i="47"/>
  <c r="E120" i="46"/>
  <c r="C120" i="46"/>
  <c r="E112" i="46"/>
  <c r="C112" i="46"/>
  <c r="E104" i="46"/>
  <c r="C104" i="46"/>
  <c r="E96" i="46"/>
  <c r="C96" i="46"/>
  <c r="E88" i="46"/>
  <c r="C88" i="46"/>
  <c r="E80" i="46"/>
  <c r="C80" i="46"/>
  <c r="E72" i="46"/>
  <c r="C72" i="46"/>
  <c r="E64" i="46"/>
  <c r="C64" i="46"/>
  <c r="E56" i="46"/>
  <c r="C56" i="46"/>
  <c r="E48" i="46"/>
  <c r="C48" i="46"/>
  <c r="E120" i="45"/>
  <c r="C120" i="45"/>
  <c r="E112" i="45"/>
  <c r="C112" i="45"/>
  <c r="E104" i="45"/>
  <c r="C104" i="45"/>
  <c r="E96" i="45"/>
  <c r="E88" i="45"/>
  <c r="C88" i="45"/>
  <c r="E80" i="45"/>
  <c r="C80" i="45"/>
  <c r="E72" i="45"/>
  <c r="C72" i="45"/>
  <c r="E64" i="45"/>
  <c r="C64" i="45"/>
  <c r="E56" i="45"/>
  <c r="C56" i="45"/>
  <c r="E48" i="45"/>
  <c r="C48" i="45"/>
  <c r="E120" i="44"/>
  <c r="C120" i="44"/>
  <c r="E112" i="44"/>
  <c r="C112" i="44"/>
  <c r="E104" i="44"/>
  <c r="C104" i="44"/>
  <c r="E96" i="44"/>
  <c r="C96" i="44"/>
  <c r="C88" i="44"/>
  <c r="E80" i="44"/>
  <c r="C80" i="44"/>
  <c r="E72" i="44"/>
  <c r="C72" i="44"/>
  <c r="E64" i="44"/>
  <c r="C64" i="44"/>
  <c r="E56" i="44"/>
  <c r="C56" i="44"/>
  <c r="E48" i="44"/>
  <c r="C48" i="44"/>
  <c r="C34" i="5"/>
  <c r="P59" i="1"/>
  <c r="Q59" i="1"/>
  <c r="R59" i="1"/>
  <c r="S59" i="1"/>
  <c r="T59" i="1"/>
  <c r="U59" i="1"/>
  <c r="V59" i="1"/>
  <c r="W59" i="1"/>
  <c r="X59" i="1"/>
  <c r="C274" i="5" l="1"/>
  <c r="R23" i="97"/>
  <c r="T23" i="97" s="1"/>
  <c r="T23" i="95"/>
  <c r="G274" i="5" s="1"/>
  <c r="C271" i="5"/>
  <c r="R20" i="97"/>
  <c r="T20" i="97" s="1"/>
  <c r="T20" i="95"/>
  <c r="G271" i="5" s="1"/>
  <c r="C270" i="5"/>
  <c r="T19" i="95"/>
  <c r="G270" i="5" s="1"/>
  <c r="R19" i="97"/>
  <c r="T19" i="97" s="1"/>
  <c r="C278" i="5"/>
  <c r="R27" i="97"/>
  <c r="T27" i="97" s="1"/>
  <c r="T27" i="95"/>
  <c r="G278" i="5" s="1"/>
  <c r="C275" i="5"/>
  <c r="R24" i="97"/>
  <c r="T24" i="97" s="1"/>
  <c r="T24" i="95"/>
  <c r="G275" i="5" s="1"/>
  <c r="C272" i="5"/>
  <c r="R21" i="97"/>
  <c r="T21" i="97" s="1"/>
  <c r="T21" i="95"/>
  <c r="G272" i="5" s="1"/>
  <c r="C279" i="5"/>
  <c r="R28" i="97"/>
  <c r="T28" i="97" s="1"/>
  <c r="T28" i="95"/>
  <c r="G279" i="5" s="1"/>
  <c r="C273" i="5"/>
  <c r="R22" i="97"/>
  <c r="T22" i="97" s="1"/>
  <c r="T22" i="95"/>
  <c r="G273" i="5" s="1"/>
  <c r="C276" i="5"/>
  <c r="R25" i="97"/>
  <c r="T25" i="97" s="1"/>
  <c r="T25" i="95"/>
  <c r="G276" i="5" s="1"/>
  <c r="C277" i="5"/>
  <c r="R26" i="97"/>
  <c r="T26" i="97" s="1"/>
  <c r="T26" i="95"/>
  <c r="G277" i="5" s="1"/>
  <c r="J129" i="5" l="1"/>
  <c r="G129" i="5"/>
  <c r="C129" i="5"/>
  <c r="S42" i="19"/>
  <c r="S43" i="19"/>
  <c r="S44" i="19"/>
  <c r="S45" i="19"/>
  <c r="S46" i="19"/>
  <c r="S47" i="19"/>
  <c r="S48" i="19"/>
  <c r="S42" i="37"/>
  <c r="S43" i="37"/>
  <c r="S44" i="37"/>
  <c r="S45" i="37"/>
  <c r="S46" i="37"/>
  <c r="S47" i="37"/>
  <c r="S48" i="37"/>
  <c r="S42" i="35"/>
  <c r="S43" i="35"/>
  <c r="S44" i="35"/>
  <c r="S45" i="35"/>
  <c r="S46" i="35"/>
  <c r="S47" i="35"/>
  <c r="S48" i="35"/>
  <c r="S42" i="33"/>
  <c r="S43" i="33"/>
  <c r="S44" i="33"/>
  <c r="S45" i="33"/>
  <c r="S46" i="33"/>
  <c r="S47" i="33"/>
  <c r="S48" i="33"/>
  <c r="S42" i="31"/>
  <c r="S43" i="31"/>
  <c r="S44" i="31"/>
  <c r="S45" i="31"/>
  <c r="S46" i="31"/>
  <c r="S47" i="31"/>
  <c r="S48" i="31"/>
  <c r="S42" i="29"/>
  <c r="S43" i="29"/>
  <c r="S44" i="29"/>
  <c r="S45" i="29"/>
  <c r="S46" i="29"/>
  <c r="S47" i="29"/>
  <c r="S48" i="29"/>
  <c r="S42" i="27"/>
  <c r="S43" i="27"/>
  <c r="S44" i="27"/>
  <c r="S45" i="27"/>
  <c r="S46" i="27"/>
  <c r="S47" i="27"/>
  <c r="S48" i="27"/>
  <c r="S42" i="25"/>
  <c r="S43" i="25"/>
  <c r="S44" i="25"/>
  <c r="S45" i="25"/>
  <c r="S46" i="25"/>
  <c r="S47" i="25"/>
  <c r="S48" i="25"/>
  <c r="S42" i="22"/>
  <c r="S43" i="22"/>
  <c r="S44" i="22"/>
  <c r="S45" i="22"/>
  <c r="S46" i="22"/>
  <c r="S47" i="22"/>
  <c r="S48" i="22"/>
  <c r="O59" i="1" l="1"/>
  <c r="J144" i="5" l="1"/>
  <c r="G144" i="5"/>
  <c r="C144" i="5"/>
  <c r="J64" i="5"/>
  <c r="G64" i="5"/>
  <c r="C64" i="5"/>
  <c r="I91" i="49"/>
  <c r="I92" i="49"/>
  <c r="I93" i="49"/>
  <c r="I94" i="49"/>
  <c r="I95" i="49"/>
  <c r="B38" i="5" l="1"/>
  <c r="E65" i="1"/>
  <c r="C65" i="1"/>
  <c r="F44" i="1" l="1"/>
  <c r="F45" i="1"/>
  <c r="F46" i="1"/>
  <c r="F47" i="1"/>
  <c r="F48" i="1"/>
  <c r="C49" i="1"/>
  <c r="E49" i="1"/>
  <c r="C57" i="1"/>
  <c r="E57" i="1"/>
  <c r="D16" i="5" l="1"/>
  <c r="B51" i="5"/>
  <c r="D9" i="5"/>
  <c r="C113" i="1" l="1"/>
  <c r="C105" i="1"/>
  <c r="C97" i="1"/>
  <c r="C89" i="1"/>
  <c r="C81" i="1"/>
  <c r="C73" i="1"/>
  <c r="N100" i="1"/>
  <c r="N99" i="1"/>
  <c r="N98" i="1"/>
  <c r="N97" i="1"/>
  <c r="Q84" i="1"/>
  <c r="O84" i="1"/>
  <c r="N84" i="1"/>
  <c r="O56" i="1"/>
  <c r="T49" i="1"/>
  <c r="T48" i="1"/>
  <c r="T47" i="1"/>
  <c r="N47" i="1"/>
  <c r="F43" i="1"/>
  <c r="E43" i="1"/>
  <c r="C43" i="1"/>
  <c r="T4" i="1"/>
  <c r="P4" i="1"/>
  <c r="O4" i="1"/>
  <c r="E33" i="54"/>
  <c r="I33" i="54" s="1"/>
  <c r="D33" i="54"/>
  <c r="H33" i="54" s="1"/>
  <c r="E32" i="54"/>
  <c r="I32" i="54" s="1"/>
  <c r="D32" i="54"/>
  <c r="F32" i="54" s="1"/>
  <c r="E28" i="54"/>
  <c r="I28" i="54" s="1"/>
  <c r="D28" i="54"/>
  <c r="H28" i="54" s="1"/>
  <c r="E27" i="54"/>
  <c r="I27" i="54" s="1"/>
  <c r="D27" i="54"/>
  <c r="F27" i="54" s="1"/>
  <c r="E24" i="54"/>
  <c r="D24" i="54"/>
  <c r="E23" i="54"/>
  <c r="D23" i="54"/>
  <c r="E33" i="53"/>
  <c r="I33" i="53" s="1"/>
  <c r="D33" i="53"/>
  <c r="E32" i="53"/>
  <c r="I32" i="53" s="1"/>
  <c r="D32" i="53"/>
  <c r="H32" i="53" s="1"/>
  <c r="E28" i="53"/>
  <c r="I28" i="53" s="1"/>
  <c r="D28" i="53"/>
  <c r="E27" i="53"/>
  <c r="I27" i="53" s="1"/>
  <c r="D27" i="53"/>
  <c r="H27" i="53" s="1"/>
  <c r="E24" i="53"/>
  <c r="D24" i="53"/>
  <c r="E23" i="53"/>
  <c r="D23" i="53"/>
  <c r="E33" i="52"/>
  <c r="I33" i="52" s="1"/>
  <c r="D33" i="52"/>
  <c r="H33" i="52" s="1"/>
  <c r="E32" i="52"/>
  <c r="I32" i="52" s="1"/>
  <c r="D32" i="52"/>
  <c r="H32" i="52" s="1"/>
  <c r="E28" i="52"/>
  <c r="I28" i="52" s="1"/>
  <c r="D28" i="52"/>
  <c r="F28" i="52" s="1"/>
  <c r="E27" i="52"/>
  <c r="I27" i="52" s="1"/>
  <c r="D27" i="52"/>
  <c r="F27" i="52" s="1"/>
  <c r="E24" i="52"/>
  <c r="D24" i="52"/>
  <c r="E23" i="52"/>
  <c r="D23" i="52"/>
  <c r="E33" i="51"/>
  <c r="I33" i="51" s="1"/>
  <c r="D33" i="51"/>
  <c r="H33" i="51" s="1"/>
  <c r="E32" i="51"/>
  <c r="I32" i="51" s="1"/>
  <c r="D32" i="51"/>
  <c r="H32" i="51" s="1"/>
  <c r="E28" i="51"/>
  <c r="I28" i="51" s="1"/>
  <c r="D28" i="51"/>
  <c r="H28" i="51" s="1"/>
  <c r="E27" i="51"/>
  <c r="I27" i="51" s="1"/>
  <c r="D27" i="51"/>
  <c r="H27" i="51" s="1"/>
  <c r="E24" i="51"/>
  <c r="D24" i="51"/>
  <c r="E23" i="51"/>
  <c r="D23" i="51"/>
  <c r="E33" i="50"/>
  <c r="I33" i="50" s="1"/>
  <c r="D33" i="50"/>
  <c r="H33" i="50" s="1"/>
  <c r="E32" i="50"/>
  <c r="I32" i="50" s="1"/>
  <c r="D32" i="50"/>
  <c r="H32" i="50" s="1"/>
  <c r="E28" i="50"/>
  <c r="I28" i="50" s="1"/>
  <c r="D28" i="50"/>
  <c r="H28" i="50" s="1"/>
  <c r="E27" i="50"/>
  <c r="I27" i="50" s="1"/>
  <c r="D27" i="50"/>
  <c r="H27" i="50" s="1"/>
  <c r="E24" i="50"/>
  <c r="D24" i="50"/>
  <c r="E23" i="50"/>
  <c r="D23" i="50"/>
  <c r="E33" i="49"/>
  <c r="I33" i="49" s="1"/>
  <c r="D33" i="49"/>
  <c r="F33" i="49" s="1"/>
  <c r="E32" i="49"/>
  <c r="I32" i="49" s="1"/>
  <c r="D32" i="49"/>
  <c r="F32" i="49" s="1"/>
  <c r="E28" i="49"/>
  <c r="I28" i="49" s="1"/>
  <c r="D28" i="49"/>
  <c r="E27" i="49"/>
  <c r="I27" i="49" s="1"/>
  <c r="D27" i="49"/>
  <c r="F27" i="49" s="1"/>
  <c r="E24" i="49"/>
  <c r="D24" i="49"/>
  <c r="E23" i="49"/>
  <c r="D23" i="49"/>
  <c r="E33" i="48"/>
  <c r="I33" i="48" s="1"/>
  <c r="D33" i="48"/>
  <c r="H33" i="48" s="1"/>
  <c r="E32" i="48"/>
  <c r="G32" i="48" s="1"/>
  <c r="D32" i="48"/>
  <c r="H32" i="48" s="1"/>
  <c r="E28" i="48"/>
  <c r="I28" i="48" s="1"/>
  <c r="D28" i="48"/>
  <c r="H28" i="48" s="1"/>
  <c r="E27" i="48"/>
  <c r="G27" i="48" s="1"/>
  <c r="D27" i="48"/>
  <c r="H27" i="48" s="1"/>
  <c r="E24" i="48"/>
  <c r="D24" i="48"/>
  <c r="E23" i="48"/>
  <c r="D23" i="48"/>
  <c r="E33" i="47"/>
  <c r="I33" i="47" s="1"/>
  <c r="D33" i="47"/>
  <c r="H33" i="47" s="1"/>
  <c r="E32" i="47"/>
  <c r="I32" i="47" s="1"/>
  <c r="D32" i="47"/>
  <c r="H32" i="47" s="1"/>
  <c r="E28" i="47"/>
  <c r="I28" i="47" s="1"/>
  <c r="D28" i="47"/>
  <c r="F28" i="47" s="1"/>
  <c r="E27" i="47"/>
  <c r="I27" i="47" s="1"/>
  <c r="D27" i="47"/>
  <c r="H27" i="47" s="1"/>
  <c r="E24" i="47"/>
  <c r="D24" i="47"/>
  <c r="E23" i="47"/>
  <c r="D23" i="47"/>
  <c r="E33" i="46"/>
  <c r="I33" i="46" s="1"/>
  <c r="D33" i="46"/>
  <c r="H33" i="46" s="1"/>
  <c r="E32" i="46"/>
  <c r="I32" i="46" s="1"/>
  <c r="D32" i="46"/>
  <c r="H32" i="46" s="1"/>
  <c r="E28" i="46"/>
  <c r="I28" i="46" s="1"/>
  <c r="D28" i="46"/>
  <c r="H28" i="46" s="1"/>
  <c r="E27" i="46"/>
  <c r="I27" i="46" s="1"/>
  <c r="D27" i="46"/>
  <c r="H27" i="46" s="1"/>
  <c r="E24" i="46"/>
  <c r="D24" i="46"/>
  <c r="E23" i="46"/>
  <c r="D23" i="46"/>
  <c r="E33" i="45"/>
  <c r="I33" i="45" s="1"/>
  <c r="D33" i="45"/>
  <c r="H33" i="45" s="1"/>
  <c r="E32" i="45"/>
  <c r="I32" i="45" s="1"/>
  <c r="D32" i="45"/>
  <c r="H32" i="45" s="1"/>
  <c r="E28" i="45"/>
  <c r="I28" i="45" s="1"/>
  <c r="D28" i="45"/>
  <c r="H28" i="45" s="1"/>
  <c r="E27" i="45"/>
  <c r="I27" i="45" s="1"/>
  <c r="D27" i="45"/>
  <c r="H27" i="45" s="1"/>
  <c r="E24" i="45"/>
  <c r="D24" i="45"/>
  <c r="E23" i="45"/>
  <c r="D23" i="45"/>
  <c r="E33" i="44"/>
  <c r="I33" i="44" s="1"/>
  <c r="D33" i="44"/>
  <c r="H33" i="44" s="1"/>
  <c r="E32" i="44"/>
  <c r="I32" i="44" s="1"/>
  <c r="D32" i="44"/>
  <c r="F32" i="44" s="1"/>
  <c r="E28" i="44"/>
  <c r="G28" i="44" s="1"/>
  <c r="D28" i="44"/>
  <c r="H28" i="44" s="1"/>
  <c r="E27" i="44"/>
  <c r="G27" i="44" s="1"/>
  <c r="D27" i="44"/>
  <c r="H27" i="44" s="1"/>
  <c r="D24" i="44"/>
  <c r="E24" i="44"/>
  <c r="E23" i="44"/>
  <c r="D23" i="44"/>
  <c r="I34" i="1"/>
  <c r="I33" i="1"/>
  <c r="H34" i="1"/>
  <c r="H33" i="1"/>
  <c r="G34" i="1"/>
  <c r="G33" i="1"/>
  <c r="F34" i="1"/>
  <c r="F33" i="1"/>
  <c r="I29" i="1"/>
  <c r="I28" i="1"/>
  <c r="H29" i="1"/>
  <c r="H28" i="1"/>
  <c r="G29" i="1"/>
  <c r="G28" i="1"/>
  <c r="F29" i="1"/>
  <c r="F28" i="1"/>
  <c r="K33" i="47" l="1"/>
  <c r="K32" i="47"/>
  <c r="K32" i="51"/>
  <c r="F28" i="44"/>
  <c r="F27" i="44"/>
  <c r="K33" i="48"/>
  <c r="G32" i="44"/>
  <c r="J32" i="44" s="1"/>
  <c r="F33" i="44"/>
  <c r="G28" i="50"/>
  <c r="G33" i="50"/>
  <c r="I28" i="44"/>
  <c r="K28" i="44" s="1"/>
  <c r="K33" i="46"/>
  <c r="F32" i="50"/>
  <c r="G32" i="50"/>
  <c r="G33" i="44"/>
  <c r="J33" i="44" s="1"/>
  <c r="F28" i="50"/>
  <c r="J28" i="50" s="1"/>
  <c r="F33" i="50"/>
  <c r="K28" i="51"/>
  <c r="I27" i="44"/>
  <c r="G27" i="50"/>
  <c r="K28" i="54"/>
  <c r="K32" i="45"/>
  <c r="F27" i="50"/>
  <c r="K28" i="46"/>
  <c r="K33" i="52"/>
  <c r="K32" i="46"/>
  <c r="K32" i="52"/>
  <c r="J27" i="44"/>
  <c r="K27" i="44"/>
  <c r="K33" i="54"/>
  <c r="F33" i="54"/>
  <c r="G27" i="54"/>
  <c r="J27" i="54" s="1"/>
  <c r="G28" i="54"/>
  <c r="G32" i="54"/>
  <c r="J32" i="54" s="1"/>
  <c r="G33" i="54"/>
  <c r="F28" i="54"/>
  <c r="H27" i="54"/>
  <c r="K27" i="54" s="1"/>
  <c r="H32" i="54"/>
  <c r="K32" i="54" s="1"/>
  <c r="K27" i="53"/>
  <c r="K32" i="53"/>
  <c r="F27" i="53"/>
  <c r="F32" i="53"/>
  <c r="G28" i="53"/>
  <c r="G33" i="53"/>
  <c r="H28" i="53"/>
  <c r="K28" i="53" s="1"/>
  <c r="H33" i="53"/>
  <c r="K33" i="53" s="1"/>
  <c r="F28" i="53"/>
  <c r="F33" i="53"/>
  <c r="G27" i="53"/>
  <c r="G32" i="53"/>
  <c r="J32" i="53" s="1"/>
  <c r="F33" i="52"/>
  <c r="G27" i="52"/>
  <c r="J27" i="52" s="1"/>
  <c r="G28" i="52"/>
  <c r="J28" i="52" s="1"/>
  <c r="G32" i="52"/>
  <c r="G33" i="52"/>
  <c r="F32" i="52"/>
  <c r="H27" i="52"/>
  <c r="K27" i="52" s="1"/>
  <c r="H28" i="52"/>
  <c r="K28" i="52" s="1"/>
  <c r="K27" i="51"/>
  <c r="K33" i="51"/>
  <c r="F27" i="51"/>
  <c r="J27" i="51" s="1"/>
  <c r="F28" i="51"/>
  <c r="F32" i="51"/>
  <c r="F33" i="51"/>
  <c r="G27" i="51"/>
  <c r="G28" i="51"/>
  <c r="G32" i="51"/>
  <c r="G33" i="51"/>
  <c r="K27" i="50"/>
  <c r="K28" i="50"/>
  <c r="K32" i="50"/>
  <c r="K33" i="50"/>
  <c r="J33" i="50"/>
  <c r="F28" i="49"/>
  <c r="G27" i="49"/>
  <c r="J27" i="49" s="1"/>
  <c r="G28" i="49"/>
  <c r="G32" i="49"/>
  <c r="J32" i="49" s="1"/>
  <c r="H27" i="49"/>
  <c r="K27" i="49" s="1"/>
  <c r="H28" i="49"/>
  <c r="K28" i="49" s="1"/>
  <c r="H32" i="49"/>
  <c r="K32" i="49" s="1"/>
  <c r="H33" i="49"/>
  <c r="K33" i="49" s="1"/>
  <c r="G33" i="49"/>
  <c r="J33" i="49" s="1"/>
  <c r="K28" i="48"/>
  <c r="F33" i="48"/>
  <c r="G28" i="48"/>
  <c r="J28" i="48" s="1"/>
  <c r="G33" i="48"/>
  <c r="J33" i="48" s="1"/>
  <c r="F32" i="48"/>
  <c r="J32" i="48" s="1"/>
  <c r="I27" i="48"/>
  <c r="K27" i="48" s="1"/>
  <c r="I32" i="48"/>
  <c r="K32" i="48" s="1"/>
  <c r="F27" i="48"/>
  <c r="J27" i="48" s="1"/>
  <c r="F28" i="48"/>
  <c r="K27" i="47"/>
  <c r="F32" i="47"/>
  <c r="F33" i="47"/>
  <c r="G27" i="47"/>
  <c r="G28" i="47"/>
  <c r="J28" i="47" s="1"/>
  <c r="G32" i="47"/>
  <c r="G33" i="47"/>
  <c r="F27" i="47"/>
  <c r="H28" i="47"/>
  <c r="K28" i="47" s="1"/>
  <c r="K27" i="46"/>
  <c r="F27" i="46"/>
  <c r="F28" i="46"/>
  <c r="F32" i="46"/>
  <c r="F33" i="46"/>
  <c r="G27" i="46"/>
  <c r="G28" i="46"/>
  <c r="G32" i="46"/>
  <c r="G33" i="46"/>
  <c r="K33" i="45"/>
  <c r="K27" i="45"/>
  <c r="K28" i="45"/>
  <c r="F27" i="45"/>
  <c r="F28" i="45"/>
  <c r="F32" i="45"/>
  <c r="F33" i="45"/>
  <c r="G27" i="45"/>
  <c r="G28" i="45"/>
  <c r="G32" i="45"/>
  <c r="G33" i="45"/>
  <c r="H32" i="44"/>
  <c r="K32" i="44" s="1"/>
  <c r="J28" i="44"/>
  <c r="K33" i="44"/>
  <c r="K34" i="1"/>
  <c r="K33" i="1"/>
  <c r="J34" i="1"/>
  <c r="J33" i="1"/>
  <c r="K29" i="1"/>
  <c r="K28" i="1"/>
  <c r="J29" i="1"/>
  <c r="J28" i="1"/>
  <c r="J32" i="50" l="1"/>
  <c r="J33" i="51"/>
  <c r="G24" i="51" s="1"/>
  <c r="J27" i="50"/>
  <c r="G24" i="48"/>
  <c r="G23" i="44"/>
  <c r="J27" i="46"/>
  <c r="J32" i="51"/>
  <c r="G23" i="51" s="1"/>
  <c r="J33" i="54"/>
  <c r="G24" i="54" s="1"/>
  <c r="J33" i="47"/>
  <c r="G24" i="47" s="1"/>
  <c r="F24" i="50"/>
  <c r="J32" i="47"/>
  <c r="G23" i="47" s="1"/>
  <c r="J27" i="45"/>
  <c r="G24" i="50"/>
  <c r="J33" i="53"/>
  <c r="G24" i="53" s="1"/>
  <c r="G23" i="53"/>
  <c r="J28" i="46"/>
  <c r="F24" i="46" s="1"/>
  <c r="J28" i="49"/>
  <c r="F23" i="44"/>
  <c r="J32" i="52"/>
  <c r="G23" i="52" s="1"/>
  <c r="G23" i="54"/>
  <c r="J33" i="52"/>
  <c r="G24" i="52" s="1"/>
  <c r="J28" i="54"/>
  <c r="F24" i="54" s="1"/>
  <c r="F23" i="52"/>
  <c r="J28" i="53"/>
  <c r="F24" i="53" s="1"/>
  <c r="F24" i="47"/>
  <c r="J28" i="45"/>
  <c r="F24" i="45" s="1"/>
  <c r="J27" i="53"/>
  <c r="F23" i="53" s="1"/>
  <c r="J28" i="51"/>
  <c r="F24" i="51" s="1"/>
  <c r="J27" i="47"/>
  <c r="F23" i="47" s="1"/>
  <c r="F24" i="44"/>
  <c r="G23" i="50"/>
  <c r="F24" i="52"/>
  <c r="F24" i="48"/>
  <c r="F23" i="51"/>
  <c r="F23" i="45"/>
  <c r="F23" i="46"/>
  <c r="F23" i="50"/>
  <c r="F23" i="54"/>
  <c r="F24" i="49"/>
  <c r="G23" i="49"/>
  <c r="F23" i="49"/>
  <c r="G24" i="49"/>
  <c r="G23" i="48"/>
  <c r="F23" i="48"/>
  <c r="J33" i="46"/>
  <c r="G24" i="46" s="1"/>
  <c r="J32" i="46"/>
  <c r="G23" i="46" s="1"/>
  <c r="J33" i="45"/>
  <c r="G24" i="45" s="1"/>
  <c r="J32" i="45"/>
  <c r="G23" i="45" s="1"/>
  <c r="G24" i="44"/>
  <c r="G25" i="1"/>
  <c r="I21" i="5" s="1"/>
  <c r="G24" i="1"/>
  <c r="I20" i="5" s="1"/>
  <c r="F25" i="1"/>
  <c r="E21" i="5" s="1"/>
  <c r="F24" i="1"/>
  <c r="E20" i="5" s="1"/>
  <c r="P29" i="1" l="1"/>
  <c r="J179" i="5"/>
  <c r="J171" i="5"/>
  <c r="J172" i="5"/>
  <c r="J173" i="5"/>
  <c r="J174" i="5"/>
  <c r="J175" i="5"/>
  <c r="J176" i="5"/>
  <c r="J177" i="5"/>
  <c r="J178" i="5"/>
  <c r="J170" i="5"/>
  <c r="B169" i="5"/>
  <c r="R20" i="43"/>
  <c r="C171" i="5" s="1"/>
  <c r="R21" i="43"/>
  <c r="C172" i="5" s="1"/>
  <c r="R22" i="43"/>
  <c r="C173" i="5" s="1"/>
  <c r="R23" i="43"/>
  <c r="C174" i="5" s="1"/>
  <c r="R24" i="43"/>
  <c r="C175" i="5" s="1"/>
  <c r="R25" i="43"/>
  <c r="C176" i="5" s="1"/>
  <c r="R26" i="43"/>
  <c r="C177" i="5" s="1"/>
  <c r="R27" i="43"/>
  <c r="C178" i="5" s="1"/>
  <c r="R28" i="43"/>
  <c r="C179" i="5" s="1"/>
  <c r="R19" i="43"/>
  <c r="C170" i="5" s="1"/>
  <c r="R7" i="43"/>
  <c r="R8" i="43"/>
  <c r="R9" i="43"/>
  <c r="R10" i="43"/>
  <c r="R11" i="43"/>
  <c r="R12" i="43"/>
  <c r="R13" i="43"/>
  <c r="R14" i="43"/>
  <c r="R15" i="43"/>
  <c r="R6" i="43"/>
  <c r="T6" i="43" s="1"/>
  <c r="X56" i="54"/>
  <c r="N94" i="54" s="1"/>
  <c r="C11" i="43" s="1"/>
  <c r="W56" i="54"/>
  <c r="N93" i="54" s="1"/>
  <c r="C10" i="43" s="1"/>
  <c r="U56" i="54"/>
  <c r="N91" i="54" s="1"/>
  <c r="T56" i="54"/>
  <c r="N90" i="54" s="1"/>
  <c r="C7" i="43" s="1"/>
  <c r="X71" i="54"/>
  <c r="W71" i="54"/>
  <c r="V71" i="54"/>
  <c r="U71" i="54"/>
  <c r="T71" i="54"/>
  <c r="S71" i="54"/>
  <c r="R71" i="54"/>
  <c r="Q71" i="54"/>
  <c r="P71" i="54"/>
  <c r="O71" i="54"/>
  <c r="X70" i="54"/>
  <c r="W70" i="54"/>
  <c r="V70" i="54"/>
  <c r="U70" i="54"/>
  <c r="T70" i="54"/>
  <c r="S70" i="54"/>
  <c r="R70" i="54"/>
  <c r="Q70" i="54"/>
  <c r="P70" i="54"/>
  <c r="O70" i="54"/>
  <c r="X69" i="54"/>
  <c r="W69" i="54"/>
  <c r="V69" i="54"/>
  <c r="U69" i="54"/>
  <c r="T69" i="54"/>
  <c r="S69" i="54"/>
  <c r="R69" i="54"/>
  <c r="Q69" i="54"/>
  <c r="P69" i="54"/>
  <c r="O69" i="54"/>
  <c r="S56" i="54"/>
  <c r="N89" i="54" s="1"/>
  <c r="C6" i="43" s="1"/>
  <c r="X66" i="54"/>
  <c r="W66" i="54"/>
  <c r="V66" i="54"/>
  <c r="U66" i="54"/>
  <c r="T66" i="54"/>
  <c r="S66" i="54"/>
  <c r="R66" i="54"/>
  <c r="Q66" i="54"/>
  <c r="P66" i="54"/>
  <c r="O66" i="54"/>
  <c r="R56" i="54"/>
  <c r="N88" i="54" s="1"/>
  <c r="C5" i="43" s="1"/>
  <c r="V56" i="54"/>
  <c r="N92" i="54" s="1"/>
  <c r="C9" i="43" s="1"/>
  <c r="Q56" i="54"/>
  <c r="N87" i="54" s="1"/>
  <c r="C4" i="43" s="1"/>
  <c r="P56" i="54"/>
  <c r="N86" i="54" s="1"/>
  <c r="C3" i="43" s="1"/>
  <c r="O56" i="54"/>
  <c r="N85" i="54" s="1"/>
  <c r="C2" i="43" s="1"/>
  <c r="E19" i="54"/>
  <c r="E18" i="54"/>
  <c r="E17" i="54"/>
  <c r="E16" i="54"/>
  <c r="E11" i="54"/>
  <c r="E7" i="54"/>
  <c r="I6" i="54"/>
  <c r="P28" i="54" s="1"/>
  <c r="T28" i="54" s="1"/>
  <c r="E6" i="54"/>
  <c r="I5" i="54"/>
  <c r="E5" i="54"/>
  <c r="G3" i="54"/>
  <c r="C2" i="54"/>
  <c r="J159" i="5"/>
  <c r="J160" i="5"/>
  <c r="J161" i="5"/>
  <c r="J162" i="5"/>
  <c r="J163" i="5"/>
  <c r="J164" i="5"/>
  <c r="J165" i="5"/>
  <c r="J166" i="5"/>
  <c r="J167" i="5"/>
  <c r="J158" i="5"/>
  <c r="B157" i="5"/>
  <c r="R20" i="41"/>
  <c r="C159" i="5" s="1"/>
  <c r="R21" i="41"/>
  <c r="C160" i="5" s="1"/>
  <c r="R22" i="41"/>
  <c r="C161" i="5" s="1"/>
  <c r="R23" i="41"/>
  <c r="C162" i="5" s="1"/>
  <c r="R24" i="41"/>
  <c r="C163" i="5" s="1"/>
  <c r="R25" i="41"/>
  <c r="C164" i="5" s="1"/>
  <c r="R26" i="41"/>
  <c r="C165" i="5" s="1"/>
  <c r="R27" i="41"/>
  <c r="C166" i="5" s="1"/>
  <c r="R28" i="41"/>
  <c r="C167" i="5" s="1"/>
  <c r="R19" i="41"/>
  <c r="C158" i="5" s="1"/>
  <c r="X56" i="53"/>
  <c r="N94" i="53" s="1"/>
  <c r="C11" i="41" s="1"/>
  <c r="W56" i="53"/>
  <c r="N93" i="53" s="1"/>
  <c r="C10" i="41" s="1"/>
  <c r="U56" i="53"/>
  <c r="N91" i="53" s="1"/>
  <c r="C8" i="41" s="1"/>
  <c r="T56" i="53"/>
  <c r="N90" i="53" s="1"/>
  <c r="C7" i="41" s="1"/>
  <c r="X71" i="53"/>
  <c r="W71" i="53"/>
  <c r="V71" i="53"/>
  <c r="U71" i="53"/>
  <c r="T71" i="53"/>
  <c r="S71" i="53"/>
  <c r="R71" i="53"/>
  <c r="Q71" i="53"/>
  <c r="P71" i="53"/>
  <c r="O71" i="53"/>
  <c r="X70" i="53"/>
  <c r="W70" i="53"/>
  <c r="V70" i="53"/>
  <c r="U70" i="53"/>
  <c r="T70" i="53"/>
  <c r="S70" i="53"/>
  <c r="R70" i="53"/>
  <c r="Q70" i="53"/>
  <c r="P70" i="53"/>
  <c r="O70" i="53"/>
  <c r="X69" i="53"/>
  <c r="W69" i="53"/>
  <c r="V69" i="53"/>
  <c r="U69" i="53"/>
  <c r="T69" i="53"/>
  <c r="S69" i="53"/>
  <c r="R69" i="53"/>
  <c r="Q69" i="53"/>
  <c r="P69" i="53"/>
  <c r="O69" i="53"/>
  <c r="S56" i="53"/>
  <c r="N89" i="53" s="1"/>
  <c r="C6" i="41" s="1"/>
  <c r="X66" i="53"/>
  <c r="W66" i="53"/>
  <c r="V66" i="53"/>
  <c r="U66" i="53"/>
  <c r="T66" i="53"/>
  <c r="S66" i="53"/>
  <c r="R66" i="53"/>
  <c r="Q66" i="53"/>
  <c r="P66" i="53"/>
  <c r="O66" i="53"/>
  <c r="R56" i="53"/>
  <c r="N88" i="53" s="1"/>
  <c r="V56" i="53"/>
  <c r="N92" i="53" s="1"/>
  <c r="C9" i="41" s="1"/>
  <c r="Q56" i="53"/>
  <c r="N87" i="53" s="1"/>
  <c r="P56" i="53"/>
  <c r="N86" i="53" s="1"/>
  <c r="C3" i="41" s="1"/>
  <c r="O56" i="53"/>
  <c r="N85" i="53" s="1"/>
  <c r="C2" i="41" s="1"/>
  <c r="E19" i="53"/>
  <c r="E18" i="53"/>
  <c r="E17" i="53"/>
  <c r="E16" i="53"/>
  <c r="E11" i="53"/>
  <c r="F55" i="53" s="1"/>
  <c r="E7" i="53"/>
  <c r="I6" i="53"/>
  <c r="E6" i="53"/>
  <c r="I5" i="53"/>
  <c r="E5" i="53"/>
  <c r="G3" i="53"/>
  <c r="C2" i="53"/>
  <c r="J147" i="5"/>
  <c r="J148" i="5"/>
  <c r="J149" i="5"/>
  <c r="J150" i="5"/>
  <c r="J151" i="5"/>
  <c r="J152" i="5"/>
  <c r="J153" i="5"/>
  <c r="J154" i="5"/>
  <c r="J155" i="5"/>
  <c r="J146" i="5"/>
  <c r="B145" i="5"/>
  <c r="R20" i="39"/>
  <c r="R21" i="39"/>
  <c r="R22" i="39"/>
  <c r="R23" i="39"/>
  <c r="R24" i="39"/>
  <c r="R25" i="39"/>
  <c r="R26" i="39"/>
  <c r="R27" i="39"/>
  <c r="R28" i="39"/>
  <c r="R19" i="39"/>
  <c r="X56" i="52"/>
  <c r="N94" i="52" s="1"/>
  <c r="C11" i="39" s="1"/>
  <c r="W56" i="52"/>
  <c r="N93" i="52" s="1"/>
  <c r="C10" i="39" s="1"/>
  <c r="V56" i="52"/>
  <c r="N92" i="52" s="1"/>
  <c r="C9" i="39" s="1"/>
  <c r="T56" i="52"/>
  <c r="N90" i="52" s="1"/>
  <c r="C7" i="39" s="1"/>
  <c r="X71" i="52"/>
  <c r="W71" i="52"/>
  <c r="V71" i="52"/>
  <c r="U71" i="52"/>
  <c r="T71" i="52"/>
  <c r="S71" i="52"/>
  <c r="R71" i="52"/>
  <c r="Q71" i="52"/>
  <c r="P71" i="52"/>
  <c r="O71" i="52"/>
  <c r="X70" i="52"/>
  <c r="W70" i="52"/>
  <c r="V70" i="52"/>
  <c r="U70" i="52"/>
  <c r="T70" i="52"/>
  <c r="S70" i="52"/>
  <c r="R70" i="52"/>
  <c r="Q70" i="52"/>
  <c r="P70" i="52"/>
  <c r="O70" i="52"/>
  <c r="X69" i="52"/>
  <c r="W69" i="52"/>
  <c r="V69" i="52"/>
  <c r="U69" i="52"/>
  <c r="T69" i="52"/>
  <c r="S69" i="52"/>
  <c r="R69" i="52"/>
  <c r="Q69" i="52"/>
  <c r="P69" i="52"/>
  <c r="O69" i="52"/>
  <c r="S56" i="52"/>
  <c r="N89" i="52" s="1"/>
  <c r="C6" i="39" s="1"/>
  <c r="X66" i="52"/>
  <c r="W66" i="52"/>
  <c r="V66" i="52"/>
  <c r="U66" i="52"/>
  <c r="T66" i="52"/>
  <c r="S66" i="52"/>
  <c r="R66" i="52"/>
  <c r="Q66" i="52"/>
  <c r="P66" i="52"/>
  <c r="O66" i="52"/>
  <c r="R56" i="52"/>
  <c r="N88" i="52" s="1"/>
  <c r="C5" i="39" s="1"/>
  <c r="U56" i="52"/>
  <c r="N91" i="52" s="1"/>
  <c r="C8" i="39" s="1"/>
  <c r="Q56" i="52"/>
  <c r="N87" i="52" s="1"/>
  <c r="C4" i="39" s="1"/>
  <c r="P56" i="52"/>
  <c r="N86" i="52" s="1"/>
  <c r="C3" i="39" s="1"/>
  <c r="J3" i="39" s="1"/>
  <c r="O56" i="52"/>
  <c r="N85" i="52" s="1"/>
  <c r="C2" i="39" s="1"/>
  <c r="E19" i="52"/>
  <c r="E18" i="52"/>
  <c r="E17" i="52"/>
  <c r="E16" i="52"/>
  <c r="E11" i="52"/>
  <c r="E7" i="52"/>
  <c r="I6" i="52"/>
  <c r="P28" i="52" s="1"/>
  <c r="T28" i="52" s="1"/>
  <c r="E6" i="52"/>
  <c r="I5" i="52"/>
  <c r="E5" i="52"/>
  <c r="G3" i="52"/>
  <c r="C2" i="52"/>
  <c r="J132" i="5"/>
  <c r="J133" i="5"/>
  <c r="J134" i="5"/>
  <c r="J135" i="5"/>
  <c r="J136" i="5"/>
  <c r="J137" i="5"/>
  <c r="J138" i="5"/>
  <c r="J139" i="5"/>
  <c r="J140" i="5"/>
  <c r="J131" i="5"/>
  <c r="B130" i="5"/>
  <c r="X71" i="51"/>
  <c r="W71" i="51"/>
  <c r="V71" i="51"/>
  <c r="U71" i="51"/>
  <c r="T71" i="51"/>
  <c r="S71" i="51"/>
  <c r="R71" i="51"/>
  <c r="Q71" i="51"/>
  <c r="P71" i="51"/>
  <c r="O71" i="51"/>
  <c r="X70" i="51"/>
  <c r="W70" i="51"/>
  <c r="V70" i="51"/>
  <c r="U70" i="51"/>
  <c r="T70" i="51"/>
  <c r="S70" i="51"/>
  <c r="R70" i="51"/>
  <c r="Q70" i="51"/>
  <c r="P70" i="51"/>
  <c r="O70" i="51"/>
  <c r="X69" i="51"/>
  <c r="W69" i="51"/>
  <c r="V69" i="51"/>
  <c r="U69" i="51"/>
  <c r="T69" i="51"/>
  <c r="S69" i="51"/>
  <c r="R69" i="51"/>
  <c r="Q69" i="51"/>
  <c r="P69" i="51"/>
  <c r="O69" i="51"/>
  <c r="S56" i="51"/>
  <c r="N89" i="51" s="1"/>
  <c r="C6" i="37" s="1"/>
  <c r="X66" i="51"/>
  <c r="W66" i="51"/>
  <c r="V66" i="51"/>
  <c r="U66" i="51"/>
  <c r="T66" i="51"/>
  <c r="S66" i="51"/>
  <c r="R66" i="51"/>
  <c r="Q66" i="51"/>
  <c r="P66" i="51"/>
  <c r="O66" i="51"/>
  <c r="X56" i="51"/>
  <c r="N94" i="51" s="1"/>
  <c r="C11" i="37" s="1"/>
  <c r="W56" i="51"/>
  <c r="N93" i="51" s="1"/>
  <c r="C10" i="37" s="1"/>
  <c r="E10" i="37" s="1"/>
  <c r="V56" i="51"/>
  <c r="N92" i="51" s="1"/>
  <c r="C9" i="37" s="1"/>
  <c r="U56" i="51"/>
  <c r="N91" i="51" s="1"/>
  <c r="C8" i="37" s="1"/>
  <c r="T56" i="51"/>
  <c r="N90" i="51" s="1"/>
  <c r="C7" i="37" s="1"/>
  <c r="R56" i="51"/>
  <c r="N88" i="51" s="1"/>
  <c r="C5" i="37" s="1"/>
  <c r="Q56" i="51"/>
  <c r="N87" i="51" s="1"/>
  <c r="C4" i="37" s="1"/>
  <c r="P56" i="51"/>
  <c r="N86" i="51" s="1"/>
  <c r="C3" i="37" s="1"/>
  <c r="O56" i="51"/>
  <c r="N85" i="51" s="1"/>
  <c r="C2" i="37" s="1"/>
  <c r="E19" i="51"/>
  <c r="E18" i="51"/>
  <c r="E17" i="51"/>
  <c r="E16" i="51"/>
  <c r="E11" i="51"/>
  <c r="E7" i="51"/>
  <c r="I6" i="51"/>
  <c r="P28" i="51" s="1"/>
  <c r="T28" i="51" s="1"/>
  <c r="E6" i="51"/>
  <c r="I5" i="51"/>
  <c r="E5" i="51"/>
  <c r="G3" i="51"/>
  <c r="C2" i="51"/>
  <c r="J118" i="5"/>
  <c r="J119" i="5"/>
  <c r="J120" i="5"/>
  <c r="J121" i="5"/>
  <c r="J122" i="5"/>
  <c r="J123" i="5"/>
  <c r="J124" i="5"/>
  <c r="J125" i="5"/>
  <c r="J126" i="5"/>
  <c r="J117" i="5"/>
  <c r="B116" i="5"/>
  <c r="V56" i="50"/>
  <c r="N92" i="50" s="1"/>
  <c r="C9" i="35" s="1"/>
  <c r="X71" i="50"/>
  <c r="W71" i="50"/>
  <c r="V71" i="50"/>
  <c r="U71" i="50"/>
  <c r="T71" i="50"/>
  <c r="S71" i="50"/>
  <c r="R71" i="50"/>
  <c r="Q71" i="50"/>
  <c r="P71" i="50"/>
  <c r="O71" i="50"/>
  <c r="X70" i="50"/>
  <c r="W70" i="50"/>
  <c r="V70" i="50"/>
  <c r="U70" i="50"/>
  <c r="T70" i="50"/>
  <c r="S70" i="50"/>
  <c r="R70" i="50"/>
  <c r="Q70" i="50"/>
  <c r="P70" i="50"/>
  <c r="O70" i="50"/>
  <c r="X69" i="50"/>
  <c r="W69" i="50"/>
  <c r="V69" i="50"/>
  <c r="U69" i="50"/>
  <c r="T69" i="50"/>
  <c r="S69" i="50"/>
  <c r="R69" i="50"/>
  <c r="Q69" i="50"/>
  <c r="P69" i="50"/>
  <c r="O69" i="50"/>
  <c r="S56" i="50"/>
  <c r="N89" i="50" s="1"/>
  <c r="C6" i="35" s="1"/>
  <c r="X66" i="50"/>
  <c r="W66" i="50"/>
  <c r="V66" i="50"/>
  <c r="U66" i="50"/>
  <c r="T66" i="50"/>
  <c r="S66" i="50"/>
  <c r="R66" i="50"/>
  <c r="Q66" i="50"/>
  <c r="P66" i="50"/>
  <c r="O66" i="50"/>
  <c r="R56" i="50"/>
  <c r="N88" i="50" s="1"/>
  <c r="C5" i="35" s="1"/>
  <c r="X56" i="50"/>
  <c r="N94" i="50" s="1"/>
  <c r="W56" i="50"/>
  <c r="N93" i="50" s="1"/>
  <c r="U56" i="50"/>
  <c r="N91" i="50" s="1"/>
  <c r="C8" i="35" s="1"/>
  <c r="T56" i="50"/>
  <c r="N90" i="50" s="1"/>
  <c r="C7" i="35" s="1"/>
  <c r="Q56" i="50"/>
  <c r="N87" i="50" s="1"/>
  <c r="C4" i="35" s="1"/>
  <c r="P56" i="50"/>
  <c r="N86" i="50" s="1"/>
  <c r="C3" i="35" s="1"/>
  <c r="O56" i="50"/>
  <c r="N85" i="50" s="1"/>
  <c r="C2" i="35" s="1"/>
  <c r="E19" i="50"/>
  <c r="E18" i="50"/>
  <c r="E17" i="50"/>
  <c r="E16" i="50"/>
  <c r="E11" i="50"/>
  <c r="E7" i="50"/>
  <c r="I6" i="50"/>
  <c r="P28" i="50" s="1"/>
  <c r="T28" i="50" s="1"/>
  <c r="E6" i="50"/>
  <c r="I5" i="50"/>
  <c r="E5" i="50"/>
  <c r="G3" i="50"/>
  <c r="C2" i="50"/>
  <c r="J106" i="5"/>
  <c r="J107" i="5"/>
  <c r="J108" i="5"/>
  <c r="J109" i="5"/>
  <c r="J110" i="5"/>
  <c r="J111" i="5"/>
  <c r="J112" i="5"/>
  <c r="J113" i="5"/>
  <c r="J114" i="5"/>
  <c r="J105" i="5"/>
  <c r="B104" i="5"/>
  <c r="V56" i="49"/>
  <c r="N92" i="49" s="1"/>
  <c r="C9" i="33" s="1"/>
  <c r="T56" i="49"/>
  <c r="N90" i="49" s="1"/>
  <c r="C7" i="33" s="1"/>
  <c r="X71" i="49"/>
  <c r="W71" i="49"/>
  <c r="V71" i="49"/>
  <c r="U71" i="49"/>
  <c r="T71" i="49"/>
  <c r="S71" i="49"/>
  <c r="R71" i="49"/>
  <c r="Q71" i="49"/>
  <c r="P71" i="49"/>
  <c r="O71" i="49"/>
  <c r="X70" i="49"/>
  <c r="W70" i="49"/>
  <c r="V70" i="49"/>
  <c r="U70" i="49"/>
  <c r="T70" i="49"/>
  <c r="S70" i="49"/>
  <c r="R70" i="49"/>
  <c r="Q70" i="49"/>
  <c r="P70" i="49"/>
  <c r="O70" i="49"/>
  <c r="X69" i="49"/>
  <c r="W69" i="49"/>
  <c r="V69" i="49"/>
  <c r="U69" i="49"/>
  <c r="T69" i="49"/>
  <c r="S69" i="49"/>
  <c r="R69" i="49"/>
  <c r="Q69" i="49"/>
  <c r="P69" i="49"/>
  <c r="O69" i="49"/>
  <c r="S56" i="49"/>
  <c r="N89" i="49" s="1"/>
  <c r="C6" i="33" s="1"/>
  <c r="X66" i="49"/>
  <c r="W66" i="49"/>
  <c r="V66" i="49"/>
  <c r="U66" i="49"/>
  <c r="T66" i="49"/>
  <c r="S66" i="49"/>
  <c r="R66" i="49"/>
  <c r="Q66" i="49"/>
  <c r="P66" i="49"/>
  <c r="O66" i="49"/>
  <c r="R56" i="49"/>
  <c r="N88" i="49" s="1"/>
  <c r="C5" i="33" s="1"/>
  <c r="X56" i="49"/>
  <c r="N94" i="49" s="1"/>
  <c r="W56" i="49"/>
  <c r="N93" i="49" s="1"/>
  <c r="U56" i="49"/>
  <c r="N91" i="49" s="1"/>
  <c r="C8" i="33" s="1"/>
  <c r="Q56" i="49"/>
  <c r="N87" i="49" s="1"/>
  <c r="C4" i="33" s="1"/>
  <c r="P56" i="49"/>
  <c r="N86" i="49" s="1"/>
  <c r="C3" i="33" s="1"/>
  <c r="O56" i="49"/>
  <c r="N85" i="49" s="1"/>
  <c r="C2" i="33" s="1"/>
  <c r="E19" i="49"/>
  <c r="E18" i="49"/>
  <c r="E17" i="49"/>
  <c r="E16" i="49"/>
  <c r="E11" i="49"/>
  <c r="E7" i="49"/>
  <c r="I6" i="49"/>
  <c r="P28" i="49" s="1"/>
  <c r="T28" i="49" s="1"/>
  <c r="E6" i="49"/>
  <c r="I5" i="49"/>
  <c r="E5" i="49"/>
  <c r="G3" i="49"/>
  <c r="C2" i="49"/>
  <c r="J94" i="5"/>
  <c r="J95" i="5"/>
  <c r="J96" i="5"/>
  <c r="J97" i="5"/>
  <c r="J98" i="5"/>
  <c r="J99" i="5"/>
  <c r="J100" i="5"/>
  <c r="J101" i="5"/>
  <c r="J102" i="5"/>
  <c r="J93" i="5"/>
  <c r="P50" i="18"/>
  <c r="P49" i="18"/>
  <c r="P48" i="18"/>
  <c r="P47" i="18"/>
  <c r="P46" i="18"/>
  <c r="P45" i="18"/>
  <c r="P44" i="18"/>
  <c r="P43" i="18"/>
  <c r="F102" i="1" s="1"/>
  <c r="G102" i="1" s="1"/>
  <c r="P42" i="18"/>
  <c r="P41" i="18"/>
  <c r="P40" i="18"/>
  <c r="O32" i="18"/>
  <c r="O31" i="18"/>
  <c r="O30" i="18"/>
  <c r="O29" i="18"/>
  <c r="O28" i="18"/>
  <c r="C28" i="18"/>
  <c r="E28" i="18" s="1"/>
  <c r="B28" i="18"/>
  <c r="O27" i="18"/>
  <c r="C27" i="18"/>
  <c r="J27" i="18" s="1"/>
  <c r="B27" i="18"/>
  <c r="O26" i="18"/>
  <c r="C26" i="18"/>
  <c r="D26" i="18" s="1"/>
  <c r="B26" i="18"/>
  <c r="O25" i="18"/>
  <c r="C25" i="18"/>
  <c r="I25" i="18" s="1"/>
  <c r="B25" i="18"/>
  <c r="O24" i="18"/>
  <c r="D24" i="18"/>
  <c r="C24" i="18"/>
  <c r="I24" i="18" s="1"/>
  <c r="B24" i="18"/>
  <c r="O23" i="18"/>
  <c r="C23" i="18"/>
  <c r="J23" i="18" s="1"/>
  <c r="B23" i="18"/>
  <c r="O22" i="18"/>
  <c r="C22" i="18"/>
  <c r="K22" i="18" s="1"/>
  <c r="B22" i="18"/>
  <c r="O21" i="18"/>
  <c r="L21" i="18"/>
  <c r="C21" i="18"/>
  <c r="G21" i="18" s="1"/>
  <c r="B21" i="18"/>
  <c r="O20" i="18"/>
  <c r="C20" i="18"/>
  <c r="K20" i="18" s="1"/>
  <c r="B20" i="18"/>
  <c r="O19" i="18"/>
  <c r="C19" i="18"/>
  <c r="K19" i="18" s="1"/>
  <c r="B19" i="18"/>
  <c r="O18" i="18"/>
  <c r="C18" i="18"/>
  <c r="L18" i="18" s="1"/>
  <c r="B18" i="18"/>
  <c r="O17" i="18"/>
  <c r="C17" i="18"/>
  <c r="L17" i="18" s="1"/>
  <c r="B17" i="18"/>
  <c r="O16" i="18"/>
  <c r="C16" i="18"/>
  <c r="G16" i="18" s="1"/>
  <c r="B16" i="18"/>
  <c r="O15" i="18"/>
  <c r="C15" i="18"/>
  <c r="F15" i="18" s="1"/>
  <c r="B15" i="18"/>
  <c r="O14" i="18"/>
  <c r="C14" i="18"/>
  <c r="D14" i="18" s="1"/>
  <c r="B14" i="18"/>
  <c r="O13" i="18"/>
  <c r="C13" i="18"/>
  <c r="H13" i="18" s="1"/>
  <c r="B13" i="18"/>
  <c r="O12" i="18"/>
  <c r="C12" i="18"/>
  <c r="K12" i="18" s="1"/>
  <c r="B12" i="18"/>
  <c r="O11" i="18"/>
  <c r="C11" i="18"/>
  <c r="J11" i="18" s="1"/>
  <c r="B11" i="18"/>
  <c r="O10" i="18"/>
  <c r="C10" i="18"/>
  <c r="D10" i="18" s="1"/>
  <c r="B10" i="18"/>
  <c r="O9" i="18"/>
  <c r="C9" i="18"/>
  <c r="L9" i="18" s="1"/>
  <c r="B9" i="18"/>
  <c r="O8" i="18"/>
  <c r="C8" i="18"/>
  <c r="G8" i="18" s="1"/>
  <c r="B8" i="18"/>
  <c r="O7" i="18"/>
  <c r="C7" i="18"/>
  <c r="G7" i="18" s="1"/>
  <c r="B7" i="18"/>
  <c r="O6" i="18"/>
  <c r="C6" i="18"/>
  <c r="L6" i="18" s="1"/>
  <c r="B6" i="18"/>
  <c r="C5" i="18"/>
  <c r="K5" i="18" s="1"/>
  <c r="B5" i="18"/>
  <c r="P4" i="18"/>
  <c r="O4" i="18"/>
  <c r="C4" i="18"/>
  <c r="I4" i="18" s="1"/>
  <c r="B4" i="18"/>
  <c r="C3" i="18"/>
  <c r="K3" i="18" s="1"/>
  <c r="B3" i="18"/>
  <c r="C2" i="18"/>
  <c r="L2" i="18" s="1"/>
  <c r="B2" i="18"/>
  <c r="S48" i="43"/>
  <c r="S47" i="43"/>
  <c r="S46" i="43"/>
  <c r="S45" i="43"/>
  <c r="S44" i="43"/>
  <c r="S43" i="43"/>
  <c r="S42" i="43"/>
  <c r="V41" i="43"/>
  <c r="S41" i="43"/>
  <c r="V40" i="43"/>
  <c r="T13" i="43" s="1"/>
  <c r="S40" i="43"/>
  <c r="V39" i="43"/>
  <c r="S39" i="43"/>
  <c r="V38" i="43"/>
  <c r="T11" i="43" s="1"/>
  <c r="S38" i="43"/>
  <c r="T10" i="43"/>
  <c r="T4" i="43"/>
  <c r="R4" i="43"/>
  <c r="S48" i="41"/>
  <c r="S47" i="41"/>
  <c r="S46" i="41"/>
  <c r="S45" i="41"/>
  <c r="S44" i="41"/>
  <c r="S43" i="41"/>
  <c r="S42" i="41"/>
  <c r="V41" i="41"/>
  <c r="S41" i="41"/>
  <c r="V40" i="41"/>
  <c r="S40" i="41"/>
  <c r="V39" i="41"/>
  <c r="S39" i="41"/>
  <c r="T20" i="41" s="1"/>
  <c r="G159" i="5" s="1"/>
  <c r="V38" i="41"/>
  <c r="S38" i="41"/>
  <c r="T24" i="41" s="1"/>
  <c r="G163" i="5" s="1"/>
  <c r="T22" i="41"/>
  <c r="G161" i="5" s="1"/>
  <c r="T4" i="41"/>
  <c r="R4" i="41"/>
  <c r="S48" i="39"/>
  <c r="S47" i="39"/>
  <c r="S46" i="39"/>
  <c r="S45" i="39"/>
  <c r="S44" i="39"/>
  <c r="S43" i="39"/>
  <c r="S42" i="39"/>
  <c r="V41" i="39"/>
  <c r="S41" i="39"/>
  <c r="V40" i="39"/>
  <c r="S40" i="39"/>
  <c r="V39" i="39"/>
  <c r="S39" i="39"/>
  <c r="V38" i="39"/>
  <c r="S38" i="39"/>
  <c r="T4" i="39"/>
  <c r="R4" i="39"/>
  <c r="V41" i="37"/>
  <c r="S41" i="37"/>
  <c r="V40" i="37"/>
  <c r="S40" i="37"/>
  <c r="V39" i="37"/>
  <c r="S39" i="37"/>
  <c r="V38" i="37"/>
  <c r="S38" i="37"/>
  <c r="T4" i="37"/>
  <c r="R4" i="37"/>
  <c r="V41" i="35"/>
  <c r="S41" i="35"/>
  <c r="V40" i="35"/>
  <c r="S40" i="35"/>
  <c r="V39" i="35"/>
  <c r="S39" i="35"/>
  <c r="V38" i="35"/>
  <c r="S38" i="35"/>
  <c r="T24" i="35" s="1"/>
  <c r="G122" i="5" s="1"/>
  <c r="T4" i="35"/>
  <c r="R4" i="35"/>
  <c r="V41" i="33"/>
  <c r="S41" i="33"/>
  <c r="V40" i="33"/>
  <c r="S40" i="33"/>
  <c r="V39" i="33"/>
  <c r="S39" i="33"/>
  <c r="V38" i="33"/>
  <c r="S38" i="33"/>
  <c r="T4" i="33"/>
  <c r="R4" i="33"/>
  <c r="V41" i="31"/>
  <c r="S41" i="31"/>
  <c r="V40" i="31"/>
  <c r="S40" i="31"/>
  <c r="V39" i="31"/>
  <c r="S39" i="31"/>
  <c r="V38" i="31"/>
  <c r="S38" i="31"/>
  <c r="T21" i="31" s="1"/>
  <c r="G95" i="5" s="1"/>
  <c r="T19" i="31"/>
  <c r="G93" i="5" s="1"/>
  <c r="T4" i="31"/>
  <c r="R4" i="31"/>
  <c r="V56" i="48"/>
  <c r="N92" i="48" s="1"/>
  <c r="C9" i="31" s="1"/>
  <c r="U56" i="48"/>
  <c r="N91" i="48" s="1"/>
  <c r="C8" i="31" s="1"/>
  <c r="T56" i="48"/>
  <c r="N90" i="48" s="1"/>
  <c r="C7" i="31" s="1"/>
  <c r="X71" i="48"/>
  <c r="W71" i="48"/>
  <c r="V71" i="48"/>
  <c r="U71" i="48"/>
  <c r="T71" i="48"/>
  <c r="S71" i="48"/>
  <c r="R71" i="48"/>
  <c r="Q71" i="48"/>
  <c r="P71" i="48"/>
  <c r="O71" i="48"/>
  <c r="X70" i="48"/>
  <c r="W70" i="48"/>
  <c r="V70" i="48"/>
  <c r="U70" i="48"/>
  <c r="T70" i="48"/>
  <c r="S70" i="48"/>
  <c r="R70" i="48"/>
  <c r="Q70" i="48"/>
  <c r="P70" i="48"/>
  <c r="O70" i="48"/>
  <c r="X69" i="48"/>
  <c r="W69" i="48"/>
  <c r="V69" i="48"/>
  <c r="U69" i="48"/>
  <c r="T69" i="48"/>
  <c r="S69" i="48"/>
  <c r="R69" i="48"/>
  <c r="Q69" i="48"/>
  <c r="P69" i="48"/>
  <c r="O69" i="48"/>
  <c r="S56" i="48"/>
  <c r="N89" i="48" s="1"/>
  <c r="C6" i="31" s="1"/>
  <c r="X66" i="48"/>
  <c r="W66" i="48"/>
  <c r="V66" i="48"/>
  <c r="U66" i="48"/>
  <c r="T66" i="48"/>
  <c r="S66" i="48"/>
  <c r="R66" i="48"/>
  <c r="Q66" i="48"/>
  <c r="P66" i="48"/>
  <c r="O66" i="48"/>
  <c r="R56" i="48"/>
  <c r="N88" i="48" s="1"/>
  <c r="C5" i="31" s="1"/>
  <c r="X56" i="48"/>
  <c r="N94" i="48" s="1"/>
  <c r="W56" i="48"/>
  <c r="N93" i="48" s="1"/>
  <c r="Q56" i="48"/>
  <c r="N87" i="48" s="1"/>
  <c r="C4" i="31" s="1"/>
  <c r="P56" i="48"/>
  <c r="N86" i="48" s="1"/>
  <c r="C3" i="31" s="1"/>
  <c r="O56" i="48"/>
  <c r="N85" i="48" s="1"/>
  <c r="C2" i="31" s="1"/>
  <c r="E19" i="48"/>
  <c r="E18" i="48"/>
  <c r="E17" i="48"/>
  <c r="E16" i="48"/>
  <c r="E11" i="48"/>
  <c r="E7" i="48"/>
  <c r="I6" i="48"/>
  <c r="P28" i="48" s="1"/>
  <c r="T28" i="48" s="1"/>
  <c r="U62" i="48" s="1"/>
  <c r="E6" i="48"/>
  <c r="I5" i="48"/>
  <c r="E5" i="48"/>
  <c r="G3" i="48"/>
  <c r="C2" i="48"/>
  <c r="V41" i="29"/>
  <c r="S41" i="29"/>
  <c r="V40" i="29"/>
  <c r="S40" i="29"/>
  <c r="V39" i="29"/>
  <c r="S39" i="29"/>
  <c r="V38" i="29"/>
  <c r="S38" i="29"/>
  <c r="T28" i="29" s="1"/>
  <c r="G87" i="5" s="1"/>
  <c r="T4" i="29"/>
  <c r="R4" i="29"/>
  <c r="V56" i="47"/>
  <c r="N92" i="47" s="1"/>
  <c r="C9" i="29" s="1"/>
  <c r="X71" i="47"/>
  <c r="W71" i="47"/>
  <c r="V71" i="47"/>
  <c r="U71" i="47"/>
  <c r="T71" i="47"/>
  <c r="S71" i="47"/>
  <c r="R71" i="47"/>
  <c r="Q71" i="47"/>
  <c r="P71" i="47"/>
  <c r="O71" i="47"/>
  <c r="X70" i="47"/>
  <c r="W70" i="47"/>
  <c r="V70" i="47"/>
  <c r="U70" i="47"/>
  <c r="T70" i="47"/>
  <c r="S70" i="47"/>
  <c r="R70" i="47"/>
  <c r="Q70" i="47"/>
  <c r="P70" i="47"/>
  <c r="O70" i="47"/>
  <c r="X69" i="47"/>
  <c r="W69" i="47"/>
  <c r="V69" i="47"/>
  <c r="U69" i="47"/>
  <c r="T69" i="47"/>
  <c r="S69" i="47"/>
  <c r="R69" i="47"/>
  <c r="Q69" i="47"/>
  <c r="P69" i="47"/>
  <c r="O69" i="47"/>
  <c r="S56" i="47"/>
  <c r="N89" i="47" s="1"/>
  <c r="C6" i="29" s="1"/>
  <c r="X66" i="47"/>
  <c r="W66" i="47"/>
  <c r="V66" i="47"/>
  <c r="U66" i="47"/>
  <c r="T66" i="47"/>
  <c r="S66" i="47"/>
  <c r="R66" i="47"/>
  <c r="Q66" i="47"/>
  <c r="P66" i="47"/>
  <c r="O66" i="47"/>
  <c r="R56" i="47"/>
  <c r="N88" i="47" s="1"/>
  <c r="C5" i="29" s="1"/>
  <c r="X56" i="47"/>
  <c r="N94" i="47" s="1"/>
  <c r="W56" i="47"/>
  <c r="N93" i="47" s="1"/>
  <c r="U56" i="47"/>
  <c r="N91" i="47" s="1"/>
  <c r="C8" i="29" s="1"/>
  <c r="T56" i="47"/>
  <c r="N90" i="47" s="1"/>
  <c r="C7" i="29" s="1"/>
  <c r="Q56" i="47"/>
  <c r="N87" i="47" s="1"/>
  <c r="C4" i="29" s="1"/>
  <c r="P56" i="47"/>
  <c r="N86" i="47" s="1"/>
  <c r="C3" i="29" s="1"/>
  <c r="O56" i="47"/>
  <c r="N85" i="47" s="1"/>
  <c r="C2" i="29" s="1"/>
  <c r="E19" i="47"/>
  <c r="E18" i="47"/>
  <c r="E17" i="47"/>
  <c r="E16" i="47"/>
  <c r="E11" i="47"/>
  <c r="E7" i="47"/>
  <c r="I6" i="47"/>
  <c r="P28" i="47" s="1"/>
  <c r="T28" i="47" s="1"/>
  <c r="R62" i="47" s="1"/>
  <c r="E6" i="47"/>
  <c r="I5" i="47"/>
  <c r="E5" i="47"/>
  <c r="G3" i="47"/>
  <c r="C2" i="47"/>
  <c r="O51" i="47" s="1"/>
  <c r="S51" i="47" s="1"/>
  <c r="V41" i="27"/>
  <c r="S41" i="27"/>
  <c r="V40" i="27"/>
  <c r="S40" i="27"/>
  <c r="V39" i="27"/>
  <c r="S39" i="27"/>
  <c r="V38" i="27"/>
  <c r="S38" i="27"/>
  <c r="T21" i="27"/>
  <c r="G68" i="5" s="1"/>
  <c r="T4" i="27"/>
  <c r="R4" i="27"/>
  <c r="T56" i="46"/>
  <c r="N90" i="46" s="1"/>
  <c r="X71" i="46"/>
  <c r="X70" i="46"/>
  <c r="X69" i="46"/>
  <c r="X66" i="46"/>
  <c r="R56" i="46"/>
  <c r="N88" i="46" s="1"/>
  <c r="X56" i="46"/>
  <c r="N94" i="46" s="1"/>
  <c r="W56" i="46"/>
  <c r="N93" i="46" s="1"/>
  <c r="V56" i="46"/>
  <c r="N92" i="46" s="1"/>
  <c r="U56" i="46"/>
  <c r="N91" i="46" s="1"/>
  <c r="C8" i="27" s="1"/>
  <c r="S56" i="46"/>
  <c r="N89" i="46" s="1"/>
  <c r="Q56" i="46"/>
  <c r="N87" i="46" s="1"/>
  <c r="P56" i="46"/>
  <c r="N86" i="46" s="1"/>
  <c r="O56" i="46"/>
  <c r="N85" i="46" s="1"/>
  <c r="E19" i="46"/>
  <c r="E18" i="46"/>
  <c r="E17" i="46"/>
  <c r="E16" i="46"/>
  <c r="E11" i="46"/>
  <c r="E7" i="46"/>
  <c r="I6" i="46"/>
  <c r="P28" i="46" s="1"/>
  <c r="T28" i="46" s="1"/>
  <c r="E6" i="46"/>
  <c r="I5" i="46"/>
  <c r="E5" i="46"/>
  <c r="G3" i="46"/>
  <c r="C2" i="46"/>
  <c r="S84" i="46" s="1"/>
  <c r="V41" i="25"/>
  <c r="S41" i="25"/>
  <c r="V40" i="25"/>
  <c r="S40" i="25"/>
  <c r="V39" i="25"/>
  <c r="S39" i="25"/>
  <c r="V38" i="25"/>
  <c r="S38" i="25"/>
  <c r="T4" i="25"/>
  <c r="R4" i="25"/>
  <c r="X71" i="45"/>
  <c r="W71" i="45"/>
  <c r="V71" i="45"/>
  <c r="U71" i="45"/>
  <c r="T71" i="45"/>
  <c r="S71" i="45"/>
  <c r="R71" i="45"/>
  <c r="Q71" i="45"/>
  <c r="P71" i="45"/>
  <c r="O71" i="45"/>
  <c r="X70" i="45"/>
  <c r="W70" i="45"/>
  <c r="V70" i="45"/>
  <c r="U70" i="45"/>
  <c r="T70" i="45"/>
  <c r="S70" i="45"/>
  <c r="R70" i="45"/>
  <c r="Q70" i="45"/>
  <c r="P70" i="45"/>
  <c r="O70" i="45"/>
  <c r="X69" i="45"/>
  <c r="W69" i="45"/>
  <c r="V69" i="45"/>
  <c r="U69" i="45"/>
  <c r="T69" i="45"/>
  <c r="S69" i="45"/>
  <c r="R69" i="45"/>
  <c r="Q69" i="45"/>
  <c r="P69" i="45"/>
  <c r="O69" i="45"/>
  <c r="S56" i="45"/>
  <c r="N89" i="45" s="1"/>
  <c r="C6" i="25" s="1"/>
  <c r="X66" i="45"/>
  <c r="W66" i="45"/>
  <c r="V66" i="45"/>
  <c r="U66" i="45"/>
  <c r="T66" i="45"/>
  <c r="S66" i="45"/>
  <c r="R66" i="45"/>
  <c r="Q66" i="45"/>
  <c r="P66" i="45"/>
  <c r="O66" i="45"/>
  <c r="R56" i="45"/>
  <c r="N88" i="45" s="1"/>
  <c r="C5" i="25" s="1"/>
  <c r="X56" i="45"/>
  <c r="N94" i="45" s="1"/>
  <c r="W56" i="45"/>
  <c r="N93" i="45" s="1"/>
  <c r="V56" i="45"/>
  <c r="N92" i="45" s="1"/>
  <c r="C9" i="25" s="1"/>
  <c r="U56" i="45"/>
  <c r="N91" i="45" s="1"/>
  <c r="C8" i="25" s="1"/>
  <c r="T56" i="45"/>
  <c r="N90" i="45" s="1"/>
  <c r="C7" i="25" s="1"/>
  <c r="Q56" i="45"/>
  <c r="N87" i="45" s="1"/>
  <c r="C4" i="25" s="1"/>
  <c r="P56" i="45"/>
  <c r="N86" i="45" s="1"/>
  <c r="C3" i="25" s="1"/>
  <c r="O56" i="45"/>
  <c r="N85" i="45" s="1"/>
  <c r="C2" i="25" s="1"/>
  <c r="E19" i="45"/>
  <c r="E18" i="45"/>
  <c r="E17" i="45"/>
  <c r="E16" i="45"/>
  <c r="E11" i="45"/>
  <c r="E7" i="45"/>
  <c r="I6" i="45"/>
  <c r="P28" i="45" s="1"/>
  <c r="T28" i="45" s="1"/>
  <c r="Q62" i="45" s="1"/>
  <c r="E6" i="45"/>
  <c r="I5" i="45"/>
  <c r="E5" i="45"/>
  <c r="G3" i="45"/>
  <c r="C2" i="45"/>
  <c r="O97" i="45" s="1"/>
  <c r="V41" i="22"/>
  <c r="S41" i="22"/>
  <c r="V40" i="22"/>
  <c r="S40" i="22"/>
  <c r="V39" i="22"/>
  <c r="S39" i="22"/>
  <c r="V38" i="22"/>
  <c r="T15" i="22" s="1"/>
  <c r="S38" i="22"/>
  <c r="C39" i="5"/>
  <c r="R15" i="22"/>
  <c r="R14" i="22"/>
  <c r="R13" i="22"/>
  <c r="T13" i="22" s="1"/>
  <c r="R12" i="22"/>
  <c r="R11" i="22"/>
  <c r="R10" i="22"/>
  <c r="R9" i="22"/>
  <c r="T9" i="22" s="1"/>
  <c r="R8" i="22"/>
  <c r="R7" i="22"/>
  <c r="R6" i="22"/>
  <c r="T4" i="22"/>
  <c r="R4" i="22"/>
  <c r="X56" i="44"/>
  <c r="N94" i="44" s="1"/>
  <c r="U56" i="44"/>
  <c r="N91" i="44" s="1"/>
  <c r="X71" i="44"/>
  <c r="W71" i="44"/>
  <c r="V71" i="44"/>
  <c r="U71" i="44"/>
  <c r="T71" i="44"/>
  <c r="S71" i="44"/>
  <c r="R71" i="44"/>
  <c r="Q71" i="44"/>
  <c r="P71" i="44"/>
  <c r="O71" i="44"/>
  <c r="X70" i="44"/>
  <c r="W70" i="44"/>
  <c r="V70" i="44"/>
  <c r="U70" i="44"/>
  <c r="T70" i="44"/>
  <c r="S70" i="44"/>
  <c r="R70" i="44"/>
  <c r="Q70" i="44"/>
  <c r="P70" i="44"/>
  <c r="O70" i="44"/>
  <c r="X69" i="44"/>
  <c r="W69" i="44"/>
  <c r="V69" i="44"/>
  <c r="U69" i="44"/>
  <c r="T69" i="44"/>
  <c r="S69" i="44"/>
  <c r="R69" i="44"/>
  <c r="Q69" i="44"/>
  <c r="P69" i="44"/>
  <c r="O69" i="44"/>
  <c r="S56" i="44"/>
  <c r="N89" i="44" s="1"/>
  <c r="X66" i="44"/>
  <c r="W66" i="44"/>
  <c r="V66" i="44"/>
  <c r="U66" i="44"/>
  <c r="T66" i="44"/>
  <c r="S66" i="44"/>
  <c r="R66" i="44"/>
  <c r="Q66" i="44"/>
  <c r="P66" i="44"/>
  <c r="O66" i="44"/>
  <c r="R56" i="44"/>
  <c r="N88" i="44" s="1"/>
  <c r="W56" i="44"/>
  <c r="N93" i="44" s="1"/>
  <c r="V56" i="44"/>
  <c r="N92" i="44" s="1"/>
  <c r="C9" i="22" s="1"/>
  <c r="T56" i="44"/>
  <c r="N90" i="44" s="1"/>
  <c r="Q56" i="44"/>
  <c r="N87" i="44" s="1"/>
  <c r="P56" i="44"/>
  <c r="N86" i="44" s="1"/>
  <c r="O56" i="44"/>
  <c r="N85" i="44" s="1"/>
  <c r="C2" i="22" s="1"/>
  <c r="E19" i="44"/>
  <c r="E18" i="44"/>
  <c r="E17" i="44"/>
  <c r="E16" i="44"/>
  <c r="E7" i="44"/>
  <c r="I6" i="44"/>
  <c r="P28" i="44" s="1"/>
  <c r="T28" i="44" s="1"/>
  <c r="R62" i="44" s="1"/>
  <c r="E6" i="44"/>
  <c r="I5" i="44"/>
  <c r="E5" i="44"/>
  <c r="G3" i="44"/>
  <c r="C2" i="44"/>
  <c r="V41" i="19"/>
  <c r="T11" i="19" s="1"/>
  <c r="S41" i="19"/>
  <c r="V40" i="19"/>
  <c r="S40" i="19"/>
  <c r="V39" i="19"/>
  <c r="S39" i="19"/>
  <c r="V38" i="19"/>
  <c r="T10" i="19" s="1"/>
  <c r="S38" i="19"/>
  <c r="T15" i="19"/>
  <c r="T14" i="19"/>
  <c r="T12" i="19"/>
  <c r="T7" i="19"/>
  <c r="T6" i="19"/>
  <c r="T4" i="19"/>
  <c r="R4" i="19"/>
  <c r="E121" i="1"/>
  <c r="C121" i="1"/>
  <c r="X57" i="1" s="1"/>
  <c r="N95" i="1" s="1"/>
  <c r="F117" i="1"/>
  <c r="G117" i="1" s="1"/>
  <c r="E113" i="1"/>
  <c r="W57" i="1"/>
  <c r="N94" i="1" s="1"/>
  <c r="AA100" i="1"/>
  <c r="O100" i="1"/>
  <c r="AA99" i="1"/>
  <c r="O99" i="1"/>
  <c r="AA98" i="1"/>
  <c r="O98" i="1"/>
  <c r="E105" i="1"/>
  <c r="V57" i="1"/>
  <c r="N93" i="1" s="1"/>
  <c r="S85" i="1"/>
  <c r="E97" i="1"/>
  <c r="F96" i="1"/>
  <c r="G96" i="1" s="1"/>
  <c r="E89" i="1"/>
  <c r="F86" i="1"/>
  <c r="X72" i="1"/>
  <c r="W72" i="1"/>
  <c r="V72" i="1"/>
  <c r="U72" i="1"/>
  <c r="T72" i="1"/>
  <c r="S72" i="1"/>
  <c r="R72" i="1"/>
  <c r="Q72" i="1"/>
  <c r="P72" i="1"/>
  <c r="O72" i="1"/>
  <c r="X71" i="1"/>
  <c r="W71" i="1"/>
  <c r="V71" i="1"/>
  <c r="U71" i="1"/>
  <c r="T71" i="1"/>
  <c r="S71" i="1"/>
  <c r="R71" i="1"/>
  <c r="Q71" i="1"/>
  <c r="P71" i="1"/>
  <c r="O71" i="1"/>
  <c r="X70" i="1"/>
  <c r="W70" i="1"/>
  <c r="V70" i="1"/>
  <c r="U70" i="1"/>
  <c r="T70" i="1"/>
  <c r="S70" i="1"/>
  <c r="R70" i="1"/>
  <c r="Q70" i="1"/>
  <c r="P70" i="1"/>
  <c r="O70" i="1"/>
  <c r="E81" i="1"/>
  <c r="S57" i="1"/>
  <c r="N90" i="1" s="1"/>
  <c r="C31" i="5" s="1"/>
  <c r="X67" i="1"/>
  <c r="W67" i="1"/>
  <c r="V67" i="1"/>
  <c r="U67" i="1"/>
  <c r="T67" i="1"/>
  <c r="S67" i="1"/>
  <c r="R67" i="1"/>
  <c r="Q67" i="1"/>
  <c r="P67" i="1"/>
  <c r="O67" i="1"/>
  <c r="F77" i="1"/>
  <c r="G77" i="1" s="1"/>
  <c r="E73" i="1"/>
  <c r="R57" i="1"/>
  <c r="N89" i="1" s="1"/>
  <c r="C30" i="5" s="1"/>
  <c r="F70" i="1"/>
  <c r="G70" i="1" s="1"/>
  <c r="U57" i="1"/>
  <c r="N92" i="1" s="1"/>
  <c r="C33" i="5" s="1"/>
  <c r="T57" i="1"/>
  <c r="N91" i="1" s="1"/>
  <c r="C32" i="5" s="1"/>
  <c r="O53" i="1"/>
  <c r="S53" i="1" s="1"/>
  <c r="N53" i="1"/>
  <c r="Q57" i="1"/>
  <c r="N88" i="1" s="1"/>
  <c r="C29" i="5" s="1"/>
  <c r="S52" i="1"/>
  <c r="O52" i="1"/>
  <c r="N52" i="1"/>
  <c r="O51" i="1"/>
  <c r="S51" i="1" s="1"/>
  <c r="N51" i="1"/>
  <c r="O50" i="1"/>
  <c r="S50" i="1" s="1"/>
  <c r="N50" i="1"/>
  <c r="U49" i="1"/>
  <c r="Y49" i="1" s="1"/>
  <c r="O49" i="1"/>
  <c r="S49" i="1" s="1"/>
  <c r="N49" i="1"/>
  <c r="U48" i="1"/>
  <c r="Y48" i="1" s="1"/>
  <c r="O48" i="1"/>
  <c r="S48" i="1" s="1"/>
  <c r="N48" i="1"/>
  <c r="P57" i="1"/>
  <c r="N87" i="1" s="1"/>
  <c r="C28" i="5" s="1"/>
  <c r="AD41" i="1"/>
  <c r="AC41" i="1"/>
  <c r="AD40" i="1"/>
  <c r="AC40" i="1"/>
  <c r="AB40" i="1"/>
  <c r="AA40" i="1"/>
  <c r="AD39" i="1"/>
  <c r="AC39" i="1"/>
  <c r="AB39" i="1"/>
  <c r="AA39" i="1"/>
  <c r="O57" i="1"/>
  <c r="C27" i="5" s="1"/>
  <c r="G43" i="1"/>
  <c r="B43" i="1"/>
  <c r="T29" i="1"/>
  <c r="U63" i="1" s="1"/>
  <c r="P27" i="1"/>
  <c r="T27" i="1" s="1"/>
  <c r="V64" i="1" s="1"/>
  <c r="P26" i="1"/>
  <c r="T26" i="1" s="1"/>
  <c r="O26" i="1"/>
  <c r="T25" i="1"/>
  <c r="P25" i="1"/>
  <c r="O25" i="1"/>
  <c r="P24" i="1"/>
  <c r="T24" i="1" s="1"/>
  <c r="O24" i="1"/>
  <c r="P23" i="1"/>
  <c r="T23" i="1" s="1"/>
  <c r="O23" i="1"/>
  <c r="P22" i="1"/>
  <c r="T22" i="1" s="1"/>
  <c r="O22" i="1"/>
  <c r="P21" i="1"/>
  <c r="T21" i="1" s="1"/>
  <c r="O21" i="1"/>
  <c r="P20" i="1"/>
  <c r="T20" i="1" s="1"/>
  <c r="O20" i="1"/>
  <c r="P19" i="1"/>
  <c r="T19" i="1" s="1"/>
  <c r="O19" i="1"/>
  <c r="P18" i="1"/>
  <c r="T18" i="1" s="1"/>
  <c r="O18" i="1"/>
  <c r="P17" i="1"/>
  <c r="T17" i="1" s="1"/>
  <c r="O17" i="1"/>
  <c r="P16" i="1"/>
  <c r="T16" i="1" s="1"/>
  <c r="O16" i="1"/>
  <c r="P15" i="1"/>
  <c r="T15" i="1" s="1"/>
  <c r="O15" i="1"/>
  <c r="P14" i="1"/>
  <c r="T14" i="1" s="1"/>
  <c r="O14" i="1"/>
  <c r="E14" i="1"/>
  <c r="E13" i="49" s="1"/>
  <c r="T13" i="1"/>
  <c r="P13" i="1"/>
  <c r="O13" i="1"/>
  <c r="I6" i="5"/>
  <c r="P12" i="1"/>
  <c r="T12" i="1" s="1"/>
  <c r="O12" i="1"/>
  <c r="T11" i="1"/>
  <c r="P11" i="1"/>
  <c r="O11" i="1"/>
  <c r="E11" i="1"/>
  <c r="P10" i="1"/>
  <c r="T10" i="1" s="1"/>
  <c r="O10" i="1"/>
  <c r="P8" i="1"/>
  <c r="T8" i="1" s="1"/>
  <c r="O8" i="1"/>
  <c r="P7" i="1"/>
  <c r="T7" i="1" s="1"/>
  <c r="O7" i="1"/>
  <c r="P6" i="1"/>
  <c r="T6" i="1" s="1"/>
  <c r="O6" i="1"/>
  <c r="J6" i="1"/>
  <c r="D8" i="5" s="1"/>
  <c r="J5" i="1"/>
  <c r="D7" i="5" s="1"/>
  <c r="B92" i="5"/>
  <c r="J91" i="5"/>
  <c r="G91" i="5"/>
  <c r="C91" i="5"/>
  <c r="J87" i="5"/>
  <c r="J86" i="5"/>
  <c r="J85" i="5"/>
  <c r="J84" i="5"/>
  <c r="J83" i="5"/>
  <c r="J82" i="5"/>
  <c r="J81" i="5"/>
  <c r="J80" i="5"/>
  <c r="J79" i="5"/>
  <c r="J78" i="5"/>
  <c r="B77" i="5"/>
  <c r="J75" i="5"/>
  <c r="J74" i="5"/>
  <c r="J73" i="5"/>
  <c r="J72" i="5"/>
  <c r="J71" i="5"/>
  <c r="J70" i="5"/>
  <c r="J69" i="5"/>
  <c r="J68" i="5"/>
  <c r="J67" i="5"/>
  <c r="J66" i="5"/>
  <c r="B65" i="5"/>
  <c r="J60" i="5"/>
  <c r="C60" i="5"/>
  <c r="J59" i="5"/>
  <c r="C59" i="5"/>
  <c r="J58" i="5"/>
  <c r="J57" i="5"/>
  <c r="J56" i="5"/>
  <c r="J55" i="5"/>
  <c r="J54" i="5"/>
  <c r="J53" i="5"/>
  <c r="J52" i="5"/>
  <c r="J51" i="5"/>
  <c r="J48" i="5"/>
  <c r="J47" i="5"/>
  <c r="J46" i="5"/>
  <c r="J45" i="5"/>
  <c r="J44" i="5"/>
  <c r="J43" i="5"/>
  <c r="J42" i="5"/>
  <c r="J41" i="5"/>
  <c r="J40" i="5"/>
  <c r="J39" i="5"/>
  <c r="J36" i="5"/>
  <c r="C36" i="5"/>
  <c r="J35" i="5"/>
  <c r="C35" i="5"/>
  <c r="J34" i="5"/>
  <c r="J33" i="5"/>
  <c r="J32" i="5"/>
  <c r="J31" i="5"/>
  <c r="J30" i="5"/>
  <c r="J29" i="5"/>
  <c r="J28" i="5"/>
  <c r="J27" i="5"/>
  <c r="B26" i="5"/>
  <c r="J25" i="5"/>
  <c r="G25" i="5"/>
  <c r="C25" i="5"/>
  <c r="D17" i="5"/>
  <c r="D15" i="5"/>
  <c r="D14" i="5"/>
  <c r="D13" i="5"/>
  <c r="D6" i="5"/>
  <c r="I5" i="5"/>
  <c r="D5" i="5"/>
  <c r="D4" i="5"/>
  <c r="J1" i="5"/>
  <c r="E10" i="53" l="1"/>
  <c r="E10" i="44"/>
  <c r="O62" i="46"/>
  <c r="P62" i="46"/>
  <c r="Q62" i="46"/>
  <c r="R62" i="46"/>
  <c r="S62" i="46"/>
  <c r="T62" i="46"/>
  <c r="U62" i="46"/>
  <c r="V62" i="46"/>
  <c r="W62" i="46"/>
  <c r="T25" i="27"/>
  <c r="G72" i="5" s="1"/>
  <c r="R60" i="52"/>
  <c r="R60" i="48"/>
  <c r="R60" i="47"/>
  <c r="R60" i="54"/>
  <c r="R61" i="80" s="1"/>
  <c r="R60" i="50"/>
  <c r="R60" i="44"/>
  <c r="R60" i="51"/>
  <c r="R60" i="53"/>
  <c r="R60" i="49"/>
  <c r="R60" i="45"/>
  <c r="P60" i="52"/>
  <c r="P60" i="48"/>
  <c r="P60" i="51"/>
  <c r="P60" i="47"/>
  <c r="P60" i="53"/>
  <c r="P60" i="44"/>
  <c r="P60" i="54"/>
  <c r="P61" i="80" s="1"/>
  <c r="P60" i="50"/>
  <c r="P60" i="49"/>
  <c r="P60" i="45"/>
  <c r="C186" i="5"/>
  <c r="C150" i="5"/>
  <c r="O60" i="49"/>
  <c r="O60" i="52"/>
  <c r="O60" i="48"/>
  <c r="O60" i="44"/>
  <c r="O60" i="45"/>
  <c r="O60" i="47"/>
  <c r="O60" i="50"/>
  <c r="O60" i="51"/>
  <c r="O60" i="54"/>
  <c r="O61" i="80" s="1"/>
  <c r="O60" i="53"/>
  <c r="T13" i="19"/>
  <c r="T8" i="22"/>
  <c r="T12" i="22"/>
  <c r="T25" i="25"/>
  <c r="G57" i="5" s="1"/>
  <c r="T19" i="27"/>
  <c r="G66" i="5" s="1"/>
  <c r="P19" i="18"/>
  <c r="C185" i="5"/>
  <c r="C149" i="5"/>
  <c r="T28" i="35"/>
  <c r="G126" i="5" s="1"/>
  <c r="T25" i="41"/>
  <c r="G164" i="5" s="1"/>
  <c r="C182" i="5"/>
  <c r="C146" i="5"/>
  <c r="C184" i="5"/>
  <c r="C148" i="5"/>
  <c r="F63" i="44"/>
  <c r="F60" i="44"/>
  <c r="F103" i="44"/>
  <c r="F61" i="44"/>
  <c r="F62" i="44"/>
  <c r="G62" i="44" s="1"/>
  <c r="T26" i="41"/>
  <c r="G165" i="5" s="1"/>
  <c r="G15" i="18"/>
  <c r="P17" i="18"/>
  <c r="C191" i="5"/>
  <c r="C155" i="5"/>
  <c r="C183" i="5"/>
  <c r="C147" i="5"/>
  <c r="T8" i="19"/>
  <c r="T20" i="37"/>
  <c r="G132" i="5" s="1"/>
  <c r="T27" i="41"/>
  <c r="G166" i="5" s="1"/>
  <c r="T7" i="43"/>
  <c r="F8" i="18"/>
  <c r="J15" i="18"/>
  <c r="J20" i="18"/>
  <c r="C190" i="5"/>
  <c r="C154" i="5"/>
  <c r="T9" i="19"/>
  <c r="T6" i="22"/>
  <c r="T10" i="22"/>
  <c r="T14" i="22"/>
  <c r="T23" i="29"/>
  <c r="G82" i="5" s="1"/>
  <c r="T24" i="31"/>
  <c r="G98" i="5" s="1"/>
  <c r="T28" i="41"/>
  <c r="G167" i="5" s="1"/>
  <c r="H8" i="18"/>
  <c r="P18" i="18"/>
  <c r="C189" i="5"/>
  <c r="C153" i="5"/>
  <c r="T8" i="43"/>
  <c r="P8" i="18"/>
  <c r="C188" i="5"/>
  <c r="C152" i="5"/>
  <c r="Q60" i="51"/>
  <c r="Q60" i="47"/>
  <c r="Q60" i="44"/>
  <c r="Q60" i="53"/>
  <c r="Q60" i="52"/>
  <c r="Q60" i="54"/>
  <c r="Q61" i="80" s="1"/>
  <c r="Q60" i="50"/>
  <c r="Q60" i="49"/>
  <c r="Q60" i="45"/>
  <c r="Q60" i="48"/>
  <c r="S60" i="51"/>
  <c r="S60" i="54"/>
  <c r="S61" i="80" s="1"/>
  <c r="S60" i="50"/>
  <c r="S60" i="45"/>
  <c r="S60" i="47"/>
  <c r="S60" i="44"/>
  <c r="S60" i="53"/>
  <c r="S60" i="49"/>
  <c r="S60" i="52"/>
  <c r="S60" i="48"/>
  <c r="V60" i="54"/>
  <c r="V61" i="80" s="1"/>
  <c r="V60" i="50"/>
  <c r="V60" i="44"/>
  <c r="V60" i="53"/>
  <c r="V60" i="49"/>
  <c r="V60" i="45"/>
  <c r="V60" i="48"/>
  <c r="V60" i="52"/>
  <c r="V60" i="51"/>
  <c r="V60" i="47"/>
  <c r="T7" i="22"/>
  <c r="T11" i="22"/>
  <c r="T22" i="22"/>
  <c r="G42" i="5" s="1"/>
  <c r="T27" i="25"/>
  <c r="T24" i="27"/>
  <c r="G71" i="5" s="1"/>
  <c r="P28" i="18"/>
  <c r="C187" i="5"/>
  <c r="C151" i="5"/>
  <c r="T9" i="43"/>
  <c r="T14" i="43"/>
  <c r="T15" i="43"/>
  <c r="T12" i="43"/>
  <c r="T23" i="43"/>
  <c r="G174" i="5" s="1"/>
  <c r="T28" i="43"/>
  <c r="G179" i="5" s="1"/>
  <c r="T20" i="43"/>
  <c r="G171" i="5" s="1"/>
  <c r="T29" i="43"/>
  <c r="T21" i="43"/>
  <c r="G172" i="5" s="1"/>
  <c r="T22" i="43"/>
  <c r="G173" i="5" s="1"/>
  <c r="T25" i="43"/>
  <c r="G176" i="5" s="1"/>
  <c r="T24" i="43"/>
  <c r="G175" i="5" s="1"/>
  <c r="T26" i="43"/>
  <c r="G177" i="5" s="1"/>
  <c r="T27" i="43"/>
  <c r="G178" i="5" s="1"/>
  <c r="T19" i="43"/>
  <c r="G170" i="5" s="1"/>
  <c r="T23" i="41"/>
  <c r="G162" i="5" s="1"/>
  <c r="T19" i="41"/>
  <c r="G158" i="5" s="1"/>
  <c r="T21" i="41"/>
  <c r="G160" i="5" s="1"/>
  <c r="T28" i="39"/>
  <c r="G155" i="5" s="1"/>
  <c r="T20" i="39"/>
  <c r="G147" i="5" s="1"/>
  <c r="T27" i="39"/>
  <c r="G154" i="5" s="1"/>
  <c r="T21" i="39"/>
  <c r="G148" i="5" s="1"/>
  <c r="T23" i="39"/>
  <c r="G150" i="5" s="1"/>
  <c r="T24" i="39"/>
  <c r="G151" i="5" s="1"/>
  <c r="T25" i="39"/>
  <c r="G152" i="5" s="1"/>
  <c r="T26" i="39"/>
  <c r="G153" i="5" s="1"/>
  <c r="T22" i="39"/>
  <c r="G149" i="5" s="1"/>
  <c r="T19" i="39"/>
  <c r="G146" i="5" s="1"/>
  <c r="T19" i="37"/>
  <c r="G131" i="5" s="1"/>
  <c r="T24" i="37"/>
  <c r="G136" i="5" s="1"/>
  <c r="T22" i="35"/>
  <c r="G120" i="5" s="1"/>
  <c r="T19" i="35"/>
  <c r="G117" i="5" s="1"/>
  <c r="T28" i="33"/>
  <c r="G114" i="5" s="1"/>
  <c r="T20" i="31"/>
  <c r="G94" i="5" s="1"/>
  <c r="T22" i="31"/>
  <c r="G96" i="5" s="1"/>
  <c r="T23" i="31"/>
  <c r="G97" i="5" s="1"/>
  <c r="T20" i="27"/>
  <c r="G67" i="5" s="1"/>
  <c r="T26" i="27"/>
  <c r="G73" i="5" s="1"/>
  <c r="T23" i="27"/>
  <c r="G70" i="5" s="1"/>
  <c r="K11" i="39"/>
  <c r="E11" i="39"/>
  <c r="L11" i="37"/>
  <c r="K11" i="37"/>
  <c r="E11" i="37"/>
  <c r="T26" i="31"/>
  <c r="G100" i="5" s="1"/>
  <c r="T21" i="37"/>
  <c r="G133" i="5" s="1"/>
  <c r="T22" i="37"/>
  <c r="G134" i="5" s="1"/>
  <c r="T23" i="37"/>
  <c r="G135" i="5" s="1"/>
  <c r="T25" i="37"/>
  <c r="G137" i="5" s="1"/>
  <c r="T26" i="37"/>
  <c r="G138" i="5" s="1"/>
  <c r="T27" i="37"/>
  <c r="G139" i="5" s="1"/>
  <c r="T28" i="37"/>
  <c r="G140" i="5" s="1"/>
  <c r="T20" i="35"/>
  <c r="G118" i="5" s="1"/>
  <c r="T27" i="35"/>
  <c r="G125" i="5" s="1"/>
  <c r="T25" i="35"/>
  <c r="G123" i="5" s="1"/>
  <c r="T23" i="35"/>
  <c r="G121" i="5" s="1"/>
  <c r="T26" i="35"/>
  <c r="G124" i="5" s="1"/>
  <c r="T21" i="35"/>
  <c r="G119" i="5" s="1"/>
  <c r="T22" i="33"/>
  <c r="G108" i="5" s="1"/>
  <c r="T23" i="33"/>
  <c r="G109" i="5" s="1"/>
  <c r="T19" i="33"/>
  <c r="G105" i="5" s="1"/>
  <c r="T24" i="33"/>
  <c r="G110" i="5" s="1"/>
  <c r="T25" i="33"/>
  <c r="G111" i="5" s="1"/>
  <c r="T26" i="33"/>
  <c r="G112" i="5" s="1"/>
  <c r="T20" i="33"/>
  <c r="G106" i="5" s="1"/>
  <c r="T27" i="33"/>
  <c r="G113" i="5" s="1"/>
  <c r="T21" i="33"/>
  <c r="G107" i="5" s="1"/>
  <c r="T27" i="31"/>
  <c r="G101" i="5" s="1"/>
  <c r="T28" i="31"/>
  <c r="G102" i="5" s="1"/>
  <c r="T25" i="31"/>
  <c r="G99" i="5" s="1"/>
  <c r="T24" i="29"/>
  <c r="G83" i="5" s="1"/>
  <c r="T25" i="29"/>
  <c r="G84" i="5" s="1"/>
  <c r="T19" i="29"/>
  <c r="G78" i="5" s="1"/>
  <c r="T26" i="29"/>
  <c r="G85" i="5" s="1"/>
  <c r="T20" i="29"/>
  <c r="G79" i="5" s="1"/>
  <c r="T21" i="29"/>
  <c r="G80" i="5" s="1"/>
  <c r="T27" i="29"/>
  <c r="G86" i="5" s="1"/>
  <c r="T22" i="29"/>
  <c r="G81" i="5" s="1"/>
  <c r="T27" i="27"/>
  <c r="G74" i="5" s="1"/>
  <c r="T22" i="27"/>
  <c r="G69" i="5" s="1"/>
  <c r="T28" i="27"/>
  <c r="G75" i="5" s="1"/>
  <c r="T22" i="25"/>
  <c r="G54" i="5" s="1"/>
  <c r="T28" i="25"/>
  <c r="T24" i="25"/>
  <c r="G56" i="5" s="1"/>
  <c r="T23" i="25"/>
  <c r="G55" i="5" s="1"/>
  <c r="T26" i="25"/>
  <c r="G58" i="5" s="1"/>
  <c r="T19" i="25"/>
  <c r="G51" i="5" s="1"/>
  <c r="T20" i="25"/>
  <c r="G52" i="5" s="1"/>
  <c r="T21" i="25"/>
  <c r="G53" i="5" s="1"/>
  <c r="C8" i="22"/>
  <c r="C45" i="5"/>
  <c r="C7" i="22"/>
  <c r="C44" i="5"/>
  <c r="C6" i="22"/>
  <c r="F6" i="22" s="1"/>
  <c r="C43" i="5"/>
  <c r="C5" i="22"/>
  <c r="D5" i="22" s="1"/>
  <c r="C42" i="5"/>
  <c r="C4" i="22"/>
  <c r="D4" i="22" s="1"/>
  <c r="C41" i="5"/>
  <c r="C3" i="22"/>
  <c r="D3" i="22" s="1"/>
  <c r="C40" i="5"/>
  <c r="T21" i="19"/>
  <c r="T27" i="22"/>
  <c r="G47" i="5" s="1"/>
  <c r="T24" i="22"/>
  <c r="G44" i="5" s="1"/>
  <c r="T28" i="22"/>
  <c r="G48" i="5" s="1"/>
  <c r="T19" i="22"/>
  <c r="T20" i="22"/>
  <c r="G40" i="5" s="1"/>
  <c r="T25" i="22"/>
  <c r="G45" i="5" s="1"/>
  <c r="T21" i="22"/>
  <c r="G41" i="5" s="1"/>
  <c r="T26" i="22"/>
  <c r="G46" i="5" s="1"/>
  <c r="T23" i="22"/>
  <c r="G43" i="5" s="1"/>
  <c r="T25" i="19"/>
  <c r="T26" i="19"/>
  <c r="T19" i="19"/>
  <c r="T27" i="19"/>
  <c r="G35" i="5" s="1"/>
  <c r="T20" i="19"/>
  <c r="T28" i="19"/>
  <c r="G36" i="5" s="1"/>
  <c r="T22" i="19"/>
  <c r="T23" i="19"/>
  <c r="T24" i="19"/>
  <c r="C8" i="19"/>
  <c r="H8" i="19" s="1"/>
  <c r="C4" i="41"/>
  <c r="E4" i="41" s="1"/>
  <c r="C8" i="43"/>
  <c r="H8" i="43" s="1"/>
  <c r="C5" i="41"/>
  <c r="I2" i="41"/>
  <c r="H2" i="41"/>
  <c r="G2" i="41"/>
  <c r="F2" i="41"/>
  <c r="E2" i="41"/>
  <c r="L2" i="41"/>
  <c r="D2" i="41"/>
  <c r="K2" i="41"/>
  <c r="J2" i="41"/>
  <c r="F103" i="1"/>
  <c r="G103" i="1" s="1"/>
  <c r="AD38" i="46"/>
  <c r="P6" i="18"/>
  <c r="P10" i="18"/>
  <c r="P25" i="18"/>
  <c r="F94" i="1"/>
  <c r="G94" i="1" s="1"/>
  <c r="F76" i="1"/>
  <c r="G76" i="1" s="1"/>
  <c r="F85" i="1"/>
  <c r="G85" i="1" s="1"/>
  <c r="F95" i="1"/>
  <c r="G95" i="1" s="1"/>
  <c r="F104" i="1"/>
  <c r="G104" i="1" s="1"/>
  <c r="F111" i="1"/>
  <c r="G111" i="1" s="1"/>
  <c r="F116" i="1"/>
  <c r="F118" i="46"/>
  <c r="G118" i="46" s="1"/>
  <c r="F95" i="48"/>
  <c r="G95" i="48" s="1"/>
  <c r="I8" i="18"/>
  <c r="P13" i="18"/>
  <c r="I15" i="18"/>
  <c r="J19" i="18"/>
  <c r="D21" i="18"/>
  <c r="P23" i="18"/>
  <c r="O11" i="46"/>
  <c r="G44" i="1"/>
  <c r="F61" i="1"/>
  <c r="G61" i="1" s="1"/>
  <c r="F63" i="1"/>
  <c r="G63" i="1" s="1"/>
  <c r="F71" i="1"/>
  <c r="G71" i="1" s="1"/>
  <c r="F78" i="1"/>
  <c r="G78" i="1" s="1"/>
  <c r="F87" i="1"/>
  <c r="G87" i="1" s="1"/>
  <c r="F118" i="1"/>
  <c r="G118" i="1" s="1"/>
  <c r="J7" i="18"/>
  <c r="P11" i="18"/>
  <c r="K15" i="18"/>
  <c r="P21" i="18"/>
  <c r="K26" i="18"/>
  <c r="P29" i="18"/>
  <c r="G45" i="1"/>
  <c r="F79" i="1"/>
  <c r="G79" i="1" s="1"/>
  <c r="F88" i="1"/>
  <c r="G88" i="1" s="1"/>
  <c r="F108" i="1"/>
  <c r="F112" i="1"/>
  <c r="G112" i="1" s="1"/>
  <c r="F119" i="1"/>
  <c r="G119" i="1" s="1"/>
  <c r="F119" i="44"/>
  <c r="G119" i="44" s="1"/>
  <c r="P7" i="18"/>
  <c r="P15" i="18"/>
  <c r="P26" i="18"/>
  <c r="P30" i="18"/>
  <c r="G46" i="1"/>
  <c r="F100" i="1"/>
  <c r="G100" i="1" s="1"/>
  <c r="F109" i="1"/>
  <c r="G109" i="1" s="1"/>
  <c r="F120" i="1"/>
  <c r="G120" i="1" s="1"/>
  <c r="P9" i="18"/>
  <c r="P14" i="18"/>
  <c r="P24" i="18"/>
  <c r="G47" i="1"/>
  <c r="F52" i="1"/>
  <c r="G52" i="1" s="1"/>
  <c r="F64" i="1"/>
  <c r="G64" i="1" s="1"/>
  <c r="F68" i="1"/>
  <c r="F72" i="1"/>
  <c r="G72" i="1" s="1"/>
  <c r="F84" i="1"/>
  <c r="G84" i="1" s="1"/>
  <c r="F92" i="1"/>
  <c r="G92" i="1" s="1"/>
  <c r="F101" i="1"/>
  <c r="G101" i="1" s="1"/>
  <c r="F110" i="1"/>
  <c r="G110" i="1" s="1"/>
  <c r="F111" i="45"/>
  <c r="G111" i="45" s="1"/>
  <c r="F117" i="47"/>
  <c r="G117" i="47" s="1"/>
  <c r="I3" i="18"/>
  <c r="P12" i="18"/>
  <c r="P20" i="18"/>
  <c r="P22" i="18"/>
  <c r="G48" i="1"/>
  <c r="F60" i="1"/>
  <c r="G60" i="1" s="1"/>
  <c r="F62" i="1"/>
  <c r="G62" i="1" s="1"/>
  <c r="F69" i="1"/>
  <c r="G69" i="1" s="1"/>
  <c r="F80" i="1"/>
  <c r="G80" i="1" s="1"/>
  <c r="F93" i="1"/>
  <c r="G93" i="1" s="1"/>
  <c r="P16" i="18"/>
  <c r="P27" i="18"/>
  <c r="O25" i="46"/>
  <c r="O22" i="47"/>
  <c r="H10" i="18"/>
  <c r="F14" i="18"/>
  <c r="H22" i="18"/>
  <c r="L26" i="18"/>
  <c r="O7" i="46"/>
  <c r="O17" i="46"/>
  <c r="O16" i="47"/>
  <c r="P23" i="47"/>
  <c r="T23" i="47" s="1"/>
  <c r="L14" i="18"/>
  <c r="P7" i="46"/>
  <c r="T7" i="46" s="1"/>
  <c r="P17" i="46"/>
  <c r="T17" i="46" s="1"/>
  <c r="AC38" i="46"/>
  <c r="P25" i="47"/>
  <c r="T25" i="47" s="1"/>
  <c r="E19" i="18"/>
  <c r="P17" i="47"/>
  <c r="T17" i="47" s="1"/>
  <c r="O11" i="47"/>
  <c r="AC39" i="47"/>
  <c r="D4" i="18"/>
  <c r="K13" i="18"/>
  <c r="F27" i="18"/>
  <c r="P14" i="46"/>
  <c r="T14" i="46" s="1"/>
  <c r="P19" i="46"/>
  <c r="T19" i="46" s="1"/>
  <c r="O47" i="46"/>
  <c r="S47" i="46" s="1"/>
  <c r="O12" i="47"/>
  <c r="O18" i="47"/>
  <c r="E4" i="18"/>
  <c r="F18" i="18"/>
  <c r="G27" i="18"/>
  <c r="O15" i="46"/>
  <c r="P20" i="46"/>
  <c r="T20" i="46" s="1"/>
  <c r="N50" i="46"/>
  <c r="P13" i="47"/>
  <c r="T13" i="47" s="1"/>
  <c r="N49" i="47"/>
  <c r="G4" i="18"/>
  <c r="E15" i="18"/>
  <c r="F16" i="18"/>
  <c r="F26" i="18"/>
  <c r="I27" i="18"/>
  <c r="P24" i="46"/>
  <c r="T24" i="46" s="1"/>
  <c r="P15" i="47"/>
  <c r="T15" i="47" s="1"/>
  <c r="P20" i="47"/>
  <c r="T20" i="47" s="1"/>
  <c r="K4" i="18"/>
  <c r="P31" i="18"/>
  <c r="F53" i="1"/>
  <c r="G53" i="1" s="1"/>
  <c r="F54" i="1"/>
  <c r="G54" i="1" s="1"/>
  <c r="F56" i="1"/>
  <c r="G56" i="1" s="1"/>
  <c r="F55" i="1"/>
  <c r="G55" i="1" s="1"/>
  <c r="O10" i="45"/>
  <c r="P13" i="45"/>
  <c r="T13" i="45" s="1"/>
  <c r="O49" i="45"/>
  <c r="S49" i="45" s="1"/>
  <c r="P10" i="46"/>
  <c r="T10" i="46" s="1"/>
  <c r="O14" i="46"/>
  <c r="O19" i="46"/>
  <c r="O24" i="46"/>
  <c r="AB38" i="46"/>
  <c r="O52" i="46"/>
  <c r="S52" i="46" s="1"/>
  <c r="AA97" i="46"/>
  <c r="N97" i="47"/>
  <c r="T46" i="47"/>
  <c r="N96" i="47"/>
  <c r="N46" i="47"/>
  <c r="Q83" i="47"/>
  <c r="F42" i="47"/>
  <c r="O83" i="47"/>
  <c r="E42" i="47"/>
  <c r="N83" i="47"/>
  <c r="C42" i="47"/>
  <c r="O55" i="47"/>
  <c r="T4" i="47"/>
  <c r="N99" i="47"/>
  <c r="T48" i="47"/>
  <c r="P4" i="47"/>
  <c r="N98" i="47"/>
  <c r="T47" i="47"/>
  <c r="O4" i="47"/>
  <c r="O10" i="47"/>
  <c r="P16" i="47"/>
  <c r="T16" i="47" s="1"/>
  <c r="P21" i="47"/>
  <c r="T21" i="47" s="1"/>
  <c r="AA38" i="47"/>
  <c r="D8" i="18"/>
  <c r="K10" i="18"/>
  <c r="K11" i="18"/>
  <c r="H12" i="18"/>
  <c r="D13" i="18"/>
  <c r="H14" i="18"/>
  <c r="D16" i="18"/>
  <c r="F19" i="18"/>
  <c r="H20" i="18"/>
  <c r="J22" i="18"/>
  <c r="E27" i="18"/>
  <c r="L28" i="18"/>
  <c r="Q83" i="50"/>
  <c r="F42" i="50"/>
  <c r="O83" i="50"/>
  <c r="E42" i="50"/>
  <c r="N83" i="50"/>
  <c r="C42" i="50"/>
  <c r="O55" i="50"/>
  <c r="T4" i="50"/>
  <c r="N99" i="50"/>
  <c r="T48" i="50"/>
  <c r="P4" i="50"/>
  <c r="N98" i="50"/>
  <c r="T47" i="50"/>
  <c r="O4" i="50"/>
  <c r="N97" i="50"/>
  <c r="T46" i="50"/>
  <c r="N96" i="50"/>
  <c r="N46" i="50"/>
  <c r="P7" i="52"/>
  <c r="T7" i="52" s="1"/>
  <c r="N99" i="52"/>
  <c r="T48" i="52"/>
  <c r="P4" i="52"/>
  <c r="N98" i="52"/>
  <c r="T47" i="52"/>
  <c r="O4" i="52"/>
  <c r="N97" i="52"/>
  <c r="T46" i="52"/>
  <c r="N96" i="52"/>
  <c r="N46" i="52"/>
  <c r="Q83" i="52"/>
  <c r="F42" i="52"/>
  <c r="O83" i="52"/>
  <c r="E42" i="52"/>
  <c r="N83" i="52"/>
  <c r="C42" i="52"/>
  <c r="O55" i="52"/>
  <c r="T4" i="52"/>
  <c r="W61" i="1"/>
  <c r="J6" i="45"/>
  <c r="P10" i="45"/>
  <c r="T10" i="45" s="1"/>
  <c r="O14" i="45"/>
  <c r="O18" i="45"/>
  <c r="P22" i="45"/>
  <c r="T22" i="45" s="1"/>
  <c r="AA38" i="45"/>
  <c r="O47" i="45"/>
  <c r="S47" i="45" s="1"/>
  <c r="N50" i="45"/>
  <c r="N47" i="46"/>
  <c r="F62" i="46"/>
  <c r="G62" i="46" s="1"/>
  <c r="F67" i="46"/>
  <c r="O98" i="46"/>
  <c r="E8" i="18"/>
  <c r="I12" i="18"/>
  <c r="K14" i="18"/>
  <c r="E16" i="18"/>
  <c r="I20" i="18"/>
  <c r="F55" i="54"/>
  <c r="G55" i="54" s="1"/>
  <c r="X61" i="1"/>
  <c r="AA97" i="45"/>
  <c r="N83" i="45"/>
  <c r="C42" i="45"/>
  <c r="O55" i="45"/>
  <c r="T4" i="45"/>
  <c r="N99" i="45"/>
  <c r="T48" i="45"/>
  <c r="P4" i="45"/>
  <c r="N98" i="45"/>
  <c r="T47" i="45"/>
  <c r="O4" i="45"/>
  <c r="N97" i="45"/>
  <c r="T46" i="45"/>
  <c r="N96" i="45"/>
  <c r="N46" i="45"/>
  <c r="Q83" i="45"/>
  <c r="F42" i="45"/>
  <c r="O83" i="45"/>
  <c r="E42" i="45"/>
  <c r="P6" i="45"/>
  <c r="T6" i="45" s="1"/>
  <c r="O15" i="45"/>
  <c r="P18" i="45"/>
  <c r="T18" i="45" s="1"/>
  <c r="AB38" i="45"/>
  <c r="U47" i="45"/>
  <c r="Y47" i="45" s="1"/>
  <c r="O50" i="45"/>
  <c r="S50" i="45" s="1"/>
  <c r="O98" i="45"/>
  <c r="F85" i="46"/>
  <c r="G85" i="46" s="1"/>
  <c r="AA98" i="46"/>
  <c r="O51" i="48"/>
  <c r="S51" i="48" s="1"/>
  <c r="N99" i="48"/>
  <c r="T48" i="48"/>
  <c r="P4" i="48"/>
  <c r="N98" i="48"/>
  <c r="T47" i="48"/>
  <c r="O4" i="48"/>
  <c r="N97" i="48"/>
  <c r="T46" i="48"/>
  <c r="N96" i="48"/>
  <c r="N46" i="48"/>
  <c r="Q83" i="48"/>
  <c r="F42" i="48"/>
  <c r="O83" i="48"/>
  <c r="E42" i="48"/>
  <c r="N83" i="48"/>
  <c r="C42" i="48"/>
  <c r="O55" i="48"/>
  <c r="T4" i="48"/>
  <c r="J12" i="18"/>
  <c r="G55" i="53"/>
  <c r="P7" i="54"/>
  <c r="T7" i="54" s="1"/>
  <c r="Q83" i="54"/>
  <c r="F42" i="54"/>
  <c r="O83" i="54"/>
  <c r="E42" i="54"/>
  <c r="N83" i="54"/>
  <c r="C42" i="54"/>
  <c r="O55" i="54"/>
  <c r="T4" i="54"/>
  <c r="N99" i="54"/>
  <c r="T48" i="54"/>
  <c r="P4" i="54"/>
  <c r="N98" i="54"/>
  <c r="T47" i="54"/>
  <c r="O4" i="54"/>
  <c r="N97" i="54"/>
  <c r="T46" i="54"/>
  <c r="N96" i="54"/>
  <c r="N46" i="54"/>
  <c r="O11" i="45"/>
  <c r="O23" i="45"/>
  <c r="AC38" i="45"/>
  <c r="O51" i="45"/>
  <c r="S51" i="45" s="1"/>
  <c r="AA99" i="45"/>
  <c r="J5" i="46"/>
  <c r="P11" i="46"/>
  <c r="T11" i="46" s="1"/>
  <c r="P15" i="46"/>
  <c r="T15" i="46" s="1"/>
  <c r="P25" i="46"/>
  <c r="T25" i="46" s="1"/>
  <c r="AA39" i="46"/>
  <c r="U47" i="46"/>
  <c r="Y47" i="46" s="1"/>
  <c r="O50" i="46"/>
  <c r="S50" i="46" s="1"/>
  <c r="O99" i="46"/>
  <c r="L12" i="18"/>
  <c r="H16" i="18"/>
  <c r="E17" i="18"/>
  <c r="L20" i="18"/>
  <c r="E24" i="18"/>
  <c r="G25" i="18"/>
  <c r="F55" i="49"/>
  <c r="G55" i="49" s="1"/>
  <c r="F55" i="51"/>
  <c r="G55" i="51" s="1"/>
  <c r="N83" i="53"/>
  <c r="C42" i="53"/>
  <c r="O55" i="53"/>
  <c r="T4" i="53"/>
  <c r="N99" i="53"/>
  <c r="T48" i="53"/>
  <c r="P4" i="53"/>
  <c r="N98" i="53"/>
  <c r="T47" i="53"/>
  <c r="O4" i="53"/>
  <c r="N97" i="53"/>
  <c r="T46" i="53"/>
  <c r="N96" i="53"/>
  <c r="N46" i="53"/>
  <c r="Q83" i="53"/>
  <c r="F42" i="53"/>
  <c r="O83" i="53"/>
  <c r="E42" i="53"/>
  <c r="O7" i="45"/>
  <c r="P11" i="45"/>
  <c r="T11" i="45" s="1"/>
  <c r="O16" i="45"/>
  <c r="O19" i="45"/>
  <c r="P23" i="45"/>
  <c r="T23" i="45" s="1"/>
  <c r="AB39" i="45"/>
  <c r="N48" i="45"/>
  <c r="O8" i="46"/>
  <c r="O18" i="46"/>
  <c r="O21" i="46"/>
  <c r="B42" i="46"/>
  <c r="AB39" i="46"/>
  <c r="N48" i="46"/>
  <c r="N51" i="46"/>
  <c r="F93" i="46"/>
  <c r="G93" i="46" s="1"/>
  <c r="AA99" i="46"/>
  <c r="I16" i="18"/>
  <c r="H17" i="18"/>
  <c r="F24" i="18"/>
  <c r="N83" i="49"/>
  <c r="C42" i="49"/>
  <c r="O55" i="49"/>
  <c r="T4" i="49"/>
  <c r="N99" i="49"/>
  <c r="T48" i="49"/>
  <c r="P4" i="49"/>
  <c r="N98" i="49"/>
  <c r="T47" i="49"/>
  <c r="O4" i="49"/>
  <c r="N97" i="49"/>
  <c r="T46" i="49"/>
  <c r="N96" i="49"/>
  <c r="N46" i="49"/>
  <c r="Q83" i="49"/>
  <c r="F42" i="49"/>
  <c r="O83" i="49"/>
  <c r="E42" i="49"/>
  <c r="N97" i="51"/>
  <c r="T46" i="51"/>
  <c r="N96" i="51"/>
  <c r="N46" i="51"/>
  <c r="Q83" i="51"/>
  <c r="F42" i="51"/>
  <c r="O83" i="51"/>
  <c r="E42" i="51"/>
  <c r="N83" i="51"/>
  <c r="C42" i="51"/>
  <c r="O55" i="51"/>
  <c r="T4" i="51"/>
  <c r="N99" i="51"/>
  <c r="T48" i="51"/>
  <c r="P4" i="51"/>
  <c r="N98" i="51"/>
  <c r="T47" i="51"/>
  <c r="O4" i="51"/>
  <c r="O8" i="45"/>
  <c r="P12" i="45"/>
  <c r="T12" i="45" s="1"/>
  <c r="P16" i="45"/>
  <c r="T16" i="45" s="1"/>
  <c r="O20" i="45"/>
  <c r="O24" i="45"/>
  <c r="AC39" i="45"/>
  <c r="U48" i="45"/>
  <c r="Y48" i="45" s="1"/>
  <c r="N52" i="45"/>
  <c r="O9" i="46"/>
  <c r="P12" i="46"/>
  <c r="T12" i="46" s="1"/>
  <c r="O16" i="46"/>
  <c r="P18" i="46"/>
  <c r="T18" i="46" s="1"/>
  <c r="O22" i="46"/>
  <c r="G42" i="46"/>
  <c r="AD39" i="46"/>
  <c r="O48" i="46"/>
  <c r="S48" i="46" s="1"/>
  <c r="O51" i="46"/>
  <c r="S51" i="46" s="1"/>
  <c r="F95" i="46"/>
  <c r="G95" i="46" s="1"/>
  <c r="B42" i="47"/>
  <c r="H4" i="18"/>
  <c r="J8" i="18"/>
  <c r="E11" i="18"/>
  <c r="D12" i="18"/>
  <c r="J16" i="18"/>
  <c r="K17" i="18"/>
  <c r="D20" i="18"/>
  <c r="F22" i="18"/>
  <c r="E23" i="18"/>
  <c r="H24" i="18"/>
  <c r="J5" i="45"/>
  <c r="O9" i="45"/>
  <c r="P20" i="45"/>
  <c r="T20" i="45" s="1"/>
  <c r="O25" i="45"/>
  <c r="AD39" i="45"/>
  <c r="J6" i="46"/>
  <c r="P9" i="46"/>
  <c r="T9" i="46" s="1"/>
  <c r="P16" i="46"/>
  <c r="T16" i="46" s="1"/>
  <c r="P22" i="46"/>
  <c r="T22" i="46" s="1"/>
  <c r="F46" i="46"/>
  <c r="G46" i="46" s="1"/>
  <c r="AC40" i="46"/>
  <c r="O6" i="47"/>
  <c r="O19" i="47"/>
  <c r="F47" i="47"/>
  <c r="G47" i="47" s="1"/>
  <c r="G3" i="18"/>
  <c r="J4" i="18"/>
  <c r="L8" i="18"/>
  <c r="G11" i="18"/>
  <c r="E12" i="18"/>
  <c r="L16" i="18"/>
  <c r="E20" i="18"/>
  <c r="G22" i="18"/>
  <c r="L24" i="18"/>
  <c r="N99" i="44"/>
  <c r="T48" i="44"/>
  <c r="P4" i="44"/>
  <c r="N98" i="44"/>
  <c r="T47" i="44"/>
  <c r="O4" i="44"/>
  <c r="N97" i="44"/>
  <c r="T46" i="44"/>
  <c r="N96" i="44"/>
  <c r="N46" i="44"/>
  <c r="Q83" i="44"/>
  <c r="F42" i="44"/>
  <c r="O83" i="44"/>
  <c r="E42" i="44"/>
  <c r="N83" i="44"/>
  <c r="C42" i="44"/>
  <c r="O55" i="44"/>
  <c r="T4" i="44"/>
  <c r="P15" i="44"/>
  <c r="T15" i="44" s="1"/>
  <c r="P9" i="45"/>
  <c r="T9" i="45" s="1"/>
  <c r="O13" i="45"/>
  <c r="O17" i="45"/>
  <c r="P21" i="45"/>
  <c r="T21" i="45" s="1"/>
  <c r="B42" i="45"/>
  <c r="AD40" i="45"/>
  <c r="N49" i="45"/>
  <c r="Q83" i="46"/>
  <c r="F42" i="46"/>
  <c r="O83" i="46"/>
  <c r="E42" i="46"/>
  <c r="N83" i="46"/>
  <c r="C42" i="46"/>
  <c r="O55" i="46"/>
  <c r="T4" i="46"/>
  <c r="N99" i="46"/>
  <c r="T48" i="46"/>
  <c r="P4" i="46"/>
  <c r="N98" i="46"/>
  <c r="T47" i="46"/>
  <c r="O4" i="46"/>
  <c r="N97" i="46"/>
  <c r="T46" i="46"/>
  <c r="N96" i="46"/>
  <c r="N46" i="46"/>
  <c r="P6" i="46"/>
  <c r="T6" i="46" s="1"/>
  <c r="O10" i="46"/>
  <c r="O13" i="46"/>
  <c r="P23" i="46"/>
  <c r="T23" i="46" s="1"/>
  <c r="AD40" i="46"/>
  <c r="O49" i="46"/>
  <c r="S49" i="46" s="1"/>
  <c r="N52" i="46"/>
  <c r="O97" i="46"/>
  <c r="F12" i="18"/>
  <c r="F20" i="18"/>
  <c r="D28" i="18"/>
  <c r="P32" i="18"/>
  <c r="F55" i="50"/>
  <c r="G55" i="50" s="1"/>
  <c r="F53" i="44"/>
  <c r="G53" i="44" s="1"/>
  <c r="F75" i="44"/>
  <c r="F100" i="44"/>
  <c r="G100" i="44" s="1"/>
  <c r="F54" i="46"/>
  <c r="G54" i="46" s="1"/>
  <c r="F78" i="46"/>
  <c r="G78" i="46" s="1"/>
  <c r="F83" i="46"/>
  <c r="F91" i="46"/>
  <c r="F108" i="46"/>
  <c r="G108" i="46" s="1"/>
  <c r="F117" i="46"/>
  <c r="G117" i="46" s="1"/>
  <c r="F69" i="44"/>
  <c r="G69" i="44" s="1"/>
  <c r="I4" i="5"/>
  <c r="P26" i="44"/>
  <c r="T26" i="44" s="1"/>
  <c r="V63" i="44" s="1"/>
  <c r="F55" i="44"/>
  <c r="G55" i="44" s="1"/>
  <c r="F76" i="44"/>
  <c r="G76" i="44" s="1"/>
  <c r="F101" i="44"/>
  <c r="G101" i="44" s="1"/>
  <c r="F43" i="45"/>
  <c r="F61" i="45"/>
  <c r="G61" i="45" s="1"/>
  <c r="F61" i="46"/>
  <c r="G61" i="46" s="1"/>
  <c r="F92" i="46"/>
  <c r="G92" i="46" s="1"/>
  <c r="F119" i="46"/>
  <c r="G119" i="46" s="1"/>
  <c r="F52" i="47"/>
  <c r="G52" i="47" s="1"/>
  <c r="F108" i="47"/>
  <c r="G108" i="47" s="1"/>
  <c r="E13" i="44"/>
  <c r="F44" i="44"/>
  <c r="G44" i="44" s="1"/>
  <c r="F59" i="44"/>
  <c r="F70" i="44"/>
  <c r="G70" i="44" s="1"/>
  <c r="F111" i="44"/>
  <c r="G111" i="44" s="1"/>
  <c r="F44" i="46"/>
  <c r="G44" i="46" s="1"/>
  <c r="F79" i="46"/>
  <c r="G79" i="46" s="1"/>
  <c r="F84" i="46"/>
  <c r="G84" i="46" s="1"/>
  <c r="F94" i="46"/>
  <c r="G94" i="46" s="1"/>
  <c r="F44" i="47"/>
  <c r="G44" i="47" s="1"/>
  <c r="F60" i="47"/>
  <c r="G60" i="47" s="1"/>
  <c r="F43" i="44"/>
  <c r="G43" i="44" s="1"/>
  <c r="G103" i="44"/>
  <c r="I7" i="5"/>
  <c r="F45" i="44"/>
  <c r="G45" i="44" s="1"/>
  <c r="G63" i="44"/>
  <c r="F79" i="44"/>
  <c r="G79" i="44" s="1"/>
  <c r="F84" i="44"/>
  <c r="G84" i="44" s="1"/>
  <c r="F116" i="44"/>
  <c r="G116" i="44" s="1"/>
  <c r="F86" i="45"/>
  <c r="G86" i="45" s="1"/>
  <c r="F47" i="44"/>
  <c r="G47" i="44" s="1"/>
  <c r="F92" i="44"/>
  <c r="G92" i="44" s="1"/>
  <c r="F118" i="44"/>
  <c r="G118" i="44" s="1"/>
  <c r="F52" i="46"/>
  <c r="G52" i="46" s="1"/>
  <c r="F60" i="46"/>
  <c r="G60" i="46" s="1"/>
  <c r="F75" i="46"/>
  <c r="F86" i="46"/>
  <c r="G86" i="46" s="1"/>
  <c r="F68" i="44"/>
  <c r="G68" i="44" s="1"/>
  <c r="F71" i="44"/>
  <c r="G71" i="44" s="1"/>
  <c r="F76" i="46"/>
  <c r="G76" i="46" s="1"/>
  <c r="F87" i="46"/>
  <c r="G87" i="46" s="1"/>
  <c r="F100" i="46"/>
  <c r="G100" i="46" s="1"/>
  <c r="F51" i="44"/>
  <c r="F99" i="44"/>
  <c r="G99" i="44" s="1"/>
  <c r="E10" i="45"/>
  <c r="E13" i="45"/>
  <c r="F77" i="46"/>
  <c r="G77" i="46" s="1"/>
  <c r="F102" i="46"/>
  <c r="G102" i="46" s="1"/>
  <c r="F115" i="46"/>
  <c r="G115" i="46" s="1"/>
  <c r="F51" i="47"/>
  <c r="F86" i="47"/>
  <c r="G86" i="47" s="1"/>
  <c r="K8" i="33"/>
  <c r="F8" i="33"/>
  <c r="H4" i="41"/>
  <c r="L4" i="41"/>
  <c r="D3" i="39"/>
  <c r="L3" i="39"/>
  <c r="L3" i="35"/>
  <c r="E3" i="35"/>
  <c r="H5" i="33"/>
  <c r="I5" i="33"/>
  <c r="F5" i="33"/>
  <c r="F4" i="43"/>
  <c r="E4" i="43"/>
  <c r="L4" i="43"/>
  <c r="D4" i="43"/>
  <c r="K4" i="43"/>
  <c r="J4" i="43"/>
  <c r="I4" i="43"/>
  <c r="H4" i="43"/>
  <c r="G4" i="43"/>
  <c r="J10" i="43"/>
  <c r="K10" i="43"/>
  <c r="K5" i="43"/>
  <c r="D5" i="43"/>
  <c r="J5" i="43"/>
  <c r="L5" i="43"/>
  <c r="I5" i="43"/>
  <c r="H5" i="43"/>
  <c r="G5" i="43"/>
  <c r="F5" i="43"/>
  <c r="E5" i="43"/>
  <c r="J8" i="43"/>
  <c r="I8" i="43"/>
  <c r="J6" i="43"/>
  <c r="I6" i="43"/>
  <c r="H6" i="43"/>
  <c r="G6" i="43"/>
  <c r="K6" i="43"/>
  <c r="F6" i="43"/>
  <c r="E6" i="43"/>
  <c r="L6" i="43"/>
  <c r="D6" i="43"/>
  <c r="H7" i="43"/>
  <c r="G7" i="43"/>
  <c r="F7" i="43"/>
  <c r="I7" i="43"/>
  <c r="E7" i="43"/>
  <c r="L7" i="43"/>
  <c r="D7" i="43"/>
  <c r="K7" i="43"/>
  <c r="J7" i="43"/>
  <c r="H11" i="43"/>
  <c r="I11" i="43"/>
  <c r="G11" i="43"/>
  <c r="F11" i="43"/>
  <c r="E11" i="43"/>
  <c r="L11" i="43"/>
  <c r="D11" i="43"/>
  <c r="K11" i="43"/>
  <c r="J11" i="43"/>
  <c r="H2" i="43"/>
  <c r="G2" i="43"/>
  <c r="F2" i="43"/>
  <c r="E2" i="43"/>
  <c r="I2" i="43"/>
  <c r="L2" i="43"/>
  <c r="D2" i="43"/>
  <c r="K2" i="43"/>
  <c r="J2" i="43"/>
  <c r="L9" i="43"/>
  <c r="D9" i="43"/>
  <c r="K9" i="43"/>
  <c r="J9" i="43"/>
  <c r="I9" i="43"/>
  <c r="H9" i="43"/>
  <c r="E9" i="43"/>
  <c r="G9" i="43"/>
  <c r="F9" i="43"/>
  <c r="G3" i="43"/>
  <c r="F3" i="43"/>
  <c r="E3" i="43"/>
  <c r="L3" i="43"/>
  <c r="D3" i="43"/>
  <c r="K3" i="43"/>
  <c r="H3" i="43"/>
  <c r="J3" i="43"/>
  <c r="I3" i="43"/>
  <c r="L9" i="41"/>
  <c r="D9" i="41"/>
  <c r="K9" i="41"/>
  <c r="J9" i="41"/>
  <c r="I9" i="41"/>
  <c r="H9" i="41"/>
  <c r="G9" i="41"/>
  <c r="F9" i="41"/>
  <c r="E9" i="41"/>
  <c r="E8" i="41"/>
  <c r="H8" i="41"/>
  <c r="G3" i="41"/>
  <c r="F3" i="41"/>
  <c r="E3" i="41"/>
  <c r="L3" i="41"/>
  <c r="D3" i="41"/>
  <c r="K3" i="41"/>
  <c r="J3" i="41"/>
  <c r="I3" i="41"/>
  <c r="H3" i="41"/>
  <c r="J10" i="41"/>
  <c r="I10" i="41"/>
  <c r="H10" i="41"/>
  <c r="G10" i="41"/>
  <c r="F10" i="41"/>
  <c r="E10" i="41"/>
  <c r="L10" i="41"/>
  <c r="D10" i="41"/>
  <c r="K10" i="41"/>
  <c r="K5" i="41"/>
  <c r="J5" i="41"/>
  <c r="I5" i="41"/>
  <c r="H5" i="41"/>
  <c r="G5" i="41"/>
  <c r="F5" i="41"/>
  <c r="E5" i="41"/>
  <c r="L5" i="41"/>
  <c r="D5" i="41"/>
  <c r="J6" i="41"/>
  <c r="I6" i="41"/>
  <c r="H6" i="41"/>
  <c r="G6" i="41"/>
  <c r="F6" i="41"/>
  <c r="E6" i="41"/>
  <c r="L6" i="41"/>
  <c r="D6" i="41"/>
  <c r="K6" i="41"/>
  <c r="H7" i="41"/>
  <c r="G7" i="41"/>
  <c r="F7" i="41"/>
  <c r="E7" i="41"/>
  <c r="L7" i="41"/>
  <c r="D7" i="41"/>
  <c r="K7" i="41"/>
  <c r="J7" i="41"/>
  <c r="I7" i="41"/>
  <c r="H11" i="41"/>
  <c r="G11" i="41"/>
  <c r="F11" i="41"/>
  <c r="E11" i="41"/>
  <c r="L11" i="41"/>
  <c r="D11" i="41"/>
  <c r="K11" i="41"/>
  <c r="J11" i="41"/>
  <c r="I11" i="41"/>
  <c r="K2" i="39"/>
  <c r="J2" i="39"/>
  <c r="I2" i="39"/>
  <c r="H2" i="39"/>
  <c r="G2" i="39"/>
  <c r="F2" i="39"/>
  <c r="E2" i="39"/>
  <c r="L2" i="39"/>
  <c r="D2" i="39"/>
  <c r="F5" i="39"/>
  <c r="E5" i="39"/>
  <c r="L5" i="39"/>
  <c r="D5" i="39"/>
  <c r="K5" i="39"/>
  <c r="H5" i="39"/>
  <c r="J5" i="39"/>
  <c r="I5" i="39"/>
  <c r="G5" i="39"/>
  <c r="E10" i="39"/>
  <c r="L10" i="39"/>
  <c r="D10" i="39"/>
  <c r="K10" i="39"/>
  <c r="J10" i="39"/>
  <c r="I10" i="39"/>
  <c r="H10" i="39"/>
  <c r="G10" i="39"/>
  <c r="F10" i="39"/>
  <c r="I4" i="39"/>
  <c r="H4" i="39"/>
  <c r="K4" i="39"/>
  <c r="G4" i="39"/>
  <c r="F4" i="39"/>
  <c r="E4" i="39"/>
  <c r="L4" i="39"/>
  <c r="D4" i="39"/>
  <c r="J4" i="39"/>
  <c r="E6" i="39"/>
  <c r="L6" i="39"/>
  <c r="D6" i="39"/>
  <c r="K6" i="39"/>
  <c r="J6" i="39"/>
  <c r="I6" i="39"/>
  <c r="H6" i="39"/>
  <c r="G6" i="39"/>
  <c r="F6" i="39"/>
  <c r="K7" i="39"/>
  <c r="J7" i="39"/>
  <c r="I7" i="39"/>
  <c r="E7" i="39"/>
  <c r="H7" i="39"/>
  <c r="G7" i="39"/>
  <c r="F7" i="39"/>
  <c r="L7" i="39"/>
  <c r="D7" i="39"/>
  <c r="G9" i="39"/>
  <c r="F9" i="39"/>
  <c r="E9" i="39"/>
  <c r="L9" i="39"/>
  <c r="D9" i="39"/>
  <c r="K9" i="39"/>
  <c r="J9" i="39"/>
  <c r="I9" i="39"/>
  <c r="H9" i="39"/>
  <c r="K8" i="39"/>
  <c r="F8" i="39"/>
  <c r="K3" i="39"/>
  <c r="D11" i="39"/>
  <c r="L11" i="39"/>
  <c r="E3" i="39"/>
  <c r="F11" i="39"/>
  <c r="F3" i="39"/>
  <c r="G11" i="39"/>
  <c r="G3" i="39"/>
  <c r="H11" i="39"/>
  <c r="H3" i="39"/>
  <c r="I11" i="39"/>
  <c r="I3" i="39"/>
  <c r="J11" i="39"/>
  <c r="L2" i="37"/>
  <c r="D2" i="37"/>
  <c r="K2" i="37"/>
  <c r="J2" i="37"/>
  <c r="I2" i="37"/>
  <c r="E2" i="37"/>
  <c r="H2" i="37"/>
  <c r="G2" i="37"/>
  <c r="F2" i="37"/>
  <c r="J8" i="37"/>
  <c r="I8" i="37"/>
  <c r="H8" i="37"/>
  <c r="G8" i="37"/>
  <c r="F8" i="37"/>
  <c r="E8" i="37"/>
  <c r="K8" i="37"/>
  <c r="L8" i="37"/>
  <c r="D8" i="37"/>
  <c r="H9" i="37"/>
  <c r="G9" i="37"/>
  <c r="F9" i="37"/>
  <c r="E9" i="37"/>
  <c r="I9" i="37"/>
  <c r="L9" i="37"/>
  <c r="D9" i="37"/>
  <c r="K9" i="37"/>
  <c r="J9" i="37"/>
  <c r="L7" i="37"/>
  <c r="D7" i="37"/>
  <c r="K7" i="37"/>
  <c r="J7" i="37"/>
  <c r="I7" i="37"/>
  <c r="E7" i="37"/>
  <c r="H7" i="37"/>
  <c r="G7" i="37"/>
  <c r="F7" i="37"/>
  <c r="K3" i="37"/>
  <c r="J3" i="37"/>
  <c r="I3" i="37"/>
  <c r="H3" i="37"/>
  <c r="L3" i="37"/>
  <c r="G3" i="37"/>
  <c r="F3" i="37"/>
  <c r="D3" i="37"/>
  <c r="E3" i="37"/>
  <c r="F6" i="37"/>
  <c r="E6" i="37"/>
  <c r="L6" i="37"/>
  <c r="D6" i="37"/>
  <c r="K6" i="37"/>
  <c r="J6" i="37"/>
  <c r="I6" i="37"/>
  <c r="G6" i="37"/>
  <c r="H6" i="37"/>
  <c r="J4" i="37"/>
  <c r="I4" i="37"/>
  <c r="H4" i="37"/>
  <c r="G4" i="37"/>
  <c r="F4" i="37"/>
  <c r="E4" i="37"/>
  <c r="L4" i="37"/>
  <c r="D4" i="37"/>
  <c r="K4" i="37"/>
  <c r="G5" i="37"/>
  <c r="F5" i="37"/>
  <c r="E5" i="37"/>
  <c r="L5" i="37"/>
  <c r="D5" i="37"/>
  <c r="H5" i="37"/>
  <c r="K5" i="37"/>
  <c r="J5" i="37"/>
  <c r="I5" i="37"/>
  <c r="F11" i="37"/>
  <c r="G11" i="37"/>
  <c r="H11" i="37"/>
  <c r="I11" i="37"/>
  <c r="F10" i="37"/>
  <c r="J11" i="37"/>
  <c r="D11" i="37"/>
  <c r="H5" i="35"/>
  <c r="G5" i="35"/>
  <c r="F5" i="35"/>
  <c r="E5" i="35"/>
  <c r="L5" i="35"/>
  <c r="D5" i="35"/>
  <c r="K5" i="35"/>
  <c r="I5" i="35"/>
  <c r="J5" i="35"/>
  <c r="I9" i="35"/>
  <c r="J9" i="35"/>
  <c r="H9" i="35"/>
  <c r="G9" i="35"/>
  <c r="F9" i="35"/>
  <c r="E9" i="35"/>
  <c r="L9" i="35"/>
  <c r="D9" i="35"/>
  <c r="K9" i="35"/>
  <c r="G6" i="35"/>
  <c r="F6" i="35"/>
  <c r="E6" i="35"/>
  <c r="H6" i="35"/>
  <c r="L6" i="35"/>
  <c r="D6" i="35"/>
  <c r="K6" i="35"/>
  <c r="J6" i="35"/>
  <c r="I6" i="35"/>
  <c r="E7" i="35"/>
  <c r="L7" i="35"/>
  <c r="D7" i="35"/>
  <c r="F7" i="35"/>
  <c r="K7" i="35"/>
  <c r="J7" i="35"/>
  <c r="I7" i="35"/>
  <c r="H7" i="35"/>
  <c r="G7" i="35"/>
  <c r="E2" i="35"/>
  <c r="L2" i="35"/>
  <c r="D2" i="35"/>
  <c r="K2" i="35"/>
  <c r="J2" i="35"/>
  <c r="I2" i="35"/>
  <c r="F2" i="35"/>
  <c r="H2" i="35"/>
  <c r="G2" i="35"/>
  <c r="K8" i="35"/>
  <c r="J8" i="35"/>
  <c r="I8" i="35"/>
  <c r="L8" i="35"/>
  <c r="H8" i="35"/>
  <c r="G8" i="35"/>
  <c r="D8" i="35"/>
  <c r="F8" i="35"/>
  <c r="E8" i="35"/>
  <c r="K4" i="35"/>
  <c r="J4" i="35"/>
  <c r="I4" i="35"/>
  <c r="D4" i="35"/>
  <c r="H4" i="35"/>
  <c r="G4" i="35"/>
  <c r="F4" i="35"/>
  <c r="E4" i="35"/>
  <c r="L4" i="35"/>
  <c r="F3" i="35"/>
  <c r="G3" i="35"/>
  <c r="H3" i="35"/>
  <c r="I3" i="35"/>
  <c r="J3" i="35"/>
  <c r="K3" i="35"/>
  <c r="D3" i="35"/>
  <c r="L3" i="33"/>
  <c r="D3" i="33"/>
  <c r="K3" i="33"/>
  <c r="J3" i="33"/>
  <c r="I3" i="33"/>
  <c r="G3" i="33"/>
  <c r="H3" i="33"/>
  <c r="F3" i="33"/>
  <c r="E3" i="33"/>
  <c r="K4" i="33"/>
  <c r="J4" i="33"/>
  <c r="I4" i="33"/>
  <c r="H4" i="33"/>
  <c r="G4" i="33"/>
  <c r="F4" i="33"/>
  <c r="E4" i="33"/>
  <c r="L4" i="33"/>
  <c r="D4" i="33"/>
  <c r="I9" i="33"/>
  <c r="H9" i="33"/>
  <c r="G9" i="33"/>
  <c r="F9" i="33"/>
  <c r="L9" i="33"/>
  <c r="E9" i="33"/>
  <c r="D9" i="33"/>
  <c r="K9" i="33"/>
  <c r="J9" i="33"/>
  <c r="G6" i="33"/>
  <c r="F6" i="33"/>
  <c r="E6" i="33"/>
  <c r="L6" i="33"/>
  <c r="D6" i="33"/>
  <c r="K6" i="33"/>
  <c r="J6" i="33"/>
  <c r="I6" i="33"/>
  <c r="H6" i="33"/>
  <c r="E7" i="33"/>
  <c r="L7" i="33"/>
  <c r="D7" i="33"/>
  <c r="K7" i="33"/>
  <c r="J7" i="33"/>
  <c r="H7" i="33"/>
  <c r="I7" i="33"/>
  <c r="G7" i="33"/>
  <c r="F7" i="33"/>
  <c r="E2" i="33"/>
  <c r="L2" i="33"/>
  <c r="D2" i="33"/>
  <c r="K2" i="33"/>
  <c r="J2" i="33"/>
  <c r="I2" i="33"/>
  <c r="H2" i="33"/>
  <c r="G2" i="33"/>
  <c r="F2" i="33"/>
  <c r="J5" i="33"/>
  <c r="D5" i="33"/>
  <c r="L5" i="33"/>
  <c r="K5" i="33"/>
  <c r="E5" i="33"/>
  <c r="G5" i="33"/>
  <c r="I2" i="31"/>
  <c r="G2" i="31"/>
  <c r="F2" i="31"/>
  <c r="H2" i="31"/>
  <c r="E2" i="31"/>
  <c r="L2" i="31"/>
  <c r="D2" i="31"/>
  <c r="K2" i="31"/>
  <c r="J2" i="31"/>
  <c r="I5" i="31"/>
  <c r="G5" i="31"/>
  <c r="F5" i="31"/>
  <c r="E5" i="31"/>
  <c r="L5" i="31"/>
  <c r="D5" i="31"/>
  <c r="K5" i="31"/>
  <c r="J5" i="31"/>
  <c r="H5" i="31"/>
  <c r="G6" i="31"/>
  <c r="E6" i="31"/>
  <c r="F6" i="31"/>
  <c r="L6" i="31"/>
  <c r="D6" i="31"/>
  <c r="K6" i="31"/>
  <c r="J6" i="31"/>
  <c r="I6" i="31"/>
  <c r="H6" i="31"/>
  <c r="G8" i="31"/>
  <c r="F8" i="31"/>
  <c r="E8" i="31"/>
  <c r="L8" i="31"/>
  <c r="D8" i="31"/>
  <c r="K8" i="31"/>
  <c r="J8" i="31"/>
  <c r="I8" i="31"/>
  <c r="H8" i="31"/>
  <c r="E4" i="31"/>
  <c r="L4" i="31"/>
  <c r="K4" i="31"/>
  <c r="J4" i="31"/>
  <c r="I4" i="31"/>
  <c r="D4" i="31"/>
  <c r="H4" i="31"/>
  <c r="G4" i="31"/>
  <c r="F4" i="31"/>
  <c r="K7" i="31"/>
  <c r="I7" i="31"/>
  <c r="H7" i="31"/>
  <c r="J7" i="31"/>
  <c r="G7" i="31"/>
  <c r="F7" i="31"/>
  <c r="E7" i="31"/>
  <c r="L7" i="31"/>
  <c r="D7" i="31"/>
  <c r="G3" i="31"/>
  <c r="E3" i="31"/>
  <c r="L3" i="31"/>
  <c r="D3" i="31"/>
  <c r="K3" i="31"/>
  <c r="J3" i="31"/>
  <c r="I3" i="31"/>
  <c r="F3" i="31"/>
  <c r="H3" i="31"/>
  <c r="K9" i="31"/>
  <c r="I9" i="31"/>
  <c r="H9" i="31"/>
  <c r="G9" i="31"/>
  <c r="J9" i="31"/>
  <c r="F9" i="31"/>
  <c r="E9" i="31"/>
  <c r="L9" i="31"/>
  <c r="D9" i="31"/>
  <c r="H6" i="29"/>
  <c r="G6" i="29"/>
  <c r="F6" i="29"/>
  <c r="E6" i="29"/>
  <c r="L6" i="29"/>
  <c r="D6" i="29"/>
  <c r="I6" i="29"/>
  <c r="K6" i="29"/>
  <c r="J6" i="29"/>
  <c r="F4" i="29"/>
  <c r="E4" i="29"/>
  <c r="L4" i="29"/>
  <c r="D4" i="29"/>
  <c r="K4" i="29"/>
  <c r="J4" i="29"/>
  <c r="I4" i="29"/>
  <c r="H4" i="29"/>
  <c r="G4" i="29"/>
  <c r="J5" i="29"/>
  <c r="K5" i="29"/>
  <c r="I5" i="29"/>
  <c r="H5" i="29"/>
  <c r="G5" i="29"/>
  <c r="F5" i="29"/>
  <c r="E5" i="29"/>
  <c r="L5" i="29"/>
  <c r="D5" i="29"/>
  <c r="J2" i="29"/>
  <c r="I2" i="29"/>
  <c r="H2" i="29"/>
  <c r="G2" i="29"/>
  <c r="F2" i="29"/>
  <c r="E2" i="29"/>
  <c r="L2" i="29"/>
  <c r="D2" i="29"/>
  <c r="K2" i="29"/>
  <c r="L9" i="29"/>
  <c r="D9" i="29"/>
  <c r="K9" i="29"/>
  <c r="J9" i="29"/>
  <c r="I9" i="29"/>
  <c r="H9" i="29"/>
  <c r="G9" i="29"/>
  <c r="F9" i="29"/>
  <c r="E9" i="29"/>
  <c r="H3" i="29"/>
  <c r="G3" i="29"/>
  <c r="F3" i="29"/>
  <c r="E3" i="29"/>
  <c r="L3" i="29"/>
  <c r="D3" i="29"/>
  <c r="K3" i="29"/>
  <c r="J3" i="29"/>
  <c r="I3" i="29"/>
  <c r="L7" i="29"/>
  <c r="D7" i="29"/>
  <c r="K7" i="29"/>
  <c r="J7" i="29"/>
  <c r="I7" i="29"/>
  <c r="H7" i="29"/>
  <c r="G7" i="29"/>
  <c r="F7" i="29"/>
  <c r="E7" i="29"/>
  <c r="H8" i="29"/>
  <c r="G8" i="29"/>
  <c r="F8" i="29"/>
  <c r="E8" i="29"/>
  <c r="I8" i="29"/>
  <c r="L8" i="29"/>
  <c r="D8" i="29"/>
  <c r="K8" i="29"/>
  <c r="J8" i="29"/>
  <c r="C6" i="27"/>
  <c r="C5" i="27"/>
  <c r="C4" i="27"/>
  <c r="C7" i="27"/>
  <c r="C3" i="27"/>
  <c r="C9" i="27"/>
  <c r="G8" i="27"/>
  <c r="F8" i="27"/>
  <c r="E8" i="27"/>
  <c r="H8" i="27"/>
  <c r="L8" i="27"/>
  <c r="D8" i="27"/>
  <c r="K8" i="27"/>
  <c r="J8" i="27"/>
  <c r="I8" i="27"/>
  <c r="C2" i="27"/>
  <c r="T94" i="46"/>
  <c r="G2" i="25"/>
  <c r="F2" i="25"/>
  <c r="E2" i="25"/>
  <c r="L2" i="25"/>
  <c r="D2" i="25"/>
  <c r="K2" i="25"/>
  <c r="J2" i="25"/>
  <c r="I2" i="25"/>
  <c r="H2" i="25"/>
  <c r="E6" i="25"/>
  <c r="L6" i="25"/>
  <c r="D6" i="25"/>
  <c r="K6" i="25"/>
  <c r="J6" i="25"/>
  <c r="I6" i="25"/>
  <c r="H6" i="25"/>
  <c r="G6" i="25"/>
  <c r="F6" i="25"/>
  <c r="E3" i="25"/>
  <c r="L3" i="25"/>
  <c r="D3" i="25"/>
  <c r="K3" i="25"/>
  <c r="J3" i="25"/>
  <c r="I3" i="25"/>
  <c r="H3" i="25"/>
  <c r="G3" i="25"/>
  <c r="F3" i="25"/>
  <c r="G5" i="25"/>
  <c r="F5" i="25"/>
  <c r="E5" i="25"/>
  <c r="L5" i="25"/>
  <c r="D5" i="25"/>
  <c r="K5" i="25"/>
  <c r="J5" i="25"/>
  <c r="I5" i="25"/>
  <c r="H5" i="25"/>
  <c r="K4" i="25"/>
  <c r="J4" i="25"/>
  <c r="I4" i="25"/>
  <c r="H4" i="25"/>
  <c r="G4" i="25"/>
  <c r="F4" i="25"/>
  <c r="E4" i="25"/>
  <c r="L4" i="25"/>
  <c r="D4" i="25"/>
  <c r="I7" i="25"/>
  <c r="H7" i="25"/>
  <c r="G7" i="25"/>
  <c r="F7" i="25"/>
  <c r="E7" i="25"/>
  <c r="L7" i="25"/>
  <c r="D7" i="25"/>
  <c r="K7" i="25"/>
  <c r="J7" i="25"/>
  <c r="E8" i="25"/>
  <c r="L8" i="25"/>
  <c r="D8" i="25"/>
  <c r="K8" i="25"/>
  <c r="J8" i="25"/>
  <c r="I8" i="25"/>
  <c r="H8" i="25"/>
  <c r="G8" i="25"/>
  <c r="F8" i="25"/>
  <c r="I9" i="25"/>
  <c r="H9" i="25"/>
  <c r="G9" i="25"/>
  <c r="F9" i="25"/>
  <c r="E9" i="25"/>
  <c r="L9" i="25"/>
  <c r="D9" i="25"/>
  <c r="K9" i="25"/>
  <c r="J9" i="25"/>
  <c r="T94" i="45"/>
  <c r="L4" i="22"/>
  <c r="G6" i="22"/>
  <c r="J7" i="22"/>
  <c r="I7" i="22"/>
  <c r="H7" i="22"/>
  <c r="K7" i="22"/>
  <c r="G7" i="22"/>
  <c r="F7" i="22"/>
  <c r="E7" i="22"/>
  <c r="L7" i="22"/>
  <c r="D7" i="22"/>
  <c r="L3" i="22"/>
  <c r="H2" i="22"/>
  <c r="G2" i="22"/>
  <c r="F2" i="22"/>
  <c r="E2" i="22"/>
  <c r="L2" i="22"/>
  <c r="D2" i="22"/>
  <c r="K2" i="22"/>
  <c r="I2" i="22"/>
  <c r="J2" i="22"/>
  <c r="F8" i="22"/>
  <c r="E8" i="22"/>
  <c r="G8" i="22"/>
  <c r="L8" i="22"/>
  <c r="D8" i="22"/>
  <c r="K8" i="22"/>
  <c r="J8" i="22"/>
  <c r="I8" i="22"/>
  <c r="H8" i="22"/>
  <c r="J9" i="22"/>
  <c r="I9" i="22"/>
  <c r="H9" i="22"/>
  <c r="G9" i="22"/>
  <c r="F9" i="22"/>
  <c r="E9" i="22"/>
  <c r="K9" i="22"/>
  <c r="L9" i="22"/>
  <c r="D9" i="22"/>
  <c r="G68" i="1"/>
  <c r="F113" i="1"/>
  <c r="W37" i="1" s="1"/>
  <c r="W39" i="1" s="1"/>
  <c r="W62" i="1" s="1"/>
  <c r="V63" i="1"/>
  <c r="C9" i="19"/>
  <c r="C4" i="19"/>
  <c r="C5" i="19"/>
  <c r="C6" i="19"/>
  <c r="C2" i="19"/>
  <c r="C7" i="19"/>
  <c r="C3" i="19"/>
  <c r="T95" i="1"/>
  <c r="O98" i="44"/>
  <c r="AA98" i="44"/>
  <c r="O51" i="44"/>
  <c r="S51" i="44" s="1"/>
  <c r="O47" i="44"/>
  <c r="S47" i="44" s="1"/>
  <c r="AD40" i="44"/>
  <c r="AB39" i="44"/>
  <c r="P22" i="44"/>
  <c r="T22" i="44" s="1"/>
  <c r="O13" i="44"/>
  <c r="P6" i="44"/>
  <c r="T6" i="44" s="1"/>
  <c r="S84" i="44"/>
  <c r="N52" i="44"/>
  <c r="O49" i="44"/>
  <c r="S49" i="44" s="1"/>
  <c r="N48" i="44"/>
  <c r="O25" i="44"/>
  <c r="P23" i="44"/>
  <c r="T23" i="44" s="1"/>
  <c r="O19" i="44"/>
  <c r="O17" i="44"/>
  <c r="O15" i="44"/>
  <c r="P10" i="44"/>
  <c r="T10" i="44" s="1"/>
  <c r="O8" i="44"/>
  <c r="J6" i="44"/>
  <c r="O97" i="44"/>
  <c r="AD38" i="44"/>
  <c r="G42" i="44"/>
  <c r="P24" i="44"/>
  <c r="T24" i="44" s="1"/>
  <c r="O21" i="44"/>
  <c r="P14" i="44"/>
  <c r="T14" i="44" s="1"/>
  <c r="O12" i="44"/>
  <c r="P7" i="44"/>
  <c r="T7" i="44" s="1"/>
  <c r="AA99" i="44"/>
  <c r="O50" i="44"/>
  <c r="S50" i="44" s="1"/>
  <c r="AC38" i="44"/>
  <c r="B42" i="44"/>
  <c r="O24" i="44"/>
  <c r="P18" i="44"/>
  <c r="T18" i="44" s="1"/>
  <c r="P16" i="44"/>
  <c r="T16" i="44" s="1"/>
  <c r="O14" i="44"/>
  <c r="O7" i="44"/>
  <c r="J5" i="44"/>
  <c r="P19" i="44"/>
  <c r="T19" i="44" s="1"/>
  <c r="G86" i="1"/>
  <c r="O11" i="44"/>
  <c r="O20" i="44"/>
  <c r="O23" i="44"/>
  <c r="AC39" i="44"/>
  <c r="N47" i="44"/>
  <c r="F119" i="45"/>
  <c r="G119" i="45" s="1"/>
  <c r="P8" i="44"/>
  <c r="T8" i="44" s="1"/>
  <c r="P11" i="44"/>
  <c r="T11" i="44" s="1"/>
  <c r="O16" i="44"/>
  <c r="P20" i="44"/>
  <c r="T20" i="44" s="1"/>
  <c r="AD39" i="44"/>
  <c r="O52" i="44"/>
  <c r="S52" i="44" s="1"/>
  <c r="F45" i="45"/>
  <c r="G45" i="45" s="1"/>
  <c r="O9" i="44"/>
  <c r="P12" i="44"/>
  <c r="T12" i="44" s="1"/>
  <c r="P21" i="44"/>
  <c r="T21" i="44" s="1"/>
  <c r="U47" i="44"/>
  <c r="Y47" i="44" s="1"/>
  <c r="N50" i="44"/>
  <c r="G116" i="1"/>
  <c r="P9" i="44"/>
  <c r="T9" i="44" s="1"/>
  <c r="P17" i="44"/>
  <c r="T17" i="44" s="1"/>
  <c r="O22" i="44"/>
  <c r="AA97" i="44"/>
  <c r="P13" i="44"/>
  <c r="T13" i="44" s="1"/>
  <c r="AA38" i="44"/>
  <c r="O48" i="44"/>
  <c r="S48" i="44" s="1"/>
  <c r="N51" i="44"/>
  <c r="G108" i="1"/>
  <c r="O6" i="44"/>
  <c r="O10" i="44"/>
  <c r="O18" i="44"/>
  <c r="AB38" i="44"/>
  <c r="U48" i="44"/>
  <c r="Y48" i="44" s="1"/>
  <c r="F92" i="45"/>
  <c r="G92" i="45" s="1"/>
  <c r="F84" i="45"/>
  <c r="G84" i="45" s="1"/>
  <c r="F94" i="45"/>
  <c r="G94" i="45" s="1"/>
  <c r="F107" i="45"/>
  <c r="F100" i="45"/>
  <c r="G100" i="45" s="1"/>
  <c r="F91" i="45"/>
  <c r="F83" i="45"/>
  <c r="F78" i="45"/>
  <c r="G78" i="45" s="1"/>
  <c r="F75" i="45"/>
  <c r="F44" i="45"/>
  <c r="G44" i="45" s="1"/>
  <c r="F118" i="45"/>
  <c r="G118" i="45" s="1"/>
  <c r="F110" i="45"/>
  <c r="G110" i="45" s="1"/>
  <c r="F103" i="45"/>
  <c r="G103" i="45" s="1"/>
  <c r="F95" i="45"/>
  <c r="G95" i="45" s="1"/>
  <c r="F77" i="45"/>
  <c r="G77" i="45" s="1"/>
  <c r="F70" i="45"/>
  <c r="G70" i="45" s="1"/>
  <c r="F68" i="45"/>
  <c r="G68" i="45" s="1"/>
  <c r="F63" i="45"/>
  <c r="G63" i="45" s="1"/>
  <c r="F59" i="45"/>
  <c r="F55" i="45"/>
  <c r="G55" i="45" s="1"/>
  <c r="F51" i="45"/>
  <c r="F47" i="45"/>
  <c r="G47" i="45" s="1"/>
  <c r="F101" i="45"/>
  <c r="G101" i="45" s="1"/>
  <c r="F85" i="45"/>
  <c r="G85" i="45" s="1"/>
  <c r="F60" i="45"/>
  <c r="G60" i="45" s="1"/>
  <c r="F71" i="45"/>
  <c r="G71" i="45" s="1"/>
  <c r="F69" i="45"/>
  <c r="G69" i="45" s="1"/>
  <c r="F53" i="45"/>
  <c r="G53" i="45" s="1"/>
  <c r="F93" i="45"/>
  <c r="G93" i="45" s="1"/>
  <c r="F117" i="45"/>
  <c r="G117" i="45" s="1"/>
  <c r="F79" i="45"/>
  <c r="G79" i="45" s="1"/>
  <c r="F67" i="45"/>
  <c r="F116" i="45"/>
  <c r="G116" i="45" s="1"/>
  <c r="F115" i="45"/>
  <c r="F109" i="45"/>
  <c r="G109" i="45" s="1"/>
  <c r="F102" i="45"/>
  <c r="G102" i="45" s="1"/>
  <c r="F62" i="45"/>
  <c r="G62" i="45" s="1"/>
  <c r="F46" i="45"/>
  <c r="G46" i="45" s="1"/>
  <c r="P26" i="45"/>
  <c r="T26" i="45" s="1"/>
  <c r="F108" i="45"/>
  <c r="G108" i="45" s="1"/>
  <c r="F99" i="45"/>
  <c r="F87" i="45"/>
  <c r="G87" i="45" s="1"/>
  <c r="F54" i="45"/>
  <c r="G54" i="45" s="1"/>
  <c r="F52" i="45"/>
  <c r="G52" i="45" s="1"/>
  <c r="F76" i="45"/>
  <c r="G76" i="45" s="1"/>
  <c r="P25" i="44"/>
  <c r="T25" i="44" s="1"/>
  <c r="O99" i="44"/>
  <c r="AA39" i="44"/>
  <c r="AC40" i="44"/>
  <c r="N49" i="44"/>
  <c r="G43" i="45"/>
  <c r="F46" i="44"/>
  <c r="G46" i="44" s="1"/>
  <c r="F52" i="44"/>
  <c r="G52" i="44" s="1"/>
  <c r="F54" i="44"/>
  <c r="G54" i="44" s="1"/>
  <c r="G61" i="44"/>
  <c r="F67" i="44"/>
  <c r="F102" i="44"/>
  <c r="G102" i="44" s="1"/>
  <c r="F109" i="44"/>
  <c r="G109" i="44" s="1"/>
  <c r="G60" i="44"/>
  <c r="F77" i="44"/>
  <c r="G77" i="44" s="1"/>
  <c r="F85" i="44"/>
  <c r="G85" i="44" s="1"/>
  <c r="F93" i="44"/>
  <c r="G93" i="44" s="1"/>
  <c r="F78" i="44"/>
  <c r="G78" i="44" s="1"/>
  <c r="F83" i="44"/>
  <c r="F86" i="44"/>
  <c r="G86" i="44" s="1"/>
  <c r="F94" i="44"/>
  <c r="G94" i="44" s="1"/>
  <c r="F110" i="44"/>
  <c r="G110" i="44" s="1"/>
  <c r="G75" i="46"/>
  <c r="F117" i="44"/>
  <c r="G117" i="44" s="1"/>
  <c r="F108" i="44"/>
  <c r="G108" i="44" s="1"/>
  <c r="F87" i="44"/>
  <c r="G87" i="44" s="1"/>
  <c r="F91" i="44"/>
  <c r="F95" i="44"/>
  <c r="G95" i="44" s="1"/>
  <c r="F107" i="44"/>
  <c r="F115" i="44"/>
  <c r="O99" i="45"/>
  <c r="AA98" i="47"/>
  <c r="O50" i="47"/>
  <c r="S50" i="47" s="1"/>
  <c r="U48" i="47"/>
  <c r="Y48" i="47" s="1"/>
  <c r="AA99" i="47"/>
  <c r="AA97" i="47"/>
  <c r="O52" i="47"/>
  <c r="S52" i="47" s="1"/>
  <c r="N51" i="47"/>
  <c r="O48" i="47"/>
  <c r="S48" i="47" s="1"/>
  <c r="N47" i="47"/>
  <c r="O99" i="47"/>
  <c r="O97" i="47"/>
  <c r="N52" i="47"/>
  <c r="O49" i="47"/>
  <c r="S49" i="47" s="1"/>
  <c r="N48" i="47"/>
  <c r="O98" i="47"/>
  <c r="N50" i="47"/>
  <c r="U47" i="47"/>
  <c r="Y47" i="47" s="1"/>
  <c r="AD40" i="47"/>
  <c r="AB39" i="47"/>
  <c r="P22" i="47"/>
  <c r="T22" i="47" s="1"/>
  <c r="O13" i="47"/>
  <c r="O8" i="47"/>
  <c r="J6" i="47"/>
  <c r="AD38" i="47"/>
  <c r="G42" i="47"/>
  <c r="P24" i="47"/>
  <c r="T24" i="47" s="1"/>
  <c r="O21" i="47"/>
  <c r="P14" i="47"/>
  <c r="T14" i="47" s="1"/>
  <c r="P9" i="47"/>
  <c r="T9" i="47" s="1"/>
  <c r="P6" i="47"/>
  <c r="T6" i="47" s="1"/>
  <c r="O9" i="47"/>
  <c r="P12" i="47"/>
  <c r="T12" i="47" s="1"/>
  <c r="P18" i="47"/>
  <c r="T18" i="47" s="1"/>
  <c r="P26" i="47"/>
  <c r="T26" i="47" s="1"/>
  <c r="F46" i="47"/>
  <c r="G46" i="47" s="1"/>
  <c r="AB38" i="47"/>
  <c r="AC40" i="47"/>
  <c r="F70" i="47"/>
  <c r="G70" i="47" s="1"/>
  <c r="F78" i="47"/>
  <c r="G78" i="47" s="1"/>
  <c r="S84" i="47"/>
  <c r="AC38" i="47"/>
  <c r="F53" i="47"/>
  <c r="G53" i="47" s="1"/>
  <c r="P7" i="45"/>
  <c r="T7" i="45" s="1"/>
  <c r="O12" i="45"/>
  <c r="P14" i="45"/>
  <c r="T14" i="45" s="1"/>
  <c r="O21" i="45"/>
  <c r="P24" i="45"/>
  <c r="T24" i="45" s="1"/>
  <c r="G42" i="45"/>
  <c r="AD38" i="45"/>
  <c r="O7" i="47"/>
  <c r="P10" i="47"/>
  <c r="T10" i="47" s="1"/>
  <c r="P19" i="47"/>
  <c r="T19" i="47" s="1"/>
  <c r="F43" i="47"/>
  <c r="F54" i="47"/>
  <c r="G54" i="47" s="1"/>
  <c r="F59" i="47"/>
  <c r="F62" i="47"/>
  <c r="G62" i="47" s="1"/>
  <c r="F83" i="47"/>
  <c r="F103" i="47"/>
  <c r="G103" i="47" s="1"/>
  <c r="J5" i="47"/>
  <c r="P7" i="47"/>
  <c r="T7" i="47" s="1"/>
  <c r="F93" i="47"/>
  <c r="G93" i="47" s="1"/>
  <c r="F85" i="47"/>
  <c r="G85" i="47" s="1"/>
  <c r="F77" i="47"/>
  <c r="G77" i="47" s="1"/>
  <c r="F61" i="47"/>
  <c r="G61" i="47" s="1"/>
  <c r="F92" i="47"/>
  <c r="G92" i="47" s="1"/>
  <c r="F84" i="47"/>
  <c r="G84" i="47" s="1"/>
  <c r="F79" i="47"/>
  <c r="G79" i="47" s="1"/>
  <c r="F76" i="47"/>
  <c r="G76" i="47" s="1"/>
  <c r="F71" i="47"/>
  <c r="G71" i="47" s="1"/>
  <c r="F69" i="47"/>
  <c r="G69" i="47" s="1"/>
  <c r="F95" i="47"/>
  <c r="G95" i="47" s="1"/>
  <c r="F91" i="47"/>
  <c r="F87" i="47"/>
  <c r="G87" i="47" s="1"/>
  <c r="F75" i="47"/>
  <c r="F119" i="47"/>
  <c r="G119" i="47" s="1"/>
  <c r="F115" i="47"/>
  <c r="F100" i="47"/>
  <c r="G100" i="47" s="1"/>
  <c r="F118" i="47"/>
  <c r="G118" i="47" s="1"/>
  <c r="F111" i="47"/>
  <c r="G111" i="47" s="1"/>
  <c r="F109" i="47"/>
  <c r="G109" i="47" s="1"/>
  <c r="F101" i="47"/>
  <c r="G101" i="47" s="1"/>
  <c r="F68" i="47"/>
  <c r="G68" i="47" s="1"/>
  <c r="F116" i="47"/>
  <c r="G116" i="47" s="1"/>
  <c r="F107" i="47"/>
  <c r="F102" i="47"/>
  <c r="G102" i="47" s="1"/>
  <c r="F99" i="47"/>
  <c r="O14" i="47"/>
  <c r="O17" i="47"/>
  <c r="O20" i="47"/>
  <c r="O24" i="47"/>
  <c r="AA39" i="47"/>
  <c r="F55" i="47"/>
  <c r="G55" i="47" s="1"/>
  <c r="O47" i="47"/>
  <c r="S47" i="47" s="1"/>
  <c r="F63" i="47"/>
  <c r="G63" i="47" s="1"/>
  <c r="F94" i="47"/>
  <c r="G94" i="47" s="1"/>
  <c r="S84" i="45"/>
  <c r="O6" i="45"/>
  <c r="P8" i="45"/>
  <c r="T8" i="45" s="1"/>
  <c r="P15" i="45"/>
  <c r="T15" i="45" s="1"/>
  <c r="P17" i="45"/>
  <c r="T17" i="45" s="1"/>
  <c r="P19" i="45"/>
  <c r="T19" i="45" s="1"/>
  <c r="O22" i="45"/>
  <c r="P25" i="45"/>
  <c r="T25" i="45" s="1"/>
  <c r="AA39" i="45"/>
  <c r="AC40" i="45"/>
  <c r="N47" i="45"/>
  <c r="O48" i="45"/>
  <c r="S48" i="45" s="1"/>
  <c r="N51" i="45"/>
  <c r="O52" i="45"/>
  <c r="S52" i="45" s="1"/>
  <c r="AA98" i="45"/>
  <c r="P8" i="47"/>
  <c r="T8" i="47" s="1"/>
  <c r="P11" i="47"/>
  <c r="T11" i="47" s="1"/>
  <c r="O15" i="47"/>
  <c r="O23" i="47"/>
  <c r="O25" i="47"/>
  <c r="F45" i="47"/>
  <c r="G45" i="47" s="1"/>
  <c r="AD39" i="47"/>
  <c r="F110" i="47"/>
  <c r="G110" i="47" s="1"/>
  <c r="O6" i="46"/>
  <c r="P8" i="46"/>
  <c r="T8" i="46" s="1"/>
  <c r="P13" i="46"/>
  <c r="T13" i="46" s="1"/>
  <c r="O20" i="46"/>
  <c r="P26" i="46"/>
  <c r="T26" i="46" s="1"/>
  <c r="F45" i="46"/>
  <c r="G45" i="46" s="1"/>
  <c r="AA38" i="46"/>
  <c r="AC39" i="46"/>
  <c r="F53" i="46"/>
  <c r="G53" i="46" s="1"/>
  <c r="U48" i="46"/>
  <c r="Y48" i="46" s="1"/>
  <c r="F69" i="46"/>
  <c r="G69" i="46" s="1"/>
  <c r="F71" i="46"/>
  <c r="G71" i="46" s="1"/>
  <c r="F99" i="46"/>
  <c r="F103" i="46"/>
  <c r="G103" i="46" s="1"/>
  <c r="F107" i="46"/>
  <c r="F110" i="46"/>
  <c r="G110" i="46" s="1"/>
  <c r="F116" i="46"/>
  <c r="G116" i="46" s="1"/>
  <c r="O12" i="46"/>
  <c r="P21" i="46"/>
  <c r="T21" i="46" s="1"/>
  <c r="O23" i="46"/>
  <c r="F43" i="46"/>
  <c r="F47" i="46"/>
  <c r="G47" i="46" s="1"/>
  <c r="F51" i="46"/>
  <c r="F55" i="46"/>
  <c r="G55" i="46" s="1"/>
  <c r="F59" i="46"/>
  <c r="N49" i="46"/>
  <c r="F63" i="46"/>
  <c r="G63" i="46" s="1"/>
  <c r="F68" i="46"/>
  <c r="F70" i="46"/>
  <c r="G70" i="46" s="1"/>
  <c r="F101" i="46"/>
  <c r="G101" i="46" s="1"/>
  <c r="F109" i="46"/>
  <c r="G109" i="46" s="1"/>
  <c r="F111" i="46"/>
  <c r="G111" i="46" s="1"/>
  <c r="J6" i="48"/>
  <c r="O8" i="48"/>
  <c r="O13" i="48"/>
  <c r="P22" i="48"/>
  <c r="T22" i="48" s="1"/>
  <c r="AB39" i="48"/>
  <c r="AD40" i="48"/>
  <c r="O47" i="48"/>
  <c r="S47" i="48" s="1"/>
  <c r="F62" i="48"/>
  <c r="G62" i="48" s="1"/>
  <c r="F107" i="48"/>
  <c r="F110" i="48"/>
  <c r="G110" i="48" s="1"/>
  <c r="F116" i="48"/>
  <c r="G116" i="48" s="1"/>
  <c r="E2" i="18"/>
  <c r="F5" i="18"/>
  <c r="F6" i="18"/>
  <c r="E9" i="18"/>
  <c r="E10" i="18"/>
  <c r="I10" i="18"/>
  <c r="F13" i="18"/>
  <c r="J13" i="18"/>
  <c r="H18" i="18"/>
  <c r="O6" i="48"/>
  <c r="P8" i="48"/>
  <c r="T8" i="48" s="1"/>
  <c r="P13" i="48"/>
  <c r="T13" i="48" s="1"/>
  <c r="O20" i="48"/>
  <c r="P26" i="48"/>
  <c r="T26" i="48" s="1"/>
  <c r="T63" i="48" s="1"/>
  <c r="F45" i="48"/>
  <c r="G45" i="48" s="1"/>
  <c r="AA38" i="48"/>
  <c r="AC39" i="48"/>
  <c r="F53" i="48"/>
  <c r="G53" i="48" s="1"/>
  <c r="U48" i="48"/>
  <c r="Y48" i="48" s="1"/>
  <c r="F69" i="48"/>
  <c r="G69" i="48" s="1"/>
  <c r="F71" i="48"/>
  <c r="G71" i="48" s="1"/>
  <c r="F76" i="48"/>
  <c r="G76" i="48" s="1"/>
  <c r="F79" i="48"/>
  <c r="G79" i="48" s="1"/>
  <c r="F84" i="48"/>
  <c r="G84" i="48" s="1"/>
  <c r="F92" i="48"/>
  <c r="G92" i="48" s="1"/>
  <c r="F2" i="18"/>
  <c r="L3" i="18"/>
  <c r="D3" i="18"/>
  <c r="G5" i="18"/>
  <c r="G6" i="18"/>
  <c r="L7" i="18"/>
  <c r="D7" i="18"/>
  <c r="H7" i="18"/>
  <c r="G9" i="18"/>
  <c r="J18" i="18"/>
  <c r="P6" i="48"/>
  <c r="T6" i="48" s="1"/>
  <c r="O11" i="48"/>
  <c r="O16" i="48"/>
  <c r="O18" i="48"/>
  <c r="P20" i="48"/>
  <c r="T20" i="48" s="1"/>
  <c r="AB38" i="48"/>
  <c r="AD39" i="48"/>
  <c r="U47" i="48"/>
  <c r="Y47" i="48" s="1"/>
  <c r="N50" i="48"/>
  <c r="F108" i="48"/>
  <c r="G108" i="48" s="1"/>
  <c r="O98" i="48"/>
  <c r="F117" i="48"/>
  <c r="G117" i="48" s="1"/>
  <c r="G2" i="18"/>
  <c r="E3" i="18"/>
  <c r="L4" i="18"/>
  <c r="I5" i="18"/>
  <c r="H6" i="18"/>
  <c r="E7" i="18"/>
  <c r="H9" i="18"/>
  <c r="F10" i="18"/>
  <c r="E13" i="18"/>
  <c r="I14" i="18"/>
  <c r="E14" i="18"/>
  <c r="J17" i="18"/>
  <c r="F17" i="18"/>
  <c r="K18" i="18"/>
  <c r="G19" i="18"/>
  <c r="G26" i="18"/>
  <c r="E26" i="18"/>
  <c r="I26" i="18"/>
  <c r="H26" i="18"/>
  <c r="O9" i="48"/>
  <c r="P11" i="48"/>
  <c r="T11" i="48" s="1"/>
  <c r="O14" i="48"/>
  <c r="P16" i="48"/>
  <c r="T16" i="48" s="1"/>
  <c r="P18" i="48"/>
  <c r="T18" i="48" s="1"/>
  <c r="O24" i="48"/>
  <c r="B42" i="48"/>
  <c r="F46" i="48"/>
  <c r="G46" i="48" s="1"/>
  <c r="AC38" i="48"/>
  <c r="F52" i="48"/>
  <c r="G52" i="48" s="1"/>
  <c r="F54" i="48"/>
  <c r="G54" i="48" s="1"/>
  <c r="F61" i="48"/>
  <c r="G61" i="48" s="1"/>
  <c r="O50" i="48"/>
  <c r="S50" i="48" s="1"/>
  <c r="F67" i="48"/>
  <c r="F77" i="48"/>
  <c r="G77" i="48" s="1"/>
  <c r="F85" i="48"/>
  <c r="G85" i="48" s="1"/>
  <c r="F93" i="48"/>
  <c r="G93" i="48" s="1"/>
  <c r="AA98" i="48"/>
  <c r="H2" i="18"/>
  <c r="F3" i="18"/>
  <c r="J5" i="18"/>
  <c r="J6" i="18"/>
  <c r="F7" i="18"/>
  <c r="I9" i="18"/>
  <c r="G10" i="18"/>
  <c r="H11" i="18"/>
  <c r="L11" i="18"/>
  <c r="D11" i="18"/>
  <c r="G13" i="18"/>
  <c r="D17" i="18"/>
  <c r="I19" i="18"/>
  <c r="H21" i="18"/>
  <c r="F21" i="18"/>
  <c r="J21" i="18"/>
  <c r="I21" i="18"/>
  <c r="F23" i="18"/>
  <c r="L23" i="18"/>
  <c r="D23" i="18"/>
  <c r="H23" i="18"/>
  <c r="G23" i="18"/>
  <c r="L25" i="18"/>
  <c r="D25" i="18"/>
  <c r="J25" i="18"/>
  <c r="F25" i="18"/>
  <c r="E25" i="18"/>
  <c r="P9" i="48"/>
  <c r="T9" i="48" s="1"/>
  <c r="P14" i="48"/>
  <c r="T14" i="48" s="1"/>
  <c r="O21" i="48"/>
  <c r="P24" i="48"/>
  <c r="T24" i="48" s="1"/>
  <c r="G42" i="48"/>
  <c r="AD38" i="48"/>
  <c r="F60" i="48"/>
  <c r="G60" i="48" s="1"/>
  <c r="F109" i="48"/>
  <c r="G109" i="48" s="1"/>
  <c r="F111" i="48"/>
  <c r="G111" i="48" s="1"/>
  <c r="F118" i="48"/>
  <c r="G118" i="48" s="1"/>
  <c r="I2" i="18"/>
  <c r="K6" i="18"/>
  <c r="K9" i="18"/>
  <c r="E18" i="18"/>
  <c r="I18" i="18"/>
  <c r="J5" i="48"/>
  <c r="O7" i="48"/>
  <c r="O12" i="48"/>
  <c r="P21" i="48"/>
  <c r="T21" i="48" s="1"/>
  <c r="O23" i="48"/>
  <c r="F43" i="48"/>
  <c r="F47" i="48"/>
  <c r="G47" i="48" s="1"/>
  <c r="F51" i="48"/>
  <c r="F55" i="48"/>
  <c r="G55" i="48" s="1"/>
  <c r="F59" i="48"/>
  <c r="N49" i="48"/>
  <c r="F63" i="48"/>
  <c r="G63" i="48" s="1"/>
  <c r="F68" i="48"/>
  <c r="G68" i="48" s="1"/>
  <c r="F70" i="48"/>
  <c r="G70" i="48" s="1"/>
  <c r="F78" i="48"/>
  <c r="G78" i="48" s="1"/>
  <c r="F83" i="48"/>
  <c r="F86" i="48"/>
  <c r="G86" i="48" s="1"/>
  <c r="F94" i="48"/>
  <c r="G94" i="48" s="1"/>
  <c r="S84" i="48"/>
  <c r="J2" i="18"/>
  <c r="H3" i="18"/>
  <c r="F4" i="18"/>
  <c r="I7" i="18"/>
  <c r="J10" i="18"/>
  <c r="F11" i="18"/>
  <c r="I13" i="18"/>
  <c r="G14" i="18"/>
  <c r="L15" i="18"/>
  <c r="D15" i="18"/>
  <c r="H15" i="18"/>
  <c r="G17" i="18"/>
  <c r="D18" i="18"/>
  <c r="E21" i="18"/>
  <c r="I23" i="18"/>
  <c r="H25" i="18"/>
  <c r="J26" i="18"/>
  <c r="P7" i="48"/>
  <c r="T7" i="48" s="1"/>
  <c r="O10" i="48"/>
  <c r="P12" i="48"/>
  <c r="T12" i="48" s="1"/>
  <c r="O15" i="48"/>
  <c r="O17" i="48"/>
  <c r="O19" i="48"/>
  <c r="P23" i="48"/>
  <c r="T23" i="48" s="1"/>
  <c r="O25" i="48"/>
  <c r="N48" i="48"/>
  <c r="O49" i="48"/>
  <c r="S49" i="48" s="1"/>
  <c r="N52" i="48"/>
  <c r="O97" i="48"/>
  <c r="O99" i="48"/>
  <c r="F115" i="48"/>
  <c r="F119" i="48"/>
  <c r="G119" i="48" s="1"/>
  <c r="K2" i="18"/>
  <c r="L5" i="18"/>
  <c r="D5" i="18"/>
  <c r="H5" i="18"/>
  <c r="I6" i="18"/>
  <c r="E6" i="18"/>
  <c r="J9" i="18"/>
  <c r="F9" i="18"/>
  <c r="P10" i="48"/>
  <c r="T10" i="48" s="1"/>
  <c r="P15" i="48"/>
  <c r="T15" i="48" s="1"/>
  <c r="P17" i="48"/>
  <c r="T17" i="48" s="1"/>
  <c r="P19" i="48"/>
  <c r="T19" i="48" s="1"/>
  <c r="O22" i="48"/>
  <c r="P25" i="48"/>
  <c r="T25" i="48" s="1"/>
  <c r="F44" i="48"/>
  <c r="G44" i="48" s="1"/>
  <c r="AA39" i="48"/>
  <c r="AC40" i="48"/>
  <c r="N47" i="48"/>
  <c r="O48" i="48"/>
  <c r="S48" i="48" s="1"/>
  <c r="N51" i="48"/>
  <c r="O52" i="48"/>
  <c r="S52" i="48" s="1"/>
  <c r="F75" i="48"/>
  <c r="F87" i="48"/>
  <c r="G87" i="48" s="1"/>
  <c r="F91" i="48"/>
  <c r="AA97" i="48"/>
  <c r="AA99" i="48"/>
  <c r="D2" i="18"/>
  <c r="J3" i="18"/>
  <c r="E5" i="18"/>
  <c r="D6" i="18"/>
  <c r="K7" i="18"/>
  <c r="D9" i="18"/>
  <c r="L10" i="18"/>
  <c r="I11" i="18"/>
  <c r="L13" i="18"/>
  <c r="J14" i="18"/>
  <c r="I17" i="18"/>
  <c r="G18" i="18"/>
  <c r="H19" i="18"/>
  <c r="L19" i="18"/>
  <c r="D19" i="18"/>
  <c r="K21" i="18"/>
  <c r="K23" i="18"/>
  <c r="K25" i="18"/>
  <c r="D22" i="18"/>
  <c r="L22" i="18"/>
  <c r="J24" i="18"/>
  <c r="K27" i="18"/>
  <c r="F28" i="18"/>
  <c r="F87" i="50"/>
  <c r="G87" i="50" s="1"/>
  <c r="F75" i="51"/>
  <c r="G75" i="51" s="1"/>
  <c r="O8" i="53"/>
  <c r="O17" i="53"/>
  <c r="AA38" i="53"/>
  <c r="N48" i="53"/>
  <c r="F108" i="54"/>
  <c r="G108" i="54" s="1"/>
  <c r="K8" i="18"/>
  <c r="G12" i="18"/>
  <c r="K16" i="18"/>
  <c r="G20" i="18"/>
  <c r="E22" i="18"/>
  <c r="K24" i="18"/>
  <c r="D27" i="18"/>
  <c r="L27" i="18"/>
  <c r="G28" i="18"/>
  <c r="F71" i="49"/>
  <c r="G71" i="49" s="1"/>
  <c r="F85" i="49"/>
  <c r="G85" i="49" s="1"/>
  <c r="F115" i="49"/>
  <c r="G115" i="49" s="1"/>
  <c r="F78" i="51"/>
  <c r="G78" i="51" s="1"/>
  <c r="F94" i="51"/>
  <c r="G94" i="51" s="1"/>
  <c r="P8" i="53"/>
  <c r="T8" i="53" s="1"/>
  <c r="AB39" i="53"/>
  <c r="N49" i="53"/>
  <c r="F91" i="53"/>
  <c r="G91" i="53" s="1"/>
  <c r="F71" i="54"/>
  <c r="G71" i="54" s="1"/>
  <c r="F85" i="54"/>
  <c r="G85" i="54" s="1"/>
  <c r="F110" i="54"/>
  <c r="G110" i="54" s="1"/>
  <c r="H28" i="18"/>
  <c r="F87" i="49"/>
  <c r="G87" i="49" s="1"/>
  <c r="F119" i="49"/>
  <c r="G119" i="49" s="1"/>
  <c r="F75" i="50"/>
  <c r="F69" i="51"/>
  <c r="G69" i="51" s="1"/>
  <c r="F83" i="51"/>
  <c r="P10" i="53"/>
  <c r="T10" i="53" s="1"/>
  <c r="AC39" i="53"/>
  <c r="F63" i="53"/>
  <c r="G63" i="53" s="1"/>
  <c r="F95" i="53"/>
  <c r="G95" i="53" s="1"/>
  <c r="O98" i="53"/>
  <c r="O24" i="54"/>
  <c r="F87" i="54"/>
  <c r="G87" i="54" s="1"/>
  <c r="F101" i="54"/>
  <c r="G101" i="54" s="1"/>
  <c r="I28" i="18"/>
  <c r="F78" i="50"/>
  <c r="G78" i="50" s="1"/>
  <c r="F94" i="50"/>
  <c r="G94" i="50" s="1"/>
  <c r="P18" i="52"/>
  <c r="T18" i="52" s="1"/>
  <c r="O19" i="53"/>
  <c r="O25" i="53"/>
  <c r="AD40" i="53"/>
  <c r="F102" i="54"/>
  <c r="G102" i="54" s="1"/>
  <c r="J28" i="18"/>
  <c r="F75" i="49"/>
  <c r="G75" i="49" s="1"/>
  <c r="F69" i="50"/>
  <c r="G69" i="50" s="1"/>
  <c r="F83" i="50"/>
  <c r="J6" i="53"/>
  <c r="P12" i="53"/>
  <c r="T12" i="53" s="1"/>
  <c r="P21" i="53"/>
  <c r="T21" i="53" s="1"/>
  <c r="B42" i="53"/>
  <c r="F53" i="53"/>
  <c r="G53" i="53" s="1"/>
  <c r="F75" i="54"/>
  <c r="G75" i="54" s="1"/>
  <c r="F115" i="54"/>
  <c r="G115" i="54" s="1"/>
  <c r="P28" i="53"/>
  <c r="T28" i="53" s="1"/>
  <c r="I22" i="18"/>
  <c r="G24" i="18"/>
  <c r="H27" i="18"/>
  <c r="K28" i="18"/>
  <c r="F78" i="49"/>
  <c r="G78" i="49" s="1"/>
  <c r="F94" i="49"/>
  <c r="G94" i="49" s="1"/>
  <c r="F108" i="49"/>
  <c r="G108" i="49" s="1"/>
  <c r="F71" i="51"/>
  <c r="G71" i="51" s="1"/>
  <c r="F85" i="51"/>
  <c r="G85" i="51" s="1"/>
  <c r="O6" i="53"/>
  <c r="O15" i="53"/>
  <c r="F45" i="53"/>
  <c r="G45" i="53" s="1"/>
  <c r="S84" i="53"/>
  <c r="F78" i="54"/>
  <c r="G78" i="54" s="1"/>
  <c r="F91" i="54"/>
  <c r="G91" i="54" s="1"/>
  <c r="F116" i="54"/>
  <c r="G116" i="54" s="1"/>
  <c r="F69" i="49"/>
  <c r="G69" i="49" s="1"/>
  <c r="F83" i="49"/>
  <c r="F110" i="49"/>
  <c r="G110" i="49" s="1"/>
  <c r="F87" i="51"/>
  <c r="G87" i="51" s="1"/>
  <c r="P6" i="53"/>
  <c r="T6" i="53" s="1"/>
  <c r="F101" i="53"/>
  <c r="G101" i="53" s="1"/>
  <c r="F69" i="54"/>
  <c r="G69" i="54" s="1"/>
  <c r="F83" i="54"/>
  <c r="G83" i="54" s="1"/>
  <c r="F94" i="54"/>
  <c r="G94" i="54" s="1"/>
  <c r="F119" i="54"/>
  <c r="G119" i="54" s="1"/>
  <c r="F71" i="50"/>
  <c r="G71" i="50" s="1"/>
  <c r="F85" i="50"/>
  <c r="G85" i="50" s="1"/>
  <c r="N47" i="53"/>
  <c r="O14" i="54"/>
  <c r="F95" i="54"/>
  <c r="G95" i="54" s="1"/>
  <c r="V62" i="48"/>
  <c r="O62" i="48"/>
  <c r="W62" i="48"/>
  <c r="P62" i="48"/>
  <c r="X62" i="48"/>
  <c r="Q62" i="48"/>
  <c r="R62" i="48"/>
  <c r="S62" i="48"/>
  <c r="T62" i="48"/>
  <c r="S62" i="47"/>
  <c r="T62" i="47"/>
  <c r="U62" i="47"/>
  <c r="V62" i="47"/>
  <c r="O62" i="47"/>
  <c r="W62" i="47"/>
  <c r="P62" i="47"/>
  <c r="X62" i="47"/>
  <c r="Q62" i="47"/>
  <c r="X62" i="46"/>
  <c r="R62" i="45"/>
  <c r="S62" i="45"/>
  <c r="T62" i="45"/>
  <c r="U62" i="45"/>
  <c r="V62" i="45"/>
  <c r="O62" i="45"/>
  <c r="W62" i="45"/>
  <c r="P62" i="45"/>
  <c r="X62" i="45"/>
  <c r="S62" i="44"/>
  <c r="T62" i="44"/>
  <c r="U62" i="44"/>
  <c r="V62" i="44"/>
  <c r="O62" i="44"/>
  <c r="W62" i="44"/>
  <c r="P62" i="44"/>
  <c r="X62" i="44"/>
  <c r="Q62" i="44"/>
  <c r="O63" i="1"/>
  <c r="W63" i="1"/>
  <c r="P63" i="1"/>
  <c r="X63" i="1"/>
  <c r="Q63" i="1"/>
  <c r="R63" i="1"/>
  <c r="S63" i="1"/>
  <c r="T63" i="1"/>
  <c r="Q64" i="1"/>
  <c r="X64" i="1"/>
  <c r="P64" i="1"/>
  <c r="W64" i="1"/>
  <c r="O64" i="1"/>
  <c r="T64" i="1"/>
  <c r="S63" i="47"/>
  <c r="R63" i="47"/>
  <c r="Q63" i="47"/>
  <c r="X63" i="47"/>
  <c r="P63" i="47"/>
  <c r="W63" i="47"/>
  <c r="O63" i="47"/>
  <c r="V63" i="47"/>
  <c r="U63" i="47"/>
  <c r="T63" i="47"/>
  <c r="Q63" i="44"/>
  <c r="X63" i="44"/>
  <c r="P63" i="44"/>
  <c r="W63" i="44"/>
  <c r="O63" i="44"/>
  <c r="T63" i="44"/>
  <c r="S63" i="44"/>
  <c r="T63" i="45"/>
  <c r="S63" i="45"/>
  <c r="R63" i="45"/>
  <c r="W63" i="45"/>
  <c r="O63" i="45"/>
  <c r="V63" i="45"/>
  <c r="R64" i="1"/>
  <c r="E12" i="54"/>
  <c r="E12" i="48"/>
  <c r="E12" i="49"/>
  <c r="E12" i="52"/>
  <c r="E12" i="51"/>
  <c r="E12" i="50"/>
  <c r="E12" i="46"/>
  <c r="E12" i="53"/>
  <c r="E12" i="47"/>
  <c r="S64" i="1"/>
  <c r="E12" i="44"/>
  <c r="R63" i="44"/>
  <c r="E12" i="45"/>
  <c r="U64" i="1"/>
  <c r="U63" i="44"/>
  <c r="P63" i="45"/>
  <c r="E13" i="46"/>
  <c r="E13" i="54"/>
  <c r="E10" i="47"/>
  <c r="E13" i="48"/>
  <c r="E10" i="50"/>
  <c r="E10" i="51"/>
  <c r="E10" i="52"/>
  <c r="E10" i="49"/>
  <c r="E10" i="46"/>
  <c r="E13" i="53"/>
  <c r="E13" i="47"/>
  <c r="E13" i="50"/>
  <c r="E13" i="51"/>
  <c r="E13" i="52"/>
  <c r="E10" i="54"/>
  <c r="E10" i="48"/>
  <c r="D10" i="43"/>
  <c r="L10" i="43"/>
  <c r="E10" i="43"/>
  <c r="F10" i="43"/>
  <c r="G10" i="43"/>
  <c r="H10" i="43"/>
  <c r="I10" i="43"/>
  <c r="P16" i="54"/>
  <c r="T16" i="54" s="1"/>
  <c r="AA97" i="54"/>
  <c r="T93" i="54" s="1"/>
  <c r="U48" i="54"/>
  <c r="Y48" i="54" s="1"/>
  <c r="U47" i="54"/>
  <c r="Y47" i="54" s="1"/>
  <c r="P23" i="54"/>
  <c r="T23" i="54" s="1"/>
  <c r="P20" i="54"/>
  <c r="T20" i="54" s="1"/>
  <c r="O18" i="54"/>
  <c r="O16" i="54"/>
  <c r="O7" i="54"/>
  <c r="J5" i="54"/>
  <c r="O97" i="54"/>
  <c r="O51" i="54"/>
  <c r="S51" i="54" s="1"/>
  <c r="AD38" i="54"/>
  <c r="G42" i="54"/>
  <c r="O23" i="54"/>
  <c r="O20" i="54"/>
  <c r="P13" i="54"/>
  <c r="T13" i="54" s="1"/>
  <c r="P11" i="54"/>
  <c r="T11" i="54" s="1"/>
  <c r="P9" i="54"/>
  <c r="T9" i="54" s="1"/>
  <c r="O52" i="54"/>
  <c r="S52" i="54" s="1"/>
  <c r="N51" i="54"/>
  <c r="AC38" i="54"/>
  <c r="P22" i="54"/>
  <c r="T22" i="54" s="1"/>
  <c r="O13" i="54"/>
  <c r="O11" i="54"/>
  <c r="O9" i="54"/>
  <c r="AA98" i="54"/>
  <c r="N52" i="54"/>
  <c r="O49" i="54"/>
  <c r="S49" i="54" s="1"/>
  <c r="O48" i="54"/>
  <c r="S48" i="54" s="1"/>
  <c r="O47" i="54"/>
  <c r="S47" i="54" s="1"/>
  <c r="AD39" i="54"/>
  <c r="AB38" i="54"/>
  <c r="P25" i="54"/>
  <c r="T25" i="54" s="1"/>
  <c r="O22" i="54"/>
  <c r="P19" i="54"/>
  <c r="T19" i="54" s="1"/>
  <c r="P17" i="54"/>
  <c r="T17" i="54" s="1"/>
  <c r="P15" i="54"/>
  <c r="T15" i="54" s="1"/>
  <c r="P6" i="54"/>
  <c r="T6" i="54" s="1"/>
  <c r="O98" i="54"/>
  <c r="S84" i="54"/>
  <c r="N49" i="54"/>
  <c r="N48" i="54"/>
  <c r="N47" i="54"/>
  <c r="AC39" i="54"/>
  <c r="AA38" i="54"/>
  <c r="O25" i="54"/>
  <c r="O19" i="54"/>
  <c r="O17" i="54"/>
  <c r="O15" i="54"/>
  <c r="P8" i="54"/>
  <c r="T8" i="54" s="1"/>
  <c r="O6" i="54"/>
  <c r="AD40" i="54"/>
  <c r="AB39" i="54"/>
  <c r="B42" i="54"/>
  <c r="P21" i="54"/>
  <c r="T21" i="54" s="1"/>
  <c r="P12" i="54"/>
  <c r="T12" i="54" s="1"/>
  <c r="P10" i="54"/>
  <c r="T10" i="54" s="1"/>
  <c r="O8" i="54"/>
  <c r="J6" i="54"/>
  <c r="AA99" i="54"/>
  <c r="O50" i="54"/>
  <c r="S50" i="54" s="1"/>
  <c r="AC40" i="54"/>
  <c r="AA39" i="54"/>
  <c r="P24" i="54"/>
  <c r="T24" i="54" s="1"/>
  <c r="O21" i="54"/>
  <c r="P14" i="54"/>
  <c r="T14" i="54" s="1"/>
  <c r="O12" i="54"/>
  <c r="O10" i="54"/>
  <c r="O99" i="54"/>
  <c r="N50" i="54"/>
  <c r="P18" i="54"/>
  <c r="T18" i="54" s="1"/>
  <c r="X62" i="54"/>
  <c r="P62" i="54"/>
  <c r="W62" i="54"/>
  <c r="O62" i="54"/>
  <c r="V62" i="54"/>
  <c r="U62" i="54"/>
  <c r="T62" i="54"/>
  <c r="S62" i="54"/>
  <c r="R62" i="54"/>
  <c r="Q62" i="54"/>
  <c r="F44" i="54"/>
  <c r="G44" i="54" s="1"/>
  <c r="F59" i="54"/>
  <c r="F60" i="54"/>
  <c r="G60" i="54" s="1"/>
  <c r="F61" i="54"/>
  <c r="G61" i="54" s="1"/>
  <c r="F67" i="54"/>
  <c r="F45" i="54"/>
  <c r="G45" i="54" s="1"/>
  <c r="F53" i="54"/>
  <c r="G53" i="54" s="1"/>
  <c r="F63" i="54"/>
  <c r="G63" i="54" s="1"/>
  <c r="F109" i="54"/>
  <c r="G109" i="54" s="1"/>
  <c r="F68" i="54"/>
  <c r="G68" i="54" s="1"/>
  <c r="F70" i="54"/>
  <c r="G70" i="54" s="1"/>
  <c r="F76" i="54"/>
  <c r="G76" i="54" s="1"/>
  <c r="F79" i="54"/>
  <c r="G79" i="54" s="1"/>
  <c r="F84" i="54"/>
  <c r="G84" i="54" s="1"/>
  <c r="F86" i="54"/>
  <c r="G86" i="54" s="1"/>
  <c r="F92" i="54"/>
  <c r="G92" i="54" s="1"/>
  <c r="F100" i="54"/>
  <c r="G100" i="54" s="1"/>
  <c r="F117" i="54"/>
  <c r="G117" i="54" s="1"/>
  <c r="F46" i="54"/>
  <c r="G46" i="54" s="1"/>
  <c r="F52" i="54"/>
  <c r="G52" i="54" s="1"/>
  <c r="F54" i="54"/>
  <c r="G54" i="54" s="1"/>
  <c r="F111" i="54"/>
  <c r="G111" i="54" s="1"/>
  <c r="P26" i="54"/>
  <c r="T26" i="54" s="1"/>
  <c r="F62" i="54"/>
  <c r="G62" i="54" s="1"/>
  <c r="F77" i="54"/>
  <c r="G77" i="54" s="1"/>
  <c r="F93" i="54"/>
  <c r="G93" i="54" s="1"/>
  <c r="F99" i="54"/>
  <c r="F103" i="54"/>
  <c r="G103" i="54" s="1"/>
  <c r="F118" i="54"/>
  <c r="G118" i="54" s="1"/>
  <c r="F43" i="54"/>
  <c r="F47" i="54"/>
  <c r="G47" i="54" s="1"/>
  <c r="F51" i="54"/>
  <c r="F8" i="41"/>
  <c r="G8" i="41"/>
  <c r="I8" i="41"/>
  <c r="J8" i="41"/>
  <c r="K8" i="41"/>
  <c r="D8" i="41"/>
  <c r="L8" i="41"/>
  <c r="P7" i="53"/>
  <c r="T7" i="53" s="1"/>
  <c r="O14" i="53"/>
  <c r="P16" i="53"/>
  <c r="T16" i="53" s="1"/>
  <c r="P18" i="53"/>
  <c r="T18" i="53" s="1"/>
  <c r="O24" i="53"/>
  <c r="N50" i="53"/>
  <c r="F69" i="53"/>
  <c r="G69" i="53" s="1"/>
  <c r="F71" i="53"/>
  <c r="G71" i="53" s="1"/>
  <c r="F75" i="53"/>
  <c r="F78" i="53"/>
  <c r="G78" i="53" s="1"/>
  <c r="F83" i="53"/>
  <c r="F85" i="53"/>
  <c r="G85" i="53" s="1"/>
  <c r="F87" i="53"/>
  <c r="G87" i="53" s="1"/>
  <c r="F94" i="53"/>
  <c r="G94" i="53" s="1"/>
  <c r="F102" i="53"/>
  <c r="G102" i="53" s="1"/>
  <c r="O99" i="53"/>
  <c r="O10" i="53"/>
  <c r="O12" i="53"/>
  <c r="P14" i="53"/>
  <c r="T14" i="53" s="1"/>
  <c r="O21" i="53"/>
  <c r="P24" i="53"/>
  <c r="T24" i="53" s="1"/>
  <c r="F44" i="53"/>
  <c r="G44" i="53" s="1"/>
  <c r="AA39" i="53"/>
  <c r="AC40" i="53"/>
  <c r="F59" i="53"/>
  <c r="F60" i="53"/>
  <c r="G60" i="53" s="1"/>
  <c r="F61" i="53"/>
  <c r="G61" i="53" s="1"/>
  <c r="O50" i="53"/>
  <c r="S50" i="53" s="1"/>
  <c r="F67" i="53"/>
  <c r="AA99" i="53"/>
  <c r="P15" i="53"/>
  <c r="T15" i="53" s="1"/>
  <c r="P17" i="53"/>
  <c r="T17" i="53" s="1"/>
  <c r="P19" i="53"/>
  <c r="T19" i="53" s="1"/>
  <c r="O22" i="53"/>
  <c r="P25" i="53"/>
  <c r="T25" i="53" s="1"/>
  <c r="AB38" i="53"/>
  <c r="AD39" i="53"/>
  <c r="O47" i="53"/>
  <c r="S47" i="53" s="1"/>
  <c r="O48" i="53"/>
  <c r="S48" i="53" s="1"/>
  <c r="O49" i="53"/>
  <c r="S49" i="53" s="1"/>
  <c r="N52" i="53"/>
  <c r="F68" i="53"/>
  <c r="G68" i="53" s="1"/>
  <c r="F70" i="53"/>
  <c r="G70" i="53" s="1"/>
  <c r="F76" i="53"/>
  <c r="G76" i="53" s="1"/>
  <c r="F79" i="53"/>
  <c r="G79" i="53" s="1"/>
  <c r="F84" i="53"/>
  <c r="G84" i="53" s="1"/>
  <c r="F86" i="53"/>
  <c r="G86" i="53" s="1"/>
  <c r="F92" i="53"/>
  <c r="G92" i="53" s="1"/>
  <c r="F100" i="53"/>
  <c r="G100" i="53" s="1"/>
  <c r="AA98" i="53"/>
  <c r="O9" i="53"/>
  <c r="O11" i="53"/>
  <c r="O13" i="53"/>
  <c r="P22" i="53"/>
  <c r="T22" i="53" s="1"/>
  <c r="F46" i="53"/>
  <c r="G46" i="53" s="1"/>
  <c r="AC38" i="53"/>
  <c r="F52" i="53"/>
  <c r="G52" i="53" s="1"/>
  <c r="F54" i="53"/>
  <c r="G54" i="53" s="1"/>
  <c r="N51" i="53"/>
  <c r="O52" i="53"/>
  <c r="S52" i="53" s="1"/>
  <c r="P9" i="53"/>
  <c r="T9" i="53" s="1"/>
  <c r="P11" i="53"/>
  <c r="T11" i="53" s="1"/>
  <c r="P13" i="53"/>
  <c r="T13" i="53" s="1"/>
  <c r="O20" i="53"/>
  <c r="O23" i="53"/>
  <c r="P26" i="53"/>
  <c r="T26" i="53" s="1"/>
  <c r="G42" i="53"/>
  <c r="AD38" i="53"/>
  <c r="F62" i="53"/>
  <c r="G62" i="53" s="1"/>
  <c r="O51" i="53"/>
  <c r="S51" i="53" s="1"/>
  <c r="F77" i="53"/>
  <c r="G77" i="53" s="1"/>
  <c r="F93" i="53"/>
  <c r="G93" i="53" s="1"/>
  <c r="F99" i="53"/>
  <c r="F103" i="53"/>
  <c r="G103" i="53" s="1"/>
  <c r="O97" i="53"/>
  <c r="J5" i="53"/>
  <c r="O7" i="53"/>
  <c r="O16" i="53"/>
  <c r="O18" i="53"/>
  <c r="P20" i="53"/>
  <c r="T20" i="53" s="1"/>
  <c r="P23" i="53"/>
  <c r="T23" i="53" s="1"/>
  <c r="F43" i="53"/>
  <c r="F47" i="53"/>
  <c r="G47" i="53" s="1"/>
  <c r="F51" i="53"/>
  <c r="U47" i="53"/>
  <c r="Y47" i="53" s="1"/>
  <c r="U48" i="53"/>
  <c r="Y48" i="53" s="1"/>
  <c r="AA97" i="53"/>
  <c r="D8" i="39"/>
  <c r="L8" i="39"/>
  <c r="E8" i="39"/>
  <c r="G8" i="39"/>
  <c r="H8" i="39"/>
  <c r="I8" i="39"/>
  <c r="J8" i="39"/>
  <c r="P16" i="52"/>
  <c r="T16" i="52" s="1"/>
  <c r="AA97" i="52"/>
  <c r="U48" i="52"/>
  <c r="Y48" i="52" s="1"/>
  <c r="U47" i="52"/>
  <c r="Y47" i="52" s="1"/>
  <c r="P23" i="52"/>
  <c r="T23" i="52" s="1"/>
  <c r="P20" i="52"/>
  <c r="T20" i="52" s="1"/>
  <c r="O18" i="52"/>
  <c r="O16" i="52"/>
  <c r="O7" i="52"/>
  <c r="J5" i="52"/>
  <c r="AD40" i="52"/>
  <c r="O97" i="52"/>
  <c r="O51" i="52"/>
  <c r="S51" i="52" s="1"/>
  <c r="AD38" i="52"/>
  <c r="G42" i="52"/>
  <c r="O23" i="52"/>
  <c r="O20" i="52"/>
  <c r="P13" i="52"/>
  <c r="T13" i="52" s="1"/>
  <c r="P11" i="52"/>
  <c r="T11" i="52" s="1"/>
  <c r="P9" i="52"/>
  <c r="T9" i="52" s="1"/>
  <c r="P12" i="52"/>
  <c r="T12" i="52" s="1"/>
  <c r="O52" i="52"/>
  <c r="S52" i="52" s="1"/>
  <c r="N51" i="52"/>
  <c r="AC38" i="52"/>
  <c r="P22" i="52"/>
  <c r="T22" i="52" s="1"/>
  <c r="O13" i="52"/>
  <c r="O11" i="52"/>
  <c r="O9" i="52"/>
  <c r="AB39" i="52"/>
  <c r="P21" i="52"/>
  <c r="T21" i="52" s="1"/>
  <c r="O8" i="52"/>
  <c r="AA98" i="52"/>
  <c r="N52" i="52"/>
  <c r="O49" i="52"/>
  <c r="S49" i="52" s="1"/>
  <c r="O48" i="52"/>
  <c r="S48" i="52" s="1"/>
  <c r="O47" i="52"/>
  <c r="S47" i="52" s="1"/>
  <c r="AD39" i="52"/>
  <c r="AB38" i="52"/>
  <c r="P25" i="52"/>
  <c r="T25" i="52" s="1"/>
  <c r="O22" i="52"/>
  <c r="P19" i="52"/>
  <c r="T19" i="52" s="1"/>
  <c r="P17" i="52"/>
  <c r="T17" i="52" s="1"/>
  <c r="P15" i="52"/>
  <c r="T15" i="52" s="1"/>
  <c r="P6" i="52"/>
  <c r="T6" i="52" s="1"/>
  <c r="B42" i="52"/>
  <c r="O98" i="52"/>
  <c r="S84" i="52"/>
  <c r="N49" i="52"/>
  <c r="N48" i="52"/>
  <c r="N47" i="52"/>
  <c r="AC39" i="52"/>
  <c r="AA38" i="52"/>
  <c r="O25" i="52"/>
  <c r="O19" i="52"/>
  <c r="O17" i="52"/>
  <c r="O15" i="52"/>
  <c r="P8" i="52"/>
  <c r="T8" i="52" s="1"/>
  <c r="O6" i="52"/>
  <c r="P10" i="52"/>
  <c r="T10" i="52" s="1"/>
  <c r="J6" i="52"/>
  <c r="AA99" i="52"/>
  <c r="O50" i="52"/>
  <c r="S50" i="52" s="1"/>
  <c r="AC40" i="52"/>
  <c r="AA39" i="52"/>
  <c r="P24" i="52"/>
  <c r="T24" i="52" s="1"/>
  <c r="O21" i="52"/>
  <c r="P14" i="52"/>
  <c r="T14" i="52" s="1"/>
  <c r="O12" i="52"/>
  <c r="O10" i="52"/>
  <c r="O99" i="52"/>
  <c r="N50" i="52"/>
  <c r="O24" i="52"/>
  <c r="X62" i="52"/>
  <c r="P62" i="52"/>
  <c r="W62" i="52"/>
  <c r="O62" i="52"/>
  <c r="V62" i="52"/>
  <c r="S62" i="52"/>
  <c r="U62" i="52"/>
  <c r="T62" i="52"/>
  <c r="R62" i="52"/>
  <c r="Q62" i="52"/>
  <c r="O14" i="52"/>
  <c r="P26" i="52"/>
  <c r="T26" i="52" s="1"/>
  <c r="G10" i="37"/>
  <c r="H10" i="37"/>
  <c r="I10" i="37"/>
  <c r="J10" i="37"/>
  <c r="K10" i="37"/>
  <c r="D10" i="37"/>
  <c r="L10" i="37"/>
  <c r="X62" i="51"/>
  <c r="P62" i="51"/>
  <c r="W62" i="51"/>
  <c r="O62" i="51"/>
  <c r="V62" i="51"/>
  <c r="Q62" i="51"/>
  <c r="U62" i="51"/>
  <c r="T62" i="51"/>
  <c r="S62" i="51"/>
  <c r="R62" i="51"/>
  <c r="P18" i="51"/>
  <c r="T18" i="51" s="1"/>
  <c r="N50" i="51"/>
  <c r="O10" i="51"/>
  <c r="O12" i="51"/>
  <c r="P14" i="51"/>
  <c r="T14" i="51" s="1"/>
  <c r="O21" i="51"/>
  <c r="P24" i="51"/>
  <c r="T24" i="51" s="1"/>
  <c r="F44" i="51"/>
  <c r="G44" i="51" s="1"/>
  <c r="AA39" i="51"/>
  <c r="AC40" i="51"/>
  <c r="F59" i="51"/>
  <c r="F60" i="51"/>
  <c r="G60" i="51" s="1"/>
  <c r="F61" i="51"/>
  <c r="G61" i="51" s="1"/>
  <c r="O50" i="51"/>
  <c r="S50" i="51" s="1"/>
  <c r="F67" i="51"/>
  <c r="AA99" i="51"/>
  <c r="J6" i="51"/>
  <c r="O8" i="51"/>
  <c r="P10" i="51"/>
  <c r="T10" i="51" s="1"/>
  <c r="P12" i="51"/>
  <c r="T12" i="51" s="1"/>
  <c r="P21" i="51"/>
  <c r="T21" i="51" s="1"/>
  <c r="B42" i="51"/>
  <c r="AB39" i="51"/>
  <c r="AD40" i="51"/>
  <c r="F91" i="51"/>
  <c r="F95" i="51"/>
  <c r="G95" i="51" s="1"/>
  <c r="O24" i="51"/>
  <c r="O99" i="51"/>
  <c r="O6" i="51"/>
  <c r="P8" i="51"/>
  <c r="T8" i="51" s="1"/>
  <c r="O15" i="51"/>
  <c r="O17" i="51"/>
  <c r="O19" i="51"/>
  <c r="O25" i="51"/>
  <c r="F45" i="51"/>
  <c r="G45" i="51" s="1"/>
  <c r="AA38" i="51"/>
  <c r="AC39" i="51"/>
  <c r="F53" i="51"/>
  <c r="G53" i="51" s="1"/>
  <c r="N47" i="51"/>
  <c r="N48" i="51"/>
  <c r="N49" i="51"/>
  <c r="F63" i="51"/>
  <c r="G63" i="51" s="1"/>
  <c r="S84" i="51"/>
  <c r="O98" i="51"/>
  <c r="O14" i="51"/>
  <c r="P6" i="51"/>
  <c r="T6" i="51" s="1"/>
  <c r="P15" i="51"/>
  <c r="T15" i="51" s="1"/>
  <c r="P17" i="51"/>
  <c r="T17" i="51" s="1"/>
  <c r="P19" i="51"/>
  <c r="T19" i="51" s="1"/>
  <c r="O22" i="51"/>
  <c r="P25" i="51"/>
  <c r="T25" i="51" s="1"/>
  <c r="AB38" i="51"/>
  <c r="AD39" i="51"/>
  <c r="O47" i="51"/>
  <c r="S47" i="51" s="1"/>
  <c r="O48" i="51"/>
  <c r="S48" i="51" s="1"/>
  <c r="O49" i="51"/>
  <c r="S49" i="51" s="1"/>
  <c r="N52" i="51"/>
  <c r="F68" i="51"/>
  <c r="G68" i="51" s="1"/>
  <c r="F70" i="51"/>
  <c r="G70" i="51" s="1"/>
  <c r="F76" i="51"/>
  <c r="G76" i="51" s="1"/>
  <c r="F79" i="51"/>
  <c r="G79" i="51" s="1"/>
  <c r="F84" i="51"/>
  <c r="G84" i="51" s="1"/>
  <c r="F86" i="51"/>
  <c r="G86" i="51" s="1"/>
  <c r="F92" i="51"/>
  <c r="G92" i="51" s="1"/>
  <c r="AA98" i="51"/>
  <c r="P7" i="51"/>
  <c r="T7" i="51" s="1"/>
  <c r="O9" i="51"/>
  <c r="O11" i="51"/>
  <c r="O13" i="51"/>
  <c r="P22" i="51"/>
  <c r="T22" i="51" s="1"/>
  <c r="F46" i="51"/>
  <c r="G46" i="51" s="1"/>
  <c r="AC38" i="51"/>
  <c r="F52" i="51"/>
  <c r="G52" i="51" s="1"/>
  <c r="F54" i="51"/>
  <c r="G54" i="51" s="1"/>
  <c r="N51" i="51"/>
  <c r="O52" i="51"/>
  <c r="S52" i="51" s="1"/>
  <c r="P16" i="51"/>
  <c r="T16" i="51" s="1"/>
  <c r="P9" i="51"/>
  <c r="T9" i="51" s="1"/>
  <c r="P11" i="51"/>
  <c r="T11" i="51" s="1"/>
  <c r="P13" i="51"/>
  <c r="T13" i="51" s="1"/>
  <c r="O20" i="51"/>
  <c r="O23" i="51"/>
  <c r="P26" i="51"/>
  <c r="T26" i="51" s="1"/>
  <c r="G42" i="51"/>
  <c r="AD38" i="51"/>
  <c r="F62" i="51"/>
  <c r="G62" i="51" s="1"/>
  <c r="O51" i="51"/>
  <c r="S51" i="51" s="1"/>
  <c r="F77" i="51"/>
  <c r="G77" i="51" s="1"/>
  <c r="F93" i="51"/>
  <c r="G93" i="51" s="1"/>
  <c r="O97" i="51"/>
  <c r="J5" i="51"/>
  <c r="O7" i="51"/>
  <c r="O16" i="51"/>
  <c r="O18" i="51"/>
  <c r="P20" i="51"/>
  <c r="T20" i="51" s="1"/>
  <c r="P23" i="51"/>
  <c r="T23" i="51" s="1"/>
  <c r="F43" i="51"/>
  <c r="F47" i="51"/>
  <c r="G47" i="51" s="1"/>
  <c r="F51" i="51"/>
  <c r="U47" i="51"/>
  <c r="Y47" i="51" s="1"/>
  <c r="U48" i="51"/>
  <c r="Y48" i="51" s="1"/>
  <c r="AA97" i="51"/>
  <c r="X62" i="50"/>
  <c r="P62" i="50"/>
  <c r="W62" i="50"/>
  <c r="O62" i="50"/>
  <c r="V62" i="50"/>
  <c r="U62" i="50"/>
  <c r="T62" i="50"/>
  <c r="S62" i="50"/>
  <c r="R62" i="50"/>
  <c r="Q62" i="50"/>
  <c r="P18" i="50"/>
  <c r="T18" i="50" s="1"/>
  <c r="N50" i="50"/>
  <c r="O10" i="50"/>
  <c r="O12" i="50"/>
  <c r="P14" i="50"/>
  <c r="T14" i="50" s="1"/>
  <c r="O21" i="50"/>
  <c r="P24" i="50"/>
  <c r="T24" i="50" s="1"/>
  <c r="F44" i="50"/>
  <c r="G44" i="50" s="1"/>
  <c r="AA39" i="50"/>
  <c r="AC40" i="50"/>
  <c r="F59" i="50"/>
  <c r="F60" i="50"/>
  <c r="G60" i="50" s="1"/>
  <c r="F61" i="50"/>
  <c r="G61" i="50" s="1"/>
  <c r="O50" i="50"/>
  <c r="S50" i="50" s="1"/>
  <c r="F67" i="50"/>
  <c r="AA99" i="50"/>
  <c r="J6" i="50"/>
  <c r="O8" i="50"/>
  <c r="P10" i="50"/>
  <c r="T10" i="50" s="1"/>
  <c r="P12" i="50"/>
  <c r="T12" i="50" s="1"/>
  <c r="P21" i="50"/>
  <c r="T21" i="50" s="1"/>
  <c r="B42" i="50"/>
  <c r="AB39" i="50"/>
  <c r="AD40" i="50"/>
  <c r="F91" i="50"/>
  <c r="F95" i="50"/>
  <c r="G95" i="50" s="1"/>
  <c r="P16" i="50"/>
  <c r="T16" i="50" s="1"/>
  <c r="O99" i="50"/>
  <c r="O6" i="50"/>
  <c r="P8" i="50"/>
  <c r="T8" i="50" s="1"/>
  <c r="O15" i="50"/>
  <c r="O17" i="50"/>
  <c r="O19" i="50"/>
  <c r="O25" i="50"/>
  <c r="F45" i="50"/>
  <c r="G45" i="50" s="1"/>
  <c r="AA38" i="50"/>
  <c r="AC39" i="50"/>
  <c r="F53" i="50"/>
  <c r="G53" i="50" s="1"/>
  <c r="N47" i="50"/>
  <c r="N48" i="50"/>
  <c r="N49" i="50"/>
  <c r="F63" i="50"/>
  <c r="G63" i="50" s="1"/>
  <c r="S84" i="50"/>
  <c r="O98" i="50"/>
  <c r="P6" i="50"/>
  <c r="T6" i="50" s="1"/>
  <c r="P15" i="50"/>
  <c r="T15" i="50" s="1"/>
  <c r="P17" i="50"/>
  <c r="T17" i="50" s="1"/>
  <c r="P19" i="50"/>
  <c r="T19" i="50" s="1"/>
  <c r="O22" i="50"/>
  <c r="P25" i="50"/>
  <c r="T25" i="50" s="1"/>
  <c r="AB38" i="50"/>
  <c r="AD39" i="50"/>
  <c r="O47" i="50"/>
  <c r="S47" i="50" s="1"/>
  <c r="O48" i="50"/>
  <c r="S48" i="50" s="1"/>
  <c r="O49" i="50"/>
  <c r="S49" i="50" s="1"/>
  <c r="N52" i="50"/>
  <c r="F68" i="50"/>
  <c r="G68" i="50" s="1"/>
  <c r="F70" i="50"/>
  <c r="G70" i="50" s="1"/>
  <c r="F76" i="50"/>
  <c r="G76" i="50" s="1"/>
  <c r="F79" i="50"/>
  <c r="G79" i="50" s="1"/>
  <c r="F84" i="50"/>
  <c r="G84" i="50" s="1"/>
  <c r="F86" i="50"/>
  <c r="G86" i="50" s="1"/>
  <c r="F92" i="50"/>
  <c r="G92" i="50" s="1"/>
  <c r="AA98" i="50"/>
  <c r="O24" i="50"/>
  <c r="O9" i="50"/>
  <c r="O11" i="50"/>
  <c r="O13" i="50"/>
  <c r="P22" i="50"/>
  <c r="T22" i="50" s="1"/>
  <c r="F46" i="50"/>
  <c r="G46" i="50" s="1"/>
  <c r="AC38" i="50"/>
  <c r="F52" i="50"/>
  <c r="G52" i="50" s="1"/>
  <c r="F54" i="50"/>
  <c r="G54" i="50" s="1"/>
  <c r="N51" i="50"/>
  <c r="O52" i="50"/>
  <c r="S52" i="50" s="1"/>
  <c r="P7" i="50"/>
  <c r="T7" i="50" s="1"/>
  <c r="P9" i="50"/>
  <c r="T9" i="50" s="1"/>
  <c r="P11" i="50"/>
  <c r="T11" i="50" s="1"/>
  <c r="P13" i="50"/>
  <c r="T13" i="50" s="1"/>
  <c r="O20" i="50"/>
  <c r="O23" i="50"/>
  <c r="P26" i="50"/>
  <c r="T26" i="50" s="1"/>
  <c r="G42" i="50"/>
  <c r="AD38" i="50"/>
  <c r="F62" i="50"/>
  <c r="G62" i="50" s="1"/>
  <c r="O51" i="50"/>
  <c r="S51" i="50" s="1"/>
  <c r="F77" i="50"/>
  <c r="G77" i="50" s="1"/>
  <c r="F93" i="50"/>
  <c r="G93" i="50" s="1"/>
  <c r="O97" i="50"/>
  <c r="O14" i="50"/>
  <c r="J5" i="50"/>
  <c r="O7" i="50"/>
  <c r="O16" i="50"/>
  <c r="O18" i="50"/>
  <c r="P20" i="50"/>
  <c r="T20" i="50" s="1"/>
  <c r="P23" i="50"/>
  <c r="T23" i="50" s="1"/>
  <c r="F43" i="50"/>
  <c r="F47" i="50"/>
  <c r="G47" i="50" s="1"/>
  <c r="F51" i="50"/>
  <c r="U47" i="50"/>
  <c r="Y47" i="50" s="1"/>
  <c r="U48" i="50"/>
  <c r="Y48" i="50" s="1"/>
  <c r="AA97" i="50"/>
  <c r="D8" i="33"/>
  <c r="L8" i="33"/>
  <c r="E8" i="33"/>
  <c r="G8" i="33"/>
  <c r="H8" i="33"/>
  <c r="I8" i="33"/>
  <c r="J8" i="33"/>
  <c r="X62" i="49"/>
  <c r="P62" i="49"/>
  <c r="W62" i="49"/>
  <c r="O62" i="49"/>
  <c r="V62" i="49"/>
  <c r="U62" i="49"/>
  <c r="T62" i="49"/>
  <c r="S62" i="49"/>
  <c r="R62" i="49"/>
  <c r="Q62" i="49"/>
  <c r="O10" i="49"/>
  <c r="O12" i="49"/>
  <c r="P14" i="49"/>
  <c r="T14" i="49" s="1"/>
  <c r="O21" i="49"/>
  <c r="P24" i="49"/>
  <c r="T24" i="49" s="1"/>
  <c r="F44" i="49"/>
  <c r="G44" i="49" s="1"/>
  <c r="AA39" i="49"/>
  <c r="AC40" i="49"/>
  <c r="F59" i="49"/>
  <c r="F60" i="49"/>
  <c r="G60" i="49" s="1"/>
  <c r="F61" i="49"/>
  <c r="G61" i="49" s="1"/>
  <c r="O50" i="49"/>
  <c r="S50" i="49" s="1"/>
  <c r="F67" i="49"/>
  <c r="AA99" i="49"/>
  <c r="O14" i="49"/>
  <c r="O24" i="49"/>
  <c r="N50" i="49"/>
  <c r="J6" i="49"/>
  <c r="O8" i="49"/>
  <c r="P10" i="49"/>
  <c r="T10" i="49" s="1"/>
  <c r="P12" i="49"/>
  <c r="T12" i="49" s="1"/>
  <c r="P21" i="49"/>
  <c r="T21" i="49" s="1"/>
  <c r="B42" i="49"/>
  <c r="AB39" i="49"/>
  <c r="AD40" i="49"/>
  <c r="F91" i="49"/>
  <c r="F95" i="49"/>
  <c r="G95" i="49" s="1"/>
  <c r="F116" i="49"/>
  <c r="G116" i="49" s="1"/>
  <c r="P7" i="49"/>
  <c r="T7" i="49" s="1"/>
  <c r="P18" i="49"/>
  <c r="T18" i="49" s="1"/>
  <c r="O99" i="49"/>
  <c r="O6" i="49"/>
  <c r="P8" i="49"/>
  <c r="T8" i="49" s="1"/>
  <c r="O15" i="49"/>
  <c r="O17" i="49"/>
  <c r="O19" i="49"/>
  <c r="O25" i="49"/>
  <c r="F45" i="49"/>
  <c r="G45" i="49" s="1"/>
  <c r="AA38" i="49"/>
  <c r="AC39" i="49"/>
  <c r="F53" i="49"/>
  <c r="G53" i="49" s="1"/>
  <c r="N47" i="49"/>
  <c r="N48" i="49"/>
  <c r="N49" i="49"/>
  <c r="F63" i="49"/>
  <c r="G63" i="49" s="1"/>
  <c r="S84" i="49"/>
  <c r="F109" i="49"/>
  <c r="G109" i="49" s="1"/>
  <c r="O98" i="49"/>
  <c r="P6" i="49"/>
  <c r="T6" i="49" s="1"/>
  <c r="P15" i="49"/>
  <c r="T15" i="49" s="1"/>
  <c r="P17" i="49"/>
  <c r="T17" i="49" s="1"/>
  <c r="P19" i="49"/>
  <c r="T19" i="49" s="1"/>
  <c r="O22" i="49"/>
  <c r="P25" i="49"/>
  <c r="T25" i="49" s="1"/>
  <c r="AB38" i="49"/>
  <c r="AD39" i="49"/>
  <c r="O47" i="49"/>
  <c r="S47" i="49" s="1"/>
  <c r="O48" i="49"/>
  <c r="S48" i="49" s="1"/>
  <c r="O49" i="49"/>
  <c r="S49" i="49" s="1"/>
  <c r="N52" i="49"/>
  <c r="F68" i="49"/>
  <c r="G68" i="49" s="1"/>
  <c r="F70" i="49"/>
  <c r="G70" i="49" s="1"/>
  <c r="F76" i="49"/>
  <c r="G76" i="49" s="1"/>
  <c r="F79" i="49"/>
  <c r="G79" i="49" s="1"/>
  <c r="F84" i="49"/>
  <c r="G84" i="49" s="1"/>
  <c r="F86" i="49"/>
  <c r="G86" i="49" s="1"/>
  <c r="F92" i="49"/>
  <c r="G92" i="49" s="1"/>
  <c r="AA98" i="49"/>
  <c r="F117" i="49"/>
  <c r="G117" i="49" s="1"/>
  <c r="O9" i="49"/>
  <c r="O11" i="49"/>
  <c r="O13" i="49"/>
  <c r="P22" i="49"/>
  <c r="T22" i="49" s="1"/>
  <c r="F46" i="49"/>
  <c r="G46" i="49" s="1"/>
  <c r="AC38" i="49"/>
  <c r="F52" i="49"/>
  <c r="G52" i="49" s="1"/>
  <c r="F54" i="49"/>
  <c r="G54" i="49" s="1"/>
  <c r="N51" i="49"/>
  <c r="O52" i="49"/>
  <c r="S52" i="49" s="1"/>
  <c r="F111" i="49"/>
  <c r="G111" i="49" s="1"/>
  <c r="P16" i="49"/>
  <c r="T16" i="49" s="1"/>
  <c r="P9" i="49"/>
  <c r="T9" i="49" s="1"/>
  <c r="P11" i="49"/>
  <c r="T11" i="49" s="1"/>
  <c r="P13" i="49"/>
  <c r="T13" i="49" s="1"/>
  <c r="O20" i="49"/>
  <c r="O23" i="49"/>
  <c r="P26" i="49"/>
  <c r="T26" i="49" s="1"/>
  <c r="G42" i="49"/>
  <c r="AD38" i="49"/>
  <c r="F62" i="49"/>
  <c r="G62" i="49" s="1"/>
  <c r="O51" i="49"/>
  <c r="S51" i="49" s="1"/>
  <c r="F77" i="49"/>
  <c r="G77" i="49" s="1"/>
  <c r="F93" i="49"/>
  <c r="G93" i="49" s="1"/>
  <c r="F107" i="49"/>
  <c r="O97" i="49"/>
  <c r="F118" i="49"/>
  <c r="G118" i="49" s="1"/>
  <c r="J5" i="49"/>
  <c r="O7" i="49"/>
  <c r="O16" i="49"/>
  <c r="O18" i="49"/>
  <c r="P20" i="49"/>
  <c r="T20" i="49" s="1"/>
  <c r="P23" i="49"/>
  <c r="T23" i="49" s="1"/>
  <c r="F43" i="49"/>
  <c r="F47" i="49"/>
  <c r="G47" i="49" s="1"/>
  <c r="F51" i="49"/>
  <c r="U47" i="49"/>
  <c r="Y47" i="49" s="1"/>
  <c r="U48" i="49"/>
  <c r="Y48" i="49" s="1"/>
  <c r="AA97" i="49"/>
  <c r="T94" i="49" s="1"/>
  <c r="K178" i="5" a="1"/>
  <c r="K114" i="5" a="1"/>
  <c r="K60" i="5" a="1"/>
  <c r="K75" i="5" a="1"/>
  <c r="K36" i="5" a="1"/>
  <c r="X63" i="46" l="1"/>
  <c r="O63" i="46"/>
  <c r="P63" i="46"/>
  <c r="Q63" i="46"/>
  <c r="R63" i="46"/>
  <c r="S63" i="46"/>
  <c r="T63" i="46"/>
  <c r="U63" i="46"/>
  <c r="V63" i="46"/>
  <c r="W63" i="46"/>
  <c r="F121" i="1"/>
  <c r="X37" i="1" s="1"/>
  <c r="X39" i="1" s="1"/>
  <c r="I6" i="22"/>
  <c r="T60" i="54"/>
  <c r="T61" i="80" s="1"/>
  <c r="T60" i="50"/>
  <c r="T60" i="53"/>
  <c r="T60" i="49"/>
  <c r="T60" i="45"/>
  <c r="T60" i="52"/>
  <c r="T60" i="48"/>
  <c r="T60" i="44"/>
  <c r="T60" i="51"/>
  <c r="T60" i="47"/>
  <c r="J6" i="22"/>
  <c r="U60" i="54"/>
  <c r="U61" i="80" s="1"/>
  <c r="U60" i="53"/>
  <c r="U60" i="49"/>
  <c r="U60" i="45"/>
  <c r="U60" i="48"/>
  <c r="U60" i="50"/>
  <c r="U60" i="51"/>
  <c r="U60" i="47"/>
  <c r="U60" i="44"/>
  <c r="U60" i="52"/>
  <c r="V60" i="98"/>
  <c r="V72" i="98" s="1"/>
  <c r="V73" i="98" s="1"/>
  <c r="V74" i="98" s="1"/>
  <c r="V76" i="98" s="1"/>
  <c r="T92" i="98" s="1"/>
  <c r="V60" i="90"/>
  <c r="V72" i="90" s="1"/>
  <c r="V73" i="90" s="1"/>
  <c r="V74" i="90" s="1"/>
  <c r="V76" i="90" s="1"/>
  <c r="T92" i="90" s="1"/>
  <c r="V60" i="86"/>
  <c r="V72" i="86" s="1"/>
  <c r="V73" i="86" s="1"/>
  <c r="V74" i="86" s="1"/>
  <c r="V76" i="86" s="1"/>
  <c r="T92" i="86" s="1"/>
  <c r="V60" i="102"/>
  <c r="V72" i="102" s="1"/>
  <c r="V73" i="102" s="1"/>
  <c r="V74" i="102" s="1"/>
  <c r="V76" i="102" s="1"/>
  <c r="T92" i="102" s="1"/>
  <c r="V60" i="84"/>
  <c r="V72" i="84" s="1"/>
  <c r="V73" i="84" s="1"/>
  <c r="V74" i="84" s="1"/>
  <c r="V76" i="84" s="1"/>
  <c r="T92" i="84" s="1"/>
  <c r="V60" i="100"/>
  <c r="V72" i="100" s="1"/>
  <c r="V73" i="100" s="1"/>
  <c r="V74" i="100" s="1"/>
  <c r="V76" i="100" s="1"/>
  <c r="T92" i="100" s="1"/>
  <c r="V60" i="82"/>
  <c r="V72" i="82" s="1"/>
  <c r="V73" i="82" s="1"/>
  <c r="V74" i="82" s="1"/>
  <c r="V76" i="82" s="1"/>
  <c r="T92" i="82" s="1"/>
  <c r="V60" i="96"/>
  <c r="V72" i="96" s="1"/>
  <c r="V73" i="96" s="1"/>
  <c r="V74" i="96" s="1"/>
  <c r="V76" i="96" s="1"/>
  <c r="T92" i="96" s="1"/>
  <c r="V60" i="88"/>
  <c r="V72" i="88" s="1"/>
  <c r="V73" i="88" s="1"/>
  <c r="V74" i="88" s="1"/>
  <c r="V76" i="88" s="1"/>
  <c r="T92" i="88" s="1"/>
  <c r="V60" i="94"/>
  <c r="V72" i="94" s="1"/>
  <c r="V73" i="94" s="1"/>
  <c r="V74" i="94" s="1"/>
  <c r="V76" i="94" s="1"/>
  <c r="T92" i="94" s="1"/>
  <c r="V60" i="92"/>
  <c r="V72" i="92" s="1"/>
  <c r="V73" i="92" s="1"/>
  <c r="V74" i="92" s="1"/>
  <c r="V76" i="92" s="1"/>
  <c r="T92" i="92" s="1"/>
  <c r="V73" i="80"/>
  <c r="V74" i="80" s="1"/>
  <c r="V75" i="80" s="1"/>
  <c r="V77" i="80" s="1"/>
  <c r="T93" i="80" s="1"/>
  <c r="K6" i="22"/>
  <c r="Q60" i="96"/>
  <c r="Q72" i="96" s="1"/>
  <c r="Q73" i="96" s="1"/>
  <c r="Q74" i="96" s="1"/>
  <c r="Q76" i="96" s="1"/>
  <c r="T87" i="96" s="1"/>
  <c r="Q60" i="94"/>
  <c r="Q72" i="94" s="1"/>
  <c r="Q73" i="94" s="1"/>
  <c r="Q74" i="94" s="1"/>
  <c r="Q76" i="94" s="1"/>
  <c r="T87" i="94" s="1"/>
  <c r="Q60" i="90"/>
  <c r="Q72" i="90" s="1"/>
  <c r="Q73" i="90" s="1"/>
  <c r="Q74" i="90" s="1"/>
  <c r="Q76" i="90" s="1"/>
  <c r="T87" i="90" s="1"/>
  <c r="Q60" i="92"/>
  <c r="Q72" i="92" s="1"/>
  <c r="Q73" i="92" s="1"/>
  <c r="Q74" i="92" s="1"/>
  <c r="Q76" i="92" s="1"/>
  <c r="T87" i="92" s="1"/>
  <c r="Q60" i="86"/>
  <c r="Q72" i="86" s="1"/>
  <c r="Q73" i="86" s="1"/>
  <c r="Q74" i="86" s="1"/>
  <c r="Q76" i="86" s="1"/>
  <c r="T87" i="86" s="1"/>
  <c r="Q60" i="102"/>
  <c r="Q72" i="102" s="1"/>
  <c r="Q73" i="102" s="1"/>
  <c r="Q74" i="102" s="1"/>
  <c r="Q76" i="102" s="1"/>
  <c r="T87" i="102" s="1"/>
  <c r="Q60" i="88"/>
  <c r="Q72" i="88" s="1"/>
  <c r="Q73" i="88" s="1"/>
  <c r="Q74" i="88" s="1"/>
  <c r="Q76" i="88" s="1"/>
  <c r="T87" i="88" s="1"/>
  <c r="Q60" i="100"/>
  <c r="Q72" i="100" s="1"/>
  <c r="Q73" i="100" s="1"/>
  <c r="Q74" i="100" s="1"/>
  <c r="Q76" i="100" s="1"/>
  <c r="T87" i="100" s="1"/>
  <c r="Q60" i="84"/>
  <c r="Q72" i="84" s="1"/>
  <c r="Q73" i="84" s="1"/>
  <c r="Q74" i="84" s="1"/>
  <c r="Q76" i="84" s="1"/>
  <c r="T87" i="84" s="1"/>
  <c r="Q60" i="98"/>
  <c r="Q72" i="98" s="1"/>
  <c r="Q73" i="98" s="1"/>
  <c r="Q74" i="98" s="1"/>
  <c r="Q76" i="98" s="1"/>
  <c r="T87" i="98" s="1"/>
  <c r="Q60" i="82"/>
  <c r="Q72" i="82" s="1"/>
  <c r="Q73" i="82" s="1"/>
  <c r="Q74" i="82" s="1"/>
  <c r="Q76" i="82" s="1"/>
  <c r="T87" i="82" s="1"/>
  <c r="Q73" i="80"/>
  <c r="Q74" i="80" s="1"/>
  <c r="Q75" i="80" s="1"/>
  <c r="Q77" i="80" s="1"/>
  <c r="T88" i="80" s="1"/>
  <c r="R60" i="102"/>
  <c r="R72" i="102" s="1"/>
  <c r="R73" i="102" s="1"/>
  <c r="R74" i="102" s="1"/>
  <c r="R76" i="102" s="1"/>
  <c r="T88" i="102" s="1"/>
  <c r="R60" i="88"/>
  <c r="R72" i="88" s="1"/>
  <c r="R73" i="88" s="1"/>
  <c r="R74" i="88" s="1"/>
  <c r="R76" i="88" s="1"/>
  <c r="T88" i="88" s="1"/>
  <c r="R60" i="100"/>
  <c r="R72" i="100" s="1"/>
  <c r="R73" i="100" s="1"/>
  <c r="R74" i="100" s="1"/>
  <c r="R76" i="100" s="1"/>
  <c r="T88" i="100" s="1"/>
  <c r="R60" i="86"/>
  <c r="R72" i="86" s="1"/>
  <c r="R73" i="86" s="1"/>
  <c r="R74" i="86" s="1"/>
  <c r="R76" i="86" s="1"/>
  <c r="T88" i="86" s="1"/>
  <c r="R60" i="84"/>
  <c r="R72" i="84" s="1"/>
  <c r="R73" i="84" s="1"/>
  <c r="R74" i="84" s="1"/>
  <c r="R76" i="84" s="1"/>
  <c r="T88" i="84" s="1"/>
  <c r="R60" i="96"/>
  <c r="R72" i="96" s="1"/>
  <c r="R73" i="96" s="1"/>
  <c r="R74" i="96" s="1"/>
  <c r="R76" i="96" s="1"/>
  <c r="T88" i="96" s="1"/>
  <c r="R60" i="82"/>
  <c r="R72" i="82" s="1"/>
  <c r="R73" i="82" s="1"/>
  <c r="R74" i="82" s="1"/>
  <c r="R76" i="82" s="1"/>
  <c r="T88" i="82" s="1"/>
  <c r="R60" i="98"/>
  <c r="R72" i="98" s="1"/>
  <c r="R73" i="98" s="1"/>
  <c r="R74" i="98" s="1"/>
  <c r="R76" i="98" s="1"/>
  <c r="T88" i="98" s="1"/>
  <c r="R60" i="92"/>
  <c r="R72" i="92" s="1"/>
  <c r="R73" i="92" s="1"/>
  <c r="R74" i="92" s="1"/>
  <c r="R76" i="92" s="1"/>
  <c r="T88" i="92" s="1"/>
  <c r="R60" i="94"/>
  <c r="R72" i="94" s="1"/>
  <c r="R73" i="94" s="1"/>
  <c r="R74" i="94" s="1"/>
  <c r="R76" i="94" s="1"/>
  <c r="T88" i="94" s="1"/>
  <c r="R60" i="90"/>
  <c r="R72" i="90" s="1"/>
  <c r="R73" i="90" s="1"/>
  <c r="R74" i="90" s="1"/>
  <c r="R76" i="90" s="1"/>
  <c r="T88" i="90" s="1"/>
  <c r="R73" i="80"/>
  <c r="R74" i="80" s="1"/>
  <c r="R75" i="80" s="1"/>
  <c r="R77" i="80" s="1"/>
  <c r="T89" i="80" s="1"/>
  <c r="T94" i="54"/>
  <c r="D6" i="22"/>
  <c r="S60" i="98"/>
  <c r="S72" i="98" s="1"/>
  <c r="S73" i="98" s="1"/>
  <c r="S74" i="98" s="1"/>
  <c r="S76" i="98" s="1"/>
  <c r="T89" i="98" s="1"/>
  <c r="S60" i="92"/>
  <c r="S72" i="92" s="1"/>
  <c r="S73" i="92" s="1"/>
  <c r="S74" i="92" s="1"/>
  <c r="S76" i="92" s="1"/>
  <c r="T89" i="92" s="1"/>
  <c r="S60" i="90"/>
  <c r="S72" i="90" s="1"/>
  <c r="S73" i="90" s="1"/>
  <c r="S74" i="90" s="1"/>
  <c r="S76" i="90" s="1"/>
  <c r="T89" i="90" s="1"/>
  <c r="S60" i="94"/>
  <c r="S72" i="94" s="1"/>
  <c r="S73" i="94" s="1"/>
  <c r="S74" i="94" s="1"/>
  <c r="S76" i="94" s="1"/>
  <c r="T89" i="94" s="1"/>
  <c r="S60" i="86"/>
  <c r="S72" i="86" s="1"/>
  <c r="S73" i="86" s="1"/>
  <c r="S74" i="86" s="1"/>
  <c r="S76" i="86" s="1"/>
  <c r="T89" i="86" s="1"/>
  <c r="S60" i="102"/>
  <c r="S72" i="102" s="1"/>
  <c r="S73" i="102" s="1"/>
  <c r="S74" i="102" s="1"/>
  <c r="S76" i="102" s="1"/>
  <c r="T89" i="102" s="1"/>
  <c r="S60" i="88"/>
  <c r="S72" i="88" s="1"/>
  <c r="S73" i="88" s="1"/>
  <c r="S74" i="88" s="1"/>
  <c r="S76" i="88" s="1"/>
  <c r="T89" i="88" s="1"/>
  <c r="S60" i="100"/>
  <c r="S72" i="100" s="1"/>
  <c r="S73" i="100" s="1"/>
  <c r="S74" i="100" s="1"/>
  <c r="S76" i="100" s="1"/>
  <c r="T89" i="100" s="1"/>
  <c r="S60" i="84"/>
  <c r="S72" i="84" s="1"/>
  <c r="S73" i="84" s="1"/>
  <c r="S74" i="84" s="1"/>
  <c r="S76" i="84" s="1"/>
  <c r="T89" i="84" s="1"/>
  <c r="S60" i="96"/>
  <c r="S72" i="96" s="1"/>
  <c r="S73" i="96" s="1"/>
  <c r="S74" i="96" s="1"/>
  <c r="S76" i="96" s="1"/>
  <c r="T89" i="96" s="1"/>
  <c r="S60" i="82"/>
  <c r="S72" i="82" s="1"/>
  <c r="S73" i="82" s="1"/>
  <c r="S74" i="82" s="1"/>
  <c r="S76" i="82" s="1"/>
  <c r="T89" i="82" s="1"/>
  <c r="S73" i="80"/>
  <c r="S74" i="80" s="1"/>
  <c r="S75" i="80" s="1"/>
  <c r="S77" i="80" s="1"/>
  <c r="T90" i="80" s="1"/>
  <c r="F105" i="1"/>
  <c r="V37" i="1" s="1"/>
  <c r="V39" i="1" s="1"/>
  <c r="L6" i="22"/>
  <c r="W60" i="52"/>
  <c r="W60" i="48"/>
  <c r="W60" i="53"/>
  <c r="W60" i="54"/>
  <c r="W61" i="80" s="1"/>
  <c r="W60" i="45"/>
  <c r="W60" i="51"/>
  <c r="W60" i="47"/>
  <c r="W60" i="50"/>
  <c r="W60" i="49"/>
  <c r="W60" i="44"/>
  <c r="E6" i="22"/>
  <c r="O60" i="82"/>
  <c r="O72" i="82" s="1"/>
  <c r="O73" i="82" s="1"/>
  <c r="O74" i="82" s="1"/>
  <c r="O76" i="82" s="1"/>
  <c r="T85" i="82" s="1"/>
  <c r="O60" i="96"/>
  <c r="O72" i="96" s="1"/>
  <c r="O73" i="96" s="1"/>
  <c r="O74" i="96" s="1"/>
  <c r="O76" i="96" s="1"/>
  <c r="T85" i="96" s="1"/>
  <c r="O60" i="92"/>
  <c r="O72" i="92" s="1"/>
  <c r="O73" i="92" s="1"/>
  <c r="O74" i="92" s="1"/>
  <c r="O76" i="92" s="1"/>
  <c r="T85" i="92" s="1"/>
  <c r="O60" i="88"/>
  <c r="O72" i="88" s="1"/>
  <c r="O73" i="88" s="1"/>
  <c r="O74" i="88" s="1"/>
  <c r="O76" i="88" s="1"/>
  <c r="T85" i="88" s="1"/>
  <c r="O60" i="86"/>
  <c r="O72" i="86" s="1"/>
  <c r="O73" i="86" s="1"/>
  <c r="O74" i="86" s="1"/>
  <c r="O76" i="86" s="1"/>
  <c r="T85" i="86" s="1"/>
  <c r="O60" i="100"/>
  <c r="O72" i="100" s="1"/>
  <c r="O73" i="100" s="1"/>
  <c r="O74" i="100" s="1"/>
  <c r="O76" i="100" s="1"/>
  <c r="T85" i="100" s="1"/>
  <c r="O60" i="90"/>
  <c r="O72" i="90" s="1"/>
  <c r="O73" i="90" s="1"/>
  <c r="O74" i="90" s="1"/>
  <c r="O76" i="90" s="1"/>
  <c r="T85" i="90" s="1"/>
  <c r="O60" i="102"/>
  <c r="O72" i="102" s="1"/>
  <c r="O73" i="102" s="1"/>
  <c r="O74" i="102" s="1"/>
  <c r="O76" i="102" s="1"/>
  <c r="T85" i="102" s="1"/>
  <c r="O60" i="84"/>
  <c r="O72" i="84" s="1"/>
  <c r="O73" i="84" s="1"/>
  <c r="O74" i="84" s="1"/>
  <c r="O76" i="84" s="1"/>
  <c r="T85" i="84" s="1"/>
  <c r="O60" i="98"/>
  <c r="O72" i="98" s="1"/>
  <c r="O73" i="98" s="1"/>
  <c r="O74" i="98" s="1"/>
  <c r="O76" i="98" s="1"/>
  <c r="T85" i="98" s="1"/>
  <c r="O60" i="94"/>
  <c r="O72" i="94" s="1"/>
  <c r="O73" i="94" s="1"/>
  <c r="O74" i="94" s="1"/>
  <c r="O76" i="94" s="1"/>
  <c r="T85" i="94" s="1"/>
  <c r="O73" i="80"/>
  <c r="O74" i="80" s="1"/>
  <c r="O75" i="80" s="1"/>
  <c r="O77" i="80" s="1"/>
  <c r="T86" i="80" s="1"/>
  <c r="P60" i="92"/>
  <c r="P72" i="92" s="1"/>
  <c r="P73" i="92" s="1"/>
  <c r="P74" i="92" s="1"/>
  <c r="P76" i="92" s="1"/>
  <c r="T86" i="92" s="1"/>
  <c r="P60" i="94"/>
  <c r="P72" i="94" s="1"/>
  <c r="P73" i="94" s="1"/>
  <c r="P74" i="94" s="1"/>
  <c r="P76" i="94" s="1"/>
  <c r="T86" i="94" s="1"/>
  <c r="P60" i="96"/>
  <c r="P72" i="96" s="1"/>
  <c r="P73" i="96" s="1"/>
  <c r="P74" i="96" s="1"/>
  <c r="P76" i="96" s="1"/>
  <c r="T86" i="96" s="1"/>
  <c r="P60" i="86"/>
  <c r="P72" i="86" s="1"/>
  <c r="P73" i="86" s="1"/>
  <c r="P74" i="86" s="1"/>
  <c r="P76" i="86" s="1"/>
  <c r="T86" i="86" s="1"/>
  <c r="P60" i="102"/>
  <c r="P72" i="102" s="1"/>
  <c r="P73" i="102" s="1"/>
  <c r="P74" i="102" s="1"/>
  <c r="P76" i="102" s="1"/>
  <c r="T86" i="102" s="1"/>
  <c r="P60" i="84"/>
  <c r="P72" i="84" s="1"/>
  <c r="P73" i="84" s="1"/>
  <c r="P74" i="84" s="1"/>
  <c r="P76" i="84" s="1"/>
  <c r="T86" i="84" s="1"/>
  <c r="P60" i="100"/>
  <c r="P72" i="100" s="1"/>
  <c r="P73" i="100" s="1"/>
  <c r="P74" i="100" s="1"/>
  <c r="P76" i="100" s="1"/>
  <c r="T86" i="100" s="1"/>
  <c r="P60" i="88"/>
  <c r="P72" i="88" s="1"/>
  <c r="P73" i="88" s="1"/>
  <c r="P74" i="88" s="1"/>
  <c r="P76" i="88" s="1"/>
  <c r="T86" i="88" s="1"/>
  <c r="P60" i="98"/>
  <c r="P72" i="98" s="1"/>
  <c r="P73" i="98" s="1"/>
  <c r="P74" i="98" s="1"/>
  <c r="P76" i="98" s="1"/>
  <c r="T86" i="98" s="1"/>
  <c r="P60" i="82"/>
  <c r="P72" i="82" s="1"/>
  <c r="P73" i="82" s="1"/>
  <c r="P74" i="82" s="1"/>
  <c r="P76" i="82" s="1"/>
  <c r="T86" i="82" s="1"/>
  <c r="P60" i="90"/>
  <c r="P72" i="90" s="1"/>
  <c r="P73" i="90" s="1"/>
  <c r="P74" i="90" s="1"/>
  <c r="P76" i="90" s="1"/>
  <c r="T86" i="90" s="1"/>
  <c r="P73" i="80"/>
  <c r="P74" i="80" s="1"/>
  <c r="P75" i="80" s="1"/>
  <c r="P77" i="80" s="1"/>
  <c r="T87" i="80" s="1"/>
  <c r="X60" i="53"/>
  <c r="X60" i="52"/>
  <c r="X60" i="44"/>
  <c r="X60" i="51"/>
  <c r="X60" i="45"/>
  <c r="X60" i="47"/>
  <c r="X60" i="49"/>
  <c r="X60" i="48"/>
  <c r="X60" i="54"/>
  <c r="X61" i="80" s="1"/>
  <c r="X60" i="50"/>
  <c r="X60" i="46"/>
  <c r="H6" i="22"/>
  <c r="F96" i="51"/>
  <c r="D4" i="41"/>
  <c r="K4" i="41"/>
  <c r="J4" i="41"/>
  <c r="F4" i="41"/>
  <c r="F64" i="50"/>
  <c r="F88" i="49"/>
  <c r="F96" i="48"/>
  <c r="U36" i="48" s="1"/>
  <c r="U38" i="48" s="1"/>
  <c r="U61" i="48" s="1"/>
  <c r="F64" i="48"/>
  <c r="Q36" i="48" s="1"/>
  <c r="Q38" i="48" s="1"/>
  <c r="Q61" i="48" s="1"/>
  <c r="F64" i="46"/>
  <c r="G105" i="1"/>
  <c r="O93" i="1" s="1"/>
  <c r="G34" i="5" s="1"/>
  <c r="G106" i="1"/>
  <c r="G107" i="1" s="1"/>
  <c r="G8" i="19"/>
  <c r="J8" i="19"/>
  <c r="K8" i="19"/>
  <c r="L8" i="19"/>
  <c r="G83" i="51"/>
  <c r="F88" i="51"/>
  <c r="T36" i="51" s="1"/>
  <c r="T38" i="51" s="1"/>
  <c r="T61" i="51" s="1"/>
  <c r="F80" i="51"/>
  <c r="S36" i="51" s="1"/>
  <c r="S38" i="51" s="1"/>
  <c r="S61" i="51" s="1"/>
  <c r="F72" i="51"/>
  <c r="F64" i="51"/>
  <c r="Q36" i="51" s="1"/>
  <c r="Q38" i="51" s="1"/>
  <c r="Q61" i="51" s="1"/>
  <c r="F56" i="51"/>
  <c r="F96" i="50"/>
  <c r="U36" i="50" s="1"/>
  <c r="U38" i="50" s="1"/>
  <c r="U61" i="50" s="1"/>
  <c r="F88" i="50"/>
  <c r="T36" i="50" s="1"/>
  <c r="T38" i="50" s="1"/>
  <c r="T61" i="50" s="1"/>
  <c r="G83" i="50"/>
  <c r="G75" i="50"/>
  <c r="F80" i="50"/>
  <c r="S36" i="50" s="1"/>
  <c r="S38" i="50" s="1"/>
  <c r="S61" i="50" s="1"/>
  <c r="F72" i="50"/>
  <c r="R36" i="50" s="1"/>
  <c r="R38" i="50" s="1"/>
  <c r="R61" i="50" s="1"/>
  <c r="F56" i="50"/>
  <c r="F96" i="49"/>
  <c r="U36" i="49" s="1"/>
  <c r="U38" i="49" s="1"/>
  <c r="U61" i="49" s="1"/>
  <c r="G83" i="49"/>
  <c r="G88" i="49" s="1"/>
  <c r="O90" i="49" s="1"/>
  <c r="F80" i="49"/>
  <c r="S36" i="49" s="1"/>
  <c r="S38" i="49" s="1"/>
  <c r="S61" i="49" s="1"/>
  <c r="F72" i="49"/>
  <c r="R36" i="49" s="1"/>
  <c r="R38" i="49" s="1"/>
  <c r="R61" i="49" s="1"/>
  <c r="F64" i="49"/>
  <c r="Q36" i="49" s="1"/>
  <c r="Q38" i="49" s="1"/>
  <c r="Q61" i="49" s="1"/>
  <c r="F56" i="49"/>
  <c r="F88" i="48"/>
  <c r="T36" i="48" s="1"/>
  <c r="T38" i="48" s="1"/>
  <c r="T61" i="48" s="1"/>
  <c r="F80" i="48"/>
  <c r="S36" i="48" s="1"/>
  <c r="S38" i="48" s="1"/>
  <c r="S61" i="48" s="1"/>
  <c r="F72" i="48"/>
  <c r="F56" i="48"/>
  <c r="P36" i="48" s="1"/>
  <c r="P38" i="48" s="1"/>
  <c r="P61" i="48" s="1"/>
  <c r="F96" i="47"/>
  <c r="U36" i="47" s="1"/>
  <c r="U38" i="47" s="1"/>
  <c r="U61" i="47" s="1"/>
  <c r="F88" i="47"/>
  <c r="T36" i="47" s="1"/>
  <c r="T38" i="47" s="1"/>
  <c r="T61" i="47" s="1"/>
  <c r="F80" i="47"/>
  <c r="S36" i="47" s="1"/>
  <c r="S38" i="47" s="1"/>
  <c r="S61" i="47" s="1"/>
  <c r="F72" i="47"/>
  <c r="R36" i="47" s="1"/>
  <c r="R38" i="47" s="1"/>
  <c r="R61" i="47" s="1"/>
  <c r="F64" i="47"/>
  <c r="G51" i="47"/>
  <c r="F56" i="47"/>
  <c r="G91" i="46"/>
  <c r="G96" i="46" s="1"/>
  <c r="O91" i="46" s="1"/>
  <c r="F96" i="46"/>
  <c r="G83" i="46"/>
  <c r="G89" i="46" s="1"/>
  <c r="G90" i="46" s="1"/>
  <c r="F88" i="46"/>
  <c r="T36" i="46" s="1"/>
  <c r="T38" i="46" s="1"/>
  <c r="T61" i="46" s="1"/>
  <c r="F80" i="46"/>
  <c r="S36" i="46" s="1"/>
  <c r="S38" i="46" s="1"/>
  <c r="S61" i="46" s="1"/>
  <c r="G67" i="46"/>
  <c r="F72" i="46"/>
  <c r="R36" i="46" s="1"/>
  <c r="R38" i="46" s="1"/>
  <c r="R61" i="46" s="1"/>
  <c r="F56" i="46"/>
  <c r="P36" i="46" s="1"/>
  <c r="P38" i="46" s="1"/>
  <c r="P61" i="46" s="1"/>
  <c r="F96" i="45"/>
  <c r="U36" i="45" s="1"/>
  <c r="U38" i="45" s="1"/>
  <c r="U61" i="45" s="1"/>
  <c r="F88" i="45"/>
  <c r="T36" i="45" s="1"/>
  <c r="T38" i="45" s="1"/>
  <c r="T61" i="45" s="1"/>
  <c r="F80" i="45"/>
  <c r="S36" i="45" s="1"/>
  <c r="S38" i="45" s="1"/>
  <c r="S61" i="45" s="1"/>
  <c r="F72" i="45"/>
  <c r="R36" i="45" s="1"/>
  <c r="R38" i="45" s="1"/>
  <c r="R61" i="45" s="1"/>
  <c r="F64" i="45"/>
  <c r="Q36" i="45" s="1"/>
  <c r="Q38" i="45" s="1"/>
  <c r="Q61" i="45" s="1"/>
  <c r="F56" i="45"/>
  <c r="F96" i="44"/>
  <c r="F88" i="44"/>
  <c r="G75" i="44"/>
  <c r="G81" i="44" s="1"/>
  <c r="F80" i="44"/>
  <c r="F72" i="44"/>
  <c r="R36" i="44" s="1"/>
  <c r="R38" i="44" s="1"/>
  <c r="R61" i="44" s="1"/>
  <c r="J5" i="22"/>
  <c r="L5" i="22"/>
  <c r="E5" i="22"/>
  <c r="H5" i="22"/>
  <c r="F5" i="22"/>
  <c r="G5" i="22"/>
  <c r="K5" i="22"/>
  <c r="I5" i="22"/>
  <c r="G59" i="44"/>
  <c r="G65" i="44" s="1"/>
  <c r="F64" i="44"/>
  <c r="Q36" i="44" s="1"/>
  <c r="Q38" i="44" s="1"/>
  <c r="Q61" i="44" s="1"/>
  <c r="E4" i="22"/>
  <c r="F4" i="22"/>
  <c r="I4" i="22"/>
  <c r="G4" i="22"/>
  <c r="H4" i="22"/>
  <c r="J4" i="22"/>
  <c r="K4" i="22"/>
  <c r="G51" i="44"/>
  <c r="G56" i="44" s="1"/>
  <c r="O86" i="44" s="1"/>
  <c r="F56" i="44"/>
  <c r="P36" i="44" s="1"/>
  <c r="P38" i="44" s="1"/>
  <c r="P61" i="44" s="1"/>
  <c r="F3" i="22"/>
  <c r="E3" i="22"/>
  <c r="H3" i="22"/>
  <c r="J3" i="22"/>
  <c r="G3" i="22"/>
  <c r="I3" i="22"/>
  <c r="K3" i="22"/>
  <c r="G81" i="1"/>
  <c r="O90" i="1" s="1"/>
  <c r="G82" i="1"/>
  <c r="G83" i="1" s="1"/>
  <c r="F81" i="1"/>
  <c r="S37" i="1" s="1"/>
  <c r="S39" i="1" s="1"/>
  <c r="S62" i="1" s="1"/>
  <c r="G58" i="1"/>
  <c r="P58" i="1" s="1"/>
  <c r="G57" i="1"/>
  <c r="O87" i="1" s="1"/>
  <c r="K8" i="43"/>
  <c r="D8" i="43"/>
  <c r="E8" i="43"/>
  <c r="G8" i="43"/>
  <c r="F8" i="43"/>
  <c r="L8" i="43"/>
  <c r="F97" i="1"/>
  <c r="U37" i="1" s="1"/>
  <c r="U39" i="1" s="1"/>
  <c r="U41" i="1" s="1"/>
  <c r="U60" i="1" s="1"/>
  <c r="G98" i="1"/>
  <c r="U58" i="1" s="1"/>
  <c r="D8" i="19"/>
  <c r="E8" i="19"/>
  <c r="I8" i="19"/>
  <c r="F8" i="19"/>
  <c r="G4" i="41"/>
  <c r="I4" i="41"/>
  <c r="G65" i="1"/>
  <c r="O88" i="1" s="1"/>
  <c r="G48" i="44"/>
  <c r="O85" i="44" s="1"/>
  <c r="G39" i="5" s="1"/>
  <c r="G90" i="1"/>
  <c r="G91" i="1" s="1"/>
  <c r="F89" i="1"/>
  <c r="T37" i="1" s="1"/>
  <c r="T39" i="1" s="1"/>
  <c r="T41" i="1" s="1"/>
  <c r="T60" i="1" s="1"/>
  <c r="G66" i="1"/>
  <c r="G67" i="1" s="1"/>
  <c r="G74" i="1"/>
  <c r="G75" i="1" s="1"/>
  <c r="F73" i="1"/>
  <c r="R37" i="1" s="1"/>
  <c r="R39" i="1" s="1"/>
  <c r="R41" i="1" s="1"/>
  <c r="R60" i="1" s="1"/>
  <c r="G73" i="1"/>
  <c r="O89" i="1" s="1"/>
  <c r="F65" i="1"/>
  <c r="Q37" i="1" s="1"/>
  <c r="Q39" i="1" s="1"/>
  <c r="Q41" i="1" s="1"/>
  <c r="Q60" i="1" s="1"/>
  <c r="G49" i="1"/>
  <c r="O86" i="1" s="1"/>
  <c r="B2" i="19" s="1"/>
  <c r="F57" i="1"/>
  <c r="P37" i="1" s="1"/>
  <c r="P39" i="1" s="1"/>
  <c r="P41" i="1" s="1"/>
  <c r="P60" i="1" s="1"/>
  <c r="F49" i="1"/>
  <c r="O37" i="1" s="1"/>
  <c r="O39" i="1" s="1"/>
  <c r="O62" i="1" s="1"/>
  <c r="G50" i="1"/>
  <c r="O58" i="1" s="1"/>
  <c r="R63" i="48"/>
  <c r="V63" i="48"/>
  <c r="G97" i="53"/>
  <c r="G98" i="53" s="1"/>
  <c r="B9" i="19"/>
  <c r="U36" i="46"/>
  <c r="U38" i="46" s="1"/>
  <c r="U61" i="46" s="1"/>
  <c r="G81" i="54"/>
  <c r="S57" i="54" s="1"/>
  <c r="G81" i="52"/>
  <c r="S57" i="52" s="1"/>
  <c r="O88" i="52"/>
  <c r="B5" i="39" s="1"/>
  <c r="G97" i="52"/>
  <c r="U57" i="52" s="1"/>
  <c r="G57" i="44"/>
  <c r="G58" i="44" s="1"/>
  <c r="G73" i="52"/>
  <c r="G74" i="52" s="1"/>
  <c r="F80" i="52"/>
  <c r="S36" i="52" s="1"/>
  <c r="S38" i="52" s="1"/>
  <c r="S40" i="52" s="1"/>
  <c r="S59" i="52" s="1"/>
  <c r="P36" i="47"/>
  <c r="P38" i="47" s="1"/>
  <c r="P61" i="47" s="1"/>
  <c r="G57" i="47"/>
  <c r="P57" i="47" s="1"/>
  <c r="K75" i="5"/>
  <c r="I2" i="27"/>
  <c r="H2" i="27"/>
  <c r="G2" i="27"/>
  <c r="F2" i="27"/>
  <c r="J2" i="27"/>
  <c r="E2" i="27"/>
  <c r="K2" i="27"/>
  <c r="L2" i="27"/>
  <c r="D2" i="27"/>
  <c r="F120" i="46"/>
  <c r="X36" i="46" s="1"/>
  <c r="X38" i="46" s="1"/>
  <c r="X61" i="46" s="1"/>
  <c r="K7" i="27"/>
  <c r="L7" i="27"/>
  <c r="J7" i="27"/>
  <c r="I7" i="27"/>
  <c r="H7" i="27"/>
  <c r="G7" i="27"/>
  <c r="D7" i="27"/>
  <c r="F7" i="27"/>
  <c r="E7" i="27"/>
  <c r="E4" i="27"/>
  <c r="L4" i="27"/>
  <c r="D4" i="27"/>
  <c r="K4" i="27"/>
  <c r="J4" i="27"/>
  <c r="I4" i="27"/>
  <c r="F4" i="27"/>
  <c r="H4" i="27"/>
  <c r="G4" i="27"/>
  <c r="I5" i="27"/>
  <c r="H5" i="27"/>
  <c r="G5" i="27"/>
  <c r="J5" i="27"/>
  <c r="F5" i="27"/>
  <c r="E5" i="27"/>
  <c r="L5" i="27"/>
  <c r="D5" i="27"/>
  <c r="K5" i="27"/>
  <c r="K9" i="27"/>
  <c r="J9" i="27"/>
  <c r="I9" i="27"/>
  <c r="L9" i="27"/>
  <c r="H9" i="27"/>
  <c r="D9" i="27"/>
  <c r="G9" i="27"/>
  <c r="F9" i="27"/>
  <c r="E9" i="27"/>
  <c r="G3" i="27"/>
  <c r="H3" i="27"/>
  <c r="F3" i="27"/>
  <c r="E3" i="27"/>
  <c r="L3" i="27"/>
  <c r="D3" i="27"/>
  <c r="K3" i="27"/>
  <c r="J3" i="27"/>
  <c r="I3" i="27"/>
  <c r="G6" i="27"/>
  <c r="F6" i="27"/>
  <c r="E6" i="27"/>
  <c r="L6" i="27"/>
  <c r="D6" i="27"/>
  <c r="H6" i="27"/>
  <c r="K6" i="27"/>
  <c r="J6" i="27"/>
  <c r="I6" i="27"/>
  <c r="K60" i="5"/>
  <c r="F48" i="45"/>
  <c r="O36" i="45" s="1"/>
  <c r="O38" i="45" s="1"/>
  <c r="S36" i="44"/>
  <c r="S38" i="44" s="1"/>
  <c r="W41" i="1"/>
  <c r="W60" i="1" s="1"/>
  <c r="Q93" i="1"/>
  <c r="G97" i="1"/>
  <c r="O92" i="1" s="1"/>
  <c r="G33" i="5" s="1"/>
  <c r="K36" i="5"/>
  <c r="X62" i="53"/>
  <c r="R62" i="53"/>
  <c r="P62" i="53"/>
  <c r="Q62" i="53"/>
  <c r="W62" i="53"/>
  <c r="O62" i="53"/>
  <c r="U62" i="53"/>
  <c r="V62" i="53"/>
  <c r="T62" i="53"/>
  <c r="S62" i="53"/>
  <c r="G80" i="52"/>
  <c r="O89" i="52" s="1"/>
  <c r="F88" i="52"/>
  <c r="T36" i="52" s="1"/>
  <c r="T38" i="52" s="1"/>
  <c r="T40" i="52" s="1"/>
  <c r="T59" i="52" s="1"/>
  <c r="G96" i="53"/>
  <c r="O91" i="53" s="1"/>
  <c r="G97" i="54"/>
  <c r="U57" i="54" s="1"/>
  <c r="U63" i="48"/>
  <c r="G59" i="48"/>
  <c r="G75" i="47"/>
  <c r="F120" i="44"/>
  <c r="X36" i="44" s="1"/>
  <c r="X38" i="44" s="1"/>
  <c r="X61" i="44" s="1"/>
  <c r="G115" i="44"/>
  <c r="G75" i="45"/>
  <c r="G113" i="1"/>
  <c r="O94" i="1" s="1"/>
  <c r="G114" i="1"/>
  <c r="G56" i="47"/>
  <c r="O86" i="47" s="1"/>
  <c r="K3" i="19"/>
  <c r="G3" i="19"/>
  <c r="F3" i="19"/>
  <c r="L3" i="19"/>
  <c r="J3" i="19"/>
  <c r="I3" i="19"/>
  <c r="H3" i="19"/>
  <c r="E3" i="19"/>
  <c r="D3" i="19"/>
  <c r="F104" i="44"/>
  <c r="V36" i="44" s="1"/>
  <c r="V38" i="44" s="1"/>
  <c r="V61" i="44" s="1"/>
  <c r="G51" i="46"/>
  <c r="F112" i="44"/>
  <c r="W36" i="44" s="1"/>
  <c r="W38" i="44" s="1"/>
  <c r="W61" i="44" s="1"/>
  <c r="G107" i="44"/>
  <c r="G115" i="45"/>
  <c r="F120" i="45"/>
  <c r="X36" i="45" s="1"/>
  <c r="X38" i="45" s="1"/>
  <c r="X61" i="45" s="1"/>
  <c r="G105" i="44"/>
  <c r="G104" i="44"/>
  <c r="O92" i="44" s="1"/>
  <c r="H4" i="19"/>
  <c r="L4" i="19"/>
  <c r="D4" i="19"/>
  <c r="K4" i="19"/>
  <c r="J4" i="19"/>
  <c r="I4" i="19"/>
  <c r="G4" i="19"/>
  <c r="F4" i="19"/>
  <c r="E4" i="19"/>
  <c r="P63" i="48"/>
  <c r="O63" i="48"/>
  <c r="T94" i="48"/>
  <c r="G83" i="48"/>
  <c r="G51" i="48"/>
  <c r="G107" i="46"/>
  <c r="F112" i="46"/>
  <c r="W36" i="46" s="1"/>
  <c r="W38" i="46" s="1"/>
  <c r="W61" i="46" s="1"/>
  <c r="G99" i="47"/>
  <c r="F104" i="47"/>
  <c r="V36" i="47" s="1"/>
  <c r="V38" i="47" s="1"/>
  <c r="V61" i="47" s="1"/>
  <c r="G91" i="47"/>
  <c r="G83" i="47"/>
  <c r="G81" i="46"/>
  <c r="G80" i="46"/>
  <c r="O89" i="46" s="1"/>
  <c r="G99" i="45"/>
  <c r="F104" i="45"/>
  <c r="V36" i="45" s="1"/>
  <c r="V38" i="45" s="1"/>
  <c r="V61" i="45" s="1"/>
  <c r="P36" i="45"/>
  <c r="P38" i="45" s="1"/>
  <c r="P61" i="45" s="1"/>
  <c r="G51" i="45"/>
  <c r="G83" i="45"/>
  <c r="T94" i="44"/>
  <c r="G49" i="44"/>
  <c r="L9" i="19"/>
  <c r="D9" i="19"/>
  <c r="J9" i="19"/>
  <c r="H9" i="19"/>
  <c r="G9" i="19"/>
  <c r="K9" i="19"/>
  <c r="I9" i="19"/>
  <c r="F9" i="19"/>
  <c r="E9" i="19"/>
  <c r="X63" i="48"/>
  <c r="W63" i="48"/>
  <c r="G91" i="48"/>
  <c r="R36" i="48"/>
  <c r="R38" i="48" s="1"/>
  <c r="R61" i="48" s="1"/>
  <c r="G67" i="48"/>
  <c r="F112" i="48"/>
  <c r="W36" i="48" s="1"/>
  <c r="W38" i="48" s="1"/>
  <c r="W61" i="48" s="1"/>
  <c r="G107" i="48"/>
  <c r="G67" i="47"/>
  <c r="T94" i="47"/>
  <c r="U36" i="44"/>
  <c r="U38" i="44" s="1"/>
  <c r="U61" i="44" s="1"/>
  <c r="G91" i="44"/>
  <c r="G67" i="45"/>
  <c r="G91" i="45"/>
  <c r="L7" i="19"/>
  <c r="D7" i="19"/>
  <c r="J7" i="19"/>
  <c r="H7" i="19"/>
  <c r="G7" i="19"/>
  <c r="F7" i="19"/>
  <c r="E7" i="19"/>
  <c r="I7" i="19"/>
  <c r="K7" i="19"/>
  <c r="H6" i="19"/>
  <c r="F6" i="19"/>
  <c r="L6" i="19"/>
  <c r="D6" i="19"/>
  <c r="K6" i="19"/>
  <c r="E6" i="19"/>
  <c r="J6" i="19"/>
  <c r="I6" i="19"/>
  <c r="G6" i="19"/>
  <c r="G96" i="52"/>
  <c r="O91" i="52" s="1"/>
  <c r="F96" i="53"/>
  <c r="U36" i="53" s="1"/>
  <c r="U38" i="53" s="1"/>
  <c r="U40" i="53" s="1"/>
  <c r="U59" i="53" s="1"/>
  <c r="G80" i="54"/>
  <c r="O89" i="54" s="1"/>
  <c r="Q63" i="48"/>
  <c r="G68" i="46"/>
  <c r="F48" i="46"/>
  <c r="O36" i="46" s="1"/>
  <c r="O38" i="46" s="1"/>
  <c r="O61" i="46" s="1"/>
  <c r="G43" i="46"/>
  <c r="F104" i="46"/>
  <c r="V36" i="46" s="1"/>
  <c r="V38" i="46" s="1"/>
  <c r="V61" i="46" s="1"/>
  <c r="G99" i="46"/>
  <c r="G107" i="47"/>
  <c r="F112" i="47"/>
  <c r="W36" i="47" s="1"/>
  <c r="W38" i="47" s="1"/>
  <c r="W61" i="47" s="1"/>
  <c r="G59" i="47"/>
  <c r="Q36" i="47"/>
  <c r="Q38" i="47" s="1"/>
  <c r="Q61" i="47" s="1"/>
  <c r="G121" i="46"/>
  <c r="G120" i="46"/>
  <c r="O94" i="46" s="1"/>
  <c r="G49" i="45"/>
  <c r="G48" i="45"/>
  <c r="O85" i="45" s="1"/>
  <c r="U63" i="45"/>
  <c r="Q63" i="45"/>
  <c r="X63" i="45"/>
  <c r="G59" i="45"/>
  <c r="G89" i="1"/>
  <c r="O91" i="1" s="1"/>
  <c r="G32" i="5" s="1"/>
  <c r="F2" i="19"/>
  <c r="J2" i="19"/>
  <c r="I2" i="19"/>
  <c r="K2" i="19"/>
  <c r="H2" i="19"/>
  <c r="G2" i="19"/>
  <c r="E2" i="19"/>
  <c r="L2" i="19"/>
  <c r="D2" i="19"/>
  <c r="G75" i="48"/>
  <c r="G43" i="48"/>
  <c r="F48" i="48"/>
  <c r="O36" i="48" s="1"/>
  <c r="O38" i="48" s="1"/>
  <c r="O61" i="48" s="1"/>
  <c r="F104" i="48"/>
  <c r="V36" i="48" s="1"/>
  <c r="V38" i="48" s="1"/>
  <c r="V61" i="48" s="1"/>
  <c r="G67" i="44"/>
  <c r="G107" i="45"/>
  <c r="F112" i="45"/>
  <c r="W36" i="45" s="1"/>
  <c r="W38" i="45" s="1"/>
  <c r="W61" i="45" s="1"/>
  <c r="F48" i="44"/>
  <c r="O36" i="44" s="1"/>
  <c r="O38" i="44" s="1"/>
  <c r="O61" i="44" s="1"/>
  <c r="S63" i="48"/>
  <c r="G115" i="48"/>
  <c r="F120" i="48"/>
  <c r="X36" i="48" s="1"/>
  <c r="X38" i="48" s="1"/>
  <c r="X61" i="48" s="1"/>
  <c r="F120" i="47"/>
  <c r="X36" i="47" s="1"/>
  <c r="X38" i="47" s="1"/>
  <c r="X61" i="47" s="1"/>
  <c r="G115" i="47"/>
  <c r="X41" i="1"/>
  <c r="X60" i="1" s="1"/>
  <c r="X62" i="1"/>
  <c r="K5" i="19"/>
  <c r="G5" i="19"/>
  <c r="F5" i="19"/>
  <c r="L5" i="19"/>
  <c r="J5" i="19"/>
  <c r="I5" i="19"/>
  <c r="H5" i="19"/>
  <c r="E5" i="19"/>
  <c r="D5" i="19"/>
  <c r="Q36" i="46"/>
  <c r="Q38" i="46" s="1"/>
  <c r="Q61" i="46" s="1"/>
  <c r="G59" i="46"/>
  <c r="F48" i="47"/>
  <c r="O36" i="47" s="1"/>
  <c r="O38" i="47" s="1"/>
  <c r="O61" i="47" s="1"/>
  <c r="G43" i="47"/>
  <c r="T36" i="44"/>
  <c r="T38" i="44" s="1"/>
  <c r="T61" i="44" s="1"/>
  <c r="G83" i="44"/>
  <c r="V62" i="1"/>
  <c r="V41" i="1"/>
  <c r="V60" i="1" s="1"/>
  <c r="G121" i="1"/>
  <c r="O95" i="1" s="1"/>
  <c r="G122" i="1"/>
  <c r="K178" i="5"/>
  <c r="K114" i="5"/>
  <c r="F120" i="54"/>
  <c r="X36" i="54" s="1"/>
  <c r="X38" i="54" s="1"/>
  <c r="G107" i="54"/>
  <c r="F112" i="54"/>
  <c r="W36" i="54" s="1"/>
  <c r="W38" i="54" s="1"/>
  <c r="G88" i="54"/>
  <c r="O90" i="54" s="1"/>
  <c r="G89" i="54"/>
  <c r="F80" i="54"/>
  <c r="S36" i="54" s="1"/>
  <c r="S38" i="54" s="1"/>
  <c r="F88" i="54"/>
  <c r="T36" i="54" s="1"/>
  <c r="T38" i="54" s="1"/>
  <c r="F48" i="54"/>
  <c r="O36" i="54" s="1"/>
  <c r="O38" i="54" s="1"/>
  <c r="G43" i="54"/>
  <c r="F72" i="54"/>
  <c r="R36" i="54" s="1"/>
  <c r="R38" i="54" s="1"/>
  <c r="G67" i="54"/>
  <c r="T63" i="54"/>
  <c r="S63" i="54"/>
  <c r="R63" i="54"/>
  <c r="Q63" i="54"/>
  <c r="X63" i="54"/>
  <c r="P63" i="54"/>
  <c r="W63" i="54"/>
  <c r="O63" i="54"/>
  <c r="V63" i="54"/>
  <c r="U63" i="54"/>
  <c r="G99" i="54"/>
  <c r="F104" i="54"/>
  <c r="V36" i="54" s="1"/>
  <c r="V38" i="54" s="1"/>
  <c r="G121" i="54"/>
  <c r="G120" i="54"/>
  <c r="O94" i="54" s="1"/>
  <c r="F96" i="54"/>
  <c r="U36" i="54" s="1"/>
  <c r="U38" i="54" s="1"/>
  <c r="F56" i="54"/>
  <c r="P36" i="54" s="1"/>
  <c r="P38" i="54" s="1"/>
  <c r="G51" i="54"/>
  <c r="G96" i="54"/>
  <c r="O91" i="54" s="1"/>
  <c r="F64" i="54"/>
  <c r="Q36" i="54" s="1"/>
  <c r="Q38" i="54" s="1"/>
  <c r="G59" i="54"/>
  <c r="G99" i="53"/>
  <c r="F104" i="53"/>
  <c r="V36" i="53" s="1"/>
  <c r="V38" i="53" s="1"/>
  <c r="G51" i="53"/>
  <c r="F56" i="53"/>
  <c r="P36" i="53" s="1"/>
  <c r="P38" i="53" s="1"/>
  <c r="F72" i="53"/>
  <c r="R36" i="53" s="1"/>
  <c r="R38" i="53" s="1"/>
  <c r="G67" i="53"/>
  <c r="F120" i="53"/>
  <c r="X36" i="53" s="1"/>
  <c r="X38" i="53" s="1"/>
  <c r="F88" i="53"/>
  <c r="T36" i="53" s="1"/>
  <c r="T38" i="53" s="1"/>
  <c r="G83" i="53"/>
  <c r="T63" i="53"/>
  <c r="X63" i="53"/>
  <c r="O63" i="53"/>
  <c r="S63" i="53"/>
  <c r="W63" i="53"/>
  <c r="R63" i="53"/>
  <c r="Q63" i="53"/>
  <c r="V63" i="53"/>
  <c r="U63" i="53"/>
  <c r="P63" i="53"/>
  <c r="T93" i="53"/>
  <c r="G75" i="53"/>
  <c r="F80" i="53"/>
  <c r="S36" i="53" s="1"/>
  <c r="S38" i="53" s="1"/>
  <c r="T94" i="53"/>
  <c r="F48" i="53"/>
  <c r="O36" i="53" s="1"/>
  <c r="O38" i="53" s="1"/>
  <c r="G43" i="53"/>
  <c r="F112" i="53"/>
  <c r="W36" i="53" s="1"/>
  <c r="W38" i="53" s="1"/>
  <c r="G59" i="53"/>
  <c r="F64" i="53"/>
  <c r="Q36" i="53" s="1"/>
  <c r="Q38" i="53" s="1"/>
  <c r="T63" i="52"/>
  <c r="S63" i="52"/>
  <c r="O63" i="52"/>
  <c r="R63" i="52"/>
  <c r="W63" i="52"/>
  <c r="Q63" i="52"/>
  <c r="X63" i="52"/>
  <c r="P63" i="52"/>
  <c r="V63" i="52"/>
  <c r="U63" i="52"/>
  <c r="F112" i="52"/>
  <c r="W36" i="52" s="1"/>
  <c r="W38" i="52" s="1"/>
  <c r="T94" i="52"/>
  <c r="R36" i="52"/>
  <c r="R38" i="52" s="1"/>
  <c r="F56" i="52"/>
  <c r="P36" i="52" s="1"/>
  <c r="P38" i="52" s="1"/>
  <c r="F104" i="52"/>
  <c r="V36" i="52" s="1"/>
  <c r="V38" i="52" s="1"/>
  <c r="G121" i="52"/>
  <c r="G120" i="52"/>
  <c r="O94" i="52" s="1"/>
  <c r="F120" i="52"/>
  <c r="X36" i="52" s="1"/>
  <c r="X38" i="52" s="1"/>
  <c r="F96" i="52"/>
  <c r="U36" i="52" s="1"/>
  <c r="U38" i="52" s="1"/>
  <c r="G88" i="52"/>
  <c r="O90" i="52" s="1"/>
  <c r="G89" i="52"/>
  <c r="F48" i="52"/>
  <c r="O36" i="52" s="1"/>
  <c r="O38" i="52" s="1"/>
  <c r="F64" i="52"/>
  <c r="Q36" i="52" s="1"/>
  <c r="Q38" i="52" s="1"/>
  <c r="R36" i="51"/>
  <c r="R38" i="51" s="1"/>
  <c r="R61" i="51" s="1"/>
  <c r="G67" i="51"/>
  <c r="F48" i="51"/>
  <c r="O36" i="51" s="1"/>
  <c r="O38" i="51" s="1"/>
  <c r="O61" i="51" s="1"/>
  <c r="G43" i="51"/>
  <c r="F112" i="51"/>
  <c r="W36" i="51" s="1"/>
  <c r="W38" i="51" s="1"/>
  <c r="W61" i="51" s="1"/>
  <c r="G91" i="51"/>
  <c r="U36" i="51"/>
  <c r="U38" i="51" s="1"/>
  <c r="U61" i="51" s="1"/>
  <c r="F104" i="51"/>
  <c r="V36" i="51" s="1"/>
  <c r="V38" i="51" s="1"/>
  <c r="V61" i="51" s="1"/>
  <c r="G121" i="51"/>
  <c r="G120" i="51"/>
  <c r="O94" i="51" s="1"/>
  <c r="G59" i="51"/>
  <c r="T94" i="51"/>
  <c r="P36" i="51"/>
  <c r="P38" i="51" s="1"/>
  <c r="P61" i="51" s="1"/>
  <c r="G51" i="51"/>
  <c r="G89" i="51"/>
  <c r="G88" i="51"/>
  <c r="O90" i="51" s="1"/>
  <c r="T63" i="51"/>
  <c r="S63" i="51"/>
  <c r="U63" i="51"/>
  <c r="R63" i="51"/>
  <c r="Q63" i="51"/>
  <c r="X63" i="51"/>
  <c r="P63" i="51"/>
  <c r="W63" i="51"/>
  <c r="O63" i="51"/>
  <c r="V63" i="51"/>
  <c r="G81" i="51"/>
  <c r="G80" i="51"/>
  <c r="O89" i="51" s="1"/>
  <c r="F120" i="51"/>
  <c r="X36" i="51" s="1"/>
  <c r="X38" i="51" s="1"/>
  <c r="X61" i="51" s="1"/>
  <c r="G91" i="50"/>
  <c r="G67" i="50"/>
  <c r="G43" i="50"/>
  <c r="F48" i="50"/>
  <c r="O36" i="50" s="1"/>
  <c r="O38" i="50" s="1"/>
  <c r="O61" i="50" s="1"/>
  <c r="F120" i="50"/>
  <c r="X36" i="50" s="1"/>
  <c r="X38" i="50" s="1"/>
  <c r="X61" i="50" s="1"/>
  <c r="T63" i="50"/>
  <c r="S63" i="50"/>
  <c r="R63" i="50"/>
  <c r="Q63" i="50"/>
  <c r="X63" i="50"/>
  <c r="P63" i="50"/>
  <c r="W63" i="50"/>
  <c r="O63" i="50"/>
  <c r="V63" i="50"/>
  <c r="U63" i="50"/>
  <c r="F112" i="50"/>
  <c r="W36" i="50" s="1"/>
  <c r="W38" i="50" s="1"/>
  <c r="W61" i="50" s="1"/>
  <c r="G121" i="50"/>
  <c r="G120" i="50"/>
  <c r="O94" i="50" s="1"/>
  <c r="Q36" i="50"/>
  <c r="Q38" i="50" s="1"/>
  <c r="Q61" i="50" s="1"/>
  <c r="G59" i="50"/>
  <c r="F104" i="50"/>
  <c r="V36" i="50" s="1"/>
  <c r="V38" i="50" s="1"/>
  <c r="V61" i="50" s="1"/>
  <c r="T94" i="50"/>
  <c r="P36" i="50"/>
  <c r="P38" i="50" s="1"/>
  <c r="P61" i="50" s="1"/>
  <c r="G51" i="50"/>
  <c r="G89" i="50"/>
  <c r="G88" i="50"/>
  <c r="O90" i="50" s="1"/>
  <c r="G81" i="50"/>
  <c r="G80" i="50"/>
  <c r="O89" i="50" s="1"/>
  <c r="G81" i="49"/>
  <c r="G80" i="49"/>
  <c r="O89" i="49" s="1"/>
  <c r="F48" i="49"/>
  <c r="O36" i="49" s="1"/>
  <c r="O38" i="49" s="1"/>
  <c r="O61" i="49" s="1"/>
  <c r="G43" i="49"/>
  <c r="G107" i="49"/>
  <c r="F112" i="49"/>
  <c r="W36" i="49" s="1"/>
  <c r="W38" i="49" s="1"/>
  <c r="W61" i="49" s="1"/>
  <c r="G67" i="49"/>
  <c r="T63" i="49"/>
  <c r="S63" i="49"/>
  <c r="R63" i="49"/>
  <c r="U63" i="49"/>
  <c r="Q63" i="49"/>
  <c r="X63" i="49"/>
  <c r="P63" i="49"/>
  <c r="W63" i="49"/>
  <c r="O63" i="49"/>
  <c r="V63" i="49"/>
  <c r="T36" i="49"/>
  <c r="T38" i="49" s="1"/>
  <c r="T61" i="49" s="1"/>
  <c r="F104" i="49"/>
  <c r="V36" i="49" s="1"/>
  <c r="V38" i="49" s="1"/>
  <c r="V61" i="49" s="1"/>
  <c r="F120" i="49"/>
  <c r="X36" i="49" s="1"/>
  <c r="X38" i="49" s="1"/>
  <c r="X61" i="49" s="1"/>
  <c r="P36" i="49"/>
  <c r="P38" i="49" s="1"/>
  <c r="P61" i="49" s="1"/>
  <c r="G51" i="49"/>
  <c r="G91" i="49"/>
  <c r="G121" i="49"/>
  <c r="G120" i="49"/>
  <c r="O94" i="49" s="1"/>
  <c r="G59" i="49"/>
  <c r="K223" i="5"/>
  <c r="K185" i="5"/>
  <c r="K224" i="5"/>
  <c r="K221" i="5"/>
  <c r="K183" i="5"/>
  <c r="K102" i="5" a="1"/>
  <c r="K126" i="5" a="1"/>
  <c r="K155" i="5" a="1"/>
  <c r="K203" i="5"/>
  <c r="K210" i="5"/>
  <c r="K211" i="5"/>
  <c r="K179" i="5" a="1"/>
  <c r="K196" i="5"/>
  <c r="K208" i="5"/>
  <c r="K272" i="5"/>
  <c r="K236" i="5"/>
  <c r="K209" i="5"/>
  <c r="K239" i="5"/>
  <c r="K246" i="5"/>
  <c r="K198" i="5"/>
  <c r="K199" i="5"/>
  <c r="K258" i="5"/>
  <c r="K270" i="5"/>
  <c r="K166" i="5" a="1"/>
  <c r="K233" i="5"/>
  <c r="K251" i="5"/>
  <c r="K277" i="5"/>
  <c r="K260" i="5"/>
  <c r="K184" i="5"/>
  <c r="K212" i="5"/>
  <c r="K232" i="5"/>
  <c r="K182" i="5"/>
  <c r="K227" i="5"/>
  <c r="K265" i="5"/>
  <c r="K222" i="5"/>
  <c r="K261" i="5"/>
  <c r="K262" i="5"/>
  <c r="K220" i="5"/>
  <c r="K259" i="5"/>
  <c r="K167" i="5" a="1"/>
  <c r="K189" i="5"/>
  <c r="K235" i="5"/>
  <c r="K273" i="5"/>
  <c r="K248" i="5"/>
  <c r="K200" i="5"/>
  <c r="K271" i="5"/>
  <c r="K197" i="5"/>
  <c r="K87" i="5" a="1"/>
  <c r="K215" i="5"/>
  <c r="K234" i="5"/>
  <c r="K247" i="5"/>
  <c r="K274" i="5"/>
  <c r="K186" i="5"/>
  <c r="K244" i="5"/>
  <c r="K245" i="5"/>
  <c r="K48" i="5" a="1"/>
  <c r="K140" i="5" a="1"/>
  <c r="K179" i="5" l="1"/>
  <c r="W60" i="88"/>
  <c r="W72" i="88" s="1"/>
  <c r="W73" i="88" s="1"/>
  <c r="W74" i="88" s="1"/>
  <c r="W76" i="88" s="1"/>
  <c r="T93" i="88" s="1"/>
  <c r="W60" i="102"/>
  <c r="W72" i="102" s="1"/>
  <c r="W73" i="102" s="1"/>
  <c r="W74" i="102" s="1"/>
  <c r="W76" i="102" s="1"/>
  <c r="W60" i="86"/>
  <c r="W72" i="86" s="1"/>
  <c r="W73" i="86" s="1"/>
  <c r="W74" i="86" s="1"/>
  <c r="W76" i="86" s="1"/>
  <c r="T93" i="86" s="1"/>
  <c r="W60" i="100"/>
  <c r="W72" i="100" s="1"/>
  <c r="W73" i="100" s="1"/>
  <c r="W74" i="100" s="1"/>
  <c r="W76" i="100" s="1"/>
  <c r="W60" i="84"/>
  <c r="W72" i="84" s="1"/>
  <c r="W73" i="84" s="1"/>
  <c r="W74" i="84" s="1"/>
  <c r="W76" i="84" s="1"/>
  <c r="W60" i="98"/>
  <c r="W72" i="98" s="1"/>
  <c r="W73" i="98" s="1"/>
  <c r="W74" i="98" s="1"/>
  <c r="W76" i="98" s="1"/>
  <c r="W60" i="82"/>
  <c r="W72" i="82" s="1"/>
  <c r="W73" i="82" s="1"/>
  <c r="W74" i="82" s="1"/>
  <c r="W76" i="82" s="1"/>
  <c r="W60" i="94"/>
  <c r="W72" i="94" s="1"/>
  <c r="W73" i="94" s="1"/>
  <c r="W74" i="94" s="1"/>
  <c r="W76" i="94" s="1"/>
  <c r="T93" i="94" s="1"/>
  <c r="W60" i="96"/>
  <c r="W72" i="96" s="1"/>
  <c r="W73" i="96" s="1"/>
  <c r="W74" i="96" s="1"/>
  <c r="W76" i="96" s="1"/>
  <c r="W60" i="92"/>
  <c r="W72" i="92" s="1"/>
  <c r="W73" i="92" s="1"/>
  <c r="W74" i="92" s="1"/>
  <c r="W76" i="92" s="1"/>
  <c r="T93" i="92" s="1"/>
  <c r="W60" i="90"/>
  <c r="W72" i="90" s="1"/>
  <c r="W73" i="90" s="1"/>
  <c r="W74" i="90" s="1"/>
  <c r="W76" i="90" s="1"/>
  <c r="T93" i="90" s="1"/>
  <c r="W73" i="80"/>
  <c r="W74" i="80" s="1"/>
  <c r="W75" i="80" s="1"/>
  <c r="W77" i="80" s="1"/>
  <c r="T60" i="94"/>
  <c r="T72" i="94" s="1"/>
  <c r="T73" i="94" s="1"/>
  <c r="T74" i="94" s="1"/>
  <c r="T76" i="94" s="1"/>
  <c r="T90" i="94" s="1"/>
  <c r="T60" i="82"/>
  <c r="T72" i="82" s="1"/>
  <c r="T73" i="82" s="1"/>
  <c r="T74" i="82" s="1"/>
  <c r="T76" i="82" s="1"/>
  <c r="T90" i="82" s="1"/>
  <c r="T60" i="86"/>
  <c r="T72" i="86" s="1"/>
  <c r="T73" i="86" s="1"/>
  <c r="T74" i="86" s="1"/>
  <c r="T76" i="86" s="1"/>
  <c r="T90" i="86" s="1"/>
  <c r="T60" i="88"/>
  <c r="T72" i="88" s="1"/>
  <c r="T73" i="88" s="1"/>
  <c r="T74" i="88" s="1"/>
  <c r="T76" i="88" s="1"/>
  <c r="T90" i="88" s="1"/>
  <c r="T60" i="90"/>
  <c r="T72" i="90" s="1"/>
  <c r="T73" i="90" s="1"/>
  <c r="T74" i="90" s="1"/>
  <c r="T76" i="90" s="1"/>
  <c r="T90" i="90" s="1"/>
  <c r="T60" i="96"/>
  <c r="T72" i="96" s="1"/>
  <c r="T73" i="96" s="1"/>
  <c r="T74" i="96" s="1"/>
  <c r="T76" i="96" s="1"/>
  <c r="T90" i="96" s="1"/>
  <c r="T60" i="102"/>
  <c r="T72" i="102" s="1"/>
  <c r="T73" i="102" s="1"/>
  <c r="T74" i="102" s="1"/>
  <c r="T76" i="102" s="1"/>
  <c r="T90" i="102" s="1"/>
  <c r="T60" i="84"/>
  <c r="T72" i="84" s="1"/>
  <c r="T73" i="84" s="1"/>
  <c r="T74" i="84" s="1"/>
  <c r="T76" i="84" s="1"/>
  <c r="T90" i="84" s="1"/>
  <c r="T60" i="98"/>
  <c r="T72" i="98" s="1"/>
  <c r="T73" i="98" s="1"/>
  <c r="T74" i="98" s="1"/>
  <c r="T76" i="98" s="1"/>
  <c r="T90" i="98" s="1"/>
  <c r="T60" i="100"/>
  <c r="T72" i="100" s="1"/>
  <c r="T73" i="100" s="1"/>
  <c r="T74" i="100" s="1"/>
  <c r="T76" i="100" s="1"/>
  <c r="T90" i="100" s="1"/>
  <c r="T60" i="92"/>
  <c r="T72" i="92" s="1"/>
  <c r="T73" i="92" s="1"/>
  <c r="T74" i="92" s="1"/>
  <c r="T76" i="92" s="1"/>
  <c r="T90" i="92" s="1"/>
  <c r="T73" i="80"/>
  <c r="T74" i="80" s="1"/>
  <c r="T75" i="80" s="1"/>
  <c r="T77" i="80" s="1"/>
  <c r="T91" i="80" s="1"/>
  <c r="X60" i="98"/>
  <c r="X72" i="98" s="1"/>
  <c r="X73" i="98" s="1"/>
  <c r="X74" i="98" s="1"/>
  <c r="X76" i="98" s="1"/>
  <c r="X60" i="82"/>
  <c r="X72" i="82" s="1"/>
  <c r="X73" i="82" s="1"/>
  <c r="X74" i="82" s="1"/>
  <c r="X76" i="82" s="1"/>
  <c r="X60" i="96"/>
  <c r="X72" i="96" s="1"/>
  <c r="X73" i="96" s="1"/>
  <c r="X74" i="96" s="1"/>
  <c r="X76" i="96" s="1"/>
  <c r="X60" i="94"/>
  <c r="X72" i="94" s="1"/>
  <c r="X73" i="94" s="1"/>
  <c r="X74" i="94" s="1"/>
  <c r="X76" i="94" s="1"/>
  <c r="T94" i="94" s="1"/>
  <c r="X60" i="88"/>
  <c r="X72" i="88" s="1"/>
  <c r="X73" i="88" s="1"/>
  <c r="X74" i="88" s="1"/>
  <c r="X76" i="88" s="1"/>
  <c r="T94" i="88" s="1"/>
  <c r="X60" i="92"/>
  <c r="X72" i="92" s="1"/>
  <c r="X73" i="92" s="1"/>
  <c r="X74" i="92" s="1"/>
  <c r="X76" i="92" s="1"/>
  <c r="T94" i="92" s="1"/>
  <c r="X60" i="100"/>
  <c r="X72" i="100" s="1"/>
  <c r="X73" i="100" s="1"/>
  <c r="X74" i="100" s="1"/>
  <c r="X76" i="100" s="1"/>
  <c r="X60" i="90"/>
  <c r="X72" i="90" s="1"/>
  <c r="X73" i="90" s="1"/>
  <c r="X74" i="90" s="1"/>
  <c r="X76" i="90" s="1"/>
  <c r="T94" i="90" s="1"/>
  <c r="X60" i="84"/>
  <c r="X72" i="84" s="1"/>
  <c r="X73" i="84" s="1"/>
  <c r="X74" i="84" s="1"/>
  <c r="X76" i="84" s="1"/>
  <c r="X60" i="102"/>
  <c r="X72" i="102" s="1"/>
  <c r="X73" i="102" s="1"/>
  <c r="X74" i="102" s="1"/>
  <c r="X76" i="102" s="1"/>
  <c r="X60" i="86"/>
  <c r="X72" i="86" s="1"/>
  <c r="X73" i="86" s="1"/>
  <c r="X74" i="86" s="1"/>
  <c r="X76" i="86" s="1"/>
  <c r="T94" i="86" s="1"/>
  <c r="X73" i="80"/>
  <c r="X74" i="80" s="1"/>
  <c r="X75" i="80" s="1"/>
  <c r="X77" i="80" s="1"/>
  <c r="U60" i="98"/>
  <c r="U72" i="98" s="1"/>
  <c r="U73" i="98" s="1"/>
  <c r="U74" i="98" s="1"/>
  <c r="U76" i="98" s="1"/>
  <c r="T91" i="98" s="1"/>
  <c r="U60" i="82"/>
  <c r="U72" i="82" s="1"/>
  <c r="U73" i="82" s="1"/>
  <c r="U74" i="82" s="1"/>
  <c r="U76" i="82" s="1"/>
  <c r="T91" i="82" s="1"/>
  <c r="U60" i="86"/>
  <c r="U72" i="86" s="1"/>
  <c r="U73" i="86" s="1"/>
  <c r="U74" i="86" s="1"/>
  <c r="U76" i="86" s="1"/>
  <c r="T91" i="86" s="1"/>
  <c r="U60" i="94"/>
  <c r="U72" i="94" s="1"/>
  <c r="U73" i="94" s="1"/>
  <c r="U74" i="94" s="1"/>
  <c r="U76" i="94" s="1"/>
  <c r="T91" i="94" s="1"/>
  <c r="U60" i="92"/>
  <c r="U72" i="92" s="1"/>
  <c r="U73" i="92" s="1"/>
  <c r="U74" i="92" s="1"/>
  <c r="U76" i="92" s="1"/>
  <c r="T91" i="92" s="1"/>
  <c r="U60" i="96"/>
  <c r="U72" i="96" s="1"/>
  <c r="U73" i="96" s="1"/>
  <c r="U74" i="96" s="1"/>
  <c r="U76" i="96" s="1"/>
  <c r="T91" i="96" s="1"/>
  <c r="U60" i="90"/>
  <c r="U72" i="90" s="1"/>
  <c r="U73" i="90" s="1"/>
  <c r="U74" i="90" s="1"/>
  <c r="U76" i="90" s="1"/>
  <c r="T91" i="90" s="1"/>
  <c r="U60" i="102"/>
  <c r="U72" i="102" s="1"/>
  <c r="U73" i="102" s="1"/>
  <c r="U74" i="102" s="1"/>
  <c r="U76" i="102" s="1"/>
  <c r="T91" i="102" s="1"/>
  <c r="U60" i="88"/>
  <c r="U72" i="88" s="1"/>
  <c r="U73" i="88" s="1"/>
  <c r="U74" i="88" s="1"/>
  <c r="U76" i="88" s="1"/>
  <c r="T91" i="88" s="1"/>
  <c r="U60" i="84"/>
  <c r="U72" i="84" s="1"/>
  <c r="U73" i="84" s="1"/>
  <c r="U74" i="84" s="1"/>
  <c r="U76" i="84" s="1"/>
  <c r="T91" i="84" s="1"/>
  <c r="U60" i="100"/>
  <c r="U72" i="100" s="1"/>
  <c r="U73" i="100" s="1"/>
  <c r="U74" i="100" s="1"/>
  <c r="U76" i="100" s="1"/>
  <c r="T91" i="100" s="1"/>
  <c r="U73" i="80"/>
  <c r="U74" i="80" s="1"/>
  <c r="U75" i="80" s="1"/>
  <c r="U77" i="80" s="1"/>
  <c r="T92" i="80" s="1"/>
  <c r="G89" i="49"/>
  <c r="K102" i="5"/>
  <c r="G98" i="52"/>
  <c r="G88" i="46"/>
  <c r="O90" i="46" s="1"/>
  <c r="Q90" i="46" s="1"/>
  <c r="G80" i="44"/>
  <c r="O89" i="44" s="1"/>
  <c r="G97" i="46"/>
  <c r="U57" i="46" s="1"/>
  <c r="V58" i="1"/>
  <c r="V73" i="1" s="1"/>
  <c r="V74" i="1" s="1"/>
  <c r="V75" i="1" s="1"/>
  <c r="V77" i="1" s="1"/>
  <c r="T93" i="1" s="1"/>
  <c r="S58" i="1"/>
  <c r="Q90" i="1"/>
  <c r="G31" i="5"/>
  <c r="Q89" i="1"/>
  <c r="G30" i="5"/>
  <c r="B4" i="19"/>
  <c r="G29" i="5"/>
  <c r="G59" i="1"/>
  <c r="B3" i="19"/>
  <c r="G28" i="5"/>
  <c r="G27" i="5"/>
  <c r="B7" i="27"/>
  <c r="G64" i="44"/>
  <c r="O87" i="44" s="1"/>
  <c r="S40" i="44"/>
  <c r="S59" i="44" s="1"/>
  <c r="S61" i="44"/>
  <c r="O40" i="45"/>
  <c r="O59" i="45" s="1"/>
  <c r="O61" i="45"/>
  <c r="U62" i="1"/>
  <c r="U73" i="1" s="1"/>
  <c r="U74" i="1" s="1"/>
  <c r="U75" i="1" s="1"/>
  <c r="U77" i="1" s="1"/>
  <c r="T92" i="1" s="1"/>
  <c r="T62" i="1"/>
  <c r="T57" i="46"/>
  <c r="B6" i="19"/>
  <c r="S41" i="1"/>
  <c r="S60" i="1" s="1"/>
  <c r="S73" i="1" s="1"/>
  <c r="S74" i="1" s="1"/>
  <c r="S75" i="1" s="1"/>
  <c r="S77" i="1" s="1"/>
  <c r="T90" i="1" s="1"/>
  <c r="R62" i="1"/>
  <c r="B5" i="19"/>
  <c r="R58" i="1"/>
  <c r="Q88" i="1"/>
  <c r="Q87" i="1"/>
  <c r="U57" i="53"/>
  <c r="U61" i="53"/>
  <c r="U72" i="53" s="1"/>
  <c r="U40" i="46"/>
  <c r="G99" i="1"/>
  <c r="Q58" i="1"/>
  <c r="G82" i="54"/>
  <c r="G98" i="46"/>
  <c r="Q85" i="44"/>
  <c r="B2" i="22"/>
  <c r="T58" i="1"/>
  <c r="T73" i="1" s="1"/>
  <c r="T74" i="1" s="1"/>
  <c r="T75" i="1" s="1"/>
  <c r="T77" i="1" s="1"/>
  <c r="T91" i="1" s="1"/>
  <c r="Q62" i="1"/>
  <c r="O41" i="1"/>
  <c r="O60" i="1" s="1"/>
  <c r="O73" i="1" s="1"/>
  <c r="O74" i="1" s="1"/>
  <c r="O75" i="1" s="1"/>
  <c r="O77" i="1" s="1"/>
  <c r="T86" i="1" s="1"/>
  <c r="G51" i="1"/>
  <c r="Q86" i="1"/>
  <c r="P62" i="1"/>
  <c r="P73" i="1" s="1"/>
  <c r="P74" i="1" s="1"/>
  <c r="P75" i="1" s="1"/>
  <c r="P77" i="1" s="1"/>
  <c r="T87" i="1" s="1"/>
  <c r="B8" i="27"/>
  <c r="Q91" i="46"/>
  <c r="P40" i="47"/>
  <c r="P59" i="47" s="1"/>
  <c r="P72" i="47" s="1"/>
  <c r="P73" i="47" s="1"/>
  <c r="P74" i="47" s="1"/>
  <c r="P76" i="47" s="1"/>
  <c r="T86" i="47" s="1"/>
  <c r="S61" i="52"/>
  <c r="S72" i="52" s="1"/>
  <c r="P57" i="44"/>
  <c r="G98" i="54"/>
  <c r="B3" i="22"/>
  <c r="B8" i="19"/>
  <c r="Q88" i="52"/>
  <c r="Q86" i="44"/>
  <c r="G82" i="52"/>
  <c r="R57" i="52"/>
  <c r="G58" i="47"/>
  <c r="Q92" i="1"/>
  <c r="K48" i="5"/>
  <c r="K87" i="5"/>
  <c r="Q89" i="50"/>
  <c r="B6" i="35"/>
  <c r="Q95" i="1"/>
  <c r="X40" i="48"/>
  <c r="X59" i="48" s="1"/>
  <c r="Q89" i="54"/>
  <c r="B6" i="43"/>
  <c r="G97" i="45"/>
  <c r="G96" i="45"/>
  <c r="O91" i="45" s="1"/>
  <c r="W40" i="48"/>
  <c r="W59" i="48" s="1"/>
  <c r="G57" i="45"/>
  <c r="G56" i="45"/>
  <c r="O86" i="45" s="1"/>
  <c r="G97" i="47"/>
  <c r="G96" i="47"/>
  <c r="O91" i="47" s="1"/>
  <c r="P40" i="48"/>
  <c r="P59" i="48" s="1"/>
  <c r="G121" i="44"/>
  <c r="G120" i="44"/>
  <c r="O94" i="44" s="1"/>
  <c r="Q94" i="51"/>
  <c r="B11" i="37"/>
  <c r="G121" i="48"/>
  <c r="G120" i="48"/>
  <c r="O94" i="48" s="1"/>
  <c r="W40" i="45"/>
  <c r="W59" i="45" s="1"/>
  <c r="Q40" i="47"/>
  <c r="Q59" i="47" s="1"/>
  <c r="R40" i="46"/>
  <c r="R59" i="46" s="1"/>
  <c r="U40" i="45"/>
  <c r="U59" i="45" s="1"/>
  <c r="G50" i="44"/>
  <c r="O57" i="44"/>
  <c r="P40" i="45"/>
  <c r="P59" i="45" s="1"/>
  <c r="U40" i="47"/>
  <c r="U59" i="47" s="1"/>
  <c r="G57" i="48"/>
  <c r="G56" i="48"/>
  <c r="O86" i="48" s="1"/>
  <c r="W40" i="44"/>
  <c r="W59" i="44" s="1"/>
  <c r="X40" i="44"/>
  <c r="X59" i="44" s="1"/>
  <c r="Q89" i="52"/>
  <c r="B6" i="39"/>
  <c r="Q90" i="49"/>
  <c r="B7" i="33"/>
  <c r="Q94" i="50"/>
  <c r="O40" i="44"/>
  <c r="O59" i="44" s="1"/>
  <c r="G112" i="44"/>
  <c r="O93" i="44" s="1"/>
  <c r="G113" i="44"/>
  <c r="Q89" i="49"/>
  <c r="B6" i="33"/>
  <c r="Q90" i="51"/>
  <c r="B7" i="37"/>
  <c r="Q94" i="52"/>
  <c r="B11" i="39"/>
  <c r="T61" i="52"/>
  <c r="G113" i="45"/>
  <c r="G112" i="45"/>
  <c r="O93" i="45" s="1"/>
  <c r="G59" i="5" s="1"/>
  <c r="V40" i="48"/>
  <c r="V59" i="48" s="1"/>
  <c r="G65" i="47"/>
  <c r="G64" i="47"/>
  <c r="O87" i="47" s="1"/>
  <c r="G73" i="46"/>
  <c r="G72" i="46"/>
  <c r="O88" i="46" s="1"/>
  <c r="Q91" i="52"/>
  <c r="B8" i="39"/>
  <c r="G72" i="45"/>
  <c r="O88" i="45" s="1"/>
  <c r="G73" i="45"/>
  <c r="V40" i="45"/>
  <c r="V59" i="45" s="1"/>
  <c r="V40" i="47"/>
  <c r="V59" i="47" s="1"/>
  <c r="T40" i="48"/>
  <c r="T59" i="48" s="1"/>
  <c r="B9" i="22"/>
  <c r="Q92" i="44"/>
  <c r="G57" i="46"/>
  <c r="G56" i="46"/>
  <c r="O86" i="46" s="1"/>
  <c r="W58" i="1"/>
  <c r="W73" i="1" s="1"/>
  <c r="W74" i="1" s="1"/>
  <c r="W75" i="1" s="1"/>
  <c r="W77" i="1" s="1"/>
  <c r="T94" i="1" s="1"/>
  <c r="G115" i="1"/>
  <c r="G81" i="47"/>
  <c r="G80" i="47"/>
  <c r="O89" i="47" s="1"/>
  <c r="Q94" i="49"/>
  <c r="O40" i="46"/>
  <c r="O59" i="46" s="1"/>
  <c r="Q40" i="44"/>
  <c r="Q59" i="44" s="1"/>
  <c r="G64" i="46"/>
  <c r="O87" i="46" s="1"/>
  <c r="G65" i="46"/>
  <c r="G105" i="48"/>
  <c r="G104" i="48"/>
  <c r="O92" i="48" s="1"/>
  <c r="Q85" i="45"/>
  <c r="B2" i="25"/>
  <c r="W40" i="47"/>
  <c r="W59" i="47" s="1"/>
  <c r="R40" i="45"/>
  <c r="R59" i="45" s="1"/>
  <c r="G73" i="48"/>
  <c r="G72" i="48"/>
  <c r="O88" i="48" s="1"/>
  <c r="G104" i="45"/>
  <c r="O92" i="45" s="1"/>
  <c r="G105" i="45"/>
  <c r="G104" i="47"/>
  <c r="O92" i="47" s="1"/>
  <c r="G105" i="47"/>
  <c r="G89" i="48"/>
  <c r="G88" i="48"/>
  <c r="O90" i="48" s="1"/>
  <c r="G106" i="44"/>
  <c r="V57" i="44"/>
  <c r="P40" i="46"/>
  <c r="P59" i="46" s="1"/>
  <c r="V40" i="44"/>
  <c r="V59" i="44" s="1"/>
  <c r="Q94" i="1"/>
  <c r="S40" i="47"/>
  <c r="S59" i="47" s="1"/>
  <c r="Q91" i="54"/>
  <c r="B8" i="43"/>
  <c r="O40" i="47"/>
  <c r="O59" i="47" s="1"/>
  <c r="Q90" i="50"/>
  <c r="B7" i="35"/>
  <c r="Q89" i="51"/>
  <c r="B6" i="37"/>
  <c r="Q94" i="54"/>
  <c r="B11" i="43"/>
  <c r="G89" i="44"/>
  <c r="G88" i="44"/>
  <c r="O90" i="44" s="1"/>
  <c r="Q40" i="46"/>
  <c r="Q59" i="46" s="1"/>
  <c r="O40" i="48"/>
  <c r="O59" i="48" s="1"/>
  <c r="G50" i="45"/>
  <c r="O57" i="45"/>
  <c r="G112" i="47"/>
  <c r="O93" i="47" s="1"/>
  <c r="G113" i="47"/>
  <c r="S40" i="46"/>
  <c r="S59" i="46" s="1"/>
  <c r="R40" i="48"/>
  <c r="R59" i="48" s="1"/>
  <c r="B6" i="22"/>
  <c r="Q89" i="44"/>
  <c r="B6" i="27"/>
  <c r="Q89" i="46"/>
  <c r="W40" i="46"/>
  <c r="W59" i="46" s="1"/>
  <c r="X40" i="45"/>
  <c r="X59" i="45" s="1"/>
  <c r="G81" i="45"/>
  <c r="G80" i="45"/>
  <c r="O89" i="45" s="1"/>
  <c r="Q40" i="48"/>
  <c r="Q59" i="48" s="1"/>
  <c r="Q90" i="52"/>
  <c r="B7" i="39"/>
  <c r="Q90" i="54"/>
  <c r="B7" i="43"/>
  <c r="T40" i="44"/>
  <c r="T59" i="44" s="1"/>
  <c r="R40" i="44"/>
  <c r="R59" i="44" s="1"/>
  <c r="G49" i="48"/>
  <c r="G48" i="48"/>
  <c r="O85" i="48" s="1"/>
  <c r="B7" i="19"/>
  <c r="Q91" i="1"/>
  <c r="Q94" i="46"/>
  <c r="G105" i="46"/>
  <c r="G104" i="46"/>
  <c r="O92" i="46" s="1"/>
  <c r="G97" i="44"/>
  <c r="G96" i="44"/>
  <c r="O91" i="44" s="1"/>
  <c r="G73" i="47"/>
  <c r="G72" i="47"/>
  <c r="O88" i="47" s="1"/>
  <c r="G97" i="48"/>
  <c r="G96" i="48"/>
  <c r="O91" i="48" s="1"/>
  <c r="G82" i="44"/>
  <c r="S57" i="44"/>
  <c r="G82" i="46"/>
  <c r="S57" i="46"/>
  <c r="S72" i="46" s="1"/>
  <c r="S73" i="46" s="1"/>
  <c r="S74" i="46" s="1"/>
  <c r="S76" i="46" s="1"/>
  <c r="G113" i="46"/>
  <c r="G112" i="46"/>
  <c r="O93" i="46" s="1"/>
  <c r="G121" i="45"/>
  <c r="G120" i="45"/>
  <c r="O94" i="45" s="1"/>
  <c r="G60" i="5" s="1"/>
  <c r="S40" i="45"/>
  <c r="S59" i="45" s="1"/>
  <c r="G64" i="48"/>
  <c r="O87" i="48" s="1"/>
  <c r="G65" i="48"/>
  <c r="T40" i="46"/>
  <c r="G120" i="47"/>
  <c r="O94" i="47" s="1"/>
  <c r="G121" i="47"/>
  <c r="G72" i="44"/>
  <c r="O88" i="44" s="1"/>
  <c r="G73" i="44"/>
  <c r="G81" i="48"/>
  <c r="G80" i="48"/>
  <c r="O89" i="48" s="1"/>
  <c r="G64" i="45"/>
  <c r="O87" i="45" s="1"/>
  <c r="G65" i="45"/>
  <c r="X57" i="46"/>
  <c r="G122" i="46"/>
  <c r="V40" i="46"/>
  <c r="V59" i="46" s="1"/>
  <c r="U40" i="44"/>
  <c r="U59" i="44" s="1"/>
  <c r="R40" i="47"/>
  <c r="R59" i="47" s="1"/>
  <c r="U40" i="48"/>
  <c r="U59" i="48" s="1"/>
  <c r="G89" i="45"/>
  <c r="G88" i="45"/>
  <c r="O90" i="45" s="1"/>
  <c r="G88" i="47"/>
  <c r="O90" i="47" s="1"/>
  <c r="G89" i="47"/>
  <c r="G123" i="1"/>
  <c r="X58" i="1"/>
  <c r="X73" i="1" s="1"/>
  <c r="X74" i="1" s="1"/>
  <c r="X75" i="1" s="1"/>
  <c r="X77" i="1" s="1"/>
  <c r="G49" i="47"/>
  <c r="G48" i="47"/>
  <c r="O85" i="47" s="1"/>
  <c r="X40" i="47"/>
  <c r="X59" i="47" s="1"/>
  <c r="X40" i="46"/>
  <c r="X59" i="46" s="1"/>
  <c r="S40" i="48"/>
  <c r="S59" i="48" s="1"/>
  <c r="Q40" i="45"/>
  <c r="Q59" i="45" s="1"/>
  <c r="G49" i="46"/>
  <c r="G48" i="46"/>
  <c r="O85" i="46" s="1"/>
  <c r="P40" i="44"/>
  <c r="P59" i="44" s="1"/>
  <c r="G113" i="48"/>
  <c r="G112" i="48"/>
  <c r="O93" i="48" s="1"/>
  <c r="T40" i="45"/>
  <c r="T59" i="45" s="1"/>
  <c r="T40" i="47"/>
  <c r="T59" i="47" s="1"/>
  <c r="B3" i="29"/>
  <c r="Q86" i="47"/>
  <c r="G66" i="44"/>
  <c r="Q57" i="44"/>
  <c r="Q91" i="53"/>
  <c r="B8" i="41"/>
  <c r="K126" i="5"/>
  <c r="K166" i="5"/>
  <c r="K167" i="5"/>
  <c r="K140" i="5"/>
  <c r="K155" i="5"/>
  <c r="G122" i="54"/>
  <c r="X57" i="54"/>
  <c r="R61" i="54"/>
  <c r="R40" i="54"/>
  <c r="R59" i="54" s="1"/>
  <c r="G65" i="54"/>
  <c r="G64" i="54"/>
  <c r="O87" i="54" s="1"/>
  <c r="G49" i="54"/>
  <c r="G48" i="54"/>
  <c r="O85" i="54" s="1"/>
  <c r="W40" i="54"/>
  <c r="W59" i="54" s="1"/>
  <c r="W61" i="54"/>
  <c r="X61" i="54"/>
  <c r="X40" i="54"/>
  <c r="X59" i="54" s="1"/>
  <c r="G57" i="54"/>
  <c r="G56" i="54"/>
  <c r="O86" i="54" s="1"/>
  <c r="V40" i="54"/>
  <c r="V59" i="54" s="1"/>
  <c r="V61" i="54"/>
  <c r="P61" i="54"/>
  <c r="P40" i="54"/>
  <c r="P59" i="54" s="1"/>
  <c r="T40" i="54"/>
  <c r="T59" i="54" s="1"/>
  <c r="T61" i="54"/>
  <c r="O40" i="54"/>
  <c r="O59" i="54" s="1"/>
  <c r="O61" i="54"/>
  <c r="G104" i="54"/>
  <c r="O92" i="54" s="1"/>
  <c r="G105" i="54"/>
  <c r="U40" i="54"/>
  <c r="U59" i="54" s="1"/>
  <c r="U61" i="54"/>
  <c r="S61" i="54"/>
  <c r="S40" i="54"/>
  <c r="S59" i="54" s="1"/>
  <c r="Q61" i="54"/>
  <c r="Q40" i="54"/>
  <c r="Q59" i="54" s="1"/>
  <c r="G113" i="54"/>
  <c r="G112" i="54"/>
  <c r="O93" i="54" s="1"/>
  <c r="G72" i="54"/>
  <c r="O88" i="54" s="1"/>
  <c r="G73" i="54"/>
  <c r="T57" i="54"/>
  <c r="G90" i="54"/>
  <c r="G81" i="53"/>
  <c r="G80" i="53"/>
  <c r="O89" i="53" s="1"/>
  <c r="T40" i="53"/>
  <c r="T59" i="53" s="1"/>
  <c r="T61" i="53"/>
  <c r="G121" i="53"/>
  <c r="G120" i="53"/>
  <c r="O94" i="53" s="1"/>
  <c r="W40" i="53"/>
  <c r="W59" i="53" s="1"/>
  <c r="W61" i="53"/>
  <c r="X61" i="53"/>
  <c r="X40" i="53"/>
  <c r="X59" i="53" s="1"/>
  <c r="G104" i="53"/>
  <c r="O92" i="53" s="1"/>
  <c r="G105" i="53"/>
  <c r="V40" i="53"/>
  <c r="V59" i="53" s="1"/>
  <c r="V61" i="53"/>
  <c r="G113" i="53"/>
  <c r="G112" i="53"/>
  <c r="O93" i="53" s="1"/>
  <c r="G72" i="53"/>
  <c r="O88" i="53" s="1"/>
  <c r="G73" i="53"/>
  <c r="S61" i="53"/>
  <c r="S40" i="53"/>
  <c r="S59" i="53" s="1"/>
  <c r="G49" i="53"/>
  <c r="G48" i="53"/>
  <c r="O85" i="53" s="1"/>
  <c r="R61" i="53"/>
  <c r="R40" i="53"/>
  <c r="R59" i="53" s="1"/>
  <c r="O40" i="53"/>
  <c r="O59" i="53" s="1"/>
  <c r="O61" i="53"/>
  <c r="P61" i="53"/>
  <c r="P40" i="53"/>
  <c r="P59" i="53" s="1"/>
  <c r="G65" i="53"/>
  <c r="G64" i="53"/>
  <c r="O87" i="53" s="1"/>
  <c r="G88" i="53"/>
  <c r="O90" i="53" s="1"/>
  <c r="G89" i="53"/>
  <c r="Q61" i="53"/>
  <c r="Q40" i="53"/>
  <c r="Q59" i="53" s="1"/>
  <c r="G57" i="53"/>
  <c r="G56" i="53"/>
  <c r="O86" i="53" s="1"/>
  <c r="G122" i="52"/>
  <c r="X57" i="52"/>
  <c r="T57" i="52"/>
  <c r="G90" i="52"/>
  <c r="V40" i="52"/>
  <c r="V59" i="52" s="1"/>
  <c r="V61" i="52"/>
  <c r="R61" i="52"/>
  <c r="R40" i="52"/>
  <c r="R59" i="52" s="1"/>
  <c r="G104" i="52"/>
  <c r="O92" i="52" s="1"/>
  <c r="G105" i="52"/>
  <c r="Q61" i="52"/>
  <c r="Q40" i="52"/>
  <c r="Q59" i="52" s="1"/>
  <c r="U40" i="52"/>
  <c r="U59" i="52" s="1"/>
  <c r="U61" i="52"/>
  <c r="G57" i="52"/>
  <c r="G56" i="52"/>
  <c r="O86" i="52" s="1"/>
  <c r="P61" i="52"/>
  <c r="P40" i="52"/>
  <c r="P59" i="52" s="1"/>
  <c r="G49" i="52"/>
  <c r="G48" i="52"/>
  <c r="O85" i="52" s="1"/>
  <c r="W40" i="52"/>
  <c r="W59" i="52" s="1"/>
  <c r="W61" i="52"/>
  <c r="G65" i="52"/>
  <c r="G64" i="52"/>
  <c r="O87" i="52" s="1"/>
  <c r="O40" i="52"/>
  <c r="O59" i="52" s="1"/>
  <c r="O61" i="52"/>
  <c r="X61" i="52"/>
  <c r="X40" i="52"/>
  <c r="X59" i="52" s="1"/>
  <c r="G113" i="52"/>
  <c r="G112" i="52"/>
  <c r="O93" i="52" s="1"/>
  <c r="G104" i="51"/>
  <c r="O92" i="51" s="1"/>
  <c r="G105" i="51"/>
  <c r="P40" i="51"/>
  <c r="P59" i="51" s="1"/>
  <c r="U40" i="51"/>
  <c r="U59" i="51" s="1"/>
  <c r="R40" i="51"/>
  <c r="R59" i="51" s="1"/>
  <c r="G97" i="51"/>
  <c r="G96" i="51"/>
  <c r="O91" i="51" s="1"/>
  <c r="W40" i="51"/>
  <c r="W59" i="51" s="1"/>
  <c r="G65" i="51"/>
  <c r="G64" i="51"/>
  <c r="O87" i="51" s="1"/>
  <c r="T40" i="51"/>
  <c r="T59" i="51" s="1"/>
  <c r="G113" i="51"/>
  <c r="G112" i="51"/>
  <c r="O93" i="51" s="1"/>
  <c r="G72" i="51"/>
  <c r="O88" i="51" s="1"/>
  <c r="G73" i="51"/>
  <c r="Q40" i="51"/>
  <c r="Q59" i="51" s="1"/>
  <c r="G122" i="51"/>
  <c r="X57" i="51"/>
  <c r="G49" i="51"/>
  <c r="G48" i="51"/>
  <c r="O85" i="51" s="1"/>
  <c r="G57" i="51"/>
  <c r="G56" i="51"/>
  <c r="O86" i="51" s="1"/>
  <c r="S57" i="51"/>
  <c r="G82" i="51"/>
  <c r="X40" i="51"/>
  <c r="X59" i="51" s="1"/>
  <c r="T57" i="51"/>
  <c r="G90" i="51"/>
  <c r="V40" i="51"/>
  <c r="V59" i="51" s="1"/>
  <c r="S40" i="51"/>
  <c r="S59" i="51" s="1"/>
  <c r="O40" i="51"/>
  <c r="O59" i="51" s="1"/>
  <c r="X40" i="50"/>
  <c r="X59" i="50" s="1"/>
  <c r="T57" i="50"/>
  <c r="G90" i="50"/>
  <c r="T40" i="50"/>
  <c r="T59" i="50" s="1"/>
  <c r="O40" i="50"/>
  <c r="O59" i="50" s="1"/>
  <c r="G97" i="50"/>
  <c r="G96" i="50"/>
  <c r="O91" i="50" s="1"/>
  <c r="G49" i="50"/>
  <c r="G48" i="50"/>
  <c r="O85" i="50" s="1"/>
  <c r="G113" i="50"/>
  <c r="G112" i="50"/>
  <c r="O93" i="50" s="1"/>
  <c r="G57" i="50"/>
  <c r="G56" i="50"/>
  <c r="O86" i="50" s="1"/>
  <c r="S40" i="50"/>
  <c r="S59" i="50" s="1"/>
  <c r="G72" i="50"/>
  <c r="O88" i="50" s="1"/>
  <c r="G73" i="50"/>
  <c r="W40" i="50"/>
  <c r="W59" i="50" s="1"/>
  <c r="P40" i="50"/>
  <c r="P59" i="50" s="1"/>
  <c r="G65" i="50"/>
  <c r="G64" i="50"/>
  <c r="O87" i="50" s="1"/>
  <c r="R40" i="50"/>
  <c r="R59" i="50" s="1"/>
  <c r="G104" i="50"/>
  <c r="O92" i="50" s="1"/>
  <c r="G105" i="50"/>
  <c r="Q40" i="50"/>
  <c r="Q59" i="50" s="1"/>
  <c r="S57" i="50"/>
  <c r="G82" i="50"/>
  <c r="V40" i="50"/>
  <c r="V59" i="50" s="1"/>
  <c r="G122" i="50"/>
  <c r="X57" i="50"/>
  <c r="U40" i="50"/>
  <c r="U59" i="50" s="1"/>
  <c r="V40" i="49"/>
  <c r="V59" i="49" s="1"/>
  <c r="O40" i="49"/>
  <c r="O59" i="49" s="1"/>
  <c r="U40" i="49"/>
  <c r="U59" i="49" s="1"/>
  <c r="S40" i="49"/>
  <c r="S59" i="49" s="1"/>
  <c r="G104" i="49"/>
  <c r="O92" i="49" s="1"/>
  <c r="G105" i="49"/>
  <c r="G97" i="49"/>
  <c r="G96" i="49"/>
  <c r="O91" i="49" s="1"/>
  <c r="T40" i="49"/>
  <c r="T59" i="49" s="1"/>
  <c r="Q40" i="49"/>
  <c r="Q59" i="49" s="1"/>
  <c r="S57" i="49"/>
  <c r="G82" i="49"/>
  <c r="G122" i="49"/>
  <c r="X57" i="49"/>
  <c r="G57" i="49"/>
  <c r="G56" i="49"/>
  <c r="O86" i="49" s="1"/>
  <c r="P40" i="49"/>
  <c r="P59" i="49" s="1"/>
  <c r="R40" i="49"/>
  <c r="R59" i="49" s="1"/>
  <c r="G49" i="49"/>
  <c r="G48" i="49"/>
  <c r="O85" i="49" s="1"/>
  <c r="G72" i="49"/>
  <c r="O88" i="49" s="1"/>
  <c r="G73" i="49"/>
  <c r="G65" i="49"/>
  <c r="G64" i="49"/>
  <c r="O87" i="49" s="1"/>
  <c r="W40" i="49"/>
  <c r="W59" i="49" s="1"/>
  <c r="T57" i="49"/>
  <c r="G90" i="49"/>
  <c r="X40" i="49"/>
  <c r="X59" i="49" s="1"/>
  <c r="G113" i="49"/>
  <c r="G112" i="49"/>
  <c r="O93" i="49" s="1"/>
  <c r="K237" i="5"/>
  <c r="K187" i="5"/>
  <c r="K276" i="5"/>
  <c r="K188" i="5"/>
  <c r="K32" i="5" a="1"/>
  <c r="K33" i="5" a="1"/>
  <c r="K35" i="5" a="1"/>
  <c r="K249" i="5"/>
  <c r="K264" i="5"/>
  <c r="K34" i="5" a="1"/>
  <c r="K28" i="5" a="1"/>
  <c r="K79" i="5" a="1"/>
  <c r="K250" i="5"/>
  <c r="K27" i="5" a="1"/>
  <c r="K213" i="5"/>
  <c r="K72" i="5" a="1"/>
  <c r="K275" i="5"/>
  <c r="K238" i="5"/>
  <c r="K201" i="5"/>
  <c r="K202" i="5"/>
  <c r="K214" i="5"/>
  <c r="K71" i="5" a="1"/>
  <c r="K225" i="5"/>
  <c r="K263" i="5"/>
  <c r="K226" i="5"/>
  <c r="K31" i="5" a="1"/>
  <c r="T59" i="46" l="1"/>
  <c r="U59" i="46"/>
  <c r="T72" i="46"/>
  <c r="T73" i="46" s="1"/>
  <c r="T74" i="46" s="1"/>
  <c r="T76" i="46" s="1"/>
  <c r="T90" i="46" s="1"/>
  <c r="U72" i="46"/>
  <c r="Q87" i="44"/>
  <c r="B4" i="22"/>
  <c r="S72" i="44"/>
  <c r="S73" i="44" s="1"/>
  <c r="S74" i="44" s="1"/>
  <c r="S76" i="44" s="1"/>
  <c r="T89" i="44" s="1"/>
  <c r="K31" i="5"/>
  <c r="R73" i="1"/>
  <c r="R74" i="1" s="1"/>
  <c r="R75" i="1" s="1"/>
  <c r="R77" i="1" s="1"/>
  <c r="T89" i="1" s="1"/>
  <c r="Q73" i="1"/>
  <c r="Q74" i="1" s="1"/>
  <c r="Q75" i="1" s="1"/>
  <c r="Q77" i="1" s="1"/>
  <c r="T88" i="1" s="1"/>
  <c r="O72" i="45"/>
  <c r="O73" i="45" s="1"/>
  <c r="O74" i="45" s="1"/>
  <c r="O76" i="45" s="1"/>
  <c r="T85" i="45" s="1"/>
  <c r="K35" i="5"/>
  <c r="K34" i="5"/>
  <c r="K72" i="5"/>
  <c r="K33" i="5"/>
  <c r="K71" i="5"/>
  <c r="K32" i="5"/>
  <c r="R72" i="52"/>
  <c r="R73" i="52" s="1"/>
  <c r="R74" i="52" s="1"/>
  <c r="R76" i="52" s="1"/>
  <c r="T88" i="52" s="1"/>
  <c r="K79" i="5"/>
  <c r="K28" i="5"/>
  <c r="K27" i="5"/>
  <c r="U72" i="52"/>
  <c r="U73" i="52" s="1"/>
  <c r="U74" i="52" s="1"/>
  <c r="U76" i="52" s="1"/>
  <c r="T91" i="52" s="1"/>
  <c r="T89" i="46"/>
  <c r="U72" i="54"/>
  <c r="U73" i="54" s="1"/>
  <c r="U74" i="54" s="1"/>
  <c r="U76" i="54" s="1"/>
  <c r="T91" i="54" s="1"/>
  <c r="Q86" i="49"/>
  <c r="B3" i="33"/>
  <c r="Q92" i="46"/>
  <c r="B9" i="27"/>
  <c r="Q85" i="47"/>
  <c r="B2" i="29"/>
  <c r="G90" i="47"/>
  <c r="T57" i="47"/>
  <c r="T72" i="47" s="1"/>
  <c r="T73" i="47" s="1"/>
  <c r="T74" i="47" s="1"/>
  <c r="T76" i="47" s="1"/>
  <c r="T90" i="47" s="1"/>
  <c r="B6" i="31"/>
  <c r="Q89" i="48"/>
  <c r="Q57" i="48"/>
  <c r="Q72" i="48" s="1"/>
  <c r="Q73" i="48" s="1"/>
  <c r="Q74" i="48" s="1"/>
  <c r="Q76" i="48" s="1"/>
  <c r="T87" i="48" s="1"/>
  <c r="G66" i="48"/>
  <c r="Q93" i="52"/>
  <c r="B10" i="39"/>
  <c r="Q93" i="54"/>
  <c r="B10" i="43"/>
  <c r="O57" i="47"/>
  <c r="O72" i="47" s="1"/>
  <c r="O73" i="47" s="1"/>
  <c r="O74" i="47" s="1"/>
  <c r="O76" i="47" s="1"/>
  <c r="T85" i="47" s="1"/>
  <c r="G50" i="47"/>
  <c r="B7" i="29"/>
  <c r="Q90" i="47"/>
  <c r="S57" i="48"/>
  <c r="S72" i="48" s="1"/>
  <c r="S73" i="48" s="1"/>
  <c r="S74" i="48" s="1"/>
  <c r="S76" i="48" s="1"/>
  <c r="T89" i="48" s="1"/>
  <c r="G82" i="48"/>
  <c r="B4" i="31"/>
  <c r="Q87" i="48"/>
  <c r="G98" i="44"/>
  <c r="U57" i="44"/>
  <c r="U72" i="44" s="1"/>
  <c r="U73" i="44" s="1"/>
  <c r="U74" i="44" s="1"/>
  <c r="U76" i="44" s="1"/>
  <c r="T91" i="44" s="1"/>
  <c r="G50" i="48"/>
  <c r="O57" i="48"/>
  <c r="O72" i="48" s="1"/>
  <c r="O73" i="48" s="1"/>
  <c r="O74" i="48" s="1"/>
  <c r="O76" i="48" s="1"/>
  <c r="T85" i="48" s="1"/>
  <c r="G90" i="48"/>
  <c r="T57" i="48"/>
  <c r="T72" i="48" s="1"/>
  <c r="T73" i="48" s="1"/>
  <c r="T74" i="48" s="1"/>
  <c r="T76" i="48" s="1"/>
  <c r="T90" i="48" s="1"/>
  <c r="B4" i="27"/>
  <c r="Q87" i="46"/>
  <c r="S57" i="47"/>
  <c r="S72" i="47" s="1"/>
  <c r="S73" i="47" s="1"/>
  <c r="S74" i="47" s="1"/>
  <c r="S76" i="47" s="1"/>
  <c r="T89" i="47" s="1"/>
  <c r="G82" i="47"/>
  <c r="G114" i="45"/>
  <c r="W57" i="45"/>
  <c r="W72" i="45" s="1"/>
  <c r="W73" i="45" s="1"/>
  <c r="W74" i="45" s="1"/>
  <c r="W76" i="45" s="1"/>
  <c r="T93" i="45" s="1"/>
  <c r="G114" i="44"/>
  <c r="W57" i="44"/>
  <c r="W72" i="44" s="1"/>
  <c r="W73" i="44" s="1"/>
  <c r="W74" i="44" s="1"/>
  <c r="W76" i="44" s="1"/>
  <c r="T93" i="44" s="1"/>
  <c r="B3" i="25"/>
  <c r="Q86" i="45"/>
  <c r="Q93" i="50"/>
  <c r="G106" i="47"/>
  <c r="V57" i="47"/>
  <c r="V72" i="47" s="1"/>
  <c r="V73" i="47" s="1"/>
  <c r="V74" i="47" s="1"/>
  <c r="V76" i="47" s="1"/>
  <c r="T92" i="47" s="1"/>
  <c r="Q93" i="44"/>
  <c r="B9" i="29"/>
  <c r="Q92" i="47"/>
  <c r="G74" i="46"/>
  <c r="R57" i="46"/>
  <c r="Q94" i="44"/>
  <c r="Q93" i="48"/>
  <c r="B7" i="22"/>
  <c r="Q90" i="44"/>
  <c r="Q92" i="50"/>
  <c r="B9" i="35"/>
  <c r="G90" i="45"/>
  <c r="T57" i="45"/>
  <c r="T72" i="45" s="1"/>
  <c r="T73" i="45" s="1"/>
  <c r="T74" i="45" s="1"/>
  <c r="T76" i="45" s="1"/>
  <c r="T90" i="45" s="1"/>
  <c r="V57" i="46"/>
  <c r="G106" i="46"/>
  <c r="Q91" i="49"/>
  <c r="B8" i="33"/>
  <c r="Q85" i="52"/>
  <c r="B2" i="39"/>
  <c r="G106" i="45"/>
  <c r="V57" i="45"/>
  <c r="V72" i="45" s="1"/>
  <c r="V73" i="45" s="1"/>
  <c r="V74" i="45" s="1"/>
  <c r="V76" i="45" s="1"/>
  <c r="T92" i="45" s="1"/>
  <c r="Q86" i="46"/>
  <c r="B3" i="27"/>
  <c r="B4" i="29"/>
  <c r="Q87" i="47"/>
  <c r="G122" i="44"/>
  <c r="X57" i="44"/>
  <c r="X72" i="44" s="1"/>
  <c r="X73" i="44" s="1"/>
  <c r="X74" i="44" s="1"/>
  <c r="X76" i="44" s="1"/>
  <c r="G114" i="48"/>
  <c r="W57" i="48"/>
  <c r="W72" i="48" s="1"/>
  <c r="W73" i="48" s="1"/>
  <c r="W74" i="48" s="1"/>
  <c r="W76" i="48" s="1"/>
  <c r="T93" i="48" s="1"/>
  <c r="Q88" i="44"/>
  <c r="B5" i="22"/>
  <c r="Q88" i="53"/>
  <c r="B5" i="41"/>
  <c r="Q86" i="54"/>
  <c r="B3" i="43"/>
  <c r="Q87" i="54"/>
  <c r="B4" i="43"/>
  <c r="X57" i="47"/>
  <c r="X72" i="47" s="1"/>
  <c r="X73" i="47" s="1"/>
  <c r="X74" i="47" s="1"/>
  <c r="X76" i="47" s="1"/>
  <c r="G122" i="47"/>
  <c r="Q94" i="45"/>
  <c r="B8" i="31"/>
  <c r="Q91" i="48"/>
  <c r="Q89" i="45"/>
  <c r="B6" i="25"/>
  <c r="Q88" i="50"/>
  <c r="B5" i="35"/>
  <c r="Q88" i="51"/>
  <c r="B5" i="37"/>
  <c r="T72" i="52"/>
  <c r="T73" i="52" s="1"/>
  <c r="T74" i="52" s="1"/>
  <c r="T76" i="52" s="1"/>
  <c r="T90" i="52" s="1"/>
  <c r="Q90" i="53"/>
  <c r="B7" i="41"/>
  <c r="Q93" i="53"/>
  <c r="B10" i="41"/>
  <c r="P72" i="44"/>
  <c r="P73" i="44" s="1"/>
  <c r="P74" i="44" s="1"/>
  <c r="P76" i="44" s="1"/>
  <c r="T86" i="44" s="1"/>
  <c r="X72" i="46"/>
  <c r="X73" i="46" s="1"/>
  <c r="X74" i="46" s="1"/>
  <c r="X76" i="46" s="1"/>
  <c r="Q94" i="47"/>
  <c r="G122" i="45"/>
  <c r="X57" i="45"/>
  <c r="X72" i="45" s="1"/>
  <c r="X73" i="45" s="1"/>
  <c r="X74" i="45" s="1"/>
  <c r="X76" i="45" s="1"/>
  <c r="G98" i="48"/>
  <c r="U57" i="48"/>
  <c r="U72" i="48" s="1"/>
  <c r="U73" i="48" s="1"/>
  <c r="U74" i="48" s="1"/>
  <c r="U76" i="48" s="1"/>
  <c r="T91" i="48" s="1"/>
  <c r="S57" i="45"/>
  <c r="S72" i="45" s="1"/>
  <c r="S73" i="45" s="1"/>
  <c r="S74" i="45" s="1"/>
  <c r="S76" i="45" s="1"/>
  <c r="T89" i="45" s="1"/>
  <c r="G82" i="45"/>
  <c r="B9" i="25"/>
  <c r="Q92" i="45"/>
  <c r="G58" i="46"/>
  <c r="P57" i="46"/>
  <c r="P72" i="46" s="1"/>
  <c r="P73" i="46" s="1"/>
  <c r="P74" i="46" s="1"/>
  <c r="P76" i="46" s="1"/>
  <c r="Q57" i="47"/>
  <c r="Q72" i="47" s="1"/>
  <c r="G66" i="47"/>
  <c r="O72" i="44"/>
  <c r="O73" i="44" s="1"/>
  <c r="O74" i="44" s="1"/>
  <c r="O76" i="44" s="1"/>
  <c r="T85" i="44" s="1"/>
  <c r="W57" i="47"/>
  <c r="W72" i="47" s="1"/>
  <c r="W73" i="47" s="1"/>
  <c r="W74" i="47" s="1"/>
  <c r="W76" i="47" s="1"/>
  <c r="T93" i="47" s="1"/>
  <c r="G114" i="47"/>
  <c r="Q88" i="49"/>
  <c r="B5" i="33"/>
  <c r="Q89" i="53"/>
  <c r="B6" i="41"/>
  <c r="Q93" i="47"/>
  <c r="Q85" i="50"/>
  <c r="B2" i="35"/>
  <c r="Q86" i="51"/>
  <c r="B3" i="37"/>
  <c r="Q87" i="50"/>
  <c r="B4" i="35"/>
  <c r="Q91" i="50"/>
  <c r="B8" i="35"/>
  <c r="Q85" i="51"/>
  <c r="B2" i="37"/>
  <c r="Q93" i="51"/>
  <c r="B10" i="37"/>
  <c r="Q91" i="51"/>
  <c r="B8" i="37"/>
  <c r="Q87" i="53"/>
  <c r="B4" i="41"/>
  <c r="Q85" i="53"/>
  <c r="B2" i="41"/>
  <c r="S72" i="54"/>
  <c r="S73" i="54" s="1"/>
  <c r="S74" i="54" s="1"/>
  <c r="S76" i="54" s="1"/>
  <c r="T89" i="54" s="1"/>
  <c r="B2" i="27"/>
  <c r="Q85" i="46"/>
  <c r="Q57" i="45"/>
  <c r="Q72" i="45" s="1"/>
  <c r="Q73" i="45" s="1"/>
  <c r="Q74" i="45" s="1"/>
  <c r="Q76" i="45" s="1"/>
  <c r="T87" i="45" s="1"/>
  <c r="G66" i="45"/>
  <c r="Q93" i="46"/>
  <c r="B5" i="29"/>
  <c r="Q88" i="47"/>
  <c r="V72" i="44"/>
  <c r="V73" i="44" s="1"/>
  <c r="V74" i="44" s="1"/>
  <c r="V76" i="44" s="1"/>
  <c r="T92" i="44" s="1"/>
  <c r="Q88" i="48"/>
  <c r="B5" i="31"/>
  <c r="Q92" i="48"/>
  <c r="B9" i="31"/>
  <c r="G74" i="45"/>
  <c r="R57" i="45"/>
  <c r="R72" i="45" s="1"/>
  <c r="R73" i="45" s="1"/>
  <c r="R74" i="45" s="1"/>
  <c r="R76" i="45" s="1"/>
  <c r="T88" i="45" s="1"/>
  <c r="Q91" i="45"/>
  <c r="B8" i="25"/>
  <c r="Q87" i="51"/>
  <c r="B4" i="37"/>
  <c r="B7" i="25"/>
  <c r="Q90" i="45"/>
  <c r="B5" i="27"/>
  <c r="Q88" i="46"/>
  <c r="P57" i="45"/>
  <c r="P72" i="45" s="1"/>
  <c r="P73" i="45" s="1"/>
  <c r="P74" i="45" s="1"/>
  <c r="P76" i="45" s="1"/>
  <c r="T86" i="45" s="1"/>
  <c r="G58" i="45"/>
  <c r="Q92" i="54"/>
  <c r="B9" i="43"/>
  <c r="T57" i="44"/>
  <c r="T72" i="44" s="1"/>
  <c r="T73" i="44" s="1"/>
  <c r="T74" i="44" s="1"/>
  <c r="T76" i="44" s="1"/>
  <c r="T90" i="44" s="1"/>
  <c r="G90" i="44"/>
  <c r="Q85" i="49"/>
  <c r="B2" i="33"/>
  <c r="Q92" i="49"/>
  <c r="B9" i="33"/>
  <c r="T72" i="51"/>
  <c r="T73" i="51" s="1"/>
  <c r="T74" i="51" s="1"/>
  <c r="T76" i="51" s="1"/>
  <c r="T90" i="51" s="1"/>
  <c r="Q92" i="51"/>
  <c r="B9" i="37"/>
  <c r="Q92" i="52"/>
  <c r="B9" i="39"/>
  <c r="Q94" i="53"/>
  <c r="B11" i="41"/>
  <c r="Q72" i="44"/>
  <c r="Q73" i="44" s="1"/>
  <c r="Q74" i="44" s="1"/>
  <c r="Q76" i="44" s="1"/>
  <c r="T87" i="44" s="1"/>
  <c r="G50" i="46"/>
  <c r="O57" i="46"/>
  <c r="B4" i="25"/>
  <c r="Q87" i="45"/>
  <c r="G114" i="46"/>
  <c r="W57" i="46"/>
  <c r="G74" i="47"/>
  <c r="R57" i="47"/>
  <c r="R72" i="47" s="1"/>
  <c r="R73" i="47" s="1"/>
  <c r="R74" i="47" s="1"/>
  <c r="R76" i="47" s="1"/>
  <c r="T88" i="47" s="1"/>
  <c r="G74" i="48"/>
  <c r="R57" i="48"/>
  <c r="R72" i="48" s="1"/>
  <c r="R73" i="48" s="1"/>
  <c r="R74" i="48" s="1"/>
  <c r="R76" i="48" s="1"/>
  <c r="T88" i="48" s="1"/>
  <c r="G106" i="48"/>
  <c r="V57" i="48"/>
  <c r="V72" i="48" s="1"/>
  <c r="V73" i="48" s="1"/>
  <c r="V74" i="48" s="1"/>
  <c r="V76" i="48" s="1"/>
  <c r="T92" i="48" s="1"/>
  <c r="B5" i="25"/>
  <c r="Q88" i="45"/>
  <c r="Q86" i="48"/>
  <c r="B3" i="31"/>
  <c r="Q94" i="48"/>
  <c r="B8" i="29"/>
  <c r="Q91" i="47"/>
  <c r="G98" i="45"/>
  <c r="U57" i="45"/>
  <c r="U72" i="45" s="1"/>
  <c r="U73" i="45" s="1"/>
  <c r="U74" i="45" s="1"/>
  <c r="U76" i="45" s="1"/>
  <c r="T91" i="45" s="1"/>
  <c r="Q92" i="53"/>
  <c r="B9" i="41"/>
  <c r="Q85" i="54"/>
  <c r="B2" i="43"/>
  <c r="G74" i="44"/>
  <c r="R57" i="44"/>
  <c r="R72" i="44" s="1"/>
  <c r="R73" i="44" s="1"/>
  <c r="R74" i="44" s="1"/>
  <c r="R76" i="44" s="1"/>
  <c r="T88" i="44" s="1"/>
  <c r="Q93" i="49"/>
  <c r="Q87" i="49"/>
  <c r="B4" i="33"/>
  <c r="Q86" i="50"/>
  <c r="B3" i="35"/>
  <c r="Q87" i="52"/>
  <c r="B4" i="39"/>
  <c r="Q86" i="52"/>
  <c r="B3" i="39"/>
  <c r="Q86" i="53"/>
  <c r="B3" i="41"/>
  <c r="Q88" i="54"/>
  <c r="B5" i="43"/>
  <c r="B8" i="22"/>
  <c r="Q91" i="44"/>
  <c r="B2" i="31"/>
  <c r="Q85" i="48"/>
  <c r="Q90" i="48"/>
  <c r="B7" i="31"/>
  <c r="Q57" i="46"/>
  <c r="G66" i="46"/>
  <c r="B6" i="29"/>
  <c r="Q89" i="47"/>
  <c r="Q93" i="45"/>
  <c r="P57" i="48"/>
  <c r="P72" i="48" s="1"/>
  <c r="P73" i="48" s="1"/>
  <c r="P74" i="48" s="1"/>
  <c r="P76" i="48" s="1"/>
  <c r="T86" i="48" s="1"/>
  <c r="G58" i="48"/>
  <c r="G122" i="48"/>
  <c r="X57" i="48"/>
  <c r="X72" i="48" s="1"/>
  <c r="X73" i="48" s="1"/>
  <c r="X74" i="48" s="1"/>
  <c r="X76" i="48" s="1"/>
  <c r="G98" i="47"/>
  <c r="U57" i="47"/>
  <c r="U72" i="47" s="1"/>
  <c r="U73" i="47" s="1"/>
  <c r="U74" i="47" s="1"/>
  <c r="U76" i="47" s="1"/>
  <c r="T91" i="47" s="1"/>
  <c r="T72" i="54"/>
  <c r="G58" i="54"/>
  <c r="P57" i="54"/>
  <c r="P72" i="54" s="1"/>
  <c r="Q57" i="54"/>
  <c r="Q72" i="54" s="1"/>
  <c r="G66" i="54"/>
  <c r="G74" i="54"/>
  <c r="R57" i="54"/>
  <c r="R72" i="54" s="1"/>
  <c r="O57" i="54"/>
  <c r="O72" i="54" s="1"/>
  <c r="G50" i="54"/>
  <c r="X72" i="54"/>
  <c r="G114" i="54"/>
  <c r="W57" i="54"/>
  <c r="W72" i="54" s="1"/>
  <c r="G106" i="54"/>
  <c r="V57" i="54"/>
  <c r="V72" i="54" s="1"/>
  <c r="G114" i="53"/>
  <c r="W57" i="53"/>
  <c r="W72" i="53" s="1"/>
  <c r="O57" i="53"/>
  <c r="O72" i="53" s="1"/>
  <c r="G50" i="53"/>
  <c r="G122" i="53"/>
  <c r="X57" i="53"/>
  <c r="X72" i="53" s="1"/>
  <c r="G106" i="53"/>
  <c r="V57" i="53"/>
  <c r="V72" i="53" s="1"/>
  <c r="U73" i="53"/>
  <c r="U74" i="53" s="1"/>
  <c r="U76" i="53" s="1"/>
  <c r="T91" i="53" s="1"/>
  <c r="Q57" i="53"/>
  <c r="Q72" i="53" s="1"/>
  <c r="G66" i="53"/>
  <c r="G58" i="53"/>
  <c r="P57" i="53"/>
  <c r="P72" i="53" s="1"/>
  <c r="G74" i="53"/>
  <c r="R57" i="53"/>
  <c r="R72" i="53" s="1"/>
  <c r="T57" i="53"/>
  <c r="T72" i="53" s="1"/>
  <c r="G90" i="53"/>
  <c r="S57" i="53"/>
  <c r="S72" i="53" s="1"/>
  <c r="G82" i="53"/>
  <c r="G114" i="52"/>
  <c r="W57" i="52"/>
  <c r="W72" i="52" s="1"/>
  <c r="S73" i="52"/>
  <c r="S74" i="52" s="1"/>
  <c r="S76" i="52" s="1"/>
  <c r="T89" i="52" s="1"/>
  <c r="G58" i="52"/>
  <c r="P57" i="52"/>
  <c r="P72" i="52" s="1"/>
  <c r="O57" i="52"/>
  <c r="O72" i="52" s="1"/>
  <c r="G50" i="52"/>
  <c r="Q57" i="52"/>
  <c r="Q72" i="52" s="1"/>
  <c r="G66" i="52"/>
  <c r="G106" i="52"/>
  <c r="V57" i="52"/>
  <c r="V72" i="52" s="1"/>
  <c r="X72" i="52"/>
  <c r="G106" i="51"/>
  <c r="V57" i="51"/>
  <c r="V72" i="51" s="1"/>
  <c r="U57" i="51"/>
  <c r="U72" i="51" s="1"/>
  <c r="G98" i="51"/>
  <c r="X72" i="51"/>
  <c r="G50" i="51"/>
  <c r="O57" i="51"/>
  <c r="O72" i="51" s="1"/>
  <c r="Q57" i="51"/>
  <c r="Q72" i="51" s="1"/>
  <c r="G66" i="51"/>
  <c r="G74" i="51"/>
  <c r="R57" i="51"/>
  <c r="R72" i="51" s="1"/>
  <c r="G114" i="51"/>
  <c r="W57" i="51"/>
  <c r="W72" i="51" s="1"/>
  <c r="S72" i="51"/>
  <c r="G58" i="51"/>
  <c r="P57" i="51"/>
  <c r="P72" i="51" s="1"/>
  <c r="S72" i="50"/>
  <c r="G66" i="50"/>
  <c r="Q57" i="50"/>
  <c r="Q72" i="50" s="1"/>
  <c r="G98" i="50"/>
  <c r="U57" i="50"/>
  <c r="U72" i="50" s="1"/>
  <c r="G58" i="50"/>
  <c r="P57" i="50"/>
  <c r="P72" i="50" s="1"/>
  <c r="X72" i="50"/>
  <c r="G106" i="50"/>
  <c r="V57" i="50"/>
  <c r="V72" i="50" s="1"/>
  <c r="G114" i="50"/>
  <c r="W57" i="50"/>
  <c r="W72" i="50" s="1"/>
  <c r="G74" i="50"/>
  <c r="R57" i="50"/>
  <c r="R72" i="50" s="1"/>
  <c r="G50" i="50"/>
  <c r="O57" i="50"/>
  <c r="O72" i="50" s="1"/>
  <c r="T72" i="50"/>
  <c r="Q57" i="49"/>
  <c r="Q72" i="49" s="1"/>
  <c r="G66" i="49"/>
  <c r="G74" i="49"/>
  <c r="R57" i="49"/>
  <c r="R72" i="49" s="1"/>
  <c r="G114" i="49"/>
  <c r="W57" i="49"/>
  <c r="W72" i="49" s="1"/>
  <c r="O57" i="49"/>
  <c r="O72" i="49" s="1"/>
  <c r="G50" i="49"/>
  <c r="U57" i="49"/>
  <c r="U72" i="49" s="1"/>
  <c r="G98" i="49"/>
  <c r="T72" i="49"/>
  <c r="G106" i="49"/>
  <c r="V57" i="49"/>
  <c r="V72" i="49" s="1"/>
  <c r="G58" i="49"/>
  <c r="P57" i="49"/>
  <c r="P72" i="49" s="1"/>
  <c r="X72" i="49"/>
  <c r="S72" i="49"/>
  <c r="K46" i="5" a="1"/>
  <c r="K54" i="5" a="1"/>
  <c r="K95" i="5" a="1"/>
  <c r="K164" i="5" a="1"/>
  <c r="K52" i="5" a="1"/>
  <c r="K73" i="5" a="1"/>
  <c r="K45" i="5" a="1"/>
  <c r="K70" i="5" a="1"/>
  <c r="K152" i="5" a="1"/>
  <c r="K83" i="5" a="1"/>
  <c r="K150" i="5" a="1"/>
  <c r="K78" i="5" a="1"/>
  <c r="K69" i="5" a="1"/>
  <c r="K30" i="5" a="1"/>
  <c r="K74" i="5" a="1"/>
  <c r="K66" i="5" a="1"/>
  <c r="K98" i="5" a="1"/>
  <c r="K43" i="5" a="1"/>
  <c r="K85" i="5" a="1"/>
  <c r="K42" i="5" a="1"/>
  <c r="K51" i="5" a="1"/>
  <c r="K86" i="5" a="1"/>
  <c r="K174" i="5" a="1"/>
  <c r="K82" i="5" a="1"/>
  <c r="K96" i="5" a="1"/>
  <c r="K149" i="5" a="1"/>
  <c r="K99" i="5" a="1"/>
  <c r="K84" i="5" a="1"/>
  <c r="K41" i="5" a="1"/>
  <c r="K53" i="5" a="1"/>
  <c r="K59" i="5" a="1"/>
  <c r="K56" i="5" a="1"/>
  <c r="K176" i="5" a="1"/>
  <c r="K93" i="5" a="1"/>
  <c r="K47" i="5" a="1"/>
  <c r="K29" i="5" a="1"/>
  <c r="K68" i="5" a="1"/>
  <c r="K40" i="5" a="1"/>
  <c r="K39" i="5" a="1"/>
  <c r="K57" i="5" a="1"/>
  <c r="K101" i="5" a="1"/>
  <c r="K81" i="5" a="1"/>
  <c r="K44" i="5" a="1"/>
  <c r="K55" i="5" a="1"/>
  <c r="K58" i="5" a="1"/>
  <c r="K94" i="5" a="1"/>
  <c r="K136" i="5" a="1"/>
  <c r="K151" i="5" a="1"/>
  <c r="K97" i="5" a="1"/>
  <c r="K100" i="5" a="1"/>
  <c r="Q72" i="46" l="1"/>
  <c r="Q73" i="46" s="1"/>
  <c r="Q74" i="46" s="1"/>
  <c r="Q76" i="46" s="1"/>
  <c r="T87" i="46" s="1"/>
  <c r="T93" i="46"/>
  <c r="W72" i="46"/>
  <c r="W73" i="46" s="1"/>
  <c r="W74" i="46" s="1"/>
  <c r="W76" i="46" s="1"/>
  <c r="O72" i="46"/>
  <c r="O73" i="46" s="1"/>
  <c r="O74" i="46" s="1"/>
  <c r="O76" i="46" s="1"/>
  <c r="T85" i="46" s="1"/>
  <c r="V72" i="46"/>
  <c r="V73" i="46" s="1"/>
  <c r="V74" i="46" s="1"/>
  <c r="V76" i="46" s="1"/>
  <c r="T92" i="46" s="1"/>
  <c r="R72" i="46"/>
  <c r="R73" i="46" s="1"/>
  <c r="R74" i="46" s="1"/>
  <c r="R76" i="46" s="1"/>
  <c r="T88" i="46" s="1"/>
  <c r="U73" i="46"/>
  <c r="U74" i="46" s="1"/>
  <c r="U76" i="46"/>
  <c r="T91" i="46" s="1"/>
  <c r="K101" i="5"/>
  <c r="K43" i="5"/>
  <c r="K30" i="5"/>
  <c r="K29" i="5"/>
  <c r="K176" i="5"/>
  <c r="K174" i="5"/>
  <c r="K164" i="5"/>
  <c r="K51" i="5"/>
  <c r="K86" i="5"/>
  <c r="K74" i="5"/>
  <c r="K59" i="5"/>
  <c r="K47" i="5"/>
  <c r="K100" i="5"/>
  <c r="K85" i="5"/>
  <c r="K73" i="5"/>
  <c r="K58" i="5"/>
  <c r="K46" i="5"/>
  <c r="K152" i="5"/>
  <c r="K99" i="5"/>
  <c r="K84" i="5"/>
  <c r="K57" i="5"/>
  <c r="K45" i="5"/>
  <c r="K151" i="5"/>
  <c r="K136" i="5"/>
  <c r="K98" i="5"/>
  <c r="K83" i="5"/>
  <c r="K56" i="5"/>
  <c r="K44" i="5"/>
  <c r="K150" i="5"/>
  <c r="K97" i="5"/>
  <c r="K82" i="5"/>
  <c r="K70" i="5"/>
  <c r="K55" i="5"/>
  <c r="K149" i="5"/>
  <c r="K96" i="5"/>
  <c r="K81" i="5"/>
  <c r="K69" i="5"/>
  <c r="K54" i="5"/>
  <c r="K42" i="5"/>
  <c r="K95" i="5"/>
  <c r="K68" i="5"/>
  <c r="K53" i="5"/>
  <c r="K41" i="5"/>
  <c r="K94" i="5"/>
  <c r="K52" i="5"/>
  <c r="K40" i="5"/>
  <c r="K93" i="5"/>
  <c r="K78" i="5"/>
  <c r="K66" i="5"/>
  <c r="K39" i="5"/>
  <c r="Q73" i="47"/>
  <c r="Q74" i="47" s="1"/>
  <c r="Q76" i="47" s="1"/>
  <c r="T87" i="47" s="1"/>
  <c r="Q73" i="54"/>
  <c r="Q74" i="54" s="1"/>
  <c r="Q76" i="54" s="1"/>
  <c r="T87" i="54" s="1"/>
  <c r="W73" i="54"/>
  <c r="W74" i="54" s="1"/>
  <c r="W76" i="54" s="1"/>
  <c r="P73" i="54"/>
  <c r="P74" i="54" s="1"/>
  <c r="P76" i="54" s="1"/>
  <c r="T86" i="54" s="1"/>
  <c r="X73" i="54"/>
  <c r="X74" i="54" s="1"/>
  <c r="X76" i="54" s="1"/>
  <c r="T73" i="54"/>
  <c r="T74" i="54" s="1"/>
  <c r="T76" i="54" s="1"/>
  <c r="T90" i="54" s="1"/>
  <c r="O73" i="54"/>
  <c r="O74" i="54" s="1"/>
  <c r="O76" i="54" s="1"/>
  <c r="T85" i="54" s="1"/>
  <c r="R73" i="54"/>
  <c r="R74" i="54" s="1"/>
  <c r="R76" i="54" s="1"/>
  <c r="T88" i="54" s="1"/>
  <c r="V73" i="54"/>
  <c r="V74" i="54" s="1"/>
  <c r="V76" i="54" s="1"/>
  <c r="T92" i="54" s="1"/>
  <c r="V73" i="53"/>
  <c r="V74" i="53" s="1"/>
  <c r="V76" i="53" s="1"/>
  <c r="T92" i="53" s="1"/>
  <c r="P73" i="53"/>
  <c r="P74" i="53" s="1"/>
  <c r="P76" i="53" s="1"/>
  <c r="T86" i="53" s="1"/>
  <c r="X73" i="53"/>
  <c r="X74" i="53" s="1"/>
  <c r="X76" i="53" s="1"/>
  <c r="Q73" i="53"/>
  <c r="Q74" i="53" s="1"/>
  <c r="Q76" i="53" s="1"/>
  <c r="T87" i="53" s="1"/>
  <c r="O73" i="53"/>
  <c r="O74" i="53" s="1"/>
  <c r="O76" i="53" s="1"/>
  <c r="T85" i="53" s="1"/>
  <c r="W73" i="53"/>
  <c r="W74" i="53" s="1"/>
  <c r="W76" i="53" s="1"/>
  <c r="R73" i="53"/>
  <c r="R74" i="53" s="1"/>
  <c r="R76" i="53" s="1"/>
  <c r="T88" i="53" s="1"/>
  <c r="S73" i="53"/>
  <c r="S74" i="53" s="1"/>
  <c r="S76" i="53" s="1"/>
  <c r="T89" i="53" s="1"/>
  <c r="T73" i="53"/>
  <c r="T74" i="53" s="1"/>
  <c r="T76" i="53" s="1"/>
  <c r="T90" i="53" s="1"/>
  <c r="Q73" i="52"/>
  <c r="Q74" i="52" s="1"/>
  <c r="Q76" i="52" s="1"/>
  <c r="T87" i="52" s="1"/>
  <c r="W73" i="52"/>
  <c r="W74" i="52" s="1"/>
  <c r="W76" i="52" s="1"/>
  <c r="T93" i="52" s="1"/>
  <c r="X73" i="52"/>
  <c r="X74" i="52" s="1"/>
  <c r="X76" i="52" s="1"/>
  <c r="O73" i="52"/>
  <c r="O74" i="52" s="1"/>
  <c r="O76" i="52" s="1"/>
  <c r="T85" i="52" s="1"/>
  <c r="V73" i="52"/>
  <c r="V74" i="52" s="1"/>
  <c r="V76" i="52" s="1"/>
  <c r="T92" i="52" s="1"/>
  <c r="P73" i="52"/>
  <c r="P74" i="52" s="1"/>
  <c r="P76" i="52" s="1"/>
  <c r="T86" i="52" s="1"/>
  <c r="P73" i="51"/>
  <c r="P74" i="51" s="1"/>
  <c r="P76" i="51" s="1"/>
  <c r="T86" i="51" s="1"/>
  <c r="Q73" i="51"/>
  <c r="Q74" i="51" s="1"/>
  <c r="Q76" i="51" s="1"/>
  <c r="T87" i="51" s="1"/>
  <c r="W73" i="51"/>
  <c r="W74" i="51" s="1"/>
  <c r="W76" i="51" s="1"/>
  <c r="T93" i="51" s="1"/>
  <c r="O73" i="51"/>
  <c r="O74" i="51" s="1"/>
  <c r="O76" i="51" s="1"/>
  <c r="T85" i="51" s="1"/>
  <c r="V73" i="51"/>
  <c r="V74" i="51" s="1"/>
  <c r="V76" i="51" s="1"/>
  <c r="T92" i="51" s="1"/>
  <c r="S73" i="51"/>
  <c r="S74" i="51" s="1"/>
  <c r="S76" i="51" s="1"/>
  <c r="T89" i="51" s="1"/>
  <c r="X73" i="51"/>
  <c r="X74" i="51" s="1"/>
  <c r="X76" i="51" s="1"/>
  <c r="R73" i="51"/>
  <c r="R74" i="51" s="1"/>
  <c r="R76" i="51" s="1"/>
  <c r="T88" i="51" s="1"/>
  <c r="U73" i="51"/>
  <c r="U74" i="51" s="1"/>
  <c r="U76" i="51" s="1"/>
  <c r="T91" i="51" s="1"/>
  <c r="T73" i="50"/>
  <c r="T74" i="50" s="1"/>
  <c r="T76" i="50" s="1"/>
  <c r="T90" i="50" s="1"/>
  <c r="O73" i="50"/>
  <c r="O74" i="50" s="1"/>
  <c r="O76" i="50" s="1"/>
  <c r="T85" i="50" s="1"/>
  <c r="X73" i="50"/>
  <c r="X74" i="50" s="1"/>
  <c r="X76" i="50" s="1"/>
  <c r="P73" i="50"/>
  <c r="P74" i="50" s="1"/>
  <c r="P76" i="50" s="1"/>
  <c r="T86" i="50" s="1"/>
  <c r="V73" i="50"/>
  <c r="V74" i="50" s="1"/>
  <c r="V76" i="50" s="1"/>
  <c r="T92" i="50" s="1"/>
  <c r="S73" i="50"/>
  <c r="S74" i="50" s="1"/>
  <c r="S76" i="50" s="1"/>
  <c r="T89" i="50" s="1"/>
  <c r="R73" i="50"/>
  <c r="R74" i="50" s="1"/>
  <c r="R76" i="50" s="1"/>
  <c r="T88" i="50" s="1"/>
  <c r="U73" i="50"/>
  <c r="U74" i="50" s="1"/>
  <c r="U76" i="50" s="1"/>
  <c r="T91" i="50" s="1"/>
  <c r="W73" i="50"/>
  <c r="W74" i="50" s="1"/>
  <c r="W76" i="50" s="1"/>
  <c r="T93" i="50" s="1"/>
  <c r="Q73" i="50"/>
  <c r="Q74" i="50" s="1"/>
  <c r="Q76" i="50" s="1"/>
  <c r="T87" i="50" s="1"/>
  <c r="U73" i="49"/>
  <c r="U74" i="49" s="1"/>
  <c r="U76" i="49" s="1"/>
  <c r="T91" i="49" s="1"/>
  <c r="P73" i="49"/>
  <c r="P74" i="49" s="1"/>
  <c r="P76" i="49" s="1"/>
  <c r="T86" i="49" s="1"/>
  <c r="X73" i="49"/>
  <c r="X74" i="49" s="1"/>
  <c r="X76" i="49" s="1"/>
  <c r="V73" i="49"/>
  <c r="V74" i="49" s="1"/>
  <c r="V76" i="49" s="1"/>
  <c r="T92" i="49" s="1"/>
  <c r="S73" i="49"/>
  <c r="S74" i="49" s="1"/>
  <c r="S76" i="49" s="1"/>
  <c r="T89" i="49" s="1"/>
  <c r="Q73" i="49"/>
  <c r="Q74" i="49" s="1"/>
  <c r="Q76" i="49" s="1"/>
  <c r="T87" i="49" s="1"/>
  <c r="O73" i="49"/>
  <c r="O74" i="49" s="1"/>
  <c r="O76" i="49" s="1"/>
  <c r="T85" i="49" s="1"/>
  <c r="W73" i="49"/>
  <c r="W74" i="49" s="1"/>
  <c r="W76" i="49" s="1"/>
  <c r="T93" i="49" s="1"/>
  <c r="R73" i="49"/>
  <c r="R74" i="49" s="1"/>
  <c r="R76" i="49" s="1"/>
  <c r="T88" i="49" s="1"/>
  <c r="T73" i="49"/>
  <c r="T74" i="49" s="1"/>
  <c r="T76" i="49" s="1"/>
  <c r="T90" i="49" s="1"/>
  <c r="K112" i="5" a="1"/>
  <c r="K162" i="5" a="1"/>
  <c r="K163" i="5" a="1"/>
  <c r="K158" i="5" a="1"/>
  <c r="K175" i="5" a="1"/>
  <c r="K111" i="5" a="1"/>
  <c r="K153" i="5" a="1"/>
  <c r="K105" i="5" a="1"/>
  <c r="K132" i="5" a="1"/>
  <c r="K108" i="5" a="1"/>
  <c r="K107" i="5" a="1"/>
  <c r="K106" i="5" a="1"/>
  <c r="K148" i="5" a="1"/>
  <c r="K134" i="5" a="1"/>
  <c r="K110" i="5" a="1"/>
  <c r="K113" i="5" a="1"/>
  <c r="K122" i="5" a="1"/>
  <c r="K170" i="5" a="1"/>
  <c r="K125" i="5" a="1"/>
  <c r="K109" i="5" a="1"/>
  <c r="K159" i="5" a="1"/>
  <c r="K131" i="5" a="1"/>
  <c r="K160" i="5" a="1"/>
  <c r="K165" i="5" a="1"/>
  <c r="K121" i="5" a="1"/>
  <c r="K147" i="5" a="1"/>
  <c r="K133" i="5" a="1"/>
  <c r="K118" i="5" a="1"/>
  <c r="K161" i="5" a="1"/>
  <c r="K117" i="5" a="1"/>
  <c r="K177" i="5" a="1"/>
  <c r="K154" i="5" a="1"/>
  <c r="K123" i="5" a="1"/>
  <c r="K172" i="5" a="1"/>
  <c r="K146" i="5" a="1"/>
  <c r="K173" i="5" a="1"/>
  <c r="K138" i="5" a="1"/>
  <c r="K139" i="5" a="1"/>
  <c r="K120" i="5" a="1"/>
  <c r="K80" i="5" a="1"/>
  <c r="K135" i="5" a="1"/>
  <c r="K171" i="5" a="1"/>
  <c r="K124" i="5" a="1"/>
  <c r="K137" i="5" a="1"/>
  <c r="K119" i="5" a="1"/>
  <c r="T86" i="46" l="1"/>
  <c r="K177" i="5"/>
  <c r="K165" i="5"/>
  <c r="K160" i="5"/>
  <c r="K172" i="5"/>
  <c r="K175" i="5"/>
  <c r="K173" i="5"/>
  <c r="K171" i="5"/>
  <c r="K170" i="5"/>
  <c r="K163" i="5"/>
  <c r="K162" i="5"/>
  <c r="K161" i="5"/>
  <c r="K159" i="5"/>
  <c r="K158" i="5"/>
  <c r="K139" i="5"/>
  <c r="K125" i="5"/>
  <c r="K113" i="5"/>
  <c r="K154" i="5"/>
  <c r="K138" i="5"/>
  <c r="K124" i="5"/>
  <c r="K112" i="5"/>
  <c r="K153" i="5"/>
  <c r="K137" i="5"/>
  <c r="K123" i="5"/>
  <c r="K111" i="5"/>
  <c r="K122" i="5"/>
  <c r="K110" i="5"/>
  <c r="K135" i="5"/>
  <c r="K121" i="5"/>
  <c r="K109" i="5"/>
  <c r="K134" i="5"/>
  <c r="K120" i="5"/>
  <c r="K108" i="5"/>
  <c r="K148" i="5"/>
  <c r="K133" i="5"/>
  <c r="K119" i="5"/>
  <c r="K107" i="5"/>
  <c r="K80" i="5"/>
  <c r="K147" i="5"/>
  <c r="K132" i="5"/>
  <c r="K118" i="5"/>
  <c r="K106" i="5"/>
  <c r="K146" i="5"/>
  <c r="K131" i="5"/>
  <c r="K117" i="5"/>
  <c r="K105" i="5"/>
  <c r="K67" i="5" a="1"/>
  <c r="K67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O27" authorId="0" shapeId="0" xr:uid="{00000000-0006-0000-0000-000001000000}">
      <text>
        <r>
          <rPr>
            <sz val="9"/>
            <color indexed="81"/>
            <rFont val="Tahoma"/>
            <family val="2"/>
          </rPr>
          <t>Pilih pengolahan pakai regresi atau tidak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2" authorId="0" shapeId="0" xr:uid="{00000000-0006-0000-0100-000001000000}">
      <text>
        <r>
          <rPr>
            <sz val="9"/>
            <color indexed="81"/>
            <rFont val="Tahoma"/>
            <family val="2"/>
          </rPr>
          <t>Pilih satuan termometer yg dikalibrasi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2" authorId="0" shapeId="0" xr:uid="{DC8430A0-70E9-4C80-BC66-42BD20D4F487}">
      <text>
        <r>
          <rPr>
            <sz val="9"/>
            <color indexed="81"/>
            <rFont val="Tahoma"/>
            <family val="2"/>
          </rPr>
          <t>Pilih satuan termometer yg dikalibrasi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<sst xmlns="http://schemas.openxmlformats.org/spreadsheetml/2006/main" count="7280" uniqueCount="235">
  <si>
    <t>No</t>
  </si>
  <si>
    <t>Standar</t>
  </si>
  <si>
    <t>Pembacaan</t>
  </si>
  <si>
    <t>suhu alat</t>
  </si>
  <si>
    <t>Koreksi</t>
  </si>
  <si>
    <t>C = t - r</t>
  </si>
  <si>
    <t>ESDM =</t>
  </si>
  <si>
    <t>k</t>
  </si>
  <si>
    <t>n</t>
  </si>
  <si>
    <t>¥</t>
  </si>
  <si>
    <t>Urep =</t>
  </si>
  <si>
    <t>(berulang)</t>
  </si>
  <si>
    <t>(interpolasi)</t>
  </si>
  <si>
    <t>Uip      =</t>
  </si>
  <si>
    <t xml:space="preserve">1. </t>
  </si>
  <si>
    <t>IDENTITAS ALAT YANG DIKALIBRASI</t>
  </si>
  <si>
    <t>:</t>
  </si>
  <si>
    <t>2.</t>
  </si>
  <si>
    <t>PELAKSANAAN KALIBRASI</t>
  </si>
  <si>
    <t>Metode kalibrasi</t>
  </si>
  <si>
    <t>3.</t>
  </si>
  <si>
    <t>DATA PENGAMATAN</t>
  </si>
  <si>
    <t>Kondisi lingkungan</t>
  </si>
  <si>
    <t>Suhu (°C)</t>
  </si>
  <si>
    <t>Kelembaban (%)</t>
  </si>
  <si>
    <t>Sebelum kalibrasi</t>
  </si>
  <si>
    <t>Sesudah kalibrasi</t>
  </si>
  <si>
    <t>ESDM   =</t>
  </si>
  <si>
    <t>Ketidakpastian</t>
  </si>
  <si>
    <t>Std. Sebenarnya</t>
  </si>
  <si>
    <t>STDV</t>
  </si>
  <si>
    <t>Rata-rata</t>
  </si>
  <si>
    <t>Data Kalibrasi</t>
  </si>
  <si>
    <t>Nama Alat</t>
  </si>
  <si>
    <t>Hasil Kalibrasi</t>
  </si>
  <si>
    <t>±</t>
  </si>
  <si>
    <t>Tanggal Pelaksanaan</t>
  </si>
  <si>
    <t>Tempat Pelaksanaan</t>
  </si>
  <si>
    <t>Tertelusur</t>
  </si>
  <si>
    <t xml:space="preserve">  </t>
  </si>
  <si>
    <t xml:space="preserve">       </t>
  </si>
  <si>
    <t xml:space="preserve">                      </t>
  </si>
  <si>
    <t>3. SPESIFIKASI ALAT</t>
  </si>
  <si>
    <t>Merek</t>
  </si>
  <si>
    <t xml:space="preserve">Lain-lain            </t>
  </si>
  <si>
    <t>Sebelum Kalibrasi</t>
  </si>
  <si>
    <t>Sesudah Kalibrasi</t>
  </si>
  <si>
    <t>HASIL KALIBRASI :</t>
  </si>
  <si>
    <t>Pembacaan Alat</t>
  </si>
  <si>
    <t>Sertifikat Std</t>
  </si>
  <si>
    <t xml:space="preserve">Pembagi </t>
  </si>
  <si>
    <t>Ketidakpastian Alat Standar  dari Sertifikat Kalibrasi</t>
  </si>
  <si>
    <t>SPESIFIKASI STANDAR</t>
  </si>
  <si>
    <t>Merek / Tipe</t>
  </si>
  <si>
    <t xml:space="preserve">Perhitungan Ketidakpastian </t>
  </si>
  <si>
    <t>distribusi</t>
  </si>
  <si>
    <t>Pembagi</t>
  </si>
  <si>
    <t>Ket</t>
  </si>
  <si>
    <t>Normal</t>
  </si>
  <si>
    <t>Media Air</t>
  </si>
  <si>
    <t>Silikon Rendah</t>
  </si>
  <si>
    <t>Silikon Tinggi</t>
  </si>
  <si>
    <t>rect.</t>
  </si>
  <si>
    <t>Daya Baca</t>
  </si>
  <si>
    <t xml:space="preserve">: </t>
  </si>
  <si>
    <t>Suhu</t>
  </si>
  <si>
    <t>pembagi</t>
  </si>
  <si>
    <t>ketidakpastian baku</t>
  </si>
  <si>
    <t>Sebenarnya</t>
  </si>
  <si>
    <t>Menggunakan Block Calibrator</t>
  </si>
  <si>
    <t>UUT</t>
  </si>
  <si>
    <r>
      <t>(UUT)</t>
    </r>
    <r>
      <rPr>
        <vertAlign val="superscript"/>
        <sz val="11"/>
        <rFont val="Book Antiqua"/>
        <family val="1"/>
      </rPr>
      <t>2</t>
    </r>
  </si>
  <si>
    <r>
      <t>(UUT)</t>
    </r>
    <r>
      <rPr>
        <vertAlign val="superscript"/>
        <sz val="10"/>
        <rFont val="Book Antiqua"/>
        <family val="1"/>
      </rPr>
      <t>3</t>
    </r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</si>
  <si>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</si>
  <si>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</si>
  <si>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</si>
  <si>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</si>
  <si>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</si>
  <si>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</si>
  <si>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</si>
  <si>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</si>
  <si>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</si>
  <si>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</si>
  <si>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</si>
  <si>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</si>
  <si>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</si>
  <si>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</si>
  <si>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</si>
  <si>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</si>
  <si>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</si>
  <si>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</si>
  <si>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</si>
  <si>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</si>
  <si>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</si>
  <si>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</si>
  <si>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X Variable 1</t>
  </si>
  <si>
    <t xml:space="preserve">Dengan </t>
  </si>
  <si>
    <t>A =</t>
  </si>
  <si>
    <t>B =</t>
  </si>
  <si>
    <t>Hasil Kalibrasi berdasarkan persamaan regresi orde 3</t>
  </si>
  <si>
    <t>- Ketidakpastian pengukuran suhu tiap titik ukur pada tingkat kepercayaan 95% dengan faktor k = 3</t>
  </si>
  <si>
    <t>°C</t>
  </si>
  <si>
    <t>Media Kalibrasi</t>
  </si>
  <si>
    <t>Media Halo Karbon</t>
  </si>
  <si>
    <t>u2</t>
  </si>
  <si>
    <t>Resolusi Alat Ukur Standar</t>
  </si>
  <si>
    <t>u3</t>
  </si>
  <si>
    <t>u4</t>
  </si>
  <si>
    <t>X Variable 2</t>
  </si>
  <si>
    <t>X Variable 3</t>
  </si>
  <si>
    <r>
      <t>Koreksi  =  A  +  B t  +  C t</t>
    </r>
    <r>
      <rPr>
        <sz val="10"/>
        <rFont val="Book Antiqua"/>
        <family val="1"/>
      </rPr>
      <t>² +  D t³</t>
    </r>
  </si>
  <si>
    <t>C =</t>
  </si>
  <si>
    <t>D =</t>
  </si>
  <si>
    <t>Menggunakan Block Calibrator Techne CE350</t>
  </si>
  <si>
    <t>Kelembaban</t>
  </si>
  <si>
    <t>%Rh</t>
  </si>
  <si>
    <t>Termometer Digital (PRT)</t>
  </si>
  <si>
    <t>Burn Engr</t>
  </si>
  <si>
    <t>MK.2.2.1.02 yang mengacu ke JIS Z8710-1993; Temperature Measurement Requirement</t>
  </si>
  <si>
    <t>Tanggal Penerimaan</t>
  </si>
  <si>
    <t>Lower 95,0%</t>
  </si>
  <si>
    <t>Upper 95,0%</t>
  </si>
  <si>
    <t>Metode Kalibrasi</t>
  </si>
  <si>
    <t>Tipe/Nomor Seri</t>
  </si>
  <si>
    <t>Kondisi Lingkungan</t>
  </si>
  <si>
    <t>Ketidakpastian pengukuran suhu tiap titik ukur pada tingkat kepercayaan 95% dengan faktor k = 2</t>
  </si>
  <si>
    <t>Nama alat</t>
  </si>
  <si>
    <t xml:space="preserve">Rentang ukur   </t>
  </si>
  <si>
    <t xml:space="preserve">Skala terkecil    </t>
  </si>
  <si>
    <t>No. seri/No.Invt.</t>
  </si>
  <si>
    <t>X Variable 4</t>
  </si>
  <si>
    <t>X Variable 5</t>
  </si>
  <si>
    <t>X Variable 6</t>
  </si>
  <si>
    <t>X Variable 7</t>
  </si>
  <si>
    <t>X Variable 8</t>
  </si>
  <si>
    <t>X Variable 9</t>
  </si>
  <si>
    <t>X Variable 10</t>
  </si>
  <si>
    <t>E</t>
  </si>
  <si>
    <t>G</t>
  </si>
  <si>
    <t>H</t>
  </si>
  <si>
    <t>I</t>
  </si>
  <si>
    <t>J</t>
  </si>
  <si>
    <t>K</t>
  </si>
  <si>
    <r>
      <t>(UUT)</t>
    </r>
    <r>
      <rPr>
        <vertAlign val="superscript"/>
        <sz val="10"/>
        <rFont val="Book Antiqua"/>
        <family val="1"/>
      </rPr>
      <t>4</t>
    </r>
    <r>
      <rPr>
        <sz val="10"/>
        <rFont val="Arial"/>
        <family val="2"/>
      </rPr>
      <t/>
    </r>
  </si>
  <si>
    <r>
      <t>(UUT)</t>
    </r>
    <r>
      <rPr>
        <vertAlign val="superscript"/>
        <sz val="10"/>
        <rFont val="Book Antiqua"/>
        <family val="1"/>
      </rPr>
      <t>5</t>
    </r>
    <r>
      <rPr>
        <sz val="10"/>
        <rFont val="Arial"/>
        <family val="2"/>
      </rPr>
      <t/>
    </r>
  </si>
  <si>
    <r>
      <t>(UUT)</t>
    </r>
    <r>
      <rPr>
        <vertAlign val="superscript"/>
        <sz val="10"/>
        <rFont val="Book Antiqua"/>
        <family val="1"/>
      </rPr>
      <t>6</t>
    </r>
    <r>
      <rPr>
        <sz val="10"/>
        <rFont val="Arial"/>
        <family val="2"/>
      </rPr>
      <t/>
    </r>
  </si>
  <si>
    <r>
      <t>(UUT)</t>
    </r>
    <r>
      <rPr>
        <vertAlign val="superscript"/>
        <sz val="10"/>
        <rFont val="Book Antiqua"/>
        <family val="1"/>
      </rPr>
      <t>7</t>
    </r>
    <r>
      <rPr>
        <sz val="10"/>
        <rFont val="Arial"/>
        <family val="2"/>
      </rPr>
      <t/>
    </r>
  </si>
  <si>
    <r>
      <t>(UUT)</t>
    </r>
    <r>
      <rPr>
        <vertAlign val="superscript"/>
        <sz val="10"/>
        <rFont val="Book Antiqua"/>
        <family val="1"/>
      </rPr>
      <t>8</t>
    </r>
    <r>
      <rPr>
        <sz val="10"/>
        <rFont val="Arial"/>
        <family val="2"/>
      </rPr>
      <t/>
    </r>
  </si>
  <si>
    <r>
      <t>(UUT)</t>
    </r>
    <r>
      <rPr>
        <vertAlign val="superscript"/>
        <sz val="10"/>
        <rFont val="Book Antiqua"/>
        <family val="1"/>
      </rPr>
      <t>9</t>
    </r>
    <r>
      <rPr>
        <sz val="10"/>
        <rFont val="Arial"/>
        <family val="2"/>
      </rPr>
      <t/>
    </r>
  </si>
  <si>
    <r>
      <t>(UUT)</t>
    </r>
    <r>
      <rPr>
        <vertAlign val="superscript"/>
        <sz val="10"/>
        <rFont val="Book Antiqua"/>
        <family val="1"/>
      </rPr>
      <t>10</t>
    </r>
    <r>
      <rPr>
        <sz val="10"/>
        <rFont val="Arial"/>
        <family val="2"/>
      </rPr>
      <t/>
    </r>
  </si>
  <si>
    <t>orde 3</t>
  </si>
  <si>
    <t>orde 10</t>
  </si>
  <si>
    <t>Urep</t>
  </si>
  <si>
    <t>Uip</t>
  </si>
  <si>
    <t>Ustd</t>
  </si>
  <si>
    <t>Uapp</t>
  </si>
  <si>
    <t>Udrift</t>
  </si>
  <si>
    <t>Ures</t>
  </si>
  <si>
    <t>Udisp</t>
  </si>
  <si>
    <t>Vrep</t>
  </si>
  <si>
    <t>Vip</t>
  </si>
  <si>
    <t>Vstd</t>
  </si>
  <si>
    <t>Vapp</t>
  </si>
  <si>
    <t>Vdrift</t>
  </si>
  <si>
    <t>Vres</t>
  </si>
  <si>
    <t>Vdisp</t>
  </si>
  <si>
    <t>U95</t>
  </si>
  <si>
    <t>Veff</t>
  </si>
  <si>
    <t>UD</t>
  </si>
  <si>
    <r>
      <t>Udrift =( 0.1 x Ustd)/3</t>
    </r>
    <r>
      <rPr>
        <vertAlign val="superscript"/>
        <sz val="10"/>
        <rFont val="Book Antiqua"/>
        <family val="1"/>
      </rPr>
      <t>1/2</t>
    </r>
  </si>
  <si>
    <t>Satuan Ukur</t>
  </si>
  <si>
    <t>E =</t>
  </si>
  <si>
    <t>F =</t>
  </si>
  <si>
    <t>G =</t>
  </si>
  <si>
    <t>H =</t>
  </si>
  <si>
    <t>I =</t>
  </si>
  <si>
    <t>J =</t>
  </si>
  <si>
    <t>K =</t>
  </si>
  <si>
    <t>FOR CELCIUS (°C)</t>
  </si>
  <si>
    <t>FOR FARENHEIT (°F)</t>
  </si>
  <si>
    <t>Hasil Kalibrasi berdasarkan persamaan regresi orde 10</t>
  </si>
  <si>
    <r>
      <t>Koreksi  =  A  +  B t  +  C t</t>
    </r>
    <r>
      <rPr>
        <vertAlign val="superscript"/>
        <sz val="10"/>
        <rFont val="Book Antiqua"/>
        <family val="1"/>
      </rPr>
      <t>2</t>
    </r>
    <r>
      <rPr>
        <sz val="10"/>
        <rFont val="Book Antiqua"/>
        <family val="1"/>
      </rPr>
      <t xml:space="preserve"> +  D t</t>
    </r>
    <r>
      <rPr>
        <vertAlign val="superscript"/>
        <sz val="10"/>
        <rFont val="Book Antiqua"/>
        <family val="1"/>
      </rPr>
      <t>3</t>
    </r>
    <r>
      <rPr>
        <sz val="10"/>
        <rFont val="Book Antiqua"/>
        <family val="1"/>
      </rPr>
      <t xml:space="preserve"> + E t</t>
    </r>
    <r>
      <rPr>
        <vertAlign val="superscript"/>
        <sz val="10"/>
        <rFont val="Book Antiqua"/>
        <family val="1"/>
      </rPr>
      <t>4</t>
    </r>
    <r>
      <rPr>
        <sz val="10"/>
        <rFont val="Book Antiqua"/>
        <family val="1"/>
      </rPr>
      <t xml:space="preserve"> +  F t</t>
    </r>
    <r>
      <rPr>
        <vertAlign val="superscript"/>
        <sz val="10"/>
        <rFont val="Book Antiqua"/>
        <family val="1"/>
      </rPr>
      <t>5</t>
    </r>
    <r>
      <rPr>
        <sz val="10"/>
        <rFont val="Book Antiqua"/>
        <family val="1"/>
      </rPr>
      <t xml:space="preserve"> + G t</t>
    </r>
    <r>
      <rPr>
        <vertAlign val="superscript"/>
        <sz val="10"/>
        <rFont val="Book Antiqua"/>
        <family val="1"/>
      </rPr>
      <t>6</t>
    </r>
    <r>
      <rPr>
        <sz val="10"/>
        <rFont val="Book Antiqua"/>
        <family val="1"/>
      </rPr>
      <t xml:space="preserve"> + H t</t>
    </r>
    <r>
      <rPr>
        <vertAlign val="superscript"/>
        <sz val="10"/>
        <rFont val="Book Antiqua"/>
        <family val="1"/>
      </rPr>
      <t>7</t>
    </r>
    <r>
      <rPr>
        <sz val="10"/>
        <rFont val="Book Antiqua"/>
        <family val="1"/>
      </rPr>
      <t xml:space="preserve"> + I t</t>
    </r>
    <r>
      <rPr>
        <vertAlign val="superscript"/>
        <sz val="10"/>
        <rFont val="Book Antiqua"/>
        <family val="1"/>
      </rPr>
      <t>8</t>
    </r>
    <r>
      <rPr>
        <sz val="10"/>
        <rFont val="Book Antiqua"/>
        <family val="1"/>
      </rPr>
      <t xml:space="preserve"> + J t</t>
    </r>
    <r>
      <rPr>
        <vertAlign val="superscript"/>
        <sz val="10"/>
        <rFont val="Book Antiqua"/>
        <family val="1"/>
      </rPr>
      <t>9</t>
    </r>
    <r>
      <rPr>
        <sz val="10"/>
        <rFont val="Book Antiqua"/>
        <family val="1"/>
      </rPr>
      <t xml:space="preserve"> + K t</t>
    </r>
    <r>
      <rPr>
        <vertAlign val="superscript"/>
        <sz val="10"/>
        <rFont val="Book Antiqua"/>
        <family val="1"/>
      </rPr>
      <t>10</t>
    </r>
  </si>
  <si>
    <t>- Ketidakpastian pengukuran suhu tiap titik ukur pada tingkat kepercayaan 95% dengan faktor k = 2</t>
  </si>
  <si>
    <t>Bath</t>
  </si>
  <si>
    <t>Block Calibrator</t>
  </si>
  <si>
    <t>Block Calibrator Techne CE350</t>
  </si>
  <si>
    <t>Titik Ukur (°C)</t>
  </si>
  <si>
    <t>Celcius</t>
  </si>
  <si>
    <t>Sumber ketidapastian</t>
  </si>
  <si>
    <t>Penunjukkan Standar</t>
  </si>
  <si>
    <t>Ketidakpastian Pengukuran</t>
  </si>
  <si>
    <t>~</t>
  </si>
  <si>
    <t>Rentang Ukur</t>
  </si>
  <si>
    <t>CMC</t>
  </si>
  <si>
    <t>Media</t>
  </si>
  <si>
    <t>Channel</t>
  </si>
  <si>
    <t>`</t>
  </si>
  <si>
    <t>Pakai Regresi ?</t>
  </si>
  <si>
    <t>Hart Scientific (24-9-2020)</t>
  </si>
  <si>
    <t>CMC in Celcius (21-10-2020):</t>
  </si>
  <si>
    <t>Ketidakpastian Standar in Celcius</t>
  </si>
  <si>
    <t>Burn Engr (17-12-2019)</t>
  </si>
  <si>
    <r>
      <t>U</t>
    </r>
    <r>
      <rPr>
        <vertAlign val="subscript"/>
        <sz val="10"/>
        <rFont val="Arial"/>
        <family val="2"/>
      </rPr>
      <t>95</t>
    </r>
  </si>
  <si>
    <t>Alat Standar:</t>
  </si>
  <si>
    <t>No. Seri</t>
  </si>
  <si>
    <t>Resolusi</t>
  </si>
  <si>
    <t>Hart Scientific</t>
  </si>
  <si>
    <t>5628/0514</t>
  </si>
  <si>
    <t>SI melalui BSN SNSU</t>
  </si>
  <si>
    <t>3925/496170</t>
  </si>
  <si>
    <t>IDENTITAS ALAT STANDAR</t>
  </si>
  <si>
    <t>Tipe / Nomor Seri</t>
  </si>
  <si>
    <t>4.</t>
  </si>
  <si>
    <t>Thermohygrometer (23-11-2022)</t>
  </si>
  <si>
    <t>suhu</t>
  </si>
  <si>
    <t>Nilai Atas</t>
  </si>
  <si>
    <t>Nilai Bawah</t>
  </si>
  <si>
    <t>Koreksi Atas</t>
  </si>
  <si>
    <t>Koreksi Bawah</t>
  </si>
  <si>
    <t>U Atas</t>
  </si>
  <si>
    <t>U Bawah</t>
  </si>
  <si>
    <r>
      <t>Koreksi &amp; U</t>
    </r>
    <r>
      <rPr>
        <vertAlign val="subscript"/>
        <sz val="10"/>
        <rFont val="Book Antiqua"/>
        <family val="1"/>
      </rPr>
      <t>95</t>
    </r>
  </si>
  <si>
    <t>Termometer Digital</t>
  </si>
  <si>
    <t xml:space="preserve">Channel           </t>
  </si>
  <si>
    <t>Subkoordinator Sarana Pengujian</t>
  </si>
  <si>
    <t>Nata Pringgasta, S.T., M.Sc</t>
  </si>
  <si>
    <t>NIP 197404282005021001</t>
  </si>
  <si>
    <t>BBPMGB LEMIGAS</t>
  </si>
  <si>
    <t>Lab. Kalibrasi Suhu</t>
  </si>
  <si>
    <t>-</t>
  </si>
  <si>
    <t>orde</t>
  </si>
  <si>
    <t>No.Kode Alat :S-10810</t>
  </si>
  <si>
    <t>Hioki / LR 8431-20</t>
  </si>
  <si>
    <t>Ya</t>
  </si>
  <si>
    <t>-30~1000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</si>
</sst>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"/>
    <numFmt numFmtId="165" formatCode="0.000"/>
    <numFmt numFmtId="166" formatCode="0.0"/>
    <numFmt numFmtId="167" formatCode="0.E+00"/>
    <numFmt numFmtId="168" formatCode="[$-421]dd\ mmmm\ yyyy;@"/>
    <numFmt numFmtId="169" formatCode="&quot;Set : &quot;#,##0.00;&quot;Set : &quot;\-#,##0.00"/>
  </numFmts>
  <fonts count="37">
    <font>
      <sz val="10"/>
      <name val="Book Antiqua"/>
      <family val="1"/>
    </font>
    <font>
      <sz val="10"/>
      <name val="Arial"/>
      <family val="2"/>
    </font>
    <font>
      <sz val="12"/>
      <name val="Symbol"/>
      <family val="1"/>
      <charset val="2"/>
    </font>
    <font>
      <sz val="12"/>
      <name val="Times New Roman"/>
      <family val="1"/>
    </font>
    <font>
      <sz val="10"/>
      <name val="Book Antiqua"/>
      <family val="1"/>
    </font>
    <font>
      <b/>
      <sz val="10"/>
      <name val="Book Antiqua"/>
      <family val="1"/>
    </font>
    <font>
      <sz val="9"/>
      <name val="Book Antiqua"/>
      <family val="1"/>
    </font>
    <font>
      <sz val="9"/>
      <name val="Arial"/>
      <family val="2"/>
    </font>
    <font>
      <b/>
      <sz val="11"/>
      <name val="Book Antiqua"/>
      <family val="1"/>
    </font>
    <font>
      <sz val="8"/>
      <name val="Book Antiqua"/>
      <family val="1"/>
    </font>
    <font>
      <sz val="11"/>
      <name val="Times New Roman"/>
      <family val="1"/>
    </font>
    <font>
      <u/>
      <sz val="10"/>
      <name val="Book Antiqua"/>
      <family val="1"/>
    </font>
    <font>
      <sz val="6"/>
      <name val="Book Antiqua"/>
      <family val="1"/>
    </font>
    <font>
      <b/>
      <u/>
      <sz val="10"/>
      <name val="Arial"/>
      <family val="2"/>
    </font>
    <font>
      <sz val="8"/>
      <name val="Arial"/>
      <family val="2"/>
    </font>
    <font>
      <sz val="6"/>
      <name val="Arial"/>
      <family val="2"/>
    </font>
    <font>
      <vertAlign val="superscript"/>
      <sz val="11"/>
      <name val="Book Antiqua"/>
      <family val="1"/>
    </font>
    <font>
      <vertAlign val="superscript"/>
      <sz val="10"/>
      <name val="Book Antiqua"/>
      <family val="1"/>
    </font>
    <font>
      <i/>
      <sz val="10"/>
      <name val="Book Antiqua"/>
      <family val="1"/>
    </font>
    <font>
      <sz val="10"/>
      <name val="MyriaMM"/>
      <family val="2"/>
    </font>
    <font>
      <sz val="10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color indexed="81"/>
      <name val="Tahoma"/>
      <family val="2"/>
    </font>
    <font>
      <sz val="10"/>
      <color rgb="FFFF0000"/>
      <name val="Book Antiqua"/>
      <family val="1"/>
    </font>
    <font>
      <b/>
      <sz val="10"/>
      <color rgb="FFFF0000"/>
      <name val="Book Antiqua"/>
      <family val="1"/>
    </font>
    <font>
      <b/>
      <sz val="10"/>
      <color rgb="FF7030A0"/>
      <name val="Book Antiqua"/>
      <family val="1"/>
    </font>
    <font>
      <sz val="7"/>
      <name val="Arial"/>
      <family val="2"/>
    </font>
    <font>
      <sz val="10"/>
      <color theme="0"/>
      <name val="Book Antiqua"/>
      <family val="1"/>
    </font>
    <font>
      <b/>
      <sz val="11"/>
      <color rgb="FFFF0000"/>
      <name val="Book Antiqua"/>
      <family val="1"/>
    </font>
    <font>
      <b/>
      <i/>
      <sz val="10"/>
      <name val="Book Antiqua"/>
      <family val="1"/>
    </font>
    <font>
      <b/>
      <sz val="10"/>
      <color rgb="FFFF0000"/>
      <name val="Arial"/>
      <family val="2"/>
    </font>
    <font>
      <vertAlign val="subscript"/>
      <sz val="10"/>
      <name val="Arial"/>
      <family val="2"/>
    </font>
    <font>
      <sz val="11"/>
      <name val="Book Antiqua"/>
      <family val="1"/>
    </font>
    <font>
      <sz val="10"/>
      <name val="Arial"/>
      <family val="2"/>
    </font>
    <font>
      <vertAlign val="subscript"/>
      <sz val="10"/>
      <name val="Book Antiqua"/>
      <family val="1"/>
    </font>
  </fonts>
  <fills count="11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2D05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rgb="FFFFFF00"/>
      </left>
      <right style="thin">
        <color rgb="FFFFFF00"/>
      </right>
      <top style="thin">
        <color rgb="FFFFFF00"/>
      </top>
      <bottom/>
      <diagonal/>
    </border>
    <border>
      <left style="thin">
        <color rgb="FFFFFF00"/>
      </left>
      <right/>
      <top style="thin">
        <color rgb="FFFFFF00"/>
      </top>
      <bottom/>
      <diagonal/>
    </border>
    <border>
      <left/>
      <right/>
      <top style="thin">
        <color rgb="FFFFFF00"/>
      </top>
      <bottom/>
      <diagonal/>
    </border>
    <border>
      <left/>
      <right style="thin">
        <color rgb="FFFFFF00"/>
      </right>
      <top style="thin">
        <color rgb="FFFFFF00"/>
      </top>
      <bottom/>
      <diagonal/>
    </border>
    <border>
      <left/>
      <right style="thin">
        <color rgb="FFFFFF00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0" fillId="0" borderId="0"/>
    <xf numFmtId="0" fontId="35" fillId="0" borderId="0"/>
  </cellStyleXfs>
  <cellXfs count="43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7" xfId="0" applyBorder="1"/>
    <xf numFmtId="0" fontId="0" fillId="0" borderId="3" xfId="0" applyBorder="1"/>
    <xf numFmtId="0" fontId="0" fillId="0" borderId="7" xfId="0" applyBorder="1" applyAlignment="1">
      <alignment horizontal="center"/>
    </xf>
    <xf numFmtId="0" fontId="0" fillId="0" borderId="6" xfId="0" applyBorder="1"/>
    <xf numFmtId="0" fontId="4" fillId="0" borderId="0" xfId="0" applyFont="1"/>
    <xf numFmtId="0" fontId="5" fillId="0" borderId="0" xfId="0" applyFont="1"/>
    <xf numFmtId="0" fontId="4" fillId="0" borderId="0" xfId="0" quotePrefix="1" applyFont="1"/>
    <xf numFmtId="0" fontId="0" fillId="0" borderId="8" xfId="0" applyBorder="1" applyAlignment="1">
      <alignment horizontal="center"/>
    </xf>
    <xf numFmtId="165" fontId="0" fillId="0" borderId="0" xfId="0" applyNumberFormat="1"/>
    <xf numFmtId="0" fontId="2" fillId="0" borderId="0" xfId="0" applyFont="1" applyAlignment="1">
      <alignment horizontal="center"/>
    </xf>
    <xf numFmtId="164" fontId="0" fillId="0" borderId="0" xfId="0" applyNumberFormat="1"/>
    <xf numFmtId="0" fontId="3" fillId="0" borderId="0" xfId="0" applyFont="1"/>
    <xf numFmtId="165" fontId="0" fillId="0" borderId="0" xfId="0" applyNumberFormat="1" applyAlignment="1">
      <alignment horizontal="center"/>
    </xf>
    <xf numFmtId="0" fontId="0" fillId="0" borderId="9" xfId="0" applyBorder="1"/>
    <xf numFmtId="0" fontId="0" fillId="0" borderId="5" xfId="0" applyBorder="1"/>
    <xf numFmtId="2" fontId="0" fillId="0" borderId="0" xfId="0" applyNumberFormat="1"/>
    <xf numFmtId="165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right"/>
    </xf>
    <xf numFmtId="0" fontId="0" fillId="0" borderId="8" xfId="0" applyBorder="1" applyAlignment="1">
      <alignment horizontal="right"/>
    </xf>
    <xf numFmtId="0" fontId="4" fillId="0" borderId="0" xfId="0" applyFont="1" applyAlignment="1">
      <alignment horizontal="center"/>
    </xf>
    <xf numFmtId="0" fontId="7" fillId="0" borderId="0" xfId="0" applyFont="1"/>
    <xf numFmtId="0" fontId="4" fillId="0" borderId="0" xfId="0" applyFont="1" applyAlignment="1">
      <alignment horizontal="left"/>
    </xf>
    <xf numFmtId="0" fontId="0" fillId="0" borderId="0" xfId="0" quotePrefix="1"/>
    <xf numFmtId="0" fontId="0" fillId="0" borderId="8" xfId="0" applyBorder="1"/>
    <xf numFmtId="0" fontId="5" fillId="2" borderId="10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left"/>
    </xf>
    <xf numFmtId="0" fontId="9" fillId="0" borderId="0" xfId="0" applyFont="1"/>
    <xf numFmtId="0" fontId="0" fillId="0" borderId="1" xfId="0" applyBorder="1" applyAlignment="1">
      <alignment horizontal="left"/>
    </xf>
    <xf numFmtId="165" fontId="0" fillId="0" borderId="9" xfId="0" applyNumberFormat="1" applyBorder="1" applyAlignment="1">
      <alignment horizontal="center"/>
    </xf>
    <xf numFmtId="0" fontId="6" fillId="0" borderId="9" xfId="0" applyFont="1" applyBorder="1"/>
    <xf numFmtId="0" fontId="0" fillId="0" borderId="5" xfId="0" applyBorder="1" applyAlignment="1">
      <alignment horizontal="center"/>
    </xf>
    <xf numFmtId="165" fontId="0" fillId="0" borderId="3" xfId="0" applyNumberFormat="1" applyBorder="1" applyAlignment="1">
      <alignment horizontal="right"/>
    </xf>
    <xf numFmtId="165" fontId="0" fillId="0" borderId="4" xfId="0" applyNumberFormat="1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1" xfId="0" applyBorder="1" applyAlignment="1">
      <alignment horizontal="right"/>
    </xf>
    <xf numFmtId="164" fontId="0" fillId="0" borderId="0" xfId="0" applyNumberFormat="1" applyAlignment="1">
      <alignment horizontal="right"/>
    </xf>
    <xf numFmtId="166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13" fillId="0" borderId="0" xfId="0" applyFont="1" applyProtection="1">
      <protection hidden="1"/>
    </xf>
    <xf numFmtId="0" fontId="0" fillId="0" borderId="0" xfId="0" applyProtection="1">
      <protection hidden="1"/>
    </xf>
    <xf numFmtId="0" fontId="0" fillId="0" borderId="4" xfId="0" applyBorder="1" applyProtection="1">
      <protection hidden="1"/>
    </xf>
    <xf numFmtId="0" fontId="0" fillId="0" borderId="7" xfId="0" applyBorder="1" applyProtection="1">
      <protection hidden="1"/>
    </xf>
    <xf numFmtId="0" fontId="0" fillId="0" borderId="4" xfId="0" applyBorder="1" applyAlignment="1" applyProtection="1">
      <alignment horizontal="center"/>
      <protection hidden="1"/>
    </xf>
    <xf numFmtId="0" fontId="0" fillId="0" borderId="9" xfId="0" applyBorder="1" applyAlignment="1" applyProtection="1">
      <alignment horizontal="center"/>
      <protection hidden="1"/>
    </xf>
    <xf numFmtId="165" fontId="0" fillId="0" borderId="9" xfId="0" applyNumberFormat="1" applyBorder="1" applyAlignment="1" applyProtection="1">
      <alignment horizontal="center"/>
      <protection hidden="1"/>
    </xf>
    <xf numFmtId="0" fontId="0" fillId="0" borderId="3" xfId="0" applyBorder="1" applyAlignment="1" applyProtection="1">
      <alignment horizontal="center"/>
      <protection hidden="1"/>
    </xf>
    <xf numFmtId="0" fontId="0" fillId="0" borderId="5" xfId="0" applyBorder="1" applyAlignment="1" applyProtection="1">
      <alignment horizontal="center"/>
      <protection hidden="1"/>
    </xf>
    <xf numFmtId="0" fontId="0" fillId="0" borderId="12" xfId="0" applyBorder="1" applyProtection="1">
      <protection hidden="1"/>
    </xf>
    <xf numFmtId="0" fontId="12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64" fontId="9" fillId="0" borderId="0" xfId="0" applyNumberFormat="1" applyFont="1"/>
    <xf numFmtId="0" fontId="9" fillId="0" borderId="0" xfId="0" applyFont="1" applyAlignment="1">
      <alignment horizontal="center"/>
    </xf>
    <xf numFmtId="166" fontId="9" fillId="0" borderId="0" xfId="0" applyNumberFormat="1" applyFont="1"/>
    <xf numFmtId="165" fontId="0" fillId="0" borderId="0" xfId="0" applyNumberFormat="1" applyAlignment="1">
      <alignment horizontal="right"/>
    </xf>
    <xf numFmtId="0" fontId="5" fillId="2" borderId="13" xfId="0" applyFont="1" applyFill="1" applyBorder="1" applyAlignment="1">
      <alignment horizontal="left"/>
    </xf>
    <xf numFmtId="166" fontId="4" fillId="0" borderId="0" xfId="0" applyNumberFormat="1" applyFont="1" applyAlignment="1">
      <alignment horizontal="center"/>
    </xf>
    <xf numFmtId="0" fontId="0" fillId="0" borderId="0" xfId="0" quotePrefix="1" applyAlignment="1">
      <alignment horizontal="left"/>
    </xf>
    <xf numFmtId="0" fontId="0" fillId="0" borderId="14" xfId="0" applyBorder="1"/>
    <xf numFmtId="0" fontId="18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Continuous"/>
    </xf>
    <xf numFmtId="0" fontId="19" fillId="0" borderId="0" xfId="0" applyFont="1"/>
    <xf numFmtId="0" fontId="6" fillId="0" borderId="3" xfId="0" applyFont="1" applyBorder="1" applyAlignment="1">
      <alignment horizontal="center"/>
    </xf>
    <xf numFmtId="0" fontId="0" fillId="0" borderId="1" xfId="0" applyBorder="1" applyProtection="1">
      <protection hidden="1"/>
    </xf>
    <xf numFmtId="0" fontId="0" fillId="0" borderId="4" xfId="0" applyBorder="1" applyAlignment="1">
      <alignment horizontal="right"/>
    </xf>
    <xf numFmtId="0" fontId="0" fillId="0" borderId="0" xfId="0" quotePrefix="1" applyAlignment="1" applyProtection="1">
      <alignment horizontal="right"/>
      <protection hidden="1"/>
    </xf>
    <xf numFmtId="2" fontId="0" fillId="0" borderId="9" xfId="0" applyNumberFormat="1" applyBorder="1" applyAlignment="1">
      <alignment horizontal="center"/>
    </xf>
    <xf numFmtId="0" fontId="0" fillId="3" borderId="0" xfId="0" applyFill="1"/>
    <xf numFmtId="0" fontId="5" fillId="3" borderId="0" xfId="0" applyFont="1" applyFill="1"/>
    <xf numFmtId="0" fontId="0" fillId="3" borderId="3" xfId="0" applyFill="1" applyBorder="1"/>
    <xf numFmtId="0" fontId="0" fillId="3" borderId="0" xfId="0" applyFill="1" applyAlignment="1">
      <alignment horizontal="right"/>
    </xf>
    <xf numFmtId="2" fontId="0" fillId="3" borderId="4" xfId="0" applyNumberFormat="1" applyFill="1" applyBorder="1" applyAlignment="1">
      <alignment horizontal="left"/>
    </xf>
    <xf numFmtId="0" fontId="0" fillId="3" borderId="1" xfId="0" applyFill="1" applyBorder="1"/>
    <xf numFmtId="2" fontId="0" fillId="3" borderId="0" xfId="0" applyNumberFormat="1" applyFill="1" applyAlignment="1">
      <alignment horizontal="left"/>
    </xf>
    <xf numFmtId="0" fontId="0" fillId="3" borderId="0" xfId="0" applyFill="1" applyAlignment="1" applyProtection="1">
      <alignment horizontal="left"/>
      <protection hidden="1"/>
    </xf>
    <xf numFmtId="166" fontId="0" fillId="3" borderId="12" xfId="0" applyNumberFormat="1" applyFill="1" applyBorder="1" applyAlignment="1">
      <alignment horizontal="center"/>
    </xf>
    <xf numFmtId="0" fontId="0" fillId="3" borderId="12" xfId="0" applyFill="1" applyBorder="1" applyAlignment="1">
      <alignment horizontal="right"/>
    </xf>
    <xf numFmtId="0" fontId="10" fillId="3" borderId="0" xfId="0" quotePrefix="1" applyFont="1" applyFill="1"/>
    <xf numFmtId="166" fontId="0" fillId="3" borderId="0" xfId="0" applyNumberFormat="1" applyFill="1"/>
    <xf numFmtId="2" fontId="0" fillId="0" borderId="0" xfId="0" applyNumberFormat="1" applyAlignment="1">
      <alignment horizontal="left"/>
    </xf>
    <xf numFmtId="166" fontId="0" fillId="0" borderId="0" xfId="0" applyNumberFormat="1"/>
    <xf numFmtId="165" fontId="0" fillId="0" borderId="9" xfId="0" applyNumberFormat="1" applyBorder="1" applyAlignment="1">
      <alignment horizontal="right"/>
    </xf>
    <xf numFmtId="165" fontId="0" fillId="0" borderId="9" xfId="0" applyNumberFormat="1" applyBorder="1"/>
    <xf numFmtId="0" fontId="0" fillId="4" borderId="9" xfId="0" applyFill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2" fontId="0" fillId="0" borderId="10" xfId="0" applyNumberFormat="1" applyBorder="1" applyAlignment="1" applyProtection="1">
      <alignment horizontal="left"/>
      <protection hidden="1"/>
    </xf>
    <xf numFmtId="165" fontId="0" fillId="4" borderId="3" xfId="0" applyNumberFormat="1" applyFill="1" applyBorder="1" applyAlignment="1">
      <alignment horizontal="right"/>
    </xf>
    <xf numFmtId="164" fontId="0" fillId="5" borderId="3" xfId="0" applyNumberFormat="1" applyFill="1" applyBorder="1" applyAlignment="1">
      <alignment horizontal="right"/>
    </xf>
    <xf numFmtId="164" fontId="0" fillId="6" borderId="4" xfId="0" applyNumberFormat="1" applyFill="1" applyBorder="1" applyAlignment="1">
      <alignment horizontal="right"/>
    </xf>
    <xf numFmtId="0" fontId="11" fillId="0" borderId="0" xfId="0" applyFont="1"/>
    <xf numFmtId="0" fontId="0" fillId="0" borderId="9" xfId="0" applyBorder="1" applyAlignment="1">
      <alignment vertical="center" shrinkToFit="1"/>
    </xf>
    <xf numFmtId="0" fontId="7" fillId="0" borderId="9" xfId="0" applyFont="1" applyBorder="1" applyAlignment="1">
      <alignment horizontal="center" shrinkToFit="1"/>
    </xf>
    <xf numFmtId="0" fontId="2" fillId="0" borderId="9" xfId="0" applyFont="1" applyBorder="1" applyAlignment="1" applyProtection="1">
      <alignment horizontal="center"/>
      <protection hidden="1"/>
    </xf>
    <xf numFmtId="0" fontId="0" fillId="0" borderId="11" xfId="0" applyBorder="1" applyAlignment="1">
      <alignment vertical="center" shrinkToFit="1"/>
    </xf>
    <xf numFmtId="0" fontId="2" fillId="0" borderId="5" xfId="0" applyFont="1" applyBorder="1" applyAlignment="1" applyProtection="1">
      <alignment horizontal="center"/>
      <protection hidden="1"/>
    </xf>
    <xf numFmtId="2" fontId="0" fillId="0" borderId="18" xfId="0" applyNumberFormat="1" applyBorder="1"/>
    <xf numFmtId="0" fontId="0" fillId="0" borderId="6" xfId="0" applyBorder="1" applyAlignment="1">
      <alignment horizontal="center"/>
    </xf>
    <xf numFmtId="2" fontId="0" fillId="0" borderId="8" xfId="0" applyNumberFormat="1" applyBorder="1"/>
    <xf numFmtId="0" fontId="0" fillId="0" borderId="19" xfId="0" applyBorder="1"/>
    <xf numFmtId="0" fontId="2" fillId="0" borderId="7" xfId="0" applyFont="1" applyBorder="1" applyAlignment="1" applyProtection="1">
      <alignment horizontal="center"/>
      <protection hidden="1"/>
    </xf>
    <xf numFmtId="2" fontId="0" fillId="0" borderId="16" xfId="0" applyNumberFormat="1" applyBorder="1"/>
    <xf numFmtId="166" fontId="0" fillId="0" borderId="5" xfId="0" applyNumberFormat="1" applyBorder="1" applyAlignment="1">
      <alignment horizontal="center"/>
    </xf>
    <xf numFmtId="0" fontId="5" fillId="0" borderId="9" xfId="0" applyFont="1" applyBorder="1" applyAlignment="1" applyProtection="1">
      <alignment horizontal="center"/>
      <protection hidden="1"/>
    </xf>
    <xf numFmtId="164" fontId="0" fillId="0" borderId="9" xfId="0" applyNumberFormat="1" applyBorder="1" applyAlignment="1">
      <alignment horizontal="center"/>
    </xf>
    <xf numFmtId="164" fontId="4" fillId="0" borderId="9" xfId="0" applyNumberFormat="1" applyFont="1" applyBorder="1" applyAlignment="1">
      <alignment horizontal="center"/>
    </xf>
    <xf numFmtId="164" fontId="0" fillId="0" borderId="9" xfId="0" applyNumberFormat="1" applyBorder="1"/>
    <xf numFmtId="166" fontId="5" fillId="7" borderId="9" xfId="0" applyNumberFormat="1" applyFont="1" applyFill="1" applyBorder="1" applyAlignment="1">
      <alignment horizontal="center"/>
    </xf>
    <xf numFmtId="165" fontId="5" fillId="7" borderId="9" xfId="0" applyNumberFormat="1" applyFont="1" applyFill="1" applyBorder="1" applyAlignment="1">
      <alignment horizontal="center"/>
    </xf>
    <xf numFmtId="0" fontId="0" fillId="4" borderId="9" xfId="0" applyFill="1" applyBorder="1"/>
    <xf numFmtId="164" fontId="5" fillId="0" borderId="9" xfId="0" applyNumberFormat="1" applyFont="1" applyBorder="1" applyAlignment="1" applyProtection="1">
      <alignment horizontal="center"/>
      <protection hidden="1"/>
    </xf>
    <xf numFmtId="0" fontId="23" fillId="0" borderId="9" xfId="0" applyFont="1" applyBorder="1" applyAlignment="1" applyProtection="1">
      <alignment horizontal="center"/>
      <protection hidden="1"/>
    </xf>
    <xf numFmtId="167" fontId="0" fillId="0" borderId="9" xfId="0" applyNumberFormat="1" applyBorder="1" applyAlignment="1" applyProtection="1">
      <alignment horizontal="center"/>
      <protection hidden="1"/>
    </xf>
    <xf numFmtId="2" fontId="5" fillId="0" borderId="9" xfId="0" applyNumberFormat="1" applyFont="1" applyBorder="1" applyAlignment="1" applyProtection="1">
      <alignment horizontal="center"/>
      <protection hidden="1"/>
    </xf>
    <xf numFmtId="0" fontId="4" fillId="8" borderId="9" xfId="0" applyFont="1" applyFill="1" applyBorder="1" applyAlignment="1" applyProtection="1">
      <alignment horizontal="center"/>
      <protection hidden="1"/>
    </xf>
    <xf numFmtId="2" fontId="4" fillId="8" borderId="9" xfId="0" applyNumberFormat="1" applyFont="1" applyFill="1" applyBorder="1" applyAlignment="1" applyProtection="1">
      <alignment horizontal="center"/>
      <protection hidden="1"/>
    </xf>
    <xf numFmtId="0" fontId="25" fillId="0" borderId="0" xfId="0" applyFont="1"/>
    <xf numFmtId="0" fontId="0" fillId="0" borderId="16" xfId="0" applyBorder="1" applyAlignment="1">
      <alignment horizontal="center"/>
    </xf>
    <xf numFmtId="0" fontId="0" fillId="0" borderId="18" xfId="0" applyBorder="1" applyAlignment="1">
      <alignment horizontal="center"/>
    </xf>
    <xf numFmtId="165" fontId="0" fillId="0" borderId="8" xfId="0" applyNumberForma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0" fontId="0" fillId="0" borderId="0" xfId="0" applyAlignment="1">
      <alignment horizontal="left"/>
    </xf>
    <xf numFmtId="168" fontId="0" fillId="3" borderId="0" xfId="0" applyNumberFormat="1" applyFill="1"/>
    <xf numFmtId="0" fontId="0" fillId="3" borderId="0" xfId="0" applyFill="1" applyAlignment="1">
      <alignment vertical="center"/>
    </xf>
    <xf numFmtId="0" fontId="8" fillId="4" borderId="0" xfId="0" applyFont="1" applyFill="1"/>
    <xf numFmtId="0" fontId="0" fillId="9" borderId="9" xfId="0" applyFill="1" applyBorder="1" applyAlignment="1">
      <alignment horizontal="center"/>
    </xf>
    <xf numFmtId="164" fontId="0" fillId="9" borderId="9" xfId="0" applyNumberFormat="1" applyFill="1" applyBorder="1"/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0" xfId="0" quotePrefix="1" applyBorder="1" applyAlignment="1" applyProtection="1">
      <alignment horizontal="center"/>
      <protection hidden="1"/>
    </xf>
    <xf numFmtId="0" fontId="0" fillId="0" borderId="11" xfId="0" applyBorder="1" applyAlignment="1">
      <alignment horizontal="right"/>
    </xf>
    <xf numFmtId="0" fontId="29" fillId="0" borderId="0" xfId="0" applyFont="1"/>
    <xf numFmtId="0" fontId="20" fillId="0" borderId="9" xfId="1" applyBorder="1" applyAlignment="1">
      <alignment horizontal="center" vertical="center"/>
    </xf>
    <xf numFmtId="0" fontId="0" fillId="10" borderId="9" xfId="0" applyFill="1" applyBorder="1" applyAlignment="1">
      <alignment horizontal="center"/>
    </xf>
    <xf numFmtId="0" fontId="0" fillId="10" borderId="9" xfId="0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/>
      <protection hidden="1"/>
    </xf>
    <xf numFmtId="2" fontId="0" fillId="0" borderId="27" xfId="0" applyNumberFormat="1" applyBorder="1"/>
    <xf numFmtId="0" fontId="2" fillId="0" borderId="0" xfId="0" applyFont="1" applyAlignment="1" applyProtection="1">
      <alignment horizontal="center"/>
      <protection hidden="1"/>
    </xf>
    <xf numFmtId="166" fontId="0" fillId="0" borderId="6" xfId="0" applyNumberFormat="1" applyBorder="1" applyAlignment="1">
      <alignment horizontal="center"/>
    </xf>
    <xf numFmtId="165" fontId="0" fillId="0" borderId="4" xfId="0" applyNumberFormat="1" applyBorder="1" applyAlignment="1" applyProtection="1">
      <alignment horizontal="center"/>
      <protection hidden="1"/>
    </xf>
    <xf numFmtId="0" fontId="2" fillId="0" borderId="4" xfId="0" applyFont="1" applyBorder="1" applyAlignment="1" applyProtection="1">
      <alignment horizontal="center"/>
      <protection hidden="1"/>
    </xf>
    <xf numFmtId="164" fontId="0" fillId="0" borderId="4" xfId="0" applyNumberFormat="1" applyBorder="1" applyAlignment="1" applyProtection="1">
      <alignment horizontal="center"/>
      <protection hidden="1"/>
    </xf>
    <xf numFmtId="165" fontId="0" fillId="0" borderId="2" xfId="0" applyNumberFormat="1" applyBorder="1" applyAlignment="1" applyProtection="1">
      <alignment horizontal="center"/>
      <protection hidden="1"/>
    </xf>
    <xf numFmtId="0" fontId="0" fillId="0" borderId="2" xfId="0" applyBorder="1" applyAlignment="1" applyProtection="1">
      <alignment horizontal="center"/>
      <protection hidden="1"/>
    </xf>
    <xf numFmtId="0" fontId="2" fillId="0" borderId="2" xfId="0" applyFont="1" applyBorder="1" applyAlignment="1" applyProtection="1">
      <alignment horizontal="center"/>
      <protection hidden="1"/>
    </xf>
    <xf numFmtId="164" fontId="0" fillId="0" borderId="2" xfId="0" applyNumberFormat="1" applyBorder="1" applyAlignment="1" applyProtection="1">
      <alignment horizontal="center"/>
      <protection hidden="1"/>
    </xf>
    <xf numFmtId="165" fontId="0" fillId="0" borderId="3" xfId="0" applyNumberFormat="1" applyBorder="1" applyAlignment="1" applyProtection="1">
      <alignment horizontal="center"/>
      <protection hidden="1"/>
    </xf>
    <xf numFmtId="0" fontId="2" fillId="0" borderId="3" xfId="0" applyFont="1" applyBorder="1" applyAlignment="1" applyProtection="1">
      <alignment horizontal="center"/>
      <protection hidden="1"/>
    </xf>
    <xf numFmtId="164" fontId="0" fillId="0" borderId="3" xfId="0" applyNumberFormat="1" applyBorder="1" applyAlignment="1" applyProtection="1">
      <alignment horizontal="center"/>
      <protection hidden="1"/>
    </xf>
    <xf numFmtId="0" fontId="0" fillId="0" borderId="7" xfId="0" applyBorder="1" applyAlignment="1" applyProtection="1">
      <alignment horizontal="center"/>
      <protection hidden="1"/>
    </xf>
    <xf numFmtId="0" fontId="0" fillId="0" borderId="6" xfId="0" applyBorder="1" applyAlignment="1" applyProtection="1">
      <alignment horizontal="center"/>
      <protection hidden="1"/>
    </xf>
    <xf numFmtId="166" fontId="0" fillId="0" borderId="7" xfId="0" applyNumberFormat="1" applyBorder="1" applyAlignment="1">
      <alignment horizontal="center"/>
    </xf>
    <xf numFmtId="2" fontId="0" fillId="0" borderId="28" xfId="0" applyNumberFormat="1" applyBorder="1"/>
    <xf numFmtId="2" fontId="0" fillId="0" borderId="29" xfId="0" applyNumberFormat="1" applyBorder="1"/>
    <xf numFmtId="166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1" fontId="0" fillId="3" borderId="1" xfId="0" applyNumberFormat="1" applyFill="1" applyBorder="1" applyAlignment="1">
      <alignment horizontal="center"/>
    </xf>
    <xf numFmtId="2" fontId="0" fillId="3" borderId="0" xfId="0" applyNumberFormat="1" applyFill="1"/>
    <xf numFmtId="0" fontId="0" fillId="3" borderId="8" xfId="0" applyFill="1" applyBorder="1" applyAlignment="1">
      <alignment horizontal="right"/>
    </xf>
    <xf numFmtId="2" fontId="0" fillId="3" borderId="3" xfId="0" applyNumberFormat="1" applyFill="1" applyBorder="1" applyAlignment="1">
      <alignment horizontal="left"/>
    </xf>
    <xf numFmtId="1" fontId="0" fillId="3" borderId="16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2" fontId="0" fillId="3" borderId="1" xfId="0" applyNumberFormat="1" applyFill="1" applyBorder="1"/>
    <xf numFmtId="166" fontId="0" fillId="3" borderId="1" xfId="0" applyNumberFormat="1" applyFill="1" applyBorder="1"/>
    <xf numFmtId="0" fontId="0" fillId="3" borderId="16" xfId="0" applyFill="1" applyBorder="1" applyAlignment="1">
      <alignment horizontal="right"/>
    </xf>
    <xf numFmtId="2" fontId="0" fillId="3" borderId="16" xfId="0" applyNumberFormat="1" applyFill="1" applyBorder="1"/>
    <xf numFmtId="2" fontId="0" fillId="3" borderId="2" xfId="0" applyNumberFormat="1" applyFill="1" applyBorder="1" applyAlignment="1">
      <alignment horizontal="left"/>
    </xf>
    <xf numFmtId="166" fontId="0" fillId="0" borderId="4" xfId="0" applyNumberFormat="1" applyBorder="1" applyAlignment="1">
      <alignment horizontal="center"/>
    </xf>
    <xf numFmtId="0" fontId="30" fillId="3" borderId="0" xfId="0" applyFont="1" applyFill="1"/>
    <xf numFmtId="0" fontId="31" fillId="3" borderId="0" xfId="0" applyFont="1" applyFill="1" applyAlignment="1">
      <alignment horizontal="center" vertical="center"/>
    </xf>
    <xf numFmtId="166" fontId="0" fillId="0" borderId="0" xfId="0" applyNumberFormat="1" applyAlignment="1">
      <alignment horizontal="right"/>
    </xf>
    <xf numFmtId="0" fontId="0" fillId="0" borderId="17" xfId="0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31" xfId="0" applyBorder="1"/>
    <xf numFmtId="0" fontId="1" fillId="0" borderId="0" xfId="0" applyFont="1" applyAlignment="1">
      <alignment horizontal="center"/>
    </xf>
    <xf numFmtId="0" fontId="0" fillId="0" borderId="32" xfId="0" applyBorder="1"/>
    <xf numFmtId="0" fontId="0" fillId="0" borderId="16" xfId="0" applyBorder="1"/>
    <xf numFmtId="0" fontId="0" fillId="0" borderId="33" xfId="0" applyBorder="1"/>
    <xf numFmtId="0" fontId="1" fillId="0" borderId="1" xfId="0" applyFont="1" applyBorder="1" applyAlignment="1">
      <alignment horizontal="center"/>
    </xf>
    <xf numFmtId="1" fontId="29" fillId="0" borderId="0" xfId="0" applyNumberFormat="1" applyFont="1" applyAlignment="1">
      <alignment horizontal="right"/>
    </xf>
    <xf numFmtId="165" fontId="29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0" fontId="1" fillId="0" borderId="0" xfId="0" applyFont="1"/>
    <xf numFmtId="2" fontId="1" fillId="0" borderId="5" xfId="0" applyNumberFormat="1" applyFont="1" applyBorder="1" applyAlignment="1" applyProtection="1">
      <alignment horizontal="center"/>
      <protection hidden="1"/>
    </xf>
    <xf numFmtId="2" fontId="1" fillId="0" borderId="6" xfId="0" applyNumberFormat="1" applyFont="1" applyBorder="1" applyAlignment="1" applyProtection="1">
      <alignment horizontal="center"/>
      <protection hidden="1"/>
    </xf>
    <xf numFmtId="2" fontId="1" fillId="0" borderId="4" xfId="0" applyNumberFormat="1" applyFont="1" applyBorder="1" applyAlignment="1" applyProtection="1">
      <alignment horizontal="center"/>
      <protection hidden="1"/>
    </xf>
    <xf numFmtId="169" fontId="0" fillId="0" borderId="0" xfId="0" applyNumberFormat="1" applyAlignment="1">
      <alignment horizontal="left"/>
    </xf>
    <xf numFmtId="0" fontId="14" fillId="0" borderId="0" xfId="0" applyFont="1" applyAlignment="1">
      <alignment horizontal="center"/>
    </xf>
    <xf numFmtId="169" fontId="0" fillId="0" borderId="0" xfId="0" applyNumberFormat="1" applyAlignment="1">
      <alignment horizontal="left" vertic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10" borderId="9" xfId="1" applyFont="1" applyFill="1" applyBorder="1" applyAlignment="1">
      <alignment horizontal="center" vertical="center"/>
    </xf>
    <xf numFmtId="166" fontId="20" fillId="0" borderId="0" xfId="1" applyNumberFormat="1" applyAlignment="1">
      <alignment horizontal="center" vertical="center"/>
    </xf>
    <xf numFmtId="2" fontId="20" fillId="0" borderId="0" xfId="1" applyNumberFormat="1" applyAlignment="1">
      <alignment horizontal="center" vertical="center"/>
    </xf>
    <xf numFmtId="0" fontId="20" fillId="0" borderId="0" xfId="1" applyAlignment="1">
      <alignment horizontal="center" vertical="center"/>
    </xf>
    <xf numFmtId="0" fontId="7" fillId="0" borderId="5" xfId="0" applyFont="1" applyBorder="1" applyAlignment="1" applyProtection="1">
      <alignment horizontal="center" vertical="center" wrapText="1"/>
      <protection hidden="1"/>
    </xf>
    <xf numFmtId="0" fontId="7" fillId="0" borderId="7" xfId="0" applyFont="1" applyBorder="1" applyAlignment="1" applyProtection="1">
      <alignment horizontal="center" vertical="center" wrapText="1"/>
      <protection hidden="1"/>
    </xf>
    <xf numFmtId="0" fontId="1" fillId="0" borderId="20" xfId="0" applyFont="1" applyBorder="1" applyAlignment="1" applyProtection="1">
      <alignment horizontal="center" vertical="center" wrapText="1"/>
      <protection hidden="1"/>
    </xf>
    <xf numFmtId="0" fontId="1" fillId="0" borderId="21" xfId="0" applyFont="1" applyBorder="1" applyAlignment="1" applyProtection="1">
      <alignment horizontal="center" vertical="center" wrapText="1"/>
      <protection hidden="1"/>
    </xf>
    <xf numFmtId="0" fontId="1" fillId="0" borderId="5" xfId="0" applyFont="1" applyBorder="1" applyAlignment="1" applyProtection="1">
      <alignment horizontal="center" vertical="center" wrapText="1"/>
      <protection hidden="1"/>
    </xf>
    <xf numFmtId="0" fontId="1" fillId="0" borderId="7" xfId="0" applyFont="1" applyBorder="1" applyAlignment="1" applyProtection="1">
      <alignment horizontal="center" vertical="center" wrapText="1"/>
      <protection hidden="1"/>
    </xf>
    <xf numFmtId="0" fontId="0" fillId="0" borderId="5" xfId="0" applyBorder="1" applyAlignment="1" applyProtection="1">
      <alignment horizontal="center" vertical="center" wrapText="1"/>
      <protection hidden="1"/>
    </xf>
    <xf numFmtId="0" fontId="0" fillId="0" borderId="7" xfId="0" applyBorder="1" applyAlignment="1" applyProtection="1">
      <alignment horizontal="center" vertical="center" wrapText="1"/>
      <protection hidden="1"/>
    </xf>
    <xf numFmtId="164" fontId="0" fillId="0" borderId="5" xfId="0" applyNumberFormat="1" applyBorder="1" applyAlignment="1" applyProtection="1">
      <alignment horizontal="center" vertical="center" wrapText="1"/>
      <protection hidden="1"/>
    </xf>
    <xf numFmtId="164" fontId="0" fillId="0" borderId="7" xfId="0" applyNumberFormat="1" applyBorder="1" applyAlignment="1" applyProtection="1">
      <alignment horizontal="center" vertical="center" wrapText="1"/>
      <protection hidden="1"/>
    </xf>
    <xf numFmtId="0" fontId="0" fillId="0" borderId="5" xfId="0" applyBorder="1" applyAlignment="1" applyProtection="1">
      <alignment horizontal="center" vertical="center"/>
      <protection hidden="1"/>
    </xf>
    <xf numFmtId="0" fontId="0" fillId="0" borderId="7" xfId="0" applyBorder="1" applyAlignment="1" applyProtection="1">
      <alignment horizontal="center" vertical="center"/>
      <protection hidden="1"/>
    </xf>
    <xf numFmtId="0" fontId="2" fillId="0" borderId="5" xfId="0" applyFont="1" applyBorder="1" applyAlignment="1" applyProtection="1">
      <alignment horizontal="center" vertical="center" wrapText="1"/>
      <protection hidden="1"/>
    </xf>
    <xf numFmtId="0" fontId="2" fillId="0" borderId="7" xfId="0" applyFont="1" applyBorder="1" applyAlignment="1" applyProtection="1">
      <alignment horizontal="center" vertical="center" wrapText="1"/>
      <protection hidden="1"/>
    </xf>
    <xf numFmtId="0" fontId="1" fillId="10" borderId="9" xfId="1" applyFont="1" applyFill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  <xf numFmtId="0" fontId="1" fillId="0" borderId="9" xfId="0" quotePrefix="1" applyFont="1" applyBorder="1" applyAlignment="1" applyProtection="1">
      <alignment horizontal="left" vertical="center"/>
      <protection hidden="1"/>
    </xf>
    <xf numFmtId="168" fontId="0" fillId="0" borderId="0" xfId="0" applyNumberFormat="1"/>
    <xf numFmtId="168" fontId="4" fillId="0" borderId="0" xfId="0" applyNumberFormat="1" applyFont="1"/>
    <xf numFmtId="0" fontId="1" fillId="0" borderId="0" xfId="0" applyFont="1" applyAlignment="1" applyProtection="1">
      <alignment horizontal="left" vertical="center"/>
      <protection hidden="1"/>
    </xf>
    <xf numFmtId="2" fontId="0" fillId="0" borderId="11" xfId="0" applyNumberFormat="1" applyBorder="1" applyAlignment="1">
      <alignment horizontal="right"/>
    </xf>
    <xf numFmtId="2" fontId="0" fillId="0" borderId="10" xfId="0" applyNumberFormat="1" applyBorder="1" applyAlignment="1">
      <alignment horizontal="right"/>
    </xf>
    <xf numFmtId="2" fontId="0" fillId="4" borderId="18" xfId="0" applyNumberFormat="1" applyFill="1" applyBorder="1" applyAlignment="1">
      <alignment horizontal="right"/>
    </xf>
    <xf numFmtId="2" fontId="0" fillId="4" borderId="2" xfId="0" applyNumberFormat="1" applyFill="1" applyBorder="1" applyAlignment="1">
      <alignment horizontal="right"/>
    </xf>
    <xf numFmtId="1" fontId="0" fillId="0" borderId="8" xfId="0" applyNumberFormat="1" applyBorder="1" applyAlignment="1">
      <alignment horizontal="right"/>
    </xf>
    <xf numFmtId="1" fontId="0" fillId="0" borderId="3" xfId="0" applyNumberFormat="1" applyBorder="1" applyAlignment="1">
      <alignment horizontal="right"/>
    </xf>
    <xf numFmtId="1" fontId="0" fillId="0" borderId="16" xfId="0" applyNumberFormat="1" applyBorder="1" applyAlignment="1">
      <alignment horizontal="right"/>
    </xf>
    <xf numFmtId="1" fontId="0" fillId="0" borderId="4" xfId="0" applyNumberFormat="1" applyBorder="1" applyAlignment="1">
      <alignment horizontal="right"/>
    </xf>
    <xf numFmtId="0" fontId="0" fillId="0" borderId="12" xfId="0" applyBorder="1" applyAlignment="1">
      <alignment horizontal="right"/>
    </xf>
    <xf numFmtId="2" fontId="0" fillId="0" borderId="18" xfId="0" applyNumberFormat="1" applyBorder="1" applyAlignment="1">
      <alignment horizontal="right"/>
    </xf>
    <xf numFmtId="2" fontId="0" fillId="0" borderId="2" xfId="0" applyNumberFormat="1" applyBorder="1" applyAlignment="1">
      <alignment horizontal="right"/>
    </xf>
    <xf numFmtId="0" fontId="20" fillId="10" borderId="9" xfId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166" fontId="20" fillId="0" borderId="9" xfId="1" applyNumberFormat="1" applyBorder="1" applyAlignment="1">
      <alignment horizontal="center" vertical="center"/>
    </xf>
    <xf numFmtId="49" fontId="4" fillId="0" borderId="0" xfId="0" applyNumberFormat="1" applyFont="1" applyAlignment="1" applyProtection="1">
      <alignment horizontal="center"/>
      <protection hidden="1"/>
    </xf>
    <xf numFmtId="0" fontId="5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4" fillId="0" borderId="0" xfId="0" applyFont="1" applyAlignment="1" applyProtection="1">
      <alignment horizontal="center"/>
      <protection hidden="1"/>
    </xf>
    <xf numFmtId="0" fontId="9" fillId="0" borderId="0" xfId="0" applyFont="1" applyAlignment="1" applyProtection="1">
      <alignment horizontal="center"/>
      <protection hidden="1"/>
    </xf>
    <xf numFmtId="0" fontId="9" fillId="0" borderId="0" xfId="0" applyFont="1" applyProtection="1">
      <protection hidden="1"/>
    </xf>
    <xf numFmtId="166" fontId="0" fillId="4" borderId="0" xfId="0" applyNumberFormat="1" applyFill="1" applyAlignment="1" applyProtection="1">
      <alignment horizontal="center"/>
      <protection hidden="1"/>
    </xf>
    <xf numFmtId="2" fontId="34" fillId="0" borderId="0" xfId="0" applyNumberFormat="1" applyFont="1" applyAlignment="1">
      <alignment horizontal="left"/>
    </xf>
    <xf numFmtId="0" fontId="35" fillId="4" borderId="9" xfId="2" applyFill="1" applyBorder="1"/>
    <xf numFmtId="0" fontId="35" fillId="0" borderId="9" xfId="2" applyBorder="1"/>
    <xf numFmtId="166" fontId="0" fillId="0" borderId="9" xfId="0" applyNumberFormat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Alignment="1">
      <alignment horizontal="left" vertical="center"/>
    </xf>
    <xf numFmtId="165" fontId="0" fillId="3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0" fillId="3" borderId="0" xfId="0" applyFill="1" applyAlignment="1">
      <alignment horizontal="left"/>
    </xf>
    <xf numFmtId="0" fontId="0" fillId="3" borderId="7" xfId="0" applyFill="1" applyBorder="1" applyAlignment="1">
      <alignment vertical="center"/>
    </xf>
    <xf numFmtId="0" fontId="3" fillId="3" borderId="0" xfId="0" applyFont="1" applyFill="1" applyAlignment="1">
      <alignment horizontal="justify"/>
    </xf>
    <xf numFmtId="0" fontId="0" fillId="3" borderId="0" xfId="0" applyFill="1" applyProtection="1">
      <protection hidden="1"/>
    </xf>
    <xf numFmtId="0" fontId="10" fillId="3" borderId="0" xfId="0" applyFont="1" applyFill="1" applyProtection="1">
      <protection hidden="1"/>
    </xf>
    <xf numFmtId="0" fontId="0" fillId="3" borderId="5" xfId="0" applyFill="1" applyBorder="1" applyAlignment="1">
      <alignment horizontal="center" vertical="center"/>
    </xf>
    <xf numFmtId="166" fontId="0" fillId="0" borderId="8" xfId="0" applyNumberFormat="1" applyBorder="1" applyAlignment="1">
      <alignment horizontal="right"/>
    </xf>
    <xf numFmtId="166" fontId="0" fillId="0" borderId="3" xfId="0" applyNumberFormat="1" applyBorder="1" applyAlignment="1">
      <alignment horizontal="right"/>
    </xf>
    <xf numFmtId="1" fontId="0" fillId="3" borderId="8" xfId="0" applyNumberForma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1" fontId="0" fillId="3" borderId="12" xfId="0" applyNumberFormat="1" applyFill="1" applyBorder="1" applyAlignment="1">
      <alignment horizontal="center"/>
    </xf>
    <xf numFmtId="0" fontId="0" fillId="3" borderId="1" xfId="0" applyFill="1" applyBorder="1" applyAlignment="1">
      <alignment horizontal="right"/>
    </xf>
    <xf numFmtId="2" fontId="0" fillId="3" borderId="18" xfId="0" applyNumberFormat="1" applyFill="1" applyBorder="1"/>
    <xf numFmtId="2" fontId="0" fillId="3" borderId="8" xfId="0" applyNumberFormat="1" applyFill="1" applyBorder="1"/>
    <xf numFmtId="166" fontId="0" fillId="3" borderId="8" xfId="0" applyNumberFormat="1" applyFill="1" applyBorder="1" applyAlignment="1">
      <alignment horizontal="center"/>
    </xf>
    <xf numFmtId="166" fontId="0" fillId="3" borderId="3" xfId="0" applyNumberFormat="1" applyFill="1" applyBorder="1" applyAlignment="1">
      <alignment horizontal="center"/>
    </xf>
    <xf numFmtId="166" fontId="0" fillId="3" borderId="18" xfId="0" applyNumberFormat="1" applyFill="1" applyBorder="1" applyAlignment="1">
      <alignment horizontal="center"/>
    </xf>
    <xf numFmtId="166" fontId="0" fillId="3" borderId="16" xfId="0" applyNumberFormat="1" applyFill="1" applyBorder="1" applyAlignment="1">
      <alignment horizontal="center"/>
    </xf>
    <xf numFmtId="166" fontId="0" fillId="3" borderId="1" xfId="0" applyNumberFormat="1" applyFill="1" applyBorder="1" applyAlignment="1">
      <alignment horizontal="center"/>
    </xf>
    <xf numFmtId="166" fontId="0" fillId="3" borderId="4" xfId="0" applyNumberFormat="1" applyFill="1" applyBorder="1" applyAlignment="1">
      <alignment horizontal="center"/>
    </xf>
    <xf numFmtId="166" fontId="3" fillId="3" borderId="0" xfId="0" applyNumberFormat="1" applyFont="1" applyFill="1" applyAlignment="1">
      <alignment horizontal="justify"/>
    </xf>
    <xf numFmtId="166" fontId="0" fillId="3" borderId="2" xfId="0" applyNumberFormat="1" applyFill="1" applyBorder="1" applyAlignment="1">
      <alignment horizontal="center"/>
    </xf>
    <xf numFmtId="165" fontId="0" fillId="3" borderId="0" xfId="0" applyNumberFormat="1" applyFill="1"/>
    <xf numFmtId="1" fontId="0" fillId="3" borderId="0" xfId="0" applyNumberFormat="1" applyFill="1" applyAlignment="1">
      <alignment horizontal="center"/>
    </xf>
    <xf numFmtId="1" fontId="0" fillId="3" borderId="18" xfId="0" applyNumberFormat="1" applyFill="1" applyBorder="1" applyAlignment="1">
      <alignment horizontal="center"/>
    </xf>
    <xf numFmtId="2" fontId="0" fillId="3" borderId="12" xfId="0" applyNumberFormat="1" applyFill="1" applyBorder="1"/>
    <xf numFmtId="2" fontId="0" fillId="3" borderId="2" xfId="0" applyNumberFormat="1" applyFill="1" applyBorder="1"/>
    <xf numFmtId="2" fontId="0" fillId="3" borderId="3" xfId="0" applyNumberFormat="1" applyFill="1" applyBorder="1"/>
    <xf numFmtId="2" fontId="0" fillId="3" borderId="4" xfId="0" applyNumberFormat="1" applyFill="1" applyBorder="1"/>
    <xf numFmtId="2" fontId="0" fillId="3" borderId="0" xfId="0" applyNumberFormat="1" applyFill="1" applyAlignment="1">
      <alignment horizontal="center"/>
    </xf>
    <xf numFmtId="0" fontId="0" fillId="3" borderId="18" xfId="0" applyFill="1" applyBorder="1" applyAlignment="1">
      <alignment horizontal="right"/>
    </xf>
    <xf numFmtId="166" fontId="0" fillId="3" borderId="12" xfId="0" applyNumberFormat="1" applyFill="1" applyBorder="1"/>
    <xf numFmtId="0" fontId="0" fillId="3" borderId="12" xfId="0" applyFill="1" applyBorder="1"/>
    <xf numFmtId="0" fontId="0" fillId="3" borderId="5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166" fontId="0" fillId="3" borderId="18" xfId="0" applyNumberFormat="1" applyFill="1" applyBorder="1" applyAlignment="1">
      <alignment horizontal="center"/>
    </xf>
    <xf numFmtId="166" fontId="0" fillId="3" borderId="12" xfId="0" applyNumberFormat="1" applyFill="1" applyBorder="1" applyAlignment="1">
      <alignment horizontal="center"/>
    </xf>
    <xf numFmtId="166" fontId="0" fillId="3" borderId="2" xfId="0" applyNumberFormat="1" applyFill="1" applyBorder="1" applyAlignment="1">
      <alignment horizontal="center"/>
    </xf>
    <xf numFmtId="2" fontId="0" fillId="3" borderId="18" xfId="0" applyNumberFormat="1" applyFill="1" applyBorder="1" applyAlignment="1">
      <alignment horizontal="center"/>
    </xf>
    <xf numFmtId="2" fontId="0" fillId="3" borderId="12" xfId="0" applyNumberFormat="1" applyFill="1" applyBorder="1" applyAlignment="1">
      <alignment horizontal="center"/>
    </xf>
    <xf numFmtId="2" fontId="0" fillId="3" borderId="2" xfId="0" applyNumberFormat="1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166" fontId="0" fillId="3" borderId="16" xfId="0" applyNumberFormat="1" applyFill="1" applyBorder="1" applyAlignment="1">
      <alignment horizontal="center"/>
    </xf>
    <xf numFmtId="166" fontId="0" fillId="3" borderId="1" xfId="0" applyNumberFormat="1" applyFill="1" applyBorder="1" applyAlignment="1">
      <alignment horizontal="center"/>
    </xf>
    <xf numFmtId="166" fontId="0" fillId="3" borderId="4" xfId="0" applyNumberFormat="1" applyFill="1" applyBorder="1" applyAlignment="1">
      <alignment horizontal="center"/>
    </xf>
    <xf numFmtId="2" fontId="0" fillId="3" borderId="16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2" fontId="0" fillId="3" borderId="4" xfId="0" applyNumberFormat="1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8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166" fontId="0" fillId="3" borderId="8" xfId="0" applyNumberFormat="1" applyFill="1" applyBorder="1" applyAlignment="1">
      <alignment horizontal="center"/>
    </xf>
    <xf numFmtId="166" fontId="0" fillId="3" borderId="0" xfId="0" applyNumberFormat="1" applyFill="1" applyAlignment="1">
      <alignment horizontal="center"/>
    </xf>
    <xf numFmtId="166" fontId="0" fillId="3" borderId="3" xfId="0" applyNumberFormat="1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0" xfId="0" applyNumberFormat="1" applyFill="1" applyAlignment="1">
      <alignment horizontal="center"/>
    </xf>
    <xf numFmtId="0" fontId="0" fillId="3" borderId="6" xfId="0" applyFill="1" applyBorder="1" applyAlignment="1">
      <alignment horizontal="center" vertical="center"/>
    </xf>
    <xf numFmtId="0" fontId="0" fillId="3" borderId="0" xfId="0" applyFill="1" applyAlignment="1">
      <alignment horizontal="left" vertical="center" wrapText="1"/>
    </xf>
    <xf numFmtId="165" fontId="0" fillId="3" borderId="0" xfId="0" applyNumberFormat="1" applyFill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0" fontId="0" fillId="3" borderId="0" xfId="0" applyFill="1" applyAlignment="1">
      <alignment horizontal="center"/>
    </xf>
    <xf numFmtId="168" fontId="0" fillId="3" borderId="0" xfId="0" applyNumberFormat="1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10" fillId="3" borderId="0" xfId="0" applyFont="1" applyFill="1" applyAlignment="1" applyProtection="1">
      <alignment vertical="center" wrapText="1"/>
      <protection hidden="1"/>
    </xf>
    <xf numFmtId="0" fontId="5" fillId="3" borderId="11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2" fontId="0" fillId="0" borderId="9" xfId="0" applyNumberFormat="1" applyBorder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2" fontId="0" fillId="0" borderId="0" xfId="0" applyNumberFormat="1" applyAlignment="1" applyProtection="1">
      <alignment horizontal="left"/>
      <protection hidden="1"/>
    </xf>
    <xf numFmtId="166" fontId="0" fillId="0" borderId="0" xfId="0" applyNumberFormat="1" applyAlignment="1" applyProtection="1">
      <alignment horizontal="center"/>
      <protection hidden="1"/>
    </xf>
    <xf numFmtId="2" fontId="0" fillId="4" borderId="18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164" fontId="0" fillId="0" borderId="5" xfId="0" applyNumberFormat="1" applyBorder="1" applyAlignment="1" applyProtection="1">
      <alignment horizontal="center" vertical="center" wrapText="1"/>
      <protection hidden="1"/>
    </xf>
    <xf numFmtId="164" fontId="0" fillId="0" borderId="7" xfId="0" applyNumberFormat="1" applyBorder="1" applyAlignment="1" applyProtection="1">
      <alignment horizontal="center" vertical="center" wrapText="1"/>
      <protection hidden="1"/>
    </xf>
    <xf numFmtId="0" fontId="2" fillId="0" borderId="5" xfId="0" applyFont="1" applyBorder="1" applyAlignment="1" applyProtection="1">
      <alignment horizontal="center" vertical="center" wrapText="1"/>
      <protection hidden="1"/>
    </xf>
    <xf numFmtId="0" fontId="2" fillId="0" borderId="7" xfId="0" applyFont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/>
      <protection hidden="1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5" xfId="0" applyBorder="1" applyAlignment="1" applyProtection="1">
      <alignment horizontal="center" vertical="center" wrapText="1"/>
      <protection hidden="1"/>
    </xf>
    <xf numFmtId="0" fontId="0" fillId="0" borderId="7" xfId="0" applyBorder="1" applyAlignment="1" applyProtection="1">
      <alignment horizontal="center" vertical="center" wrapText="1"/>
      <protection hidden="1"/>
    </xf>
    <xf numFmtId="0" fontId="7" fillId="0" borderId="5" xfId="0" applyFont="1" applyBorder="1" applyAlignment="1" applyProtection="1">
      <alignment horizontal="center" vertical="center" wrapText="1"/>
      <protection hidden="1"/>
    </xf>
    <xf numFmtId="0" fontId="7" fillId="0" borderId="6" xfId="0" applyFont="1" applyBorder="1" applyAlignment="1" applyProtection="1">
      <alignment horizontal="center" vertical="center" wrapText="1"/>
      <protection hidden="1"/>
    </xf>
    <xf numFmtId="0" fontId="7" fillId="0" borderId="7" xfId="0" applyFont="1" applyBorder="1" applyAlignment="1" applyProtection="1">
      <alignment horizontal="center" vertical="center" wrapText="1"/>
      <protection hidden="1"/>
    </xf>
    <xf numFmtId="0" fontId="7" fillId="0" borderId="5" xfId="0" applyFont="1" applyBorder="1" applyAlignment="1" applyProtection="1">
      <alignment horizontal="center" vertical="center"/>
      <protection hidden="1"/>
    </xf>
    <xf numFmtId="0" fontId="7" fillId="0" borderId="6" xfId="0" applyFont="1" applyBorder="1" applyAlignment="1" applyProtection="1">
      <alignment horizontal="center" vertical="center"/>
      <protection hidden="1"/>
    </xf>
    <xf numFmtId="0" fontId="7" fillId="0" borderId="7" xfId="0" applyFont="1" applyBorder="1" applyAlignment="1" applyProtection="1">
      <alignment horizontal="center" vertical="center"/>
      <protection hidden="1"/>
    </xf>
    <xf numFmtId="0" fontId="6" fillId="0" borderId="16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68" fontId="0" fillId="0" borderId="0" xfId="0" applyNumberFormat="1" applyAlignment="1">
      <alignment horizontal="left"/>
    </xf>
    <xf numFmtId="168" fontId="4" fillId="0" borderId="0" xfId="0" applyNumberFormat="1" applyFont="1" applyAlignment="1">
      <alignment horizontal="left"/>
    </xf>
    <xf numFmtId="2" fontId="0" fillId="4" borderId="18" xfId="0" applyNumberFormat="1" applyFill="1" applyBorder="1" applyAlignment="1">
      <alignment horizontal="right"/>
    </xf>
    <xf numFmtId="2" fontId="0" fillId="4" borderId="2" xfId="0" applyNumberFormat="1" applyFill="1" applyBorder="1" applyAlignment="1">
      <alignment horizontal="right"/>
    </xf>
    <xf numFmtId="166" fontId="0" fillId="0" borderId="16" xfId="0" applyNumberFormat="1" applyBorder="1" applyAlignment="1">
      <alignment horizontal="right"/>
    </xf>
    <xf numFmtId="166" fontId="0" fillId="0" borderId="4" xfId="0" applyNumberFormat="1" applyBorder="1" applyAlignment="1">
      <alignment horizontal="right"/>
    </xf>
    <xf numFmtId="0" fontId="14" fillId="0" borderId="5" xfId="0" applyFont="1" applyBorder="1" applyAlignment="1" applyProtection="1">
      <alignment horizontal="center" vertical="center" wrapText="1"/>
      <protection hidden="1"/>
    </xf>
    <xf numFmtId="0" fontId="14" fillId="0" borderId="7" xfId="0" applyFont="1" applyBorder="1" applyAlignment="1" applyProtection="1">
      <alignment horizontal="center" vertical="center" wrapText="1"/>
      <protection hidden="1"/>
    </xf>
    <xf numFmtId="0" fontId="14" fillId="0" borderId="5" xfId="0" applyFont="1" applyBorder="1" applyAlignment="1" applyProtection="1">
      <alignment horizontal="center" wrapText="1"/>
      <protection hidden="1"/>
    </xf>
    <xf numFmtId="0" fontId="14" fillId="0" borderId="7" xfId="0" applyFont="1" applyBorder="1" applyAlignment="1" applyProtection="1">
      <alignment horizontal="center" wrapText="1"/>
      <protection hidden="1"/>
    </xf>
    <xf numFmtId="0" fontId="28" fillId="0" borderId="5" xfId="0" applyFont="1" applyBorder="1" applyAlignment="1" applyProtection="1">
      <alignment horizontal="center" wrapText="1"/>
      <protection hidden="1"/>
    </xf>
    <xf numFmtId="0" fontId="28" fillId="0" borderId="7" xfId="0" applyFont="1" applyBorder="1" applyAlignment="1" applyProtection="1">
      <alignment horizontal="center" wrapText="1"/>
      <protection hidden="1"/>
    </xf>
    <xf numFmtId="0" fontId="15" fillId="0" borderId="5" xfId="0" applyFont="1" applyBorder="1" applyAlignment="1" applyProtection="1">
      <alignment horizontal="center" vertical="center" wrapText="1"/>
      <protection hidden="1"/>
    </xf>
    <xf numFmtId="0" fontId="15" fillId="0" borderId="7" xfId="0" applyFont="1" applyBorder="1" applyAlignment="1" applyProtection="1">
      <alignment horizontal="center" vertical="center" wrapText="1"/>
      <protection hidden="1"/>
    </xf>
    <xf numFmtId="0" fontId="0" fillId="0" borderId="6" xfId="0" applyBorder="1" applyAlignment="1" applyProtection="1">
      <alignment horizontal="center" vertical="center" wrapText="1"/>
      <protection hidden="1"/>
    </xf>
    <xf numFmtId="164" fontId="1" fillId="0" borderId="5" xfId="0" applyNumberFormat="1" applyFont="1" applyBorder="1" applyAlignment="1" applyProtection="1">
      <alignment horizontal="center" vertical="center" wrapText="1"/>
      <protection hidden="1"/>
    </xf>
    <xf numFmtId="164" fontId="1" fillId="0" borderId="7" xfId="0" applyNumberFormat="1" applyFont="1" applyBorder="1" applyAlignment="1" applyProtection="1">
      <alignment horizontal="center" vertical="center" wrapText="1"/>
      <protection hidden="1"/>
    </xf>
    <xf numFmtId="166" fontId="0" fillId="0" borderId="8" xfId="0" applyNumberFormat="1" applyBorder="1" applyAlignment="1">
      <alignment horizontal="right"/>
    </xf>
    <xf numFmtId="166" fontId="0" fillId="0" borderId="3" xfId="0" applyNumberFormat="1" applyBorder="1" applyAlignment="1">
      <alignment horizontal="right"/>
    </xf>
    <xf numFmtId="2" fontId="0" fillId="0" borderId="11" xfId="0" applyNumberFormat="1" applyBorder="1" applyAlignment="1">
      <alignment horizontal="right"/>
    </xf>
    <xf numFmtId="2" fontId="0" fillId="0" borderId="10" xfId="0" applyNumberFormat="1" applyBorder="1" applyAlignment="1">
      <alignment horizontal="right"/>
    </xf>
    <xf numFmtId="0" fontId="0" fillId="0" borderId="7" xfId="0" applyBorder="1" applyAlignment="1">
      <alignment horizontal="center"/>
    </xf>
    <xf numFmtId="0" fontId="14" fillId="0" borderId="20" xfId="0" applyFont="1" applyBorder="1" applyAlignment="1" applyProtection="1">
      <alignment horizontal="center" vertical="center" wrapText="1"/>
      <protection hidden="1"/>
    </xf>
    <xf numFmtId="0" fontId="14" fillId="0" borderId="21" xfId="0" applyFont="1" applyBorder="1" applyAlignment="1" applyProtection="1">
      <alignment horizontal="center" vertical="center" wrapText="1"/>
      <protection hidden="1"/>
    </xf>
    <xf numFmtId="0" fontId="0" fillId="0" borderId="5" xfId="0" applyBorder="1" applyAlignment="1" applyProtection="1">
      <alignment horizontal="center" vertical="center"/>
      <protection hidden="1"/>
    </xf>
    <xf numFmtId="0" fontId="0" fillId="0" borderId="7" xfId="0" applyBorder="1" applyAlignment="1" applyProtection="1">
      <alignment horizontal="center" vertical="center"/>
      <protection hidden="1"/>
    </xf>
    <xf numFmtId="165" fontId="0" fillId="0" borderId="5" xfId="0" applyNumberFormat="1" applyBorder="1" applyAlignment="1">
      <alignment horizontal="center" vertical="center"/>
    </xf>
    <xf numFmtId="165" fontId="0" fillId="0" borderId="7" xfId="0" applyNumberFormat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22" fillId="7" borderId="11" xfId="0" applyFont="1" applyFill="1" applyBorder="1" applyAlignment="1" applyProtection="1">
      <alignment horizontal="center"/>
      <protection hidden="1"/>
    </xf>
    <xf numFmtId="0" fontId="22" fillId="7" borderId="13" xfId="0" applyFont="1" applyFill="1" applyBorder="1" applyAlignment="1" applyProtection="1">
      <alignment horizontal="center"/>
      <protection hidden="1"/>
    </xf>
    <xf numFmtId="0" fontId="22" fillId="7" borderId="10" xfId="0" applyFont="1" applyFill="1" applyBorder="1" applyAlignment="1" applyProtection="1">
      <alignment horizontal="center"/>
      <protection hidden="1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21" fillId="7" borderId="5" xfId="0" applyFont="1" applyFill="1" applyBorder="1" applyAlignment="1" applyProtection="1">
      <alignment horizontal="center" vertical="center" wrapText="1"/>
      <protection hidden="1"/>
    </xf>
    <xf numFmtId="0" fontId="21" fillId="7" borderId="7" xfId="0" applyFont="1" applyFill="1" applyBorder="1" applyAlignment="1" applyProtection="1">
      <alignment horizontal="center" vertical="center" wrapText="1"/>
      <protection hidden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0" fillId="0" borderId="17" xfId="0" applyBorder="1" applyAlignment="1">
      <alignment horizontal="center"/>
    </xf>
    <xf numFmtId="0" fontId="0" fillId="0" borderId="9" xfId="0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26" fillId="4" borderId="0" xfId="0" applyFont="1" applyFill="1" applyAlignment="1">
      <alignment horizontal="center" vertical="center" textRotation="90"/>
    </xf>
    <xf numFmtId="0" fontId="26" fillId="4" borderId="1" xfId="0" applyFont="1" applyFill="1" applyBorder="1" applyAlignment="1">
      <alignment horizontal="center" vertical="center"/>
    </xf>
    <xf numFmtId="0" fontId="0" fillId="10" borderId="10" xfId="0" applyFill="1" applyBorder="1" applyAlignment="1">
      <alignment horizontal="center" wrapText="1"/>
    </xf>
    <xf numFmtId="0" fontId="0" fillId="10" borderId="9" xfId="0" applyFill="1" applyBorder="1" applyAlignment="1">
      <alignment horizontal="center" vertical="center" wrapText="1"/>
    </xf>
    <xf numFmtId="0" fontId="27" fillId="4" borderId="22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0" fontId="1" fillId="10" borderId="13" xfId="0" applyFont="1" applyFill="1" applyBorder="1" applyAlignment="1">
      <alignment horizontal="center"/>
    </xf>
    <xf numFmtId="0" fontId="1" fillId="10" borderId="30" xfId="0" applyFont="1" applyFill="1" applyBorder="1" applyAlignment="1">
      <alignment horizontal="center"/>
    </xf>
    <xf numFmtId="0" fontId="1" fillId="10" borderId="10" xfId="0" applyFont="1" applyFill="1" applyBorder="1" applyAlignment="1">
      <alignment horizontal="center"/>
    </xf>
    <xf numFmtId="166" fontId="27" fillId="4" borderId="23" xfId="0" applyNumberFormat="1" applyFont="1" applyFill="1" applyBorder="1" applyAlignment="1" applyProtection="1">
      <alignment horizontal="center" vertical="center"/>
      <protection hidden="1"/>
    </xf>
    <xf numFmtId="166" fontId="27" fillId="4" borderId="24" xfId="0" applyNumberFormat="1" applyFont="1" applyFill="1" applyBorder="1" applyAlignment="1" applyProtection="1">
      <alignment horizontal="center" vertical="center"/>
      <protection hidden="1"/>
    </xf>
    <xf numFmtId="0" fontId="0" fillId="10" borderId="9" xfId="0" applyFill="1" applyBorder="1" applyAlignment="1">
      <alignment horizontal="center" vertical="center"/>
    </xf>
    <xf numFmtId="0" fontId="27" fillId="4" borderId="0" xfId="0" applyFont="1" applyFill="1" applyAlignment="1">
      <alignment horizontal="center"/>
    </xf>
    <xf numFmtId="0" fontId="27" fillId="4" borderId="26" xfId="0" applyFont="1" applyFill="1" applyBorder="1" applyAlignment="1">
      <alignment horizontal="center"/>
    </xf>
    <xf numFmtId="166" fontId="27" fillId="4" borderId="23" xfId="0" applyNumberFormat="1" applyFont="1" applyFill="1" applyBorder="1" applyAlignment="1" applyProtection="1">
      <alignment horizontal="center"/>
      <protection hidden="1"/>
    </xf>
    <xf numFmtId="166" fontId="27" fillId="4" borderId="24" xfId="0" applyNumberFormat="1" applyFont="1" applyFill="1" applyBorder="1" applyAlignment="1" applyProtection="1">
      <alignment horizontal="center"/>
      <protection hidden="1"/>
    </xf>
    <xf numFmtId="166" fontId="27" fillId="4" borderId="25" xfId="0" applyNumberFormat="1" applyFont="1" applyFill="1" applyBorder="1" applyAlignment="1" applyProtection="1">
      <alignment horizontal="center"/>
      <protection hidden="1"/>
    </xf>
    <xf numFmtId="0" fontId="20" fillId="10" borderId="9" xfId="1" applyFill="1" applyBorder="1" applyAlignment="1">
      <alignment horizontal="center" vertical="center"/>
    </xf>
    <xf numFmtId="0" fontId="27" fillId="4" borderId="1" xfId="0" applyFont="1" applyFill="1" applyBorder="1" applyAlignment="1">
      <alignment horizontal="center" vertical="center"/>
    </xf>
  </cellXfs>
  <cellStyles count="3">
    <cellStyle name="Normal" xfId="0" builtinId="0"/>
    <cellStyle name="Normal 16" xfId="2" xr:uid="{BF9638E1-E7EB-4B7A-8912-063F013922F1}"/>
    <cellStyle name="Normal 2" xfId="1" xr:uid="{00000000-0005-0000-0000-000001000000}"/>
  </cellStyles>
  <dxfs count="460"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0"/>
          </c:trendline>
          <c:val>
            <c:numRef>
              <c:f>'REGRESI 1'!$B$2:$B$9</c:f>
              <c:numCache>
                <c:formatCode>0.000</c:formatCode>
                <c:ptCount val="8"/>
                <c:pt idx="0">
                  <c:v>-1.2540000000000013</c:v>
                </c:pt>
                <c:pt idx="1">
                  <c:v>-0.85099999999999998</c:v>
                </c:pt>
                <c:pt idx="2">
                  <c:v>-0.34299999999999642</c:v>
                </c:pt>
                <c:pt idx="3">
                  <c:v>-0.6629999999999967</c:v>
                </c:pt>
                <c:pt idx="4">
                  <c:v>-0.82200000000000273</c:v>
                </c:pt>
                <c:pt idx="5">
                  <c:v>-0.49500000000000455</c:v>
                </c:pt>
                <c:pt idx="6">
                  <c:v>-0.25199999999998113</c:v>
                </c:pt>
                <c:pt idx="7">
                  <c:v>-0.16600000000005366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54-4B58-8D71-B823EA84D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913816"/>
        <c:axId val="593906928"/>
      </c:lineChart>
      <c:catAx>
        <c:axId val="593913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06928"/>
        <c:crosses val="autoZero"/>
        <c:auto val="1"/>
        <c:lblAlgn val="ctr"/>
        <c:lblOffset val="100"/>
        <c:noMultiLvlLbl val="0"/>
      </c:catAx>
      <c:valAx>
        <c:axId val="59390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13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val>
            <c:numRef>
              <c:f>'REGRESI 2'!$B$2:$B$6</c:f>
              <c:numCache>
                <c:formatCode>0.000</c:formatCode>
                <c:ptCount val="5"/>
                <c:pt idx="0">
                  <c:v>-1.282</c:v>
                </c:pt>
                <c:pt idx="1">
                  <c:v>-0.84200000000000019</c:v>
                </c:pt>
                <c:pt idx="2">
                  <c:v>-0.32000000000000028</c:v>
                </c:pt>
                <c:pt idx="3">
                  <c:v>-0.60199999999998965</c:v>
                </c:pt>
                <c:pt idx="4">
                  <c:v>-0.82200000000000273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C2-4864-A1F9-3D6D826A2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499096"/>
        <c:axId val="657506312"/>
      </c:lineChart>
      <c:catAx>
        <c:axId val="657499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06312"/>
        <c:crosses val="autoZero"/>
        <c:auto val="1"/>
        <c:lblAlgn val="ctr"/>
        <c:lblOffset val="100"/>
        <c:noMultiLvlLbl val="0"/>
      </c:catAx>
      <c:valAx>
        <c:axId val="65750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0"/>
          </c:trendline>
          <c:val>
            <c:numRef>
              <c:f>'REGRESI 13'!$B$2:$B$9</c:f>
              <c:numCache>
                <c:formatCode>0.000</c:formatCode>
                <c:ptCount val="8"/>
                <c:pt idx="0">
                  <c:v>-1.3679999999999986</c:v>
                </c:pt>
                <c:pt idx="1">
                  <c:v>-5.0779999999999994</c:v>
                </c:pt>
                <c:pt idx="2">
                  <c:v>-0.33200000000000074</c:v>
                </c:pt>
                <c:pt idx="3">
                  <c:v>-0.95199999999999818</c:v>
                </c:pt>
                <c:pt idx="4">
                  <c:v>-0.81200000000001182</c:v>
                </c:pt>
                <c:pt idx="5">
                  <c:v>-0.46600000000000819</c:v>
                </c:pt>
                <c:pt idx="6">
                  <c:v>-0.22299999999998477</c:v>
                </c:pt>
                <c:pt idx="7">
                  <c:v>-0.17500000000001137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A2-4A1D-A7F3-5E27E1054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913816"/>
        <c:axId val="593906928"/>
      </c:lineChart>
      <c:catAx>
        <c:axId val="593913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06928"/>
        <c:crosses val="autoZero"/>
        <c:auto val="1"/>
        <c:lblAlgn val="ctr"/>
        <c:lblOffset val="100"/>
        <c:noMultiLvlLbl val="0"/>
      </c:catAx>
      <c:valAx>
        <c:axId val="59390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13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val>
            <c:numRef>
              <c:f>'REGRESI 14'!$B$2:$B$6</c:f>
              <c:numCache>
                <c:formatCode>0.000</c:formatCode>
                <c:ptCount val="5"/>
                <c:pt idx="0">
                  <c:v>-1.5199999999999996</c:v>
                </c:pt>
                <c:pt idx="1">
                  <c:v>-1.135</c:v>
                </c:pt>
                <c:pt idx="2">
                  <c:v>-0.32400000000000517</c:v>
                </c:pt>
                <c:pt idx="3">
                  <c:v>-0.74599999999999511</c:v>
                </c:pt>
                <c:pt idx="4">
                  <c:v>-0.83200000000002206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4B-4F39-A6F1-8857D8DE0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499096"/>
        <c:axId val="657506312"/>
      </c:lineChart>
      <c:catAx>
        <c:axId val="657499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06312"/>
        <c:crosses val="autoZero"/>
        <c:auto val="1"/>
        <c:lblAlgn val="ctr"/>
        <c:lblOffset val="100"/>
        <c:noMultiLvlLbl val="0"/>
      </c:catAx>
      <c:valAx>
        <c:axId val="65750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14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17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18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19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20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21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22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23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24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25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_rels/vmlDrawing26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wmf"/><Relationship Id="rId2" Type="http://schemas.openxmlformats.org/officeDocument/2006/relationships/image" Target="../media/image6.emf"/><Relationship Id="rId1" Type="http://schemas.openxmlformats.org/officeDocument/2006/relationships/image" Target="../media/image5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247061</xdr:colOff>
      <xdr:row>1</xdr:row>
      <xdr:rowOff>120779</xdr:rowOff>
    </xdr:from>
    <xdr:to>
      <xdr:col>10</xdr:col>
      <xdr:colOff>868784</xdr:colOff>
      <xdr:row>2</xdr:row>
      <xdr:rowOff>144164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9837" y="311279"/>
          <a:ext cx="621723" cy="194178"/>
        </a:xfrm>
        <a:prstGeom prst="rect">
          <a:avLst/>
        </a:prstGeom>
        <a:ln w="285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41</xdr:row>
          <xdr:rowOff>152400</xdr:rowOff>
        </xdr:from>
        <xdr:to>
          <xdr:col>16</xdr:col>
          <xdr:colOff>0</xdr:colOff>
          <xdr:row>43</xdr:row>
          <xdr:rowOff>146050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1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41</xdr:row>
          <xdr:rowOff>50800</xdr:rowOff>
        </xdr:from>
        <xdr:to>
          <xdr:col>21</xdr:col>
          <xdr:colOff>152400</xdr:colOff>
          <xdr:row>44</xdr:row>
          <xdr:rowOff>31750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1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28</xdr:row>
          <xdr:rowOff>19050</xdr:rowOff>
        </xdr:from>
        <xdr:to>
          <xdr:col>17</xdr:col>
          <xdr:colOff>323850</xdr:colOff>
          <xdr:row>29</xdr:row>
          <xdr:rowOff>127000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1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26</xdr:row>
      <xdr:rowOff>57150</xdr:rowOff>
    </xdr:from>
    <xdr:to>
      <xdr:col>17</xdr:col>
      <xdr:colOff>266700</xdr:colOff>
      <xdr:row>27</xdr:row>
      <xdr:rowOff>133350</xdr:rowOff>
    </xdr:to>
    <xdr:pic>
      <xdr:nvPicPr>
        <xdr:cNvPr id="1238" name="Picture 51">
          <a:extLst>
            <a:ext uri="{FF2B5EF4-FFF2-40B4-BE49-F238E27FC236}">
              <a16:creationId xmlns:a16="http://schemas.microsoft.com/office/drawing/2014/main" id="{00000000-0008-0000-01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7475" y="5048250"/>
          <a:ext cx="2286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28</xdr:row>
      <xdr:rowOff>19050</xdr:rowOff>
    </xdr:from>
    <xdr:to>
      <xdr:col>17</xdr:col>
      <xdr:colOff>323850</xdr:colOff>
      <xdr:row>29</xdr:row>
      <xdr:rowOff>123825</xdr:rowOff>
    </xdr:to>
    <xdr:pic>
      <xdr:nvPicPr>
        <xdr:cNvPr id="1239" name="Picture 52">
          <a:extLst>
            <a:ext uri="{FF2B5EF4-FFF2-40B4-BE49-F238E27FC236}">
              <a16:creationId xmlns:a16="http://schemas.microsoft.com/office/drawing/2014/main" id="{00000000-0008-0000-01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4625" y="5381625"/>
          <a:ext cx="2286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28</xdr:row>
          <xdr:rowOff>19050</xdr:rowOff>
        </xdr:from>
        <xdr:to>
          <xdr:col>17</xdr:col>
          <xdr:colOff>323850</xdr:colOff>
          <xdr:row>29</xdr:row>
          <xdr:rowOff>127000</xdr:rowOff>
        </xdr:to>
        <xdr:sp macro="" textlink="">
          <xdr:nvSpPr>
            <xdr:cNvPr id="1137" name="Object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1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26</xdr:row>
      <xdr:rowOff>57150</xdr:rowOff>
    </xdr:from>
    <xdr:to>
      <xdr:col>17</xdr:col>
      <xdr:colOff>266700</xdr:colOff>
      <xdr:row>27</xdr:row>
      <xdr:rowOff>133350</xdr:rowOff>
    </xdr:to>
    <xdr:pic>
      <xdr:nvPicPr>
        <xdr:cNvPr id="1240" name="Picture 51">
          <a:extLst>
            <a:ext uri="{FF2B5EF4-FFF2-40B4-BE49-F238E27FC236}">
              <a16:creationId xmlns:a16="http://schemas.microsoft.com/office/drawing/2014/main" id="{00000000-0008-0000-01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7475" y="5048250"/>
          <a:ext cx="2286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28</xdr:row>
      <xdr:rowOff>19050</xdr:rowOff>
    </xdr:from>
    <xdr:to>
      <xdr:col>17</xdr:col>
      <xdr:colOff>323850</xdr:colOff>
      <xdr:row>29</xdr:row>
      <xdr:rowOff>123825</xdr:rowOff>
    </xdr:to>
    <xdr:pic>
      <xdr:nvPicPr>
        <xdr:cNvPr id="1241" name="Picture 52">
          <a:extLst>
            <a:ext uri="{FF2B5EF4-FFF2-40B4-BE49-F238E27FC236}">
              <a16:creationId xmlns:a16="http://schemas.microsoft.com/office/drawing/2014/main" id="{00000000-0008-0000-01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4625" y="5381625"/>
          <a:ext cx="2286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27</xdr:row>
      <xdr:rowOff>152400</xdr:rowOff>
    </xdr:from>
    <xdr:to>
      <xdr:col>10</xdr:col>
      <xdr:colOff>1647825</xdr:colOff>
      <xdr:row>43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3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16386" name="Object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3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16387" name="Object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3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16388" name="Object 4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3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1524000</xdr:colOff>
      <xdr:row>14</xdr:row>
      <xdr:rowOff>142875</xdr:rowOff>
    </xdr:from>
    <xdr:to>
      <xdr:col>11</xdr:col>
      <xdr:colOff>838200</xdr:colOff>
      <xdr:row>30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31745" name="Object 1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05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31746" name="Object 2" hidden="1">
              <a:extLst>
                <a:ext uri="{63B3BB69-23CF-44E3-9099-C40C66FF867C}">
                  <a14:compatExt spid="_x0000_s31746"/>
                </a:ext>
                <a:ext uri="{FF2B5EF4-FFF2-40B4-BE49-F238E27FC236}">
                  <a16:creationId xmlns:a16="http://schemas.microsoft.com/office/drawing/2014/main" id="{00000000-0008-0000-0500-000002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31747" name="Object 3" hidden="1">
              <a:extLst>
                <a:ext uri="{63B3BB69-23CF-44E3-9099-C40C66FF867C}">
                  <a14:compatExt spid="_x0000_s31747"/>
                </a:ext>
                <a:ext uri="{FF2B5EF4-FFF2-40B4-BE49-F238E27FC236}">
                  <a16:creationId xmlns:a16="http://schemas.microsoft.com/office/drawing/2014/main" id="{00000000-0008-0000-0500-000003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31748" name="Object 4" hidden="1">
              <a:extLst>
                <a:ext uri="{63B3BB69-23CF-44E3-9099-C40C66FF867C}">
                  <a14:compatExt spid="_x0000_s31748"/>
                </a:ext>
                <a:ext uri="{FF2B5EF4-FFF2-40B4-BE49-F238E27FC236}">
                  <a16:creationId xmlns:a16="http://schemas.microsoft.com/office/drawing/2014/main" id="{00000000-0008-0000-0500-000004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32769" name="Object 1" hidden="1">
              <a:extLst>
                <a:ext uri="{63B3BB69-23CF-44E3-9099-C40C66FF867C}">
                  <a14:compatExt spid="_x0000_s32769"/>
                </a:ext>
                <a:ext uri="{FF2B5EF4-FFF2-40B4-BE49-F238E27FC236}">
                  <a16:creationId xmlns:a16="http://schemas.microsoft.com/office/drawing/2014/main" id="{00000000-0008-0000-0700-000001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32770" name="Object 2" hidden="1">
              <a:extLst>
                <a:ext uri="{63B3BB69-23CF-44E3-9099-C40C66FF867C}">
                  <a14:compatExt spid="_x0000_s32770"/>
                </a:ext>
                <a:ext uri="{FF2B5EF4-FFF2-40B4-BE49-F238E27FC236}">
                  <a16:creationId xmlns:a16="http://schemas.microsoft.com/office/drawing/2014/main" id="{00000000-0008-0000-0700-000002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32771" name="Object 3" hidden="1">
              <a:extLst>
                <a:ext uri="{63B3BB69-23CF-44E3-9099-C40C66FF867C}">
                  <a14:compatExt spid="_x0000_s32771"/>
                </a:ext>
                <a:ext uri="{FF2B5EF4-FFF2-40B4-BE49-F238E27FC236}">
                  <a16:creationId xmlns:a16="http://schemas.microsoft.com/office/drawing/2014/main" id="{00000000-0008-0000-0700-000003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32772" name="Object 4" hidden="1">
              <a:extLst>
                <a:ext uri="{63B3BB69-23CF-44E3-9099-C40C66FF867C}">
                  <a14:compatExt spid="_x0000_s32772"/>
                </a:ext>
                <a:ext uri="{FF2B5EF4-FFF2-40B4-BE49-F238E27FC236}">
                  <a16:creationId xmlns:a16="http://schemas.microsoft.com/office/drawing/2014/main" id="{00000000-0008-0000-0700-000004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33793" name="Object 1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0A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33794" name="Object 2" hidden="1">
              <a:extLst>
                <a:ext uri="{63B3BB69-23CF-44E3-9099-C40C66FF867C}">
                  <a14:compatExt spid="_x0000_s33794"/>
                </a:ext>
                <a:ext uri="{FF2B5EF4-FFF2-40B4-BE49-F238E27FC236}">
                  <a16:creationId xmlns:a16="http://schemas.microsoft.com/office/drawing/2014/main" id="{00000000-0008-0000-0A00-000002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33795" name="Object 3" hidden="1">
              <a:extLst>
                <a:ext uri="{63B3BB69-23CF-44E3-9099-C40C66FF867C}">
                  <a14:compatExt spid="_x0000_s33795"/>
                </a:ext>
                <a:ext uri="{FF2B5EF4-FFF2-40B4-BE49-F238E27FC236}">
                  <a16:creationId xmlns:a16="http://schemas.microsoft.com/office/drawing/2014/main" id="{00000000-0008-0000-0A00-000003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33796" name="Object 4" hidden="1">
              <a:extLst>
                <a:ext uri="{63B3BB69-23CF-44E3-9099-C40C66FF867C}">
                  <a14:compatExt spid="_x0000_s33796"/>
                </a:ext>
                <a:ext uri="{FF2B5EF4-FFF2-40B4-BE49-F238E27FC236}">
                  <a16:creationId xmlns:a16="http://schemas.microsoft.com/office/drawing/2014/main" id="{00000000-0008-0000-0A00-000004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34817" name="Object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00000000-0008-0000-0C00-000001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34818" name="Object 2" hidden="1">
              <a:extLst>
                <a:ext uri="{63B3BB69-23CF-44E3-9099-C40C66FF867C}">
                  <a14:compatExt spid="_x0000_s34818"/>
                </a:ext>
                <a:ext uri="{FF2B5EF4-FFF2-40B4-BE49-F238E27FC236}">
                  <a16:creationId xmlns:a16="http://schemas.microsoft.com/office/drawing/2014/main" id="{00000000-0008-0000-0C00-000002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34819" name="Object 3" hidden="1">
              <a:extLst>
                <a:ext uri="{63B3BB69-23CF-44E3-9099-C40C66FF867C}">
                  <a14:compatExt spid="_x0000_s34819"/>
                </a:ext>
                <a:ext uri="{FF2B5EF4-FFF2-40B4-BE49-F238E27FC236}">
                  <a16:creationId xmlns:a16="http://schemas.microsoft.com/office/drawing/2014/main" id="{00000000-0008-0000-0C00-000003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34820" name="Object 4" hidden="1">
              <a:extLst>
                <a:ext uri="{63B3BB69-23CF-44E3-9099-C40C66FF867C}">
                  <a14:compatExt spid="_x0000_s34820"/>
                </a:ext>
                <a:ext uri="{FF2B5EF4-FFF2-40B4-BE49-F238E27FC236}">
                  <a16:creationId xmlns:a16="http://schemas.microsoft.com/office/drawing/2014/main" id="{00000000-0008-0000-0C00-000004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57345" name="Object 1" hidden="1">
              <a:extLst>
                <a:ext uri="{63B3BB69-23CF-44E3-9099-C40C66FF867C}">
                  <a14:compatExt spid="_x0000_s57345"/>
                </a:ext>
                <a:ext uri="{FF2B5EF4-FFF2-40B4-BE49-F238E27FC236}">
                  <a16:creationId xmlns:a16="http://schemas.microsoft.com/office/drawing/2014/main" id="{00000000-0008-0000-0E00-000001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57346" name="Object 2" hidden="1">
              <a:extLst>
                <a:ext uri="{63B3BB69-23CF-44E3-9099-C40C66FF867C}">
                  <a14:compatExt spid="_x0000_s57346"/>
                </a:ext>
                <a:ext uri="{FF2B5EF4-FFF2-40B4-BE49-F238E27FC236}">
                  <a16:creationId xmlns:a16="http://schemas.microsoft.com/office/drawing/2014/main" id="{00000000-0008-0000-0E00-000002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57347" name="Object 3" hidden="1">
              <a:extLst>
                <a:ext uri="{63B3BB69-23CF-44E3-9099-C40C66FF867C}">
                  <a14:compatExt spid="_x0000_s57347"/>
                </a:ext>
                <a:ext uri="{FF2B5EF4-FFF2-40B4-BE49-F238E27FC236}">
                  <a16:creationId xmlns:a16="http://schemas.microsoft.com/office/drawing/2014/main" id="{00000000-0008-0000-0E00-000003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57348" name="Object 4" hidden="1">
              <a:extLst>
                <a:ext uri="{63B3BB69-23CF-44E3-9099-C40C66FF867C}">
                  <a14:compatExt spid="_x0000_s57348"/>
                </a:ext>
                <a:ext uri="{FF2B5EF4-FFF2-40B4-BE49-F238E27FC236}">
                  <a16:creationId xmlns:a16="http://schemas.microsoft.com/office/drawing/2014/main" id="{00000000-0008-0000-0E00-000004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58369" name="Object 1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10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58370" name="Object 2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10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58371" name="Object 3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10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58372" name="Object 4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10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59393" name="Object 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12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59394" name="Object 2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12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59395" name="Object 3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12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59396" name="Object 4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12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60417" name="Object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00000000-0008-0000-1400-000001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60418" name="Object 2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14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60419" name="Object 3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14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60420" name="Object 4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14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61441" name="Object 1" hidden="1">
              <a:extLst>
                <a:ext uri="{63B3BB69-23CF-44E3-9099-C40C66FF867C}">
                  <a14:compatExt spid="_x0000_s61441"/>
                </a:ext>
                <a:ext uri="{FF2B5EF4-FFF2-40B4-BE49-F238E27FC236}">
                  <a16:creationId xmlns:a16="http://schemas.microsoft.com/office/drawing/2014/main" id="{00000000-0008-0000-1600-000001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61442" name="Object 2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16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61443" name="Object 3" hidden="1">
              <a:extLst>
                <a:ext uri="{63B3BB69-23CF-44E3-9099-C40C66FF867C}">
                  <a14:compatExt spid="_x0000_s61443"/>
                </a:ext>
                <a:ext uri="{FF2B5EF4-FFF2-40B4-BE49-F238E27FC236}">
                  <a16:creationId xmlns:a16="http://schemas.microsoft.com/office/drawing/2014/main" id="{00000000-0008-0000-1600-00000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61444" name="Object 4" hidden="1">
              <a:extLst>
                <a:ext uri="{63B3BB69-23CF-44E3-9099-C40C66FF867C}">
                  <a14:compatExt spid="_x0000_s61444"/>
                </a:ext>
                <a:ext uri="{FF2B5EF4-FFF2-40B4-BE49-F238E27FC236}">
                  <a16:creationId xmlns:a16="http://schemas.microsoft.com/office/drawing/2014/main" id="{00000000-0008-0000-1600-00000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62465" name="Object 1" hidden="1">
              <a:extLst>
                <a:ext uri="{63B3BB69-23CF-44E3-9099-C40C66FF867C}">
                  <a14:compatExt spid="_x0000_s62465"/>
                </a:ext>
                <a:ext uri="{FF2B5EF4-FFF2-40B4-BE49-F238E27FC236}">
                  <a16:creationId xmlns:a16="http://schemas.microsoft.com/office/drawing/2014/main" id="{00000000-0008-0000-1800-000001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62466" name="Object 2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18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62467" name="Object 3" hidden="1">
              <a:extLst>
                <a:ext uri="{63B3BB69-23CF-44E3-9099-C40C66FF867C}">
                  <a14:compatExt spid="_x0000_s62467"/>
                </a:ext>
                <a:ext uri="{FF2B5EF4-FFF2-40B4-BE49-F238E27FC236}">
                  <a16:creationId xmlns:a16="http://schemas.microsoft.com/office/drawing/2014/main" id="{00000000-0008-0000-1800-000003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62468" name="Object 4" hidden="1">
              <a:extLst>
                <a:ext uri="{63B3BB69-23CF-44E3-9099-C40C66FF867C}">
                  <a14:compatExt spid="_x0000_s62468"/>
                </a:ext>
                <a:ext uri="{FF2B5EF4-FFF2-40B4-BE49-F238E27FC236}">
                  <a16:creationId xmlns:a16="http://schemas.microsoft.com/office/drawing/2014/main" id="{00000000-0008-0000-1800-000004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5777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2450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41</xdr:row>
          <xdr:rowOff>152400</xdr:rowOff>
        </xdr:from>
        <xdr:to>
          <xdr:col>16</xdr:col>
          <xdr:colOff>0</xdr:colOff>
          <xdr:row>43</xdr:row>
          <xdr:rowOff>146050</xdr:rowOff>
        </xdr:to>
        <xdr:sp macro="" textlink="">
          <xdr:nvSpPr>
            <xdr:cNvPr id="84993" name="Object 1" hidden="1">
              <a:extLst>
                <a:ext uri="{63B3BB69-23CF-44E3-9099-C40C66FF867C}">
                  <a14:compatExt spid="_x0000_s84993"/>
                </a:ext>
                <a:ext uri="{FF2B5EF4-FFF2-40B4-BE49-F238E27FC236}">
                  <a16:creationId xmlns:a16="http://schemas.microsoft.com/office/drawing/2014/main" id="{00000000-0008-0000-1A00-000001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41</xdr:row>
          <xdr:rowOff>50800</xdr:rowOff>
        </xdr:from>
        <xdr:to>
          <xdr:col>21</xdr:col>
          <xdr:colOff>152400</xdr:colOff>
          <xdr:row>44</xdr:row>
          <xdr:rowOff>31750</xdr:rowOff>
        </xdr:to>
        <xdr:sp macro="" textlink="">
          <xdr:nvSpPr>
            <xdr:cNvPr id="84994" name="Object 2" hidden="1">
              <a:extLst>
                <a:ext uri="{63B3BB69-23CF-44E3-9099-C40C66FF867C}">
                  <a14:compatExt spid="_x0000_s84994"/>
                </a:ext>
                <a:ext uri="{FF2B5EF4-FFF2-40B4-BE49-F238E27FC236}">
                  <a16:creationId xmlns:a16="http://schemas.microsoft.com/office/drawing/2014/main" id="{00000000-0008-0000-1A00-000002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28</xdr:row>
          <xdr:rowOff>19050</xdr:rowOff>
        </xdr:from>
        <xdr:to>
          <xdr:col>17</xdr:col>
          <xdr:colOff>323850</xdr:colOff>
          <xdr:row>29</xdr:row>
          <xdr:rowOff>127000</xdr:rowOff>
        </xdr:to>
        <xdr:sp macro="" textlink="">
          <xdr:nvSpPr>
            <xdr:cNvPr id="84995" name="Object 3" hidden="1">
              <a:extLst>
                <a:ext uri="{63B3BB69-23CF-44E3-9099-C40C66FF867C}">
                  <a14:compatExt spid="_x0000_s84995"/>
                </a:ext>
                <a:ext uri="{FF2B5EF4-FFF2-40B4-BE49-F238E27FC236}">
                  <a16:creationId xmlns:a16="http://schemas.microsoft.com/office/drawing/2014/main" id="{00000000-0008-0000-1A00-000003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26</xdr:row>
      <xdr:rowOff>57150</xdr:rowOff>
    </xdr:from>
    <xdr:to>
      <xdr:col>17</xdr:col>
      <xdr:colOff>266700</xdr:colOff>
      <xdr:row>27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526732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28</xdr:row>
      <xdr:rowOff>19050</xdr:rowOff>
    </xdr:from>
    <xdr:to>
      <xdr:col>17</xdr:col>
      <xdr:colOff>323850</xdr:colOff>
      <xdr:row>29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8525" y="573405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28</xdr:row>
          <xdr:rowOff>19050</xdr:rowOff>
        </xdr:from>
        <xdr:to>
          <xdr:col>17</xdr:col>
          <xdr:colOff>323850</xdr:colOff>
          <xdr:row>29</xdr:row>
          <xdr:rowOff>127000</xdr:rowOff>
        </xdr:to>
        <xdr:sp macro="" textlink="">
          <xdr:nvSpPr>
            <xdr:cNvPr id="84996" name="Object 4" hidden="1">
              <a:extLst>
                <a:ext uri="{63B3BB69-23CF-44E3-9099-C40C66FF867C}">
                  <a14:compatExt spid="_x0000_s84996"/>
                </a:ext>
                <a:ext uri="{FF2B5EF4-FFF2-40B4-BE49-F238E27FC236}">
                  <a16:creationId xmlns:a16="http://schemas.microsoft.com/office/drawing/2014/main" id="{00000000-0008-0000-1A00-000004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26</xdr:row>
      <xdr:rowOff>57150</xdr:rowOff>
    </xdr:from>
    <xdr:to>
      <xdr:col>17</xdr:col>
      <xdr:colOff>266700</xdr:colOff>
      <xdr:row>27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5267325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28</xdr:row>
      <xdr:rowOff>19050</xdr:rowOff>
    </xdr:from>
    <xdr:to>
      <xdr:col>17</xdr:col>
      <xdr:colOff>323850</xdr:colOff>
      <xdr:row>29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8525" y="5734050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209550</xdr:colOff>
      <xdr:row>16</xdr:row>
      <xdr:rowOff>85725</xdr:rowOff>
    </xdr:from>
    <xdr:to>
      <xdr:col>12</xdr:col>
      <xdr:colOff>704850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87041" name="Object 1" hidden="1">
              <a:extLst>
                <a:ext uri="{63B3BB69-23CF-44E3-9099-C40C66FF867C}">
                  <a14:compatExt spid="_x0000_s87041"/>
                </a:ext>
                <a:ext uri="{FF2B5EF4-FFF2-40B4-BE49-F238E27FC236}">
                  <a16:creationId xmlns:a16="http://schemas.microsoft.com/office/drawing/2014/main" id="{00000000-0008-0000-1C00-000001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87042" name="Object 2" hidden="1">
              <a:extLst>
                <a:ext uri="{63B3BB69-23CF-44E3-9099-C40C66FF867C}">
                  <a14:compatExt spid="_x0000_s87042"/>
                </a:ext>
                <a:ext uri="{FF2B5EF4-FFF2-40B4-BE49-F238E27FC236}">
                  <a16:creationId xmlns:a16="http://schemas.microsoft.com/office/drawing/2014/main" id="{00000000-0008-0000-1C00-000002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87043" name="Object 3" hidden="1">
              <a:extLst>
                <a:ext uri="{63B3BB69-23CF-44E3-9099-C40C66FF867C}">
                  <a14:compatExt spid="_x0000_s87043"/>
                </a:ext>
                <a:ext uri="{FF2B5EF4-FFF2-40B4-BE49-F238E27FC236}">
                  <a16:creationId xmlns:a16="http://schemas.microsoft.com/office/drawing/2014/main" id="{00000000-0008-0000-1C00-000003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0425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87044" name="Object 4" hidden="1">
              <a:extLst>
                <a:ext uri="{63B3BB69-23CF-44E3-9099-C40C66FF867C}">
                  <a14:compatExt spid="_x0000_s87044"/>
                </a:ext>
                <a:ext uri="{FF2B5EF4-FFF2-40B4-BE49-F238E27FC236}">
                  <a16:creationId xmlns:a16="http://schemas.microsoft.com/office/drawing/2014/main" id="{00000000-0008-0000-1C00-000004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0425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1524000</xdr:colOff>
      <xdr:row>14</xdr:row>
      <xdr:rowOff>142875</xdr:rowOff>
    </xdr:from>
    <xdr:to>
      <xdr:col>11</xdr:col>
      <xdr:colOff>838200</xdr:colOff>
      <xdr:row>30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89089" name="Object 1" hidden="1">
              <a:extLst>
                <a:ext uri="{63B3BB69-23CF-44E3-9099-C40C66FF867C}">
                  <a14:compatExt spid="_x0000_s89089"/>
                </a:ext>
                <a:ext uri="{FF2B5EF4-FFF2-40B4-BE49-F238E27FC236}">
                  <a16:creationId xmlns:a16="http://schemas.microsoft.com/office/drawing/2014/main" id="{00000000-0008-0000-1E00-000001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89090" name="Object 2" hidden="1">
              <a:extLst>
                <a:ext uri="{63B3BB69-23CF-44E3-9099-C40C66FF867C}">
                  <a14:compatExt spid="_x0000_s89090"/>
                </a:ext>
                <a:ext uri="{FF2B5EF4-FFF2-40B4-BE49-F238E27FC236}">
                  <a16:creationId xmlns:a16="http://schemas.microsoft.com/office/drawing/2014/main" id="{00000000-0008-0000-1E00-000002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89091" name="Object 3" hidden="1">
              <a:extLst>
                <a:ext uri="{63B3BB69-23CF-44E3-9099-C40C66FF867C}">
                  <a14:compatExt spid="_x0000_s89091"/>
                </a:ext>
                <a:ext uri="{FF2B5EF4-FFF2-40B4-BE49-F238E27FC236}">
                  <a16:creationId xmlns:a16="http://schemas.microsoft.com/office/drawing/2014/main" id="{00000000-0008-0000-1E00-000003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89092" name="Object 4" hidden="1">
              <a:extLst>
                <a:ext uri="{63B3BB69-23CF-44E3-9099-C40C66FF867C}">
                  <a14:compatExt spid="_x0000_s89092"/>
                </a:ext>
                <a:ext uri="{FF2B5EF4-FFF2-40B4-BE49-F238E27FC236}">
                  <a16:creationId xmlns:a16="http://schemas.microsoft.com/office/drawing/2014/main" id="{00000000-0008-0000-1E00-000004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91137" name="Object 1" hidden="1">
              <a:extLst>
                <a:ext uri="{63B3BB69-23CF-44E3-9099-C40C66FF867C}">
                  <a14:compatExt spid="_x0000_s91137"/>
                </a:ext>
                <a:ext uri="{FF2B5EF4-FFF2-40B4-BE49-F238E27FC236}">
                  <a16:creationId xmlns:a16="http://schemas.microsoft.com/office/drawing/2014/main" id="{00000000-0008-0000-2000-000001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91138" name="Object 2" hidden="1">
              <a:extLst>
                <a:ext uri="{63B3BB69-23CF-44E3-9099-C40C66FF867C}">
                  <a14:compatExt spid="_x0000_s91138"/>
                </a:ext>
                <a:ext uri="{FF2B5EF4-FFF2-40B4-BE49-F238E27FC236}">
                  <a16:creationId xmlns:a16="http://schemas.microsoft.com/office/drawing/2014/main" id="{00000000-0008-0000-2000-000002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91139" name="Object 3" hidden="1">
              <a:extLst>
                <a:ext uri="{63B3BB69-23CF-44E3-9099-C40C66FF867C}">
                  <a14:compatExt spid="_x0000_s91139"/>
                </a:ext>
                <a:ext uri="{FF2B5EF4-FFF2-40B4-BE49-F238E27FC236}">
                  <a16:creationId xmlns:a16="http://schemas.microsoft.com/office/drawing/2014/main" id="{00000000-0008-0000-2000-000003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91140" name="Object 4" hidden="1">
              <a:extLst>
                <a:ext uri="{63B3BB69-23CF-44E3-9099-C40C66FF867C}">
                  <a14:compatExt spid="_x0000_s91140"/>
                </a:ext>
                <a:ext uri="{FF2B5EF4-FFF2-40B4-BE49-F238E27FC236}">
                  <a16:creationId xmlns:a16="http://schemas.microsoft.com/office/drawing/2014/main" id="{00000000-0008-0000-2000-000004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93185" name="Object 1" hidden="1">
              <a:extLst>
                <a:ext uri="{63B3BB69-23CF-44E3-9099-C40C66FF867C}">
                  <a14:compatExt spid="_x0000_s93185"/>
                </a:ext>
                <a:ext uri="{FF2B5EF4-FFF2-40B4-BE49-F238E27FC236}">
                  <a16:creationId xmlns:a16="http://schemas.microsoft.com/office/drawing/2014/main" id="{00000000-0008-0000-2200-000001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93186" name="Object 2" hidden="1">
              <a:extLst>
                <a:ext uri="{63B3BB69-23CF-44E3-9099-C40C66FF867C}">
                  <a14:compatExt spid="_x0000_s93186"/>
                </a:ext>
                <a:ext uri="{FF2B5EF4-FFF2-40B4-BE49-F238E27FC236}">
                  <a16:creationId xmlns:a16="http://schemas.microsoft.com/office/drawing/2014/main" id="{00000000-0008-0000-2200-000002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93187" name="Object 3" hidden="1">
              <a:extLst>
                <a:ext uri="{63B3BB69-23CF-44E3-9099-C40C66FF867C}">
                  <a14:compatExt spid="_x0000_s93187"/>
                </a:ext>
                <a:ext uri="{FF2B5EF4-FFF2-40B4-BE49-F238E27FC236}">
                  <a16:creationId xmlns:a16="http://schemas.microsoft.com/office/drawing/2014/main" id="{00000000-0008-0000-2200-000003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93188" name="Object 4" hidden="1">
              <a:extLst>
                <a:ext uri="{63B3BB69-23CF-44E3-9099-C40C66FF867C}">
                  <a14:compatExt spid="_x0000_s93188"/>
                </a:ext>
                <a:ext uri="{FF2B5EF4-FFF2-40B4-BE49-F238E27FC236}">
                  <a16:creationId xmlns:a16="http://schemas.microsoft.com/office/drawing/2014/main" id="{00000000-0008-0000-2200-000004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95233" name="Object 1" hidden="1">
              <a:extLst>
                <a:ext uri="{63B3BB69-23CF-44E3-9099-C40C66FF867C}">
                  <a14:compatExt spid="_x0000_s95233"/>
                </a:ext>
                <a:ext uri="{FF2B5EF4-FFF2-40B4-BE49-F238E27FC236}">
                  <a16:creationId xmlns:a16="http://schemas.microsoft.com/office/drawing/2014/main" id="{00000000-0008-0000-2400-000001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95234" name="Object 2" hidden="1">
              <a:extLst>
                <a:ext uri="{63B3BB69-23CF-44E3-9099-C40C66FF867C}">
                  <a14:compatExt spid="_x0000_s95234"/>
                </a:ext>
                <a:ext uri="{FF2B5EF4-FFF2-40B4-BE49-F238E27FC236}">
                  <a16:creationId xmlns:a16="http://schemas.microsoft.com/office/drawing/2014/main" id="{00000000-0008-0000-2400-000002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95235" name="Object 3" hidden="1">
              <a:extLst>
                <a:ext uri="{63B3BB69-23CF-44E3-9099-C40C66FF867C}">
                  <a14:compatExt spid="_x0000_s95235"/>
                </a:ext>
                <a:ext uri="{FF2B5EF4-FFF2-40B4-BE49-F238E27FC236}">
                  <a16:creationId xmlns:a16="http://schemas.microsoft.com/office/drawing/2014/main" id="{00000000-0008-0000-2400-000003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95236" name="Object 4" hidden="1">
              <a:extLst>
                <a:ext uri="{63B3BB69-23CF-44E3-9099-C40C66FF867C}">
                  <a14:compatExt spid="_x0000_s95236"/>
                </a:ext>
                <a:ext uri="{FF2B5EF4-FFF2-40B4-BE49-F238E27FC236}">
                  <a16:creationId xmlns:a16="http://schemas.microsoft.com/office/drawing/2014/main" id="{00000000-0008-0000-2400-000004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97281" name="Object 1" hidden="1">
              <a:extLst>
                <a:ext uri="{63B3BB69-23CF-44E3-9099-C40C66FF867C}">
                  <a14:compatExt spid="_x0000_s97281"/>
                </a:ext>
                <a:ext uri="{FF2B5EF4-FFF2-40B4-BE49-F238E27FC236}">
                  <a16:creationId xmlns:a16="http://schemas.microsoft.com/office/drawing/2014/main" id="{00000000-0008-0000-2600-0000017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97282" name="Object 2" hidden="1">
              <a:extLst>
                <a:ext uri="{63B3BB69-23CF-44E3-9099-C40C66FF867C}">
                  <a14:compatExt spid="_x0000_s97282"/>
                </a:ext>
                <a:ext uri="{FF2B5EF4-FFF2-40B4-BE49-F238E27FC236}">
                  <a16:creationId xmlns:a16="http://schemas.microsoft.com/office/drawing/2014/main" id="{00000000-0008-0000-2600-0000027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97283" name="Object 3" hidden="1">
              <a:extLst>
                <a:ext uri="{63B3BB69-23CF-44E3-9099-C40C66FF867C}">
                  <a14:compatExt spid="_x0000_s97283"/>
                </a:ext>
                <a:ext uri="{FF2B5EF4-FFF2-40B4-BE49-F238E27FC236}">
                  <a16:creationId xmlns:a16="http://schemas.microsoft.com/office/drawing/2014/main" id="{00000000-0008-0000-2600-0000037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97284" name="Object 4" hidden="1">
              <a:extLst>
                <a:ext uri="{63B3BB69-23CF-44E3-9099-C40C66FF867C}">
                  <a14:compatExt spid="_x0000_s97284"/>
                </a:ext>
                <a:ext uri="{FF2B5EF4-FFF2-40B4-BE49-F238E27FC236}">
                  <a16:creationId xmlns:a16="http://schemas.microsoft.com/office/drawing/2014/main" id="{00000000-0008-0000-2600-0000047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99329" name="Object 1" hidden="1">
              <a:extLst>
                <a:ext uri="{63B3BB69-23CF-44E3-9099-C40C66FF867C}">
                  <a14:compatExt spid="_x0000_s99329"/>
                </a:ext>
                <a:ext uri="{FF2B5EF4-FFF2-40B4-BE49-F238E27FC236}">
                  <a16:creationId xmlns:a16="http://schemas.microsoft.com/office/drawing/2014/main" id="{00000000-0008-0000-2800-0000018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99330" name="Object 2" hidden="1">
              <a:extLst>
                <a:ext uri="{63B3BB69-23CF-44E3-9099-C40C66FF867C}">
                  <a14:compatExt spid="_x0000_s99330"/>
                </a:ext>
                <a:ext uri="{FF2B5EF4-FFF2-40B4-BE49-F238E27FC236}">
                  <a16:creationId xmlns:a16="http://schemas.microsoft.com/office/drawing/2014/main" id="{00000000-0008-0000-2800-0000028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99331" name="Object 3" hidden="1">
              <a:extLst>
                <a:ext uri="{63B3BB69-23CF-44E3-9099-C40C66FF867C}">
                  <a14:compatExt spid="_x0000_s99331"/>
                </a:ext>
                <a:ext uri="{FF2B5EF4-FFF2-40B4-BE49-F238E27FC236}">
                  <a16:creationId xmlns:a16="http://schemas.microsoft.com/office/drawing/2014/main" id="{00000000-0008-0000-2800-0000038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99332" name="Object 4" hidden="1">
              <a:extLst>
                <a:ext uri="{63B3BB69-23CF-44E3-9099-C40C66FF867C}">
                  <a14:compatExt spid="_x0000_s99332"/>
                </a:ext>
                <a:ext uri="{FF2B5EF4-FFF2-40B4-BE49-F238E27FC236}">
                  <a16:creationId xmlns:a16="http://schemas.microsoft.com/office/drawing/2014/main" id="{00000000-0008-0000-2800-0000048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101377" name="Object 1" hidden="1">
              <a:extLst>
                <a:ext uri="{63B3BB69-23CF-44E3-9099-C40C66FF867C}">
                  <a14:compatExt spid="_x0000_s101377"/>
                </a:ext>
                <a:ext uri="{FF2B5EF4-FFF2-40B4-BE49-F238E27FC236}">
                  <a16:creationId xmlns:a16="http://schemas.microsoft.com/office/drawing/2014/main" id="{00000000-0008-0000-2A00-000001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101378" name="Object 2" hidden="1">
              <a:extLst>
                <a:ext uri="{63B3BB69-23CF-44E3-9099-C40C66FF867C}">
                  <a14:compatExt spid="_x0000_s101378"/>
                </a:ext>
                <a:ext uri="{FF2B5EF4-FFF2-40B4-BE49-F238E27FC236}">
                  <a16:creationId xmlns:a16="http://schemas.microsoft.com/office/drawing/2014/main" id="{00000000-0008-0000-2A00-000002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101379" name="Object 3" hidden="1">
              <a:extLst>
                <a:ext uri="{63B3BB69-23CF-44E3-9099-C40C66FF867C}">
                  <a14:compatExt spid="_x0000_s101379"/>
                </a:ext>
                <a:ext uri="{FF2B5EF4-FFF2-40B4-BE49-F238E27FC236}">
                  <a16:creationId xmlns:a16="http://schemas.microsoft.com/office/drawing/2014/main" id="{00000000-0008-0000-2A00-000003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101380" name="Object 4" hidden="1">
              <a:extLst>
                <a:ext uri="{63B3BB69-23CF-44E3-9099-C40C66FF867C}">
                  <a14:compatExt spid="_x0000_s101380"/>
                </a:ext>
                <a:ext uri="{FF2B5EF4-FFF2-40B4-BE49-F238E27FC236}">
                  <a16:creationId xmlns:a16="http://schemas.microsoft.com/office/drawing/2014/main" id="{00000000-0008-0000-2A00-000004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103425" name="Object 1" hidden="1">
              <a:extLst>
                <a:ext uri="{63B3BB69-23CF-44E3-9099-C40C66FF867C}">
                  <a14:compatExt spid="_x0000_s103425"/>
                </a:ext>
                <a:ext uri="{FF2B5EF4-FFF2-40B4-BE49-F238E27FC236}">
                  <a16:creationId xmlns:a16="http://schemas.microsoft.com/office/drawing/2014/main" id="{00000000-0008-0000-2C00-0000019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103426" name="Object 2" hidden="1">
              <a:extLst>
                <a:ext uri="{63B3BB69-23CF-44E3-9099-C40C66FF867C}">
                  <a14:compatExt spid="_x0000_s103426"/>
                </a:ext>
                <a:ext uri="{FF2B5EF4-FFF2-40B4-BE49-F238E27FC236}">
                  <a16:creationId xmlns:a16="http://schemas.microsoft.com/office/drawing/2014/main" id="{00000000-0008-0000-2C00-0000029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103427" name="Object 3" hidden="1">
              <a:extLst>
                <a:ext uri="{63B3BB69-23CF-44E3-9099-C40C66FF867C}">
                  <a14:compatExt spid="_x0000_s103427"/>
                </a:ext>
                <a:ext uri="{FF2B5EF4-FFF2-40B4-BE49-F238E27FC236}">
                  <a16:creationId xmlns:a16="http://schemas.microsoft.com/office/drawing/2014/main" id="{00000000-0008-0000-2C00-0000039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103428" name="Object 4" hidden="1">
              <a:extLst>
                <a:ext uri="{63B3BB69-23CF-44E3-9099-C40C66FF867C}">
                  <a14:compatExt spid="_x0000_s103428"/>
                </a:ext>
                <a:ext uri="{FF2B5EF4-FFF2-40B4-BE49-F238E27FC236}">
                  <a16:creationId xmlns:a16="http://schemas.microsoft.com/office/drawing/2014/main" id="{00000000-0008-0000-2C00-0000049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105473" name="Object 1" hidden="1">
              <a:extLst>
                <a:ext uri="{63B3BB69-23CF-44E3-9099-C40C66FF867C}">
                  <a14:compatExt spid="_x0000_s105473"/>
                </a:ext>
                <a:ext uri="{FF2B5EF4-FFF2-40B4-BE49-F238E27FC236}">
                  <a16:creationId xmlns:a16="http://schemas.microsoft.com/office/drawing/2014/main" id="{00000000-0008-0000-2E00-000001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105474" name="Object 2" hidden="1">
              <a:extLst>
                <a:ext uri="{63B3BB69-23CF-44E3-9099-C40C66FF867C}">
                  <a14:compatExt spid="_x0000_s105474"/>
                </a:ext>
                <a:ext uri="{FF2B5EF4-FFF2-40B4-BE49-F238E27FC236}">
                  <a16:creationId xmlns:a16="http://schemas.microsoft.com/office/drawing/2014/main" id="{00000000-0008-0000-2E00-000002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105475" name="Object 3" hidden="1">
              <a:extLst>
                <a:ext uri="{63B3BB69-23CF-44E3-9099-C40C66FF867C}">
                  <a14:compatExt spid="_x0000_s105475"/>
                </a:ext>
                <a:ext uri="{FF2B5EF4-FFF2-40B4-BE49-F238E27FC236}">
                  <a16:creationId xmlns:a16="http://schemas.microsoft.com/office/drawing/2014/main" id="{00000000-0008-0000-2E00-000003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105476" name="Object 4" hidden="1">
              <a:extLst>
                <a:ext uri="{63B3BB69-23CF-44E3-9099-C40C66FF867C}">
                  <a14:compatExt spid="_x0000_s105476"/>
                </a:ext>
                <a:ext uri="{FF2B5EF4-FFF2-40B4-BE49-F238E27FC236}">
                  <a16:creationId xmlns:a16="http://schemas.microsoft.com/office/drawing/2014/main" id="{00000000-0008-0000-2E00-000004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40</xdr:row>
          <xdr:rowOff>152400</xdr:rowOff>
        </xdr:from>
        <xdr:to>
          <xdr:col>16</xdr:col>
          <xdr:colOff>0</xdr:colOff>
          <xdr:row>42</xdr:row>
          <xdr:rowOff>146050</xdr:rowOff>
        </xdr:to>
        <xdr:sp macro="" textlink="">
          <xdr:nvSpPr>
            <xdr:cNvPr id="107521" name="Object 1" hidden="1">
              <a:extLst>
                <a:ext uri="{63B3BB69-23CF-44E3-9099-C40C66FF867C}">
                  <a14:compatExt spid="_x0000_s107521"/>
                </a:ext>
                <a:ext uri="{FF2B5EF4-FFF2-40B4-BE49-F238E27FC236}">
                  <a16:creationId xmlns:a16="http://schemas.microsoft.com/office/drawing/2014/main" id="{00000000-0008-0000-3000-000001A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228600</xdr:colOff>
          <xdr:row>40</xdr:row>
          <xdr:rowOff>50800</xdr:rowOff>
        </xdr:from>
        <xdr:to>
          <xdr:col>21</xdr:col>
          <xdr:colOff>152400</xdr:colOff>
          <xdr:row>43</xdr:row>
          <xdr:rowOff>31750</xdr:rowOff>
        </xdr:to>
        <xdr:sp macro="" textlink="">
          <xdr:nvSpPr>
            <xdr:cNvPr id="107522" name="Object 2" hidden="1">
              <a:extLst>
                <a:ext uri="{63B3BB69-23CF-44E3-9099-C40C66FF867C}">
                  <a14:compatExt spid="_x0000_s107522"/>
                </a:ext>
                <a:ext uri="{FF2B5EF4-FFF2-40B4-BE49-F238E27FC236}">
                  <a16:creationId xmlns:a16="http://schemas.microsoft.com/office/drawing/2014/main" id="{00000000-0008-0000-3000-000002A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107523" name="Object 3" hidden="1">
              <a:extLst>
                <a:ext uri="{63B3BB69-23CF-44E3-9099-C40C66FF867C}">
                  <a14:compatExt spid="_x0000_s107523"/>
                </a:ext>
                <a:ext uri="{FF2B5EF4-FFF2-40B4-BE49-F238E27FC236}">
                  <a16:creationId xmlns:a16="http://schemas.microsoft.com/office/drawing/2014/main" id="{00000000-0008-0000-3000-000003A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27</xdr:row>
          <xdr:rowOff>19050</xdr:rowOff>
        </xdr:from>
        <xdr:to>
          <xdr:col>17</xdr:col>
          <xdr:colOff>323850</xdr:colOff>
          <xdr:row>28</xdr:row>
          <xdr:rowOff>127000</xdr:rowOff>
        </xdr:to>
        <xdr:sp macro="" textlink="">
          <xdr:nvSpPr>
            <xdr:cNvPr id="107524" name="Object 4" hidden="1">
              <a:extLst>
                <a:ext uri="{63B3BB69-23CF-44E3-9099-C40C66FF867C}">
                  <a14:compatExt spid="_x0000_s107524"/>
                </a:ext>
                <a:ext uri="{FF2B5EF4-FFF2-40B4-BE49-F238E27FC236}">
                  <a16:creationId xmlns:a16="http://schemas.microsoft.com/office/drawing/2014/main" id="{00000000-0008-0000-3000-000004A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38100</xdr:colOff>
      <xdr:row>25</xdr:row>
      <xdr:rowOff>57150</xdr:rowOff>
    </xdr:from>
    <xdr:to>
      <xdr:col>17</xdr:col>
      <xdr:colOff>266700</xdr:colOff>
      <xdr:row>26</xdr:row>
      <xdr:rowOff>133350</xdr:rowOff>
    </xdr:to>
    <xdr:pic>
      <xdr:nvPicPr>
        <xdr:cNvPr id="8" name="Picture 51">
          <a:extLst>
            <a:ext uri="{FF2B5EF4-FFF2-40B4-BE49-F238E27FC236}">
              <a16:creationId xmlns:a16="http://schemas.microsoft.com/office/drawing/2014/main" id="{00000000-0008-0000-3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067300"/>
          <a:ext cx="2286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95250</xdr:colOff>
      <xdr:row>27</xdr:row>
      <xdr:rowOff>19050</xdr:rowOff>
    </xdr:from>
    <xdr:to>
      <xdr:col>17</xdr:col>
      <xdr:colOff>323850</xdr:colOff>
      <xdr:row>28</xdr:row>
      <xdr:rowOff>123825</xdr:rowOff>
    </xdr:to>
    <xdr:pic>
      <xdr:nvPicPr>
        <xdr:cNvPr id="9" name="Picture 52"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5534025"/>
          <a:ext cx="228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3.vml"/><Relationship Id="rId7" Type="http://schemas.openxmlformats.org/officeDocument/2006/relationships/image" Target="../media/image6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1" Type="http://schemas.openxmlformats.org/officeDocument/2006/relationships/comments" Target="../comments2.xml"/><Relationship Id="rId5" Type="http://schemas.openxmlformats.org/officeDocument/2006/relationships/image" Target="../media/image5.w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7.wmf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7.bin"/><Relationship Id="rId3" Type="http://schemas.openxmlformats.org/officeDocument/2006/relationships/vmlDrawing" Target="../drawings/vmlDrawing4.vml"/><Relationship Id="rId7" Type="http://schemas.openxmlformats.org/officeDocument/2006/relationships/image" Target="../media/image6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6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8.bin"/><Relationship Id="rId4" Type="http://schemas.openxmlformats.org/officeDocument/2006/relationships/oleObject" Target="../embeddings/oleObject5.bin"/><Relationship Id="rId9" Type="http://schemas.openxmlformats.org/officeDocument/2006/relationships/image" Target="../media/image7.wmf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1.bin"/><Relationship Id="rId3" Type="http://schemas.openxmlformats.org/officeDocument/2006/relationships/vmlDrawing" Target="../drawings/vmlDrawing5.vml"/><Relationship Id="rId7" Type="http://schemas.openxmlformats.org/officeDocument/2006/relationships/image" Target="../media/image6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10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12.bin"/><Relationship Id="rId4" Type="http://schemas.openxmlformats.org/officeDocument/2006/relationships/oleObject" Target="../embeddings/oleObject9.bin"/><Relationship Id="rId9" Type="http://schemas.openxmlformats.org/officeDocument/2006/relationships/image" Target="../media/image7.wmf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5.bin"/><Relationship Id="rId3" Type="http://schemas.openxmlformats.org/officeDocument/2006/relationships/vmlDrawing" Target="../drawings/vmlDrawing6.vml"/><Relationship Id="rId7" Type="http://schemas.openxmlformats.org/officeDocument/2006/relationships/image" Target="../media/image6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oleObject14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16.bin"/><Relationship Id="rId4" Type="http://schemas.openxmlformats.org/officeDocument/2006/relationships/oleObject" Target="../embeddings/oleObject13.bin"/><Relationship Id="rId9" Type="http://schemas.openxmlformats.org/officeDocument/2006/relationships/image" Target="../media/image7.w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9.bin"/><Relationship Id="rId3" Type="http://schemas.openxmlformats.org/officeDocument/2006/relationships/vmlDrawing" Target="../drawings/vmlDrawing7.vml"/><Relationship Id="rId7" Type="http://schemas.openxmlformats.org/officeDocument/2006/relationships/image" Target="../media/image6.emf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6" Type="http://schemas.openxmlformats.org/officeDocument/2006/relationships/oleObject" Target="../embeddings/oleObject18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20.bin"/><Relationship Id="rId4" Type="http://schemas.openxmlformats.org/officeDocument/2006/relationships/oleObject" Target="../embeddings/oleObject17.bin"/><Relationship Id="rId9" Type="http://schemas.openxmlformats.org/officeDocument/2006/relationships/image" Target="../media/image7.wmf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3.bin"/><Relationship Id="rId3" Type="http://schemas.openxmlformats.org/officeDocument/2006/relationships/vmlDrawing" Target="../drawings/vmlDrawing8.vml"/><Relationship Id="rId7" Type="http://schemas.openxmlformats.org/officeDocument/2006/relationships/image" Target="../media/image6.emf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Relationship Id="rId6" Type="http://schemas.openxmlformats.org/officeDocument/2006/relationships/oleObject" Target="../embeddings/oleObject22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24.bin"/><Relationship Id="rId4" Type="http://schemas.openxmlformats.org/officeDocument/2006/relationships/oleObject" Target="../embeddings/oleObject21.bin"/><Relationship Id="rId9" Type="http://schemas.openxmlformats.org/officeDocument/2006/relationships/image" Target="../media/image7.wmf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7.bin"/><Relationship Id="rId3" Type="http://schemas.openxmlformats.org/officeDocument/2006/relationships/vmlDrawing" Target="../drawings/vmlDrawing9.vml"/><Relationship Id="rId7" Type="http://schemas.openxmlformats.org/officeDocument/2006/relationships/image" Target="../media/image6.emf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Relationship Id="rId6" Type="http://schemas.openxmlformats.org/officeDocument/2006/relationships/oleObject" Target="../embeddings/oleObject26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28.bin"/><Relationship Id="rId4" Type="http://schemas.openxmlformats.org/officeDocument/2006/relationships/oleObject" Target="../embeddings/oleObject25.bin"/><Relationship Id="rId9" Type="http://schemas.openxmlformats.org/officeDocument/2006/relationships/image" Target="../media/image7.wmf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1.bin"/><Relationship Id="rId3" Type="http://schemas.openxmlformats.org/officeDocument/2006/relationships/vmlDrawing" Target="../drawings/vmlDrawing10.vml"/><Relationship Id="rId7" Type="http://schemas.openxmlformats.org/officeDocument/2006/relationships/image" Target="../media/image6.emf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Relationship Id="rId6" Type="http://schemas.openxmlformats.org/officeDocument/2006/relationships/oleObject" Target="../embeddings/oleObject30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32.bin"/><Relationship Id="rId4" Type="http://schemas.openxmlformats.org/officeDocument/2006/relationships/oleObject" Target="../embeddings/oleObject29.bin"/><Relationship Id="rId9" Type="http://schemas.openxmlformats.org/officeDocument/2006/relationships/image" Target="../media/image7.wmf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5.bin"/><Relationship Id="rId3" Type="http://schemas.openxmlformats.org/officeDocument/2006/relationships/vmlDrawing" Target="../drawings/vmlDrawing11.vml"/><Relationship Id="rId7" Type="http://schemas.openxmlformats.org/officeDocument/2006/relationships/image" Target="../media/image6.emf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Relationship Id="rId6" Type="http://schemas.openxmlformats.org/officeDocument/2006/relationships/oleObject" Target="../embeddings/oleObject34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36.bin"/><Relationship Id="rId4" Type="http://schemas.openxmlformats.org/officeDocument/2006/relationships/oleObject" Target="../embeddings/oleObject33.bin"/><Relationship Id="rId9" Type="http://schemas.openxmlformats.org/officeDocument/2006/relationships/image" Target="../media/image7.wmf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9.bin"/><Relationship Id="rId3" Type="http://schemas.openxmlformats.org/officeDocument/2006/relationships/vmlDrawing" Target="../drawings/vmlDrawing12.vml"/><Relationship Id="rId7" Type="http://schemas.openxmlformats.org/officeDocument/2006/relationships/image" Target="../media/image6.emf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Relationship Id="rId6" Type="http://schemas.openxmlformats.org/officeDocument/2006/relationships/oleObject" Target="../embeddings/oleObject38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40.bin"/><Relationship Id="rId4" Type="http://schemas.openxmlformats.org/officeDocument/2006/relationships/oleObject" Target="../embeddings/oleObject37.bin"/><Relationship Id="rId9" Type="http://schemas.openxmlformats.org/officeDocument/2006/relationships/image" Target="../media/image7.wmf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3.bin"/><Relationship Id="rId3" Type="http://schemas.openxmlformats.org/officeDocument/2006/relationships/vmlDrawing" Target="../drawings/vmlDrawing13.vml"/><Relationship Id="rId7" Type="http://schemas.openxmlformats.org/officeDocument/2006/relationships/image" Target="../media/image6.emf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Relationship Id="rId6" Type="http://schemas.openxmlformats.org/officeDocument/2006/relationships/oleObject" Target="../embeddings/oleObject42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44.bin"/><Relationship Id="rId4" Type="http://schemas.openxmlformats.org/officeDocument/2006/relationships/oleObject" Target="../embeddings/oleObject41.bin"/><Relationship Id="rId9" Type="http://schemas.openxmlformats.org/officeDocument/2006/relationships/image" Target="../media/image7.wmf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7.bin"/><Relationship Id="rId3" Type="http://schemas.openxmlformats.org/officeDocument/2006/relationships/vmlDrawing" Target="../drawings/vmlDrawing14.vml"/><Relationship Id="rId7" Type="http://schemas.openxmlformats.org/officeDocument/2006/relationships/image" Target="../media/image6.emf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Relationship Id="rId6" Type="http://schemas.openxmlformats.org/officeDocument/2006/relationships/oleObject" Target="../embeddings/oleObject46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48.bin"/><Relationship Id="rId4" Type="http://schemas.openxmlformats.org/officeDocument/2006/relationships/oleObject" Target="../embeddings/oleObject45.bin"/><Relationship Id="rId9" Type="http://schemas.openxmlformats.org/officeDocument/2006/relationships/image" Target="../media/image7.wmf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1.bin"/><Relationship Id="rId3" Type="http://schemas.openxmlformats.org/officeDocument/2006/relationships/vmlDrawing" Target="../drawings/vmlDrawing15.vml"/><Relationship Id="rId7" Type="http://schemas.openxmlformats.org/officeDocument/2006/relationships/image" Target="../media/image6.emf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Relationship Id="rId6" Type="http://schemas.openxmlformats.org/officeDocument/2006/relationships/oleObject" Target="../embeddings/oleObject50.bin"/><Relationship Id="rId11" Type="http://schemas.openxmlformats.org/officeDocument/2006/relationships/comments" Target="../comments3.xml"/><Relationship Id="rId5" Type="http://schemas.openxmlformats.org/officeDocument/2006/relationships/image" Target="../media/image5.wmf"/><Relationship Id="rId10" Type="http://schemas.openxmlformats.org/officeDocument/2006/relationships/oleObject" Target="../embeddings/oleObject52.bin"/><Relationship Id="rId4" Type="http://schemas.openxmlformats.org/officeDocument/2006/relationships/oleObject" Target="../embeddings/oleObject49.bin"/><Relationship Id="rId9" Type="http://schemas.openxmlformats.org/officeDocument/2006/relationships/image" Target="../media/image7.wmf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5.bin"/><Relationship Id="rId3" Type="http://schemas.openxmlformats.org/officeDocument/2006/relationships/vmlDrawing" Target="../drawings/vmlDrawing16.vml"/><Relationship Id="rId7" Type="http://schemas.openxmlformats.org/officeDocument/2006/relationships/image" Target="../media/image6.emf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Relationship Id="rId6" Type="http://schemas.openxmlformats.org/officeDocument/2006/relationships/oleObject" Target="../embeddings/oleObject54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56.bin"/><Relationship Id="rId4" Type="http://schemas.openxmlformats.org/officeDocument/2006/relationships/oleObject" Target="../embeddings/oleObject53.bin"/><Relationship Id="rId9" Type="http://schemas.openxmlformats.org/officeDocument/2006/relationships/image" Target="../media/image7.wmf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9.bin"/><Relationship Id="rId3" Type="http://schemas.openxmlformats.org/officeDocument/2006/relationships/vmlDrawing" Target="../drawings/vmlDrawing17.vml"/><Relationship Id="rId7" Type="http://schemas.openxmlformats.org/officeDocument/2006/relationships/image" Target="../media/image6.emf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Relationship Id="rId6" Type="http://schemas.openxmlformats.org/officeDocument/2006/relationships/oleObject" Target="../embeddings/oleObject58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60.bin"/><Relationship Id="rId4" Type="http://schemas.openxmlformats.org/officeDocument/2006/relationships/oleObject" Target="../embeddings/oleObject57.bin"/><Relationship Id="rId9" Type="http://schemas.openxmlformats.org/officeDocument/2006/relationships/image" Target="../media/image7.wmf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3.bin"/><Relationship Id="rId3" Type="http://schemas.openxmlformats.org/officeDocument/2006/relationships/vmlDrawing" Target="../drawings/vmlDrawing18.vml"/><Relationship Id="rId7" Type="http://schemas.openxmlformats.org/officeDocument/2006/relationships/image" Target="../media/image6.emf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Relationship Id="rId6" Type="http://schemas.openxmlformats.org/officeDocument/2006/relationships/oleObject" Target="../embeddings/oleObject62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64.bin"/><Relationship Id="rId4" Type="http://schemas.openxmlformats.org/officeDocument/2006/relationships/oleObject" Target="../embeddings/oleObject61.bin"/><Relationship Id="rId9" Type="http://schemas.openxmlformats.org/officeDocument/2006/relationships/image" Target="../media/image7.wmf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7.bin"/><Relationship Id="rId3" Type="http://schemas.openxmlformats.org/officeDocument/2006/relationships/vmlDrawing" Target="../drawings/vmlDrawing19.vml"/><Relationship Id="rId7" Type="http://schemas.openxmlformats.org/officeDocument/2006/relationships/image" Target="../media/image6.emf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Relationship Id="rId6" Type="http://schemas.openxmlformats.org/officeDocument/2006/relationships/oleObject" Target="../embeddings/oleObject66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68.bin"/><Relationship Id="rId4" Type="http://schemas.openxmlformats.org/officeDocument/2006/relationships/oleObject" Target="../embeddings/oleObject65.bin"/><Relationship Id="rId9" Type="http://schemas.openxmlformats.org/officeDocument/2006/relationships/image" Target="../media/image7.wmf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71.bin"/><Relationship Id="rId3" Type="http://schemas.openxmlformats.org/officeDocument/2006/relationships/vmlDrawing" Target="../drawings/vmlDrawing20.vml"/><Relationship Id="rId7" Type="http://schemas.openxmlformats.org/officeDocument/2006/relationships/image" Target="../media/image6.emf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6.bin"/><Relationship Id="rId6" Type="http://schemas.openxmlformats.org/officeDocument/2006/relationships/oleObject" Target="../embeddings/oleObject70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72.bin"/><Relationship Id="rId4" Type="http://schemas.openxmlformats.org/officeDocument/2006/relationships/oleObject" Target="../embeddings/oleObject69.bin"/><Relationship Id="rId9" Type="http://schemas.openxmlformats.org/officeDocument/2006/relationships/image" Target="../media/image7.wmf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75.bin"/><Relationship Id="rId3" Type="http://schemas.openxmlformats.org/officeDocument/2006/relationships/vmlDrawing" Target="../drawings/vmlDrawing21.vml"/><Relationship Id="rId7" Type="http://schemas.openxmlformats.org/officeDocument/2006/relationships/image" Target="../media/image6.emf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8.bin"/><Relationship Id="rId6" Type="http://schemas.openxmlformats.org/officeDocument/2006/relationships/oleObject" Target="../embeddings/oleObject74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76.bin"/><Relationship Id="rId4" Type="http://schemas.openxmlformats.org/officeDocument/2006/relationships/oleObject" Target="../embeddings/oleObject73.bin"/><Relationship Id="rId9" Type="http://schemas.openxmlformats.org/officeDocument/2006/relationships/image" Target="../media/image7.wmf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79.bin"/><Relationship Id="rId3" Type="http://schemas.openxmlformats.org/officeDocument/2006/relationships/vmlDrawing" Target="../drawings/vmlDrawing22.vml"/><Relationship Id="rId7" Type="http://schemas.openxmlformats.org/officeDocument/2006/relationships/image" Target="../media/image6.emf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0.bin"/><Relationship Id="rId6" Type="http://schemas.openxmlformats.org/officeDocument/2006/relationships/oleObject" Target="../embeddings/oleObject78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80.bin"/><Relationship Id="rId4" Type="http://schemas.openxmlformats.org/officeDocument/2006/relationships/oleObject" Target="../embeddings/oleObject77.bin"/><Relationship Id="rId9" Type="http://schemas.openxmlformats.org/officeDocument/2006/relationships/image" Target="../media/image7.wmf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83.bin"/><Relationship Id="rId3" Type="http://schemas.openxmlformats.org/officeDocument/2006/relationships/vmlDrawing" Target="../drawings/vmlDrawing23.vml"/><Relationship Id="rId7" Type="http://schemas.openxmlformats.org/officeDocument/2006/relationships/image" Target="../media/image6.emf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2.bin"/><Relationship Id="rId6" Type="http://schemas.openxmlformats.org/officeDocument/2006/relationships/oleObject" Target="../embeddings/oleObject82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84.bin"/><Relationship Id="rId4" Type="http://schemas.openxmlformats.org/officeDocument/2006/relationships/oleObject" Target="../embeddings/oleObject81.bin"/><Relationship Id="rId9" Type="http://schemas.openxmlformats.org/officeDocument/2006/relationships/image" Target="../media/image7.wmf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87.bin"/><Relationship Id="rId3" Type="http://schemas.openxmlformats.org/officeDocument/2006/relationships/vmlDrawing" Target="../drawings/vmlDrawing24.vml"/><Relationship Id="rId7" Type="http://schemas.openxmlformats.org/officeDocument/2006/relationships/image" Target="../media/image6.emf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4.bin"/><Relationship Id="rId6" Type="http://schemas.openxmlformats.org/officeDocument/2006/relationships/oleObject" Target="../embeddings/oleObject86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88.bin"/><Relationship Id="rId4" Type="http://schemas.openxmlformats.org/officeDocument/2006/relationships/oleObject" Target="../embeddings/oleObject85.bin"/><Relationship Id="rId9" Type="http://schemas.openxmlformats.org/officeDocument/2006/relationships/image" Target="../media/image7.wmf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1.bin"/><Relationship Id="rId3" Type="http://schemas.openxmlformats.org/officeDocument/2006/relationships/vmlDrawing" Target="../drawings/vmlDrawing25.vml"/><Relationship Id="rId7" Type="http://schemas.openxmlformats.org/officeDocument/2006/relationships/image" Target="../media/image6.emf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6.bin"/><Relationship Id="rId6" Type="http://schemas.openxmlformats.org/officeDocument/2006/relationships/oleObject" Target="../embeddings/oleObject90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92.bin"/><Relationship Id="rId4" Type="http://schemas.openxmlformats.org/officeDocument/2006/relationships/oleObject" Target="../embeddings/oleObject89.bin"/><Relationship Id="rId9" Type="http://schemas.openxmlformats.org/officeDocument/2006/relationships/image" Target="../media/image7.wmf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5.bin"/><Relationship Id="rId3" Type="http://schemas.openxmlformats.org/officeDocument/2006/relationships/vmlDrawing" Target="../drawings/vmlDrawing26.vml"/><Relationship Id="rId7" Type="http://schemas.openxmlformats.org/officeDocument/2006/relationships/image" Target="../media/image6.emf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8.bin"/><Relationship Id="rId6" Type="http://schemas.openxmlformats.org/officeDocument/2006/relationships/oleObject" Target="../embeddings/oleObject94.bin"/><Relationship Id="rId5" Type="http://schemas.openxmlformats.org/officeDocument/2006/relationships/image" Target="../media/image5.wmf"/><Relationship Id="rId10" Type="http://schemas.openxmlformats.org/officeDocument/2006/relationships/oleObject" Target="../embeddings/oleObject96.bin"/><Relationship Id="rId4" Type="http://schemas.openxmlformats.org/officeDocument/2006/relationships/oleObject" Target="../embeddings/oleObject93.bin"/><Relationship Id="rId9" Type="http://schemas.openxmlformats.org/officeDocument/2006/relationships/image" Target="../media/image7.wmf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291"/>
  <sheetViews>
    <sheetView tabSelected="1" view="pageBreakPreview" topLeftCell="A25" zoomScaleNormal="100" zoomScaleSheetLayoutView="100" workbookViewId="0">
      <selection activeCell="L32" sqref="L32"/>
    </sheetView>
  </sheetViews>
  <sheetFormatPr defaultColWidth="9.09765625" defaultRowHeight="13"/>
  <cols>
    <col min="1" max="1" width="2.09765625" style="76" customWidth="1"/>
    <col min="2" max="2" width="27.8984375" style="76" customWidth="1"/>
    <col min="3" max="3" width="1.09765625" style="76" customWidth="1"/>
    <col min="4" max="4" width="3.59765625" style="76" customWidth="1"/>
    <col min="5" max="5" width="11.296875" style="76" customWidth="1"/>
    <col min="6" max="6" width="15.3984375" style="76" customWidth="1"/>
    <col min="7" max="7" width="15.8984375" style="76" customWidth="1"/>
    <col min="8" max="8" width="0.8984375" style="76" customWidth="1"/>
    <col min="9" max="9" width="9.09765625" style="76"/>
    <col min="10" max="10" width="7.09765625" style="76" customWidth="1"/>
    <col min="11" max="11" width="15" style="76" customWidth="1"/>
    <col min="12" max="12" width="7.3984375" style="76" customWidth="1"/>
    <col min="13" max="13" width="9.09765625" style="76"/>
    <col min="14" max="14" width="16.3984375" style="76" bestFit="1" customWidth="1"/>
    <col min="15" max="16384" width="9.09765625" style="76"/>
  </cols>
  <sheetData>
    <row r="1" spans="1:13">
      <c r="B1" s="177"/>
      <c r="J1" s="324" t="str">
        <f>'PERHITUNGAN 1'!G3</f>
        <v>No.Kode Alat :S-10810</v>
      </c>
      <c r="K1" s="325"/>
      <c r="L1" s="77"/>
    </row>
    <row r="3" spans="1:13">
      <c r="A3" s="77" t="s">
        <v>42</v>
      </c>
      <c r="G3" s="77" t="s">
        <v>52</v>
      </c>
      <c r="H3" s="77"/>
    </row>
    <row r="4" spans="1:13">
      <c r="B4" s="76" t="s">
        <v>126</v>
      </c>
      <c r="C4" s="76" t="s">
        <v>64</v>
      </c>
      <c r="D4" s="131" t="str">
        <f>'PERHITUNGAN 1'!E5</f>
        <v>Termometer Digital</v>
      </c>
      <c r="E4" s="131"/>
      <c r="F4" s="131"/>
      <c r="G4" s="76" t="s">
        <v>33</v>
      </c>
      <c r="H4" s="76" t="s">
        <v>16</v>
      </c>
      <c r="I4" s="76" t="str">
        <f>'PERHITUNGAN 1'!E11</f>
        <v>Termometer Digital (PRT)</v>
      </c>
      <c r="M4" s="77"/>
    </row>
    <row r="5" spans="1:13">
      <c r="B5" s="76" t="s">
        <v>53</v>
      </c>
      <c r="C5" s="76" t="s">
        <v>64</v>
      </c>
      <c r="D5" s="131" t="str">
        <f>'PERHITUNGAN 1'!E6</f>
        <v>Hioki / LR 8431-20</v>
      </c>
      <c r="E5" s="131"/>
      <c r="F5" s="131"/>
      <c r="G5" s="76" t="s">
        <v>43</v>
      </c>
      <c r="H5" s="76" t="s">
        <v>16</v>
      </c>
      <c r="I5" s="76" t="str">
        <f>'PERHITUNGAN 1'!E12</f>
        <v>Burn Engr</v>
      </c>
    </row>
    <row r="6" spans="1:13" s="255" customFormat="1">
      <c r="B6" s="255" t="s">
        <v>129</v>
      </c>
      <c r="C6" s="255" t="s">
        <v>64</v>
      </c>
      <c r="D6" s="316">
        <f>'PERHITUNGAN 1'!E7</f>
        <v>210149173</v>
      </c>
      <c r="E6" s="316"/>
      <c r="F6" s="316"/>
      <c r="G6" s="255" t="s">
        <v>123</v>
      </c>
      <c r="H6" s="255" t="s">
        <v>16</v>
      </c>
      <c r="I6" s="255" t="str">
        <f>'PERHITUNGAN 1'!E13</f>
        <v>3925/496170</v>
      </c>
    </row>
    <row r="7" spans="1:13" s="255" customFormat="1">
      <c r="B7" s="76" t="s">
        <v>127</v>
      </c>
      <c r="C7" s="76" t="s">
        <v>16</v>
      </c>
      <c r="D7" s="252" t="str">
        <f>CONCATENATE('PERHITUNGAN 1'!I5," ",'PERHITUNGAN 1'!J5)</f>
        <v>-30~1000 °C</v>
      </c>
      <c r="E7" s="131"/>
      <c r="F7" s="131"/>
      <c r="G7" s="76" t="s">
        <v>38</v>
      </c>
      <c r="H7" s="76" t="s">
        <v>16</v>
      </c>
      <c r="I7" s="76" t="str">
        <f>'PERHITUNGAN 1'!E14</f>
        <v>SI melalui BSN SNSU</v>
      </c>
      <c r="J7" s="76"/>
    </row>
    <row r="8" spans="1:13" s="255" customFormat="1">
      <c r="B8" s="76" t="s">
        <v>128</v>
      </c>
      <c r="C8" s="76" t="s">
        <v>16</v>
      </c>
      <c r="D8" s="252" t="str">
        <f>CONCATENATE('PERHITUNGAN 1'!I6," ",'PERHITUNGAN 1'!J6)</f>
        <v>0,01 °C</v>
      </c>
      <c r="E8" s="131"/>
      <c r="F8" s="131"/>
    </row>
    <row r="9" spans="1:13">
      <c r="B9" s="76" t="s">
        <v>44</v>
      </c>
      <c r="C9" s="76" t="s">
        <v>16</v>
      </c>
      <c r="D9" s="252">
        <f>'PERHITUNGAN 1'!I8</f>
        <v>1</v>
      </c>
      <c r="E9" s="131"/>
      <c r="F9" s="131"/>
    </row>
    <row r="11" spans="1:13" hidden="1"/>
    <row r="12" spans="1:13" hidden="1">
      <c r="D12" s="131"/>
      <c r="E12" s="131"/>
      <c r="F12" s="131"/>
    </row>
    <row r="13" spans="1:13">
      <c r="B13" s="76" t="s">
        <v>119</v>
      </c>
      <c r="C13" s="76" t="s">
        <v>64</v>
      </c>
      <c r="D13" s="321">
        <f>'PERHITUNGAN 1'!E17</f>
        <v>45237</v>
      </c>
      <c r="E13" s="321"/>
      <c r="F13" s="321"/>
    </row>
    <row r="14" spans="1:13">
      <c r="B14" s="76" t="s">
        <v>36</v>
      </c>
      <c r="C14" s="76" t="s">
        <v>64</v>
      </c>
      <c r="D14" s="321">
        <f>'PERHITUNGAN 1'!E18</f>
        <v>45245</v>
      </c>
      <c r="E14" s="321"/>
      <c r="F14" s="321"/>
      <c r="G14" s="130"/>
    </row>
    <row r="15" spans="1:13">
      <c r="B15" s="76" t="s">
        <v>37</v>
      </c>
      <c r="C15" s="76" t="s">
        <v>16</v>
      </c>
      <c r="D15" s="322" t="str">
        <f>'PERHITUNGAN 1'!E19</f>
        <v>Lab. Kalibrasi Suhu</v>
      </c>
      <c r="E15" s="322"/>
      <c r="F15" s="322"/>
      <c r="G15" s="322"/>
    </row>
    <row r="16" spans="1:13">
      <c r="D16" s="252" t="str">
        <f>'PERHITUNGAN 1'!E20</f>
        <v>BBPMGB LEMIGAS</v>
      </c>
    </row>
    <row r="17" spans="1:15">
      <c r="B17" s="76" t="s">
        <v>122</v>
      </c>
      <c r="C17" s="76" t="s">
        <v>16</v>
      </c>
      <c r="D17" s="76" t="str">
        <f>'PERHITUNGAN 1'!E21</f>
        <v>MK.2.2.1.02 yang mengacu ke JIS Z8710-1993; Temperature Measurement Requirement</v>
      </c>
    </row>
    <row r="19" spans="1:15">
      <c r="B19" s="76" t="s">
        <v>124</v>
      </c>
      <c r="E19" s="163" t="s">
        <v>23</v>
      </c>
      <c r="I19" s="320" t="s">
        <v>24</v>
      </c>
      <c r="J19" s="320"/>
    </row>
    <row r="20" spans="1:15">
      <c r="B20" s="76" t="s">
        <v>45</v>
      </c>
      <c r="C20" s="76" t="s">
        <v>16</v>
      </c>
      <c r="E20" s="162" t="str">
        <f>'PERHITUNGAN 1'!F24</f>
        <v>22,4± 0,79</v>
      </c>
      <c r="I20" s="310" t="str">
        <f>'PERHITUNGAN 1'!G24</f>
        <v>56,8± 3,4</v>
      </c>
      <c r="J20" s="310"/>
    </row>
    <row r="21" spans="1:15">
      <c r="B21" s="76" t="s">
        <v>46</v>
      </c>
      <c r="C21" s="76" t="s">
        <v>16</v>
      </c>
      <c r="E21" s="162" t="str">
        <f>'PERHITUNGAN 1'!F25</f>
        <v>22,4± 0,79</v>
      </c>
      <c r="I21" s="310" t="str">
        <f>'PERHITUNGAN 1'!G25</f>
        <v>56,8± 3,4</v>
      </c>
      <c r="J21" s="310"/>
    </row>
    <row r="23" spans="1:15" ht="17.25" customHeight="1">
      <c r="A23" s="77">
        <v>4</v>
      </c>
      <c r="B23" s="77" t="s">
        <v>47</v>
      </c>
      <c r="C23" s="77"/>
      <c r="D23" s="77"/>
    </row>
    <row r="24" spans="1:15">
      <c r="B24" s="288" t="s">
        <v>195</v>
      </c>
      <c r="C24" s="296" t="s">
        <v>48</v>
      </c>
      <c r="D24" s="312"/>
      <c r="E24" s="312"/>
      <c r="F24" s="297"/>
      <c r="G24" s="296" t="s">
        <v>4</v>
      </c>
      <c r="H24" s="312"/>
      <c r="I24" s="297"/>
      <c r="J24" s="296" t="s">
        <v>28</v>
      </c>
      <c r="K24" s="297"/>
    </row>
    <row r="25" spans="1:15">
      <c r="B25" s="289"/>
      <c r="C25" s="304" t="str">
        <f>IF('PERHITUNGAN 1'!$C$2="Celcius","(°C)","(°F)")</f>
        <v>(°C)</v>
      </c>
      <c r="D25" s="313"/>
      <c r="E25" s="313"/>
      <c r="F25" s="305"/>
      <c r="G25" s="304" t="str">
        <f>IF('PERHITUNGAN 1'!$C$2="Celcius","(°C)","(°F)")</f>
        <v>(°C)</v>
      </c>
      <c r="H25" s="313"/>
      <c r="I25" s="305"/>
      <c r="J25" s="304" t="str">
        <f>IF('PERHITUNGAN 1'!$C$2="Celcius","(°C)","(°F)")</f>
        <v>(°C)</v>
      </c>
      <c r="K25" s="305"/>
    </row>
    <row r="26" spans="1:15">
      <c r="B26" s="306">
        <f>'PERHITUNGAN 1'!I7</f>
        <v>1</v>
      </c>
      <c r="C26" s="249"/>
      <c r="D26" s="250"/>
      <c r="E26" s="250"/>
      <c r="F26" s="251"/>
      <c r="G26" s="163"/>
      <c r="H26" s="163"/>
      <c r="I26" s="163"/>
      <c r="J26" s="249"/>
      <c r="K26" s="251"/>
    </row>
    <row r="27" spans="1:15" ht="14.5">
      <c r="A27" s="78"/>
      <c r="B27" s="307"/>
      <c r="C27" s="309">
        <f>IF($O$27="Ya",'REGRESI 1'!$R19,IF($O$27="Tidak",'PERHITUNGAN 1'!N86,"Pilih Dahulu"))</f>
        <v>-10</v>
      </c>
      <c r="D27" s="310"/>
      <c r="E27" s="310"/>
      <c r="F27" s="311"/>
      <c r="G27" s="165">
        <f>IF($O$27="Ya",'REGRESI 1'!T19,IF($O$27="Tidak",'PERHITUNGAN 1'!O86,"Pilih Dahulu"))</f>
        <v>-0.99443789101856916</v>
      </c>
      <c r="H27" s="165"/>
      <c r="I27" s="165"/>
      <c r="J27" s="166" t="str">
        <f>'PERHITUNGAN 1'!S86</f>
        <v>±</v>
      </c>
      <c r="K27" s="167" t="e" cm="1">
        <f t="array" aca="1" ref="K27" ca="1">_xll.SIGFIGUP('PERHITUNGAN 1'!T86,2)</f>
        <v>#NAME?</v>
      </c>
      <c r="N27" s="176" t="s">
        <v>197</v>
      </c>
      <c r="O27" s="176" t="s">
        <v>233</v>
      </c>
    </row>
    <row r="28" spans="1:15" ht="13.5" customHeight="1">
      <c r="A28" s="78"/>
      <c r="B28" s="307"/>
      <c r="C28" s="309">
        <f>IF($O$27="Ya",'REGRESI 1'!$R20,IF($O$27="Tidak",'PERHITUNGAN 1'!N87,"Pilih Dahulu"))</f>
        <v>0</v>
      </c>
      <c r="D28" s="310"/>
      <c r="E28" s="310"/>
      <c r="F28" s="311"/>
      <c r="G28" s="165">
        <f>IF($O$27="Ya",'REGRESI 1'!T20,IF($O$27="Tidak",'PERHITUNGAN 1'!O87,"Pilih Dahulu"))</f>
        <v>-0.59843178925826357</v>
      </c>
      <c r="H28" s="165"/>
      <c r="I28" s="165"/>
      <c r="J28" s="166" t="str">
        <f>'PERHITUNGAN 1'!S87</f>
        <v>±</v>
      </c>
      <c r="K28" s="167" t="e" cm="1">
        <f t="array" aca="1" ref="K28" ca="1">_xll.SIGFIGUP('PERHITUNGAN 1'!T87,2)</f>
        <v>#NAME?</v>
      </c>
    </row>
    <row r="29" spans="1:15" ht="13.5" customHeight="1">
      <c r="A29" s="78"/>
      <c r="B29" s="307"/>
      <c r="C29" s="309">
        <f>IF($O$27="Ya",'REGRESI 1'!$R21,IF($O$27="Tidak",'PERHITUNGAN 1'!N88,"Pilih Dahulu"))</f>
        <v>25</v>
      </c>
      <c r="D29" s="310"/>
      <c r="E29" s="310"/>
      <c r="F29" s="311"/>
      <c r="G29" s="165">
        <f>IF($O$27="Ya",'REGRESI 1'!T21,IF($O$27="Tidak",'PERHITUNGAN 1'!O88,"Pilih Dahulu"))</f>
        <v>0.19687204449977305</v>
      </c>
      <c r="H29" s="165"/>
      <c r="I29" s="165"/>
      <c r="J29" s="166" t="str">
        <f>'PERHITUNGAN 1'!S88</f>
        <v>±</v>
      </c>
      <c r="K29" s="167" t="e" cm="1">
        <f t="array" aca="1" ref="K29" ca="1">_xll.SIGFIGUP('PERHITUNGAN 1'!T88,2)</f>
        <v>#NAME?</v>
      </c>
    </row>
    <row r="30" spans="1:15" ht="13.5" customHeight="1">
      <c r="A30" s="78"/>
      <c r="B30" s="307"/>
      <c r="C30" s="309">
        <f>IF($O$27="Ya",'REGRESI 1'!$R22,IF($O$27="Tidak",'PERHITUNGAN 1'!N89,"Pilih Dahulu"))</f>
        <v>50</v>
      </c>
      <c r="D30" s="310"/>
      <c r="E30" s="310"/>
      <c r="F30" s="311"/>
      <c r="G30" s="165">
        <f>IF($O$27="Ya",'REGRESI 1'!T22,IF($O$27="Tidak",'PERHITUNGAN 1'!O89,"Pilih Dahulu"))</f>
        <v>0.68576574802224188</v>
      </c>
      <c r="H30" s="165"/>
      <c r="I30" s="165"/>
      <c r="J30" s="166" t="str">
        <f>'PERHITUNGAN 1'!S89</f>
        <v>±</v>
      </c>
      <c r="K30" s="167" t="e" cm="1">
        <f t="array" aca="1" ref="K30" ca="1">_xll.SIGFIGUP('PERHITUNGAN 1'!T89,2)</f>
        <v>#NAME?</v>
      </c>
    </row>
    <row r="31" spans="1:15" ht="13.5" customHeight="1">
      <c r="A31" s="78"/>
      <c r="B31" s="307"/>
      <c r="C31" s="309">
        <f>IF($O$27="Ya",'REGRESI 1'!$R23,IF($O$27="Tidak",'PERHITUNGAN 1'!N90,"Pilih Dahulu"))</f>
        <v>100</v>
      </c>
      <c r="D31" s="310"/>
      <c r="E31" s="310"/>
      <c r="F31" s="311"/>
      <c r="G31" s="165">
        <f>IF($O$27="Ya",'REGRESI 1'!T23,IF($O$27="Tidak",'PERHITUNGAN 1'!O90,"Pilih Dahulu"))</f>
        <v>0.74625393490086744</v>
      </c>
      <c r="H31" s="165"/>
      <c r="I31" s="165"/>
      <c r="J31" s="166" t="str">
        <f>'PERHITUNGAN 1'!S90</f>
        <v>±</v>
      </c>
      <c r="K31" s="167" t="e" cm="1">
        <f t="array" aca="1" ref="K31" ca="1">_xll.SIGFIGUP('PERHITUNGAN 1'!T90,2)</f>
        <v>#NAME?</v>
      </c>
    </row>
    <row r="32" spans="1:15" ht="13.5" customHeight="1">
      <c r="A32" s="78"/>
      <c r="B32" s="307"/>
      <c r="C32" s="309">
        <f>IF($O$27="Ya",'REGRESI 1'!$R24,IF($O$27="Tidak",'PERHITUNGAN 1'!N91,"Pilih Dahulu"))</f>
        <v>125</v>
      </c>
      <c r="D32" s="310"/>
      <c r="E32" s="310"/>
      <c r="F32" s="311"/>
      <c r="G32" s="165">
        <f>IF($O$27="Ya",'REGRESI 1'!T24,IF($O$27="Tidak",'PERHITUNGAN 1'!O91,"Pilih Dahulu"))</f>
        <v>0.40016966260930154</v>
      </c>
      <c r="H32" s="165"/>
      <c r="I32" s="165"/>
      <c r="J32" s="166" t="str">
        <f>'PERHITUNGAN 1'!S91</f>
        <v>±</v>
      </c>
      <c r="K32" s="167" t="e" cm="1">
        <f t="array" aca="1" ref="K32" ca="1">_xll.SIGFIGUP('PERHITUNGAN 1'!T91,2)</f>
        <v>#NAME?</v>
      </c>
    </row>
    <row r="33" spans="1:11" ht="13.5" customHeight="1">
      <c r="A33" s="78"/>
      <c r="B33" s="307"/>
      <c r="C33" s="309">
        <f>IF($O$27="Ya",'REGRESI 1'!$R25,IF($O$27="Tidak",'PERHITUNGAN 1'!N92,"Pilih Dahulu"))</f>
        <v>150</v>
      </c>
      <c r="D33" s="310"/>
      <c r="E33" s="310"/>
      <c r="F33" s="311"/>
      <c r="G33" s="165">
        <f>IF($O$27="Ya",'REGRESI 1'!T25,IF($O$27="Tidak",'PERHITUNGAN 1'!O92,"Pilih Dahulu"))</f>
        <v>-8.7682251213279105E-2</v>
      </c>
      <c r="H33" s="165"/>
      <c r="I33" s="165"/>
      <c r="J33" s="166" t="str">
        <f>'PERHITUNGAN 1'!S92</f>
        <v>±</v>
      </c>
      <c r="K33" s="167" t="e" cm="1">
        <f t="array" aca="1" ref="K33" ca="1">_xll.SIGFIGUP('PERHITUNGAN 1'!T92,2)</f>
        <v>#NAME?</v>
      </c>
    </row>
    <row r="34" spans="1:11" ht="13.5" customHeight="1">
      <c r="A34" s="78"/>
      <c r="B34" s="307"/>
      <c r="C34" s="309">
        <f>IF($O$27="Ya",'REGRESI 1'!$R26,IF($O$27="Tidak",'PERHITUNGAN 1'!N93,"Pilih Dahulu"))</f>
        <v>200</v>
      </c>
      <c r="D34" s="310"/>
      <c r="E34" s="310"/>
      <c r="F34" s="311"/>
      <c r="G34" s="165">
        <f>IF($O$27="Ya",'REGRESI 1'!T26,IF($O$27="Tidak",'PERHITUNGAN 1'!O93,"Pilih Dahulu"))</f>
        <v>-0.96608161478576982</v>
      </c>
      <c r="H34" s="165"/>
      <c r="I34" s="165"/>
      <c r="J34" s="166" t="str">
        <f>'PERHITUNGAN 1'!S93</f>
        <v>±</v>
      </c>
      <c r="K34" s="167" t="e" cm="1">
        <f t="array" aca="1" ref="K34" ca="1">_xll.SIGFIGUP('PERHITUNGAN 1'!T93,2)</f>
        <v>#NAME?</v>
      </c>
    </row>
    <row r="35" spans="1:11" ht="13.5" hidden="1" customHeight="1">
      <c r="A35" s="78"/>
      <c r="B35" s="307"/>
      <c r="C35" s="318">
        <f>IF($O$27="Ya",'REGRESI 1'!R14,IF($O$27="Tidak",'PERHITUNGAN 1'!N94,"Pilih Dahulu"))</f>
        <v>0</v>
      </c>
      <c r="D35" s="314"/>
      <c r="E35" s="314"/>
      <c r="F35" s="319"/>
      <c r="G35" s="165">
        <f>IF($O$27="Ya",'REGRESI 1'!T27,IF($O$27="Tidak",'PERHITUNGAN 1'!O94,"Pilih Dahulu"))</f>
        <v>-0.59843178925826357</v>
      </c>
      <c r="H35" s="165"/>
      <c r="I35" s="165"/>
      <c r="J35" s="166" t="str">
        <f>'PERHITUNGAN 1'!S94</f>
        <v>±</v>
      </c>
      <c r="K35" s="167" t="e" cm="1">
        <f t="array" aca="1" ref="K35" ca="1">_xll.SIGFIGUP('PERHITUNGAN 1'!T94,2)</f>
        <v>#NAME?</v>
      </c>
    </row>
    <row r="36" spans="1:11" hidden="1">
      <c r="A36" s="78"/>
      <c r="B36" s="307"/>
      <c r="C36" s="318">
        <f>IF($O$27="Ya",'REGRESI 1'!R15,IF($O$27="Tidak",'PERHITUNGAN 1'!N95,"Pilih Dahulu"))</f>
        <v>0</v>
      </c>
      <c r="D36" s="314"/>
      <c r="E36" s="314"/>
      <c r="F36" s="319"/>
      <c r="G36" s="165">
        <f>IF($O$27="Ya",'REGRESI 1'!T28,IF($O$27="Tidak",'PERHITUNGAN 1'!O95,"Pilih Dahulu"))</f>
        <v>-0.59843178925826357</v>
      </c>
      <c r="H36" s="165"/>
      <c r="I36" s="165"/>
      <c r="J36" s="166" t="str">
        <f>'PERHITUNGAN 1'!S95</f>
        <v>±</v>
      </c>
      <c r="K36" s="167" t="e" cm="1">
        <f t="array" aca="1" ref="K36" ca="1">_xll.SIGFIGUP('PERHITUNGAN 1'!T95,2)</f>
        <v>#NAME?</v>
      </c>
    </row>
    <row r="37" spans="1:11">
      <c r="A37" s="78"/>
      <c r="B37" s="308"/>
      <c r="C37" s="263"/>
      <c r="D37" s="278"/>
      <c r="E37" s="278"/>
      <c r="F37" s="264"/>
      <c r="G37" s="165"/>
      <c r="H37" s="165"/>
      <c r="I37" s="165"/>
      <c r="J37" s="166"/>
      <c r="K37" s="167"/>
    </row>
    <row r="38" spans="1:11">
      <c r="A38" s="78"/>
      <c r="B38" s="288">
        <f>'PERHITUNGAN 2'!I7</f>
        <v>2</v>
      </c>
      <c r="C38" s="279"/>
      <c r="D38" s="265"/>
      <c r="E38" s="265"/>
      <c r="F38" s="265"/>
      <c r="G38" s="267"/>
      <c r="H38" s="280"/>
      <c r="I38" s="281"/>
      <c r="J38" s="85"/>
      <c r="K38" s="174"/>
    </row>
    <row r="39" spans="1:11">
      <c r="A39" s="78"/>
      <c r="B39" s="315"/>
      <c r="C39" s="309">
        <f>IF($O$27="Ya",'REGRESI 2'!R19,IF($O$27="Tidak",'PERHITUNGAN 2'!N85,"Pilih Dahulu"))</f>
        <v>-10</v>
      </c>
      <c r="D39" s="310"/>
      <c r="E39" s="310"/>
      <c r="F39" s="310"/>
      <c r="G39" s="268">
        <f>IF($O$27="Ya",'REGRESI 2'!T19,IF($O$27="Tidak",'PERHITUNGAN 2'!O85,"Pilih Dahulu"))</f>
        <v>-1.1511295367085024</v>
      </c>
      <c r="H39" s="165"/>
      <c r="I39" s="282"/>
      <c r="J39" s="79" t="str">
        <f>'PERHITUNGAN 2'!S85</f>
        <v>±</v>
      </c>
      <c r="K39" s="167" t="e" cm="1">
        <f t="array" aca="1" ref="K39" ca="1">_xll.SIGFIGUP('PERHITUNGAN 2'!T85,2)</f>
        <v>#NAME?</v>
      </c>
    </row>
    <row r="40" spans="1:11">
      <c r="A40" s="78"/>
      <c r="B40" s="315"/>
      <c r="C40" s="309">
        <f>IF($O$27="Ya",'REGRESI 2'!R20,IF($O$27="Tidak",'PERHITUNGAN 2'!N86,"Pilih Dahulu"))</f>
        <v>0</v>
      </c>
      <c r="D40" s="310"/>
      <c r="E40" s="310"/>
      <c r="F40" s="310"/>
      <c r="G40" s="268">
        <f>IF($O$27="Ya",'REGRESI 2'!T20,IF($O$27="Tidak",'PERHITUNGAN 2'!O86,"Pilih Dahulu"))</f>
        <v>-0.60904746521474751</v>
      </c>
      <c r="H40" s="165"/>
      <c r="I40" s="282"/>
      <c r="J40" s="79" t="str">
        <f>'PERHITUNGAN 2'!S86</f>
        <v>±</v>
      </c>
      <c r="K40" s="167" t="e" cm="1">
        <f t="array" aca="1" ref="K40" ca="1">_xll.SIGFIGUP('PERHITUNGAN 2'!T86,2)</f>
        <v>#NAME?</v>
      </c>
    </row>
    <row r="41" spans="1:11" ht="13.5" customHeight="1">
      <c r="A41" s="78"/>
      <c r="B41" s="315"/>
      <c r="C41" s="309">
        <f>IF($O$27="Ya",'REGRESI 2'!R21,IF($O$27="Tidak",'PERHITUNGAN 2'!N87,"Pilih Dahulu"))</f>
        <v>25</v>
      </c>
      <c r="D41" s="310"/>
      <c r="E41" s="310"/>
      <c r="F41" s="310"/>
      <c r="G41" s="268">
        <f>IF($O$27="Ya",'REGRESI 2'!T21,IF($O$27="Tidak",'PERHITUNGAN 2'!O87,"Pilih Dahulu"))</f>
        <v>0.33329727626969996</v>
      </c>
      <c r="H41" s="165"/>
      <c r="I41" s="282"/>
      <c r="J41" s="79" t="str">
        <f>'PERHITUNGAN 2'!S87</f>
        <v>±</v>
      </c>
      <c r="K41" s="167" t="e" cm="1">
        <f t="array" aca="1" ref="K41" ca="1">_xll.SIGFIGUP('PERHITUNGAN 2'!T87,2)</f>
        <v>#NAME?</v>
      </c>
    </row>
    <row r="42" spans="1:11" ht="13.5" customHeight="1">
      <c r="A42" s="78"/>
      <c r="B42" s="315"/>
      <c r="C42" s="309">
        <f>IF($O$27="Ya",'REGRESI 2'!R22,IF($O$27="Tidak",'PERHITUNGAN 2'!N88,"Pilih Dahulu"))</f>
        <v>50</v>
      </c>
      <c r="D42" s="310"/>
      <c r="E42" s="310"/>
      <c r="F42" s="310"/>
      <c r="G42" s="268">
        <f>IF($O$27="Ya",'REGRESI 2'!T22,IF($O$27="Tidak",'PERHITUNGAN 2'!O88,"Pilih Dahulu"))</f>
        <v>0.77776103402492081</v>
      </c>
      <c r="H42" s="165"/>
      <c r="I42" s="282"/>
      <c r="J42" s="79" t="str">
        <f>'PERHITUNGAN 2'!S88</f>
        <v>±</v>
      </c>
      <c r="K42" s="167" t="e" cm="1">
        <f t="array" aca="1" ref="K42" ca="1">_xll.SIGFIGUP('PERHITUNGAN 2'!T88,2)</f>
        <v>#NAME?</v>
      </c>
    </row>
    <row r="43" spans="1:11" ht="13.5" customHeight="1">
      <c r="A43" s="78"/>
      <c r="B43" s="315"/>
      <c r="C43" s="309">
        <f>IF($O$27="Ya",'REGRESI 2'!R23,IF($O$27="Tidak",'PERHITUNGAN 2'!N89,"Pilih Dahulu"))</f>
        <v>100</v>
      </c>
      <c r="D43" s="310"/>
      <c r="E43" s="310"/>
      <c r="F43" s="310"/>
      <c r="G43" s="268">
        <f>IF($O$27="Ya",'REGRESI 2'!T23,IF($O$27="Tidak",'PERHITUNGAN 2'!O89,"Pilih Dahulu"))</f>
        <v>0.63264380291540445</v>
      </c>
      <c r="H43" s="165"/>
      <c r="I43" s="282"/>
      <c r="J43" s="79" t="str">
        <f>'PERHITUNGAN 2'!S89</f>
        <v>±</v>
      </c>
      <c r="K43" s="167" t="e" cm="1">
        <f t="array" aca="1" ref="K43" ca="1">_xll.SIGFIGUP('PERHITUNGAN 2'!T89,2)</f>
        <v>#NAME?</v>
      </c>
    </row>
    <row r="44" spans="1:11" ht="13.5" customHeight="1">
      <c r="A44" s="78"/>
      <c r="B44" s="315"/>
      <c r="C44" s="309">
        <f>IF($O$27="Ya",'REGRESI 2'!R24,IF($O$27="Tidak",'PERHITUNGAN 2'!N90,"Pilih Dahulu"))</f>
        <v>125</v>
      </c>
      <c r="D44" s="310"/>
      <c r="E44" s="310"/>
      <c r="F44" s="310"/>
      <c r="G44" s="268">
        <f>IF($O$27="Ya",'REGRESI 2'!T24,IF($O$27="Tidak",'PERHITUNGAN 2'!O90,"Pilih Dahulu"))</f>
        <v>0.27286191633452717</v>
      </c>
      <c r="H44" s="165"/>
      <c r="I44" s="282"/>
      <c r="J44" s="79" t="str">
        <f>'PERHITUNGAN 2'!S90</f>
        <v>±</v>
      </c>
      <c r="K44" s="167" t="e" cm="1">
        <f t="array" aca="1" ref="K44" ca="1">_xll.SIGFIGUP('PERHITUNGAN 2'!T90,2)</f>
        <v>#NAME?</v>
      </c>
    </row>
    <row r="45" spans="1:11" ht="13.5" customHeight="1">
      <c r="A45" s="78"/>
      <c r="B45" s="315"/>
      <c r="C45" s="309">
        <f>IF($O$27="Ya",'REGRESI 2'!R25,IF($O$27="Tidak",'PERHITUNGAN 2'!N91,"Pilih Dahulu"))</f>
        <v>150</v>
      </c>
      <c r="D45" s="310"/>
      <c r="E45" s="310"/>
      <c r="F45" s="310"/>
      <c r="G45" s="268">
        <f>IF($O$27="Ya",'REGRESI 2'!T25,IF($O$27="Tidak",'PERHITUNGAN 2'!O91,"Pilih Dahulu"))</f>
        <v>-0.12520274940785736</v>
      </c>
      <c r="H45" s="165"/>
      <c r="I45" s="282"/>
      <c r="J45" s="79" t="str">
        <f>'PERHITUNGAN 2'!S91</f>
        <v>±</v>
      </c>
      <c r="K45" s="167" t="e" cm="1">
        <f t="array" aca="1" ref="K45" ca="1">_xll.SIGFIGUP('PERHITUNGAN 2'!T91,2)</f>
        <v>#NAME?</v>
      </c>
    </row>
    <row r="46" spans="1:11">
      <c r="A46" s="78"/>
      <c r="B46" s="315"/>
      <c r="C46" s="309">
        <f>IF($O$27="Ya",'REGRESI 2'!R26,IF($O$27="Tidak",'PERHITUNGAN 2'!N92,"Pilih Dahulu"))</f>
        <v>200</v>
      </c>
      <c r="D46" s="310"/>
      <c r="E46" s="310"/>
      <c r="F46" s="310"/>
      <c r="G46" s="268">
        <f>IF($O$27="Ya",'REGRESI 2'!T26,IF($O$27="Tidak",'PERHITUNGAN 2'!O92,"Pilih Dahulu"))</f>
        <v>-0.57658221380941477</v>
      </c>
      <c r="H46" s="165"/>
      <c r="I46" s="282"/>
      <c r="J46" s="79" t="str">
        <f>'PERHITUNGAN 2'!S92</f>
        <v>±</v>
      </c>
      <c r="K46" s="167" t="e" cm="1">
        <f t="array" aca="1" ref="K46" ca="1">_xll.SIGFIGUP('PERHITUNGAN 2'!T92,2)</f>
        <v>#NAME?</v>
      </c>
    </row>
    <row r="47" spans="1:11" hidden="1">
      <c r="A47" s="78"/>
      <c r="B47" s="315"/>
      <c r="C47" s="309">
        <f>IF($O$27="Ya",'REGRESI 2'!R27,IF($O$27="Tidak",'PERHITUNGAN 2'!N93,"Pilih Dahulu"))</f>
        <v>0</v>
      </c>
      <c r="D47" s="310"/>
      <c r="E47" s="310"/>
      <c r="F47" s="310"/>
      <c r="G47" s="268">
        <f>IF($O$27="Ya",'REGRESI 2'!T27,IF($O$27="Tidak",'PERHITUNGAN 2'!O93,"Pilih Dahulu"))</f>
        <v>-0.60904746521474751</v>
      </c>
      <c r="H47" s="165"/>
      <c r="I47" s="282"/>
      <c r="J47" s="79" t="str">
        <f>'PERHITUNGAN 2'!S93</f>
        <v>±</v>
      </c>
      <c r="K47" s="167" t="e" cm="1">
        <f t="array" aca="1" ref="K47" ca="1">_xll.SIGFIGUP('PERHITUNGAN 2'!T93,2)</f>
        <v>#NAME?</v>
      </c>
    </row>
    <row r="48" spans="1:11" hidden="1">
      <c r="A48" s="78"/>
      <c r="B48" s="315"/>
      <c r="C48" s="309">
        <f>IF($O$27="Ya",'REGRESI 2'!R28,IF($O$27="Tidak",'PERHITUNGAN 2'!N94,"Pilih Dahulu"))</f>
        <v>0</v>
      </c>
      <c r="D48" s="310"/>
      <c r="E48" s="310"/>
      <c r="F48" s="310"/>
      <c r="G48" s="268">
        <f>IF($O$27="Ya",'REGRESI 2'!T28,IF($O$27="Tidak",'PERHITUNGAN 2'!O94,"Pilih Dahulu"))</f>
        <v>-0.60904746521474751</v>
      </c>
      <c r="H48" s="165"/>
      <c r="I48" s="282"/>
      <c r="J48" s="79" t="str">
        <f>'PERHITUNGAN 2'!S94</f>
        <v>±</v>
      </c>
      <c r="K48" s="167" t="e" cm="1">
        <f t="array" aca="1" ref="K48" ca="1">_xll.SIGFIGUP('PERHITUNGAN 2'!T94,2)</f>
        <v>#NAME?</v>
      </c>
    </row>
    <row r="49" spans="1:11">
      <c r="A49" s="78"/>
      <c r="B49" s="289"/>
      <c r="C49" s="272"/>
      <c r="D49" s="273"/>
      <c r="E49" s="273"/>
      <c r="F49" s="273"/>
      <c r="G49" s="173"/>
      <c r="H49" s="170"/>
      <c r="I49" s="283"/>
      <c r="J49" s="266"/>
      <c r="K49" s="80"/>
    </row>
    <row r="50" spans="1:11">
      <c r="B50" s="260"/>
      <c r="C50" s="162"/>
      <c r="D50" s="162"/>
      <c r="E50" s="162"/>
      <c r="F50" s="162"/>
      <c r="G50" s="267"/>
      <c r="H50" s="280"/>
      <c r="I50" s="281"/>
      <c r="J50" s="79"/>
      <c r="K50" s="167"/>
    </row>
    <row r="51" spans="1:11">
      <c r="B51" s="315">
        <f>'PERHITUNGAN 3'!I7</f>
        <v>3</v>
      </c>
      <c r="C51" s="310">
        <f>IF($O$27="Ya",'REGRESI 3'!R19,IF($O$27="Tidak",'PERHITUNGAN 3'!N85,"Pilih Dahulu"))</f>
        <v>-10</v>
      </c>
      <c r="D51" s="310"/>
      <c r="E51" s="310"/>
      <c r="F51" s="310"/>
      <c r="G51" s="268">
        <f>IF($O$27="Ya",'REGRESI 3'!T19,IF($O$27="Tidak",'PERHITUNGAN 3'!O85,"Pilih Dahulu"))</f>
        <v>-0.82680406210851176</v>
      </c>
      <c r="H51" s="165"/>
      <c r="I51" s="282"/>
      <c r="J51" s="79" t="str">
        <f>'PERHITUNGAN 3'!S85</f>
        <v>±</v>
      </c>
      <c r="K51" s="167" t="e" cm="1">
        <f t="array" aca="1" ref="K51" ca="1">_xll.SIGFIGUP('PERHITUNGAN 3'!T85,2)</f>
        <v>#NAME?</v>
      </c>
    </row>
    <row r="52" spans="1:11" ht="13.5" customHeight="1">
      <c r="B52" s="315"/>
      <c r="C52" s="310">
        <f>IF($O$27="Ya",'REGRESI 3'!R20,IF($O$27="Tidak",'PERHITUNGAN 3'!N86,"Pilih Dahulu"))</f>
        <v>0</v>
      </c>
      <c r="D52" s="310"/>
      <c r="E52" s="310"/>
      <c r="F52" s="310"/>
      <c r="G52" s="268">
        <f>IF($O$27="Ya",'REGRESI 3'!T20,IF($O$27="Tidak",'PERHITUNGAN 3'!O86,"Pilih Dahulu"))</f>
        <v>-0.69785498990558992</v>
      </c>
      <c r="H52" s="165"/>
      <c r="I52" s="282"/>
      <c r="J52" s="79" t="str">
        <f>'PERHITUNGAN 3'!S86</f>
        <v>±</v>
      </c>
      <c r="K52" s="167" t="e" cm="1">
        <f t="array" aca="1" ref="K52" ca="1">_xll.SIGFIGUP('PERHITUNGAN 3'!T86,2)</f>
        <v>#NAME?</v>
      </c>
    </row>
    <row r="53" spans="1:11" ht="13.5" customHeight="1">
      <c r="B53" s="315"/>
      <c r="C53" s="310">
        <f>IF($O$27="Ya",'REGRESI 3'!R21,IF($O$27="Tidak",'PERHITUNGAN 3'!N87,"Pilih Dahulu"))</f>
        <v>25</v>
      </c>
      <c r="D53" s="310"/>
      <c r="E53" s="310"/>
      <c r="F53" s="310"/>
      <c r="G53" s="268">
        <f>IF($O$27="Ya",'REGRESI 3'!T21,IF($O$27="Tidak",'PERHITUNGAN 3'!O87,"Pilih Dahulu"))</f>
        <v>2.1964030081057906E-2</v>
      </c>
      <c r="H53" s="165"/>
      <c r="I53" s="282"/>
      <c r="J53" s="79" t="str">
        <f>'PERHITUNGAN 3'!S87</f>
        <v>±</v>
      </c>
      <c r="K53" s="167" t="e" cm="1">
        <f t="array" aca="1" ref="K53" ca="1">_xll.SIGFIGUP('PERHITUNGAN 3'!T87,2)</f>
        <v>#NAME?</v>
      </c>
    </row>
    <row r="54" spans="1:11">
      <c r="B54" s="315"/>
      <c r="C54" s="310">
        <f>IF($O$27="Ya",'REGRESI 3'!R22,IF($O$27="Tidak",'PERHITUNGAN 3'!N88,"Pilih Dahulu"))</f>
        <v>50</v>
      </c>
      <c r="D54" s="310"/>
      <c r="E54" s="310"/>
      <c r="F54" s="310"/>
      <c r="G54" s="268">
        <f>IF($O$27="Ya",'REGRESI 3'!T22,IF($O$27="Tidak",'PERHITUNGAN 3'!O88,"Pilih Dahulu"))</f>
        <v>1.0916901189086541</v>
      </c>
      <c r="H54" s="165"/>
      <c r="I54" s="282"/>
      <c r="J54" s="79" t="str">
        <f>'PERHITUNGAN 3'!S88</f>
        <v>±</v>
      </c>
      <c r="K54" s="167" t="e" cm="1">
        <f t="array" aca="1" ref="K54" ca="1">_xll.SIGFIGUP('PERHITUNGAN 3'!T88,2)</f>
        <v>#NAME?</v>
      </c>
    </row>
    <row r="55" spans="1:11">
      <c r="B55" s="315"/>
      <c r="C55" s="310">
        <f>IF($O$27="Ya",'REGRESI 3'!R23,IF($O$27="Tidak",'PERHITUNGAN 3'!N89,"Pilih Dahulu"))</f>
        <v>100</v>
      </c>
      <c r="D55" s="310"/>
      <c r="E55" s="310"/>
      <c r="F55" s="310"/>
      <c r="G55" s="268">
        <f>IF($O$27="Ya",'REGRESI 3'!T23,IF($O$27="Tidak",'PERHITUNGAN 3'!O89,"Pilih Dahulu"))</f>
        <v>3.1914964224389841</v>
      </c>
      <c r="H55" s="165"/>
      <c r="I55" s="282"/>
      <c r="J55" s="79" t="str">
        <f>'PERHITUNGAN 3'!S89</f>
        <v>±</v>
      </c>
      <c r="K55" s="167" t="e" cm="1">
        <f t="array" aca="1" ref="K55" ca="1">_xll.SIGFIGUP('PERHITUNGAN 3'!T89,2)</f>
        <v>#NAME?</v>
      </c>
    </row>
    <row r="56" spans="1:11">
      <c r="B56" s="315"/>
      <c r="C56" s="310">
        <f>IF($O$27="Ya",'REGRESI 3'!R24,IF($O$27="Tidak",'PERHITUNGAN 3'!N90,"Pilih Dahulu"))</f>
        <v>125</v>
      </c>
      <c r="D56" s="310"/>
      <c r="E56" s="310"/>
      <c r="F56" s="310"/>
      <c r="G56" s="268">
        <f>IF($O$27="Ya",'REGRESI 3'!T24,IF($O$27="Tidak",'PERHITUNGAN 3'!O90,"Pilih Dahulu"))</f>
        <v>3.6768930968178646</v>
      </c>
      <c r="H56" s="165"/>
      <c r="I56" s="282"/>
      <c r="J56" s="79" t="str">
        <f>'PERHITUNGAN 3'!S90</f>
        <v>±</v>
      </c>
      <c r="K56" s="167" t="e" cm="1">
        <f t="array" aca="1" ref="K56" ca="1">_xll.SIGFIGUP('PERHITUNGAN 3'!T90,2)</f>
        <v>#NAME?</v>
      </c>
    </row>
    <row r="57" spans="1:11">
      <c r="B57" s="315"/>
      <c r="C57" s="310">
        <f>IF($O$27="Ya",'REGRESI 3'!R25,IF($O$27="Tidak",'PERHITUNGAN 3'!N91,"Pilih Dahulu"))</f>
        <v>150</v>
      </c>
      <c r="D57" s="310"/>
      <c r="E57" s="310"/>
      <c r="F57" s="310"/>
      <c r="G57" s="268">
        <f>IF($O$27="Ya",'REGRESI 3'!T25,IF($O$27="Tidak",'PERHITUNGAN 3'!O91,"Pilih Dahulu"))</f>
        <v>3.4228297593899857</v>
      </c>
      <c r="H57" s="165"/>
      <c r="I57" s="282"/>
      <c r="J57" s="79" t="str">
        <f>'PERHITUNGAN 3'!S91</f>
        <v>±</v>
      </c>
      <c r="K57" s="167" t="e" cm="1">
        <f t="array" aca="1" ref="K57" ca="1">_xll.SIGFIGUP('PERHITUNGAN 3'!T91,2)</f>
        <v>#NAME?</v>
      </c>
    </row>
    <row r="58" spans="1:11">
      <c r="B58" s="315"/>
      <c r="C58" s="310">
        <f>IF($O$27="Ya",'REGRESI 3'!R26,IF($O$27="Tidak",'PERHITUNGAN 3'!N92,"Pilih Dahulu"))</f>
        <v>200</v>
      </c>
      <c r="D58" s="310"/>
      <c r="E58" s="310"/>
      <c r="F58" s="310"/>
      <c r="G58" s="268">
        <f>IF($O$27="Ya",'REGRESI 3'!T26,IF($O$27="Tidak",'PERHITUNGAN 3'!O92,"Pilih Dahulu"))</f>
        <v>-0.39304403153376199</v>
      </c>
      <c r="H58" s="165"/>
      <c r="I58" s="282"/>
      <c r="J58" s="79" t="str">
        <f>'PERHITUNGAN 3'!S92</f>
        <v>±</v>
      </c>
      <c r="K58" s="167" t="e" cm="1">
        <f t="array" aca="1" ref="K58" ca="1">_xll.SIGFIGUP('PERHITUNGAN 3'!T92,2)</f>
        <v>#NAME?</v>
      </c>
    </row>
    <row r="59" spans="1:11" hidden="1">
      <c r="B59" s="315"/>
      <c r="C59" s="310">
        <f>IF($O$27="Ya",'REGRESI 3'!R14,IF($O$27="Tidak",'PERHITUNGAN 3'!N93,"Pilih Dahulu"))</f>
        <v>0</v>
      </c>
      <c r="D59" s="310"/>
      <c r="E59" s="310"/>
      <c r="F59" s="310"/>
      <c r="G59" s="268">
        <f>IF($O$27="Ya",'REGRESI 3'!T14,IF($O$27="Tidak",'PERHITUNGAN 3'!O93,"Pilih Dahulu"))</f>
        <v>0</v>
      </c>
      <c r="H59" s="165"/>
      <c r="I59" s="282"/>
      <c r="J59" s="79" t="str">
        <f>'PERHITUNGAN 3'!S93</f>
        <v>±</v>
      </c>
      <c r="K59" s="167" t="e" cm="1">
        <f t="array" aca="1" ref="K59" ca="1">_xll.SIGFIGUP('PERHITUNGAN 3'!T93,2)</f>
        <v>#NAME?</v>
      </c>
    </row>
    <row r="60" spans="1:11" hidden="1">
      <c r="B60" s="315"/>
      <c r="C60" s="310">
        <f>IF($O$27="Ya",'REGRESI 3'!R15,IF($O$27="Tidak",'PERHITUNGAN 3'!N94,"Pilih Dahulu"))</f>
        <v>0</v>
      </c>
      <c r="D60" s="310"/>
      <c r="E60" s="310"/>
      <c r="F60" s="310"/>
      <c r="G60" s="268">
        <f>IF($O$27="Ya",'REGRESI 3'!T15,IF($O$27="Tidak",'PERHITUNGAN 3'!O94,"Pilih Dahulu"))</f>
        <v>0</v>
      </c>
      <c r="H60" s="165"/>
      <c r="I60" s="282"/>
      <c r="J60" s="79" t="str">
        <f>'PERHITUNGAN 3'!S94</f>
        <v>±</v>
      </c>
      <c r="K60" s="167" t="e" cm="1">
        <f t="array" aca="1" ref="K60" ca="1">_xll.SIGFIGUP('PERHITUNGAN 3'!T94,2)</f>
        <v>#NAME?</v>
      </c>
    </row>
    <row r="61" spans="1:11">
      <c r="B61" s="256"/>
      <c r="C61" s="273"/>
      <c r="D61" s="273"/>
      <c r="E61" s="273"/>
      <c r="F61" s="273"/>
      <c r="G61" s="173"/>
      <c r="H61" s="170"/>
      <c r="I61" s="283"/>
      <c r="J61" s="266"/>
      <c r="K61" s="80"/>
    </row>
    <row r="62" spans="1:11" ht="15.5">
      <c r="B62" s="257" t="s">
        <v>39</v>
      </c>
      <c r="C62" s="275" t="s">
        <v>41</v>
      </c>
      <c r="D62" s="275" t="s">
        <v>40</v>
      </c>
      <c r="E62" s="87"/>
      <c r="F62" s="87"/>
      <c r="G62" s="165"/>
      <c r="H62" s="165"/>
      <c r="I62" s="165"/>
    </row>
    <row r="63" spans="1:11">
      <c r="B63" s="288" t="s">
        <v>195</v>
      </c>
      <c r="C63" s="290" t="s">
        <v>48</v>
      </c>
      <c r="D63" s="291"/>
      <c r="E63" s="291"/>
      <c r="F63" s="292"/>
      <c r="G63" s="293" t="s">
        <v>4</v>
      </c>
      <c r="H63" s="294"/>
      <c r="I63" s="295"/>
      <c r="J63" s="296" t="s">
        <v>28</v>
      </c>
      <c r="K63" s="297"/>
    </row>
    <row r="64" spans="1:11">
      <c r="B64" s="289"/>
      <c r="C64" s="298" t="str">
        <f>IF('PERHITUNGAN 1'!$C$2="Celcius","(°C)","(°F)")</f>
        <v>(°C)</v>
      </c>
      <c r="D64" s="299"/>
      <c r="E64" s="299"/>
      <c r="F64" s="300"/>
      <c r="G64" s="301" t="str">
        <f>IF('PERHITUNGAN 1'!$C$2="Celcius","(°C)","(°F)")</f>
        <v>(°C)</v>
      </c>
      <c r="H64" s="302"/>
      <c r="I64" s="303"/>
      <c r="J64" s="304" t="str">
        <f>IF('PERHITUNGAN 1'!$C$2="Celcius","(°C)","(°F)")</f>
        <v>(°C)</v>
      </c>
      <c r="K64" s="305"/>
    </row>
    <row r="65" spans="1:11">
      <c r="A65" s="78"/>
      <c r="B65" s="306">
        <f>'PERHITUNGAN 4'!I7</f>
        <v>4</v>
      </c>
      <c r="C65" s="269"/>
      <c r="D65" s="162"/>
      <c r="E65" s="162"/>
      <c r="F65" s="270"/>
      <c r="G65" s="165"/>
      <c r="H65" s="165"/>
      <c r="I65" s="165"/>
      <c r="J65" s="166"/>
      <c r="K65" s="167"/>
    </row>
    <row r="66" spans="1:11">
      <c r="A66" s="78"/>
      <c r="B66" s="307"/>
      <c r="C66" s="309">
        <f>IF($O$27="Ya",'REGRESI 4'!R19,IF($O$27="Tidak",'PERHITUNGAN 4'!N85,"Pilih Dahulu"))</f>
        <v>-10</v>
      </c>
      <c r="D66" s="310"/>
      <c r="E66" s="310"/>
      <c r="F66" s="311"/>
      <c r="G66" s="87">
        <f>IF($O$27="Ya",'REGRESI 4'!T19,IF($O$27="Tidak",'PERHITUNGAN 4'!O85,"Pilih Dahulu"))</f>
        <v>-0.98281816202127004</v>
      </c>
      <c r="H66" s="165"/>
      <c r="I66" s="165"/>
      <c r="J66" s="166" t="str">
        <f>'PERHITUNGAN 4'!S85</f>
        <v>±</v>
      </c>
      <c r="K66" s="167" t="e" cm="1">
        <f t="array" aca="1" ref="K66" ca="1">_xll.SIGFIGUP('PERHITUNGAN 4'!T85,2)</f>
        <v>#NAME?</v>
      </c>
    </row>
    <row r="67" spans="1:11">
      <c r="A67" s="78"/>
      <c r="B67" s="307"/>
      <c r="C67" s="309">
        <f>IF($O$27="Ya",'REGRESI 4'!R20,IF($O$27="Tidak",'PERHITUNGAN 4'!N86,"Pilih Dahulu"))</f>
        <v>0</v>
      </c>
      <c r="D67" s="310"/>
      <c r="E67" s="310"/>
      <c r="F67" s="311"/>
      <c r="G67" s="87">
        <f>IF($O$27="Ya",'REGRESI 4'!T20,IF($O$27="Tidak",'PERHITUNGAN 4'!O86,"Pilih Dahulu"))</f>
        <v>-0.81368472783846535</v>
      </c>
      <c r="H67" s="165"/>
      <c r="I67" s="165"/>
      <c r="J67" s="166" t="str">
        <f>'PERHITUNGAN 4'!S86</f>
        <v>±</v>
      </c>
      <c r="K67" s="167" t="e" cm="1">
        <f t="array" aca="1" ref="K67" ca="1">_xll.SIGFIGUP('PERHITUNGAN 4'!T86,2)</f>
        <v>#NAME?</v>
      </c>
    </row>
    <row r="68" spans="1:11">
      <c r="A68" s="78"/>
      <c r="B68" s="307"/>
      <c r="C68" s="309">
        <f>IF($O$27="Ya",'REGRESI 4'!R21,IF($O$27="Tidak",'PERHITUNGAN 4'!N87,"Pilih Dahulu"))</f>
        <v>25</v>
      </c>
      <c r="D68" s="310"/>
      <c r="E68" s="310"/>
      <c r="F68" s="311"/>
      <c r="G68" s="87">
        <f>IF($O$27="Ya",'REGRESI 4'!T21,IF($O$27="Tidak",'PERHITUNGAN 4'!O87,"Pilih Dahulu"))</f>
        <v>0.12092979721798799</v>
      </c>
      <c r="H68" s="165"/>
      <c r="I68" s="165"/>
      <c r="J68" s="166" t="str">
        <f>'PERHITUNGAN 4'!S87</f>
        <v>±</v>
      </c>
      <c r="K68" s="167" t="e" cm="1">
        <f t="array" aca="1" ref="K68" ca="1">_xll.SIGFIGUP('PERHITUNGAN 4'!T87,2)</f>
        <v>#NAME?</v>
      </c>
    </row>
    <row r="69" spans="1:11">
      <c r="A69" s="78"/>
      <c r="B69" s="307"/>
      <c r="C69" s="309">
        <f>IF($O$27="Ya",'REGRESI 4'!R22,IF($O$27="Tidak",'PERHITUNGAN 4'!N88,"Pilih Dahulu"))</f>
        <v>50</v>
      </c>
      <c r="D69" s="310"/>
      <c r="E69" s="310"/>
      <c r="F69" s="311"/>
      <c r="G69" s="87">
        <f>IF($O$27="Ya",'REGRESI 4'!T22,IF($O$27="Tidak",'PERHITUNGAN 4'!O88,"Pilih Dahulu"))</f>
        <v>1.5258876472905665</v>
      </c>
      <c r="H69" s="165"/>
      <c r="I69" s="165"/>
      <c r="J69" s="166" t="str">
        <f>'PERHITUNGAN 4'!S88</f>
        <v>±</v>
      </c>
      <c r="K69" s="167" t="e" cm="1">
        <f t="array" aca="1" ref="K69" ca="1">_xll.SIGFIGUP('PERHITUNGAN 4'!T88,2)</f>
        <v>#NAME?</v>
      </c>
    </row>
    <row r="70" spans="1:11">
      <c r="A70" s="78"/>
      <c r="B70" s="307"/>
      <c r="C70" s="309">
        <f>IF($O$27="Ya",'REGRESI 4'!R23,IF($O$27="Tidak",'PERHITUNGAN 4'!N89,"Pilih Dahulu"))</f>
        <v>100</v>
      </c>
      <c r="D70" s="310"/>
      <c r="E70" s="310"/>
      <c r="F70" s="311"/>
      <c r="G70" s="87">
        <f>IF($O$27="Ya",'REGRESI 4'!T23,IF($O$27="Tidak",'PERHITUNGAN 4'!O89,"Pilih Dahulu"))</f>
        <v>4.4429718075687141</v>
      </c>
      <c r="H70" s="165"/>
      <c r="I70" s="165"/>
      <c r="J70" s="166" t="str">
        <f>'PERHITUNGAN 4'!S89</f>
        <v>±</v>
      </c>
      <c r="K70" s="167" t="e" cm="1">
        <f t="array" aca="1" ref="K70" ca="1">_xll.SIGFIGUP('PERHITUNGAN 4'!T89,2)</f>
        <v>#NAME?</v>
      </c>
    </row>
    <row r="71" spans="1:11">
      <c r="A71" s="78"/>
      <c r="B71" s="307"/>
      <c r="C71" s="309">
        <f>IF($O$27="Ya",'REGRESI 4'!R24,IF($O$27="Tidak",'PERHITUNGAN 4'!N90,"Pilih Dahulu"))</f>
        <v>125</v>
      </c>
      <c r="D71" s="310"/>
      <c r="E71" s="310"/>
      <c r="F71" s="311"/>
      <c r="G71" s="87">
        <f>IF($O$27="Ya",'REGRESI 4'!T24,IF($O$27="Tidak",'PERHITUNGAN 4'!O90,"Pilih Dahulu"))</f>
        <v>5.3031673603165927</v>
      </c>
      <c r="H71" s="165"/>
      <c r="I71" s="165"/>
      <c r="J71" s="166" t="str">
        <f>'PERHITUNGAN 4'!S90</f>
        <v>±</v>
      </c>
      <c r="K71" s="167" t="e" cm="1">
        <f t="array" aca="1" ref="K71" ca="1">_xll.SIGFIGUP('PERHITUNGAN 4'!T90,2)</f>
        <v>#NAME?</v>
      </c>
    </row>
    <row r="72" spans="1:11">
      <c r="A72" s="78"/>
      <c r="B72" s="307"/>
      <c r="C72" s="309">
        <f>IF($O$27="Ya",'REGRESI 4'!R25,IF($O$27="Tidak",'PERHITUNGAN 4'!N91,"Pilih Dahulu"))</f>
        <v>150</v>
      </c>
      <c r="D72" s="310"/>
      <c r="E72" s="310"/>
      <c r="F72" s="311"/>
      <c r="G72" s="87">
        <f>IF($O$27="Ya",'REGRESI 4'!T25,IF($O$27="Tidak",'PERHITUNGAN 4'!O91,"Pilih Dahulu"))</f>
        <v>5.3298447231652126</v>
      </c>
      <c r="H72" s="165"/>
      <c r="I72" s="165"/>
      <c r="J72" s="166" t="str">
        <f>'PERHITUNGAN 4'!S91</f>
        <v>±</v>
      </c>
      <c r="K72" s="167" t="e" cm="1">
        <f t="array" aca="1" ref="K72" ca="1">_xll.SIGFIGUP('PERHITUNGAN 4'!T91,2)</f>
        <v>#NAME?</v>
      </c>
    </row>
    <row r="73" spans="1:11">
      <c r="A73" s="78"/>
      <c r="B73" s="307"/>
      <c r="C73" s="309">
        <f>IF($O$27="Ya",'REGRESI 4'!R26,IF($O$27="Tidak",'PERHITUNGAN 4'!N92,"Pilih Dahulu"))</f>
        <v>200</v>
      </c>
      <c r="D73" s="310"/>
      <c r="E73" s="310"/>
      <c r="F73" s="311"/>
      <c r="G73" s="87">
        <f>IF($O$27="Ya",'REGRESI 4'!T26,IF($O$27="Tidak",'PERHITUNGAN 4'!O92,"Pilih Dahulu"))</f>
        <v>1.5787833642492863</v>
      </c>
      <c r="H73" s="165"/>
      <c r="I73" s="165"/>
      <c r="J73" s="166" t="str">
        <f>'PERHITUNGAN 4'!S92</f>
        <v>±</v>
      </c>
      <c r="K73" s="167" t="e" cm="1">
        <f t="array" aca="1" ref="K73" ca="1">_xll.SIGFIGUP('PERHITUNGAN 4'!T92,2)</f>
        <v>#NAME?</v>
      </c>
    </row>
    <row r="74" spans="1:11" hidden="1">
      <c r="A74" s="78"/>
      <c r="B74" s="307"/>
      <c r="C74" s="309">
        <f>IF($O$27="Ya",'REGRESI 4'!R27,IF($O$27="Tidak",'PERHITUNGAN 4'!N93,"Pilih Dahulu"))</f>
        <v>0</v>
      </c>
      <c r="D74" s="310"/>
      <c r="E74" s="310"/>
      <c r="F74" s="311"/>
      <c r="G74" s="277">
        <f>IF($O$27="Ya",'REGRESI 4'!T27,IF($O$27="Tidak",'PERHITUNGAN 4'!O93,"Pilih Dahulu"))</f>
        <v>-0.81368472783846535</v>
      </c>
      <c r="H74" s="165"/>
      <c r="I74" s="165"/>
      <c r="J74" s="166" t="str">
        <f>'PERHITUNGAN 4'!S93</f>
        <v>±</v>
      </c>
      <c r="K74" s="167" t="e" cm="1">
        <f t="array" aca="1" ref="K74" ca="1">_xll.SIGFIGUP('PERHITUNGAN 4'!T93,2)</f>
        <v>#NAME?</v>
      </c>
    </row>
    <row r="75" spans="1:11" hidden="1">
      <c r="A75" s="78"/>
      <c r="B75" s="307"/>
      <c r="C75" s="309">
        <f>IF($O$27="Ya",'REGRESI 4'!R28,IF($O$27="Tidak",'PERHITUNGAN 4'!N94,"Pilih Dahulu"))</f>
        <v>0</v>
      </c>
      <c r="D75" s="310"/>
      <c r="E75" s="310"/>
      <c r="F75" s="311"/>
      <c r="G75" s="277">
        <f>IF($O$27="Ya",'REGRESI 4'!T28,IF($O$27="Tidak",'PERHITUNGAN 4'!O94,"Pilih Dahulu"))</f>
        <v>-0.81368472783846535</v>
      </c>
      <c r="H75" s="165"/>
      <c r="I75" s="165"/>
      <c r="J75" s="166" t="str">
        <f>'PERHITUNGAN 4'!S94</f>
        <v>±</v>
      </c>
      <c r="K75" s="167" t="e" cm="1">
        <f t="array" aca="1" ref="K75" ca="1">_xll.SIGFIGUP('PERHITUNGAN 4'!T94,2)</f>
        <v>#NAME?</v>
      </c>
    </row>
    <row r="76" spans="1:11">
      <c r="A76" s="78"/>
      <c r="B76" s="308"/>
      <c r="C76" s="272"/>
      <c r="D76" s="273"/>
      <c r="E76" s="273"/>
      <c r="F76" s="274"/>
      <c r="G76" s="170"/>
      <c r="H76" s="170"/>
      <c r="I76" s="170"/>
      <c r="J76" s="172"/>
      <c r="K76" s="80"/>
    </row>
    <row r="77" spans="1:11">
      <c r="A77" s="78"/>
      <c r="B77" s="306">
        <f>'PERHITUNGAN 5'!I7</f>
        <v>5</v>
      </c>
      <c r="C77" s="269"/>
      <c r="D77" s="162"/>
      <c r="E77" s="162"/>
      <c r="F77" s="270"/>
      <c r="G77" s="165"/>
      <c r="H77" s="165"/>
      <c r="I77" s="165"/>
      <c r="J77" s="166"/>
      <c r="K77" s="167"/>
    </row>
    <row r="78" spans="1:11">
      <c r="A78" s="78"/>
      <c r="B78" s="307"/>
      <c r="C78" s="309">
        <f>IF($O$27="Ya",'REGRESI 5'!R19,IF($O$27="Tidak",'PERHITUNGAN 5'!N85,"Pilih Dahulu"))</f>
        <v>-10</v>
      </c>
      <c r="D78" s="310"/>
      <c r="E78" s="310"/>
      <c r="F78" s="311"/>
      <c r="G78" s="165">
        <f>IF($O$27="Ya",'REGRESI 5'!T19,IF($O$27="Tidak",'PERHITUNGAN 5'!O85,"Pilih Dahulu"))</f>
        <v>-1.1136317267700995</v>
      </c>
      <c r="H78" s="165"/>
      <c r="I78" s="165"/>
      <c r="J78" s="166" t="str">
        <f>'PERHITUNGAN 5'!S85</f>
        <v>±</v>
      </c>
      <c r="K78" s="167" t="e" cm="1">
        <f t="array" aca="1" ref="K78" ca="1">_xll.SIGFIGUP('PERHITUNGAN 5'!T85,2)</f>
        <v>#NAME?</v>
      </c>
    </row>
    <row r="79" spans="1:11">
      <c r="A79" s="78"/>
      <c r="B79" s="307"/>
      <c r="C79" s="309">
        <f>IF($O$27="Ya",'REGRESI 5'!R20,IF($O$27="Tidak",'PERHITUNGAN 5'!N86,"Pilih Dahulu"))</f>
        <v>0</v>
      </c>
      <c r="D79" s="310"/>
      <c r="E79" s="310"/>
      <c r="F79" s="311"/>
      <c r="G79" s="165">
        <f>IF($O$27="Ya",'REGRESI 5'!T20,IF($O$27="Tidak",'PERHITUNGAN 5'!O86,"Pilih Dahulu"))</f>
        <v>-0.61419091681581017</v>
      </c>
      <c r="H79" s="165"/>
      <c r="I79" s="165"/>
      <c r="J79" s="166" t="str">
        <f>'PERHITUNGAN 5'!S86</f>
        <v>±</v>
      </c>
      <c r="K79" s="167" t="e" cm="1">
        <f t="array" aca="1" ref="K79" ca="1">_xll.SIGFIGUP('PERHITUNGAN 5'!T86,2)</f>
        <v>#NAME?</v>
      </c>
    </row>
    <row r="80" spans="1:11">
      <c r="A80" s="78"/>
      <c r="B80" s="307"/>
      <c r="C80" s="309">
        <f>IF($O$27="Ya",'REGRESI 5'!R21,IF($O$27="Tidak",'PERHITUNGAN 5'!N87,"Pilih Dahulu"))</f>
        <v>25</v>
      </c>
      <c r="D80" s="310"/>
      <c r="E80" s="310"/>
      <c r="F80" s="311"/>
      <c r="G80" s="165">
        <f>IF($O$27="Ya",'REGRESI 5'!T21,IF($O$27="Tidak",'PERHITUNGAN 5'!O87,"Pilih Dahulu"))</f>
        <v>0.18832006555109057</v>
      </c>
      <c r="H80" s="165"/>
      <c r="I80" s="165"/>
      <c r="J80" s="166" t="str">
        <f>'PERHITUNGAN 5'!S87</f>
        <v>±</v>
      </c>
      <c r="K80" s="167" t="e" cm="1">
        <f t="array" aca="1" ref="K80" ca="1">_xll.SIGFIGUP('PERHITUNGAN 5'!T87,2)</f>
        <v>#NAME?</v>
      </c>
    </row>
    <row r="81" spans="1:11">
      <c r="A81" s="78"/>
      <c r="B81" s="307"/>
      <c r="C81" s="309">
        <f>IF($O$27="Ya",'REGRESI 5'!R22,IF($O$27="Tidak",'PERHITUNGAN 5'!N88,"Pilih Dahulu"))</f>
        <v>50</v>
      </c>
      <c r="D81" s="310"/>
      <c r="E81" s="310"/>
      <c r="F81" s="311"/>
      <c r="G81" s="165">
        <f>IF($O$27="Ya",'REGRESI 5'!T22,IF($O$27="Tidak",'PERHITUNGAN 5'!O88,"Pilih Dahulu"))</f>
        <v>0.46752972606405624</v>
      </c>
      <c r="H81" s="165"/>
      <c r="I81" s="165"/>
      <c r="J81" s="166" t="str">
        <f>'PERHITUNGAN 5'!S88</f>
        <v>±</v>
      </c>
      <c r="K81" s="167" t="e" cm="1">
        <f t="array" aca="1" ref="K81" ca="1">_xll.SIGFIGUP('PERHITUNGAN 5'!T88,2)</f>
        <v>#NAME?</v>
      </c>
    </row>
    <row r="82" spans="1:11">
      <c r="A82" s="78"/>
      <c r="B82" s="307"/>
      <c r="C82" s="309">
        <f>IF($O$27="Ya",'REGRESI 5'!R23,IF($O$27="Tidak",'PERHITUNGAN 5'!N89,"Pilih Dahulu"))</f>
        <v>100</v>
      </c>
      <c r="D82" s="310"/>
      <c r="E82" s="310"/>
      <c r="F82" s="311"/>
      <c r="G82" s="165">
        <f>IF($O$27="Ya",'REGRESI 5'!T23,IF($O$27="Tidak",'PERHITUNGAN 5'!O89,"Pilih Dahulu"))</f>
        <v>2.5903061678666184E-2</v>
      </c>
      <c r="H82" s="165"/>
      <c r="I82" s="165"/>
      <c r="J82" s="166" t="str">
        <f>'PERHITUNGAN 5'!S89</f>
        <v>±</v>
      </c>
      <c r="K82" s="167" t="e" cm="1">
        <f t="array" aca="1" ref="K82" ca="1">_xll.SIGFIGUP('PERHITUNGAN 5'!T89,2)</f>
        <v>#NAME?</v>
      </c>
    </row>
    <row r="83" spans="1:11">
      <c r="A83" s="78"/>
      <c r="B83" s="307"/>
      <c r="C83" s="309">
        <f>IF($O$27="Ya",'REGRESI 5'!R24,IF($O$27="Tidak",'PERHITUNGAN 5'!N90,"Pilih Dahulu"))</f>
        <v>125</v>
      </c>
      <c r="D83" s="310"/>
      <c r="E83" s="310"/>
      <c r="F83" s="311"/>
      <c r="G83" s="165">
        <f>IF($O$27="Ya",'REGRESI 5'!T24,IF($O$27="Tidak",'PERHITUNGAN 5'!O90,"Pilih Dahulu"))</f>
        <v>-0.41000427314444865</v>
      </c>
      <c r="H83" s="165"/>
      <c r="I83" s="165"/>
      <c r="J83" s="166" t="str">
        <f>'PERHITUNGAN 5'!S90</f>
        <v>±</v>
      </c>
      <c r="K83" s="167" t="e" cm="1">
        <f t="array" aca="1" ref="K83" ca="1">_xll.SIGFIGUP('PERHITUNGAN 5'!T90,2)</f>
        <v>#NAME?</v>
      </c>
    </row>
    <row r="84" spans="1:11">
      <c r="A84" s="78"/>
      <c r="B84" s="307"/>
      <c r="C84" s="309">
        <f>IF($O$27="Ya",'REGRESI 5'!R25,IF($O$27="Tidak",'PERHITUNGAN 5'!N91,"Pilih Dahulu"))</f>
        <v>150</v>
      </c>
      <c r="D84" s="310"/>
      <c r="E84" s="310"/>
      <c r="F84" s="311"/>
      <c r="G84" s="165">
        <f>IF($O$27="Ya",'REGRESI 5'!T25,IF($O$27="Tidak",'PERHITUNGAN 5'!O91,"Pilih Dahulu"))</f>
        <v>-0.79935494967101306</v>
      </c>
      <c r="H84" s="165"/>
      <c r="I84" s="165"/>
      <c r="J84" s="166" t="str">
        <f>'PERHITUNGAN 5'!S91</f>
        <v>±</v>
      </c>
      <c r="K84" s="167" t="e" cm="1">
        <f t="array" aca="1" ref="K84" ca="1">_xll.SIGFIGUP('PERHITUNGAN 5'!T91,2)</f>
        <v>#NAME?</v>
      </c>
    </row>
    <row r="85" spans="1:11">
      <c r="A85" s="78"/>
      <c r="B85" s="307"/>
      <c r="C85" s="309">
        <f>IF($O$27="Ya",'REGRESI 5'!R26,IF($O$27="Tidak",'PERHITUNGAN 5'!N92,"Pilih Dahulu"))</f>
        <v>200</v>
      </c>
      <c r="D85" s="310"/>
      <c r="E85" s="310"/>
      <c r="F85" s="311"/>
      <c r="G85" s="165">
        <f>IF($O$27="Ya",'REGRESI 5'!T26,IF($O$27="Tidak",'PERHITUNGAN 5'!O92,"Pilih Dahulu"))</f>
        <v>-0.86852834768401266</v>
      </c>
      <c r="H85" s="165"/>
      <c r="I85" s="165"/>
      <c r="J85" s="166" t="str">
        <f>'PERHITUNGAN 5'!S92</f>
        <v>±</v>
      </c>
      <c r="K85" s="167" t="e" cm="1">
        <f t="array" aca="1" ref="K85" ca="1">_xll.SIGFIGUP('PERHITUNGAN 5'!T92,2)</f>
        <v>#NAME?</v>
      </c>
    </row>
    <row r="86" spans="1:11" hidden="1">
      <c r="A86" s="78"/>
      <c r="B86" s="307"/>
      <c r="C86" s="309">
        <f>IF($O$27="Ya",'REGRESI 5'!R27,IF($O$27="Tidak",'PERHITUNGAN 5'!N93,"Pilih Dahulu"))</f>
        <v>0</v>
      </c>
      <c r="D86" s="310"/>
      <c r="E86" s="310"/>
      <c r="F86" s="311"/>
      <c r="G86" s="165">
        <f>IF($O$27="Ya",'REGRESI 5'!T27,IF($O$27="Tidak",'PERHITUNGAN 5'!O93,"Pilih Dahulu"))</f>
        <v>-0.61419091681581017</v>
      </c>
      <c r="H86" s="165"/>
      <c r="I86" s="165"/>
      <c r="J86" s="166" t="str">
        <f>'PERHITUNGAN 5'!S93</f>
        <v>±</v>
      </c>
      <c r="K86" s="167" t="e" cm="1">
        <f t="array" aca="1" ref="K86" ca="1">_xll.SIGFIGUP('PERHITUNGAN 5'!T93,2)</f>
        <v>#NAME?</v>
      </c>
    </row>
    <row r="87" spans="1:11" hidden="1">
      <c r="A87" s="78"/>
      <c r="B87" s="307"/>
      <c r="C87" s="309">
        <f>IF($O$27="Ya",'REGRESI 5'!R28,IF($O$27="Tidak",'PERHITUNGAN 5'!N94,"Pilih Dahulu"))</f>
        <v>0</v>
      </c>
      <c r="D87" s="310"/>
      <c r="E87" s="310"/>
      <c r="F87" s="311"/>
      <c r="G87" s="165">
        <f>IF($O$27="Ya",'REGRESI 5'!T28,IF($O$27="Tidak",'PERHITUNGAN 5'!O94,"Pilih Dahulu"))</f>
        <v>-0.61419091681581017</v>
      </c>
      <c r="H87" s="165"/>
      <c r="I87" s="165"/>
      <c r="J87" s="166" t="str">
        <f>'PERHITUNGAN 5'!S94</f>
        <v>±</v>
      </c>
      <c r="K87" s="167" t="e" cm="1">
        <f t="array" aca="1" ref="K87" ca="1">_xll.SIGFIGUP('PERHITUNGAN 5'!T94,2)</f>
        <v>#NAME?</v>
      </c>
    </row>
    <row r="88" spans="1:11">
      <c r="A88" s="78"/>
      <c r="B88" s="308"/>
      <c r="C88" s="272"/>
      <c r="D88" s="273"/>
      <c r="E88" s="273"/>
      <c r="F88" s="274"/>
      <c r="G88" s="173"/>
      <c r="H88" s="170"/>
      <c r="I88" s="170"/>
      <c r="J88" s="172"/>
      <c r="K88" s="80"/>
    </row>
    <row r="89" spans="1:11" ht="15.5" hidden="1">
      <c r="B89" s="257" t="s">
        <v>39</v>
      </c>
      <c r="C89" s="275" t="s">
        <v>41</v>
      </c>
      <c r="D89" s="275" t="s">
        <v>40</v>
      </c>
      <c r="E89" s="87"/>
      <c r="F89" s="87"/>
      <c r="G89" s="165"/>
      <c r="H89" s="165"/>
      <c r="I89" s="165"/>
    </row>
    <row r="90" spans="1:11" hidden="1">
      <c r="B90" s="288" t="s">
        <v>195</v>
      </c>
      <c r="C90" s="290" t="s">
        <v>48</v>
      </c>
      <c r="D90" s="291"/>
      <c r="E90" s="291"/>
      <c r="F90" s="292"/>
      <c r="G90" s="293" t="s">
        <v>4</v>
      </c>
      <c r="H90" s="294"/>
      <c r="I90" s="295"/>
      <c r="J90" s="296" t="s">
        <v>28</v>
      </c>
      <c r="K90" s="297"/>
    </row>
    <row r="91" spans="1:11" hidden="1">
      <c r="B91" s="289"/>
      <c r="C91" s="298" t="str">
        <f>IF('PERHITUNGAN 1'!$C$2="Celcius","(°C)","(°F)")</f>
        <v>(°C)</v>
      </c>
      <c r="D91" s="299"/>
      <c r="E91" s="299"/>
      <c r="F91" s="300"/>
      <c r="G91" s="301" t="str">
        <f>IF('PERHITUNGAN 1'!$C$2="Celcius","(°C)","(°F)")</f>
        <v>(°C)</v>
      </c>
      <c r="H91" s="302"/>
      <c r="I91" s="303"/>
      <c r="J91" s="304" t="str">
        <f>IF('PERHITUNGAN 1'!$C$2="Celcius","(°C)","(°F)")</f>
        <v>(°C)</v>
      </c>
      <c r="K91" s="305"/>
    </row>
    <row r="92" spans="1:11">
      <c r="B92" s="306">
        <f>'PERHITUNGAN 6'!I7</f>
        <v>6</v>
      </c>
      <c r="C92" s="271"/>
      <c r="D92" s="84"/>
      <c r="E92" s="84"/>
      <c r="F92" s="276"/>
      <c r="G92" s="284"/>
      <c r="H92" s="284"/>
      <c r="I92" s="284"/>
      <c r="J92" s="249"/>
      <c r="K92" s="251"/>
    </row>
    <row r="93" spans="1:11">
      <c r="A93" s="78"/>
      <c r="B93" s="307"/>
      <c r="C93" s="309">
        <f>IF($O$27="Ya",'REGRESI 6'!R19,IF($O$27="Tidak",'PERHITUNGAN 6'!N85,"Pilih Dahulu"))</f>
        <v>-10</v>
      </c>
      <c r="D93" s="310"/>
      <c r="E93" s="310"/>
      <c r="F93" s="311"/>
      <c r="G93" s="165">
        <f>IF($O$27="Ya",'REGRESI 6'!T19,IF($O$27="Tidak",'PERHITUNGAN 6'!O85,"Pilih Dahulu"))</f>
        <v>-0.86499779019454837</v>
      </c>
      <c r="H93" s="165"/>
      <c r="I93" s="165"/>
      <c r="J93" s="166" t="str">
        <f>'PERHITUNGAN 6'!S85</f>
        <v>±</v>
      </c>
      <c r="K93" s="167" t="e" cm="1">
        <f t="array" aca="1" ref="K93" ca="1">_xll.SIGFIGUP('PERHITUNGAN 6'!T85,2)</f>
        <v>#NAME?</v>
      </c>
    </row>
    <row r="94" spans="1:11">
      <c r="A94" s="78"/>
      <c r="B94" s="307"/>
      <c r="C94" s="309">
        <f>IF($O$27="Ya",'REGRESI 6'!R20,IF($O$27="Tidak",'PERHITUNGAN 6'!N86,"Pilih Dahulu"))</f>
        <v>0</v>
      </c>
      <c r="D94" s="310"/>
      <c r="E94" s="310"/>
      <c r="F94" s="311"/>
      <c r="G94" s="165">
        <f>IF($O$27="Ya",'REGRESI 6'!T20,IF($O$27="Tidak",'PERHITUNGAN 6'!O86,"Pilih Dahulu"))</f>
        <v>-0.42335772439406361</v>
      </c>
      <c r="H94" s="165"/>
      <c r="I94" s="165"/>
      <c r="J94" s="166" t="str">
        <f>'PERHITUNGAN 6'!S86</f>
        <v>±</v>
      </c>
      <c r="K94" s="167" t="e" cm="1">
        <f t="array" aca="1" ref="K94" ca="1">_xll.SIGFIGUP('PERHITUNGAN 6'!T86,2)</f>
        <v>#NAME?</v>
      </c>
    </row>
    <row r="95" spans="1:11">
      <c r="A95" s="78"/>
      <c r="B95" s="307"/>
      <c r="C95" s="309">
        <f>IF($O$27="Ya",'REGRESI 6'!R21,IF($O$27="Tidak",'PERHITUNGAN 6'!N87,"Pilih Dahulu"))</f>
        <v>25</v>
      </c>
      <c r="D95" s="310"/>
      <c r="E95" s="310"/>
      <c r="F95" s="311"/>
      <c r="G95" s="165">
        <f>IF($O$27="Ya",'REGRESI 6'!T21,IF($O$27="Tidak",'PERHITUNGAN 6'!O87,"Pilih Dahulu"))</f>
        <v>0.29205016319645655</v>
      </c>
      <c r="H95" s="165"/>
      <c r="I95" s="165"/>
      <c r="J95" s="166" t="str">
        <f>'PERHITUNGAN 6'!S87</f>
        <v>±</v>
      </c>
      <c r="K95" s="167" t="e" cm="1">
        <f t="array" aca="1" ref="K95" ca="1">_xll.SIGFIGUP('PERHITUNGAN 6'!T87,2)</f>
        <v>#NAME?</v>
      </c>
    </row>
    <row r="96" spans="1:11">
      <c r="A96" s="78"/>
      <c r="B96" s="307"/>
      <c r="C96" s="309">
        <f>IF($O$27="Ya",'REGRESI 6'!R22,IF($O$27="Tidak",'PERHITUNGAN 6'!N88,"Pilih Dahulu"))</f>
        <v>50</v>
      </c>
      <c r="D96" s="310"/>
      <c r="E96" s="310"/>
      <c r="F96" s="311"/>
      <c r="G96" s="165">
        <f>IF($O$27="Ya",'REGRESI 6'!T22,IF($O$27="Tidak",'PERHITUNGAN 6'!O88,"Pilih Dahulu"))</f>
        <v>0.54734563851425522</v>
      </c>
      <c r="H96" s="165"/>
      <c r="I96" s="165"/>
      <c r="J96" s="166" t="str">
        <f>'PERHITUNGAN 6'!S88</f>
        <v>±</v>
      </c>
      <c r="K96" s="167" t="e" cm="1">
        <f t="array" aca="1" ref="K96" ca="1">_xll.SIGFIGUP('PERHITUNGAN 6'!T88,2)</f>
        <v>#NAME?</v>
      </c>
    </row>
    <row r="97" spans="1:11">
      <c r="A97" s="78"/>
      <c r="B97" s="307"/>
      <c r="C97" s="309">
        <f>IF($O$27="Ya",'REGRESI 6'!R23,IF($O$27="Tidak",'PERHITUNGAN 6'!N89,"Pilih Dahulu"))</f>
        <v>100</v>
      </c>
      <c r="D97" s="310"/>
      <c r="E97" s="310"/>
      <c r="F97" s="311"/>
      <c r="G97" s="165">
        <f>IF($O$27="Ya",'REGRESI 6'!T23,IF($O$27="Tidak",'PERHITUNGAN 6'!O89,"Pilih Dahulu"))</f>
        <v>0.15341069747302116</v>
      </c>
      <c r="H97" s="165"/>
      <c r="I97" s="165"/>
      <c r="J97" s="166" t="str">
        <f>'PERHITUNGAN 6'!S89</f>
        <v>±</v>
      </c>
      <c r="K97" s="167" t="e" cm="1">
        <f t="array" aca="1" ref="K97" ca="1">_xll.SIGFIGUP('PERHITUNGAN 6'!T89,2)</f>
        <v>#NAME?</v>
      </c>
    </row>
    <row r="98" spans="1:11">
      <c r="A98" s="78"/>
      <c r="B98" s="307"/>
      <c r="C98" s="309">
        <f>IF($O$27="Ya",'REGRESI 6'!R24,IF($O$27="Tidak",'PERHITUNGAN 6'!N90,"Pilih Dahulu"))</f>
        <v>125</v>
      </c>
      <c r="D98" s="310"/>
      <c r="E98" s="310"/>
      <c r="F98" s="311"/>
      <c r="G98" s="165">
        <f>IF($O$27="Ya",'REGRESI 6'!T24,IF($O$27="Tidak",'PERHITUNGAN 6'!O90,"Pilih Dahulu"))</f>
        <v>-0.25791404631534487</v>
      </c>
      <c r="H98" s="165"/>
      <c r="I98" s="165"/>
      <c r="J98" s="166" t="str">
        <f>'PERHITUNGAN 6'!S90</f>
        <v>±</v>
      </c>
      <c r="K98" s="167" t="e" cm="1">
        <f t="array" aca="1" ref="K98" ca="1">_xll.SIGFIGUP('PERHITUNGAN 6'!T90,2)</f>
        <v>#NAME?</v>
      </c>
    </row>
    <row r="99" spans="1:11">
      <c r="A99" s="78"/>
      <c r="B99" s="307"/>
      <c r="C99" s="309">
        <f>IF($O$27="Ya",'REGRESI 6'!R25,IF($O$27="Tidak",'PERHITUNGAN 6'!N91,"Pilih Dahulu"))</f>
        <v>150</v>
      </c>
      <c r="D99" s="310"/>
      <c r="E99" s="310"/>
      <c r="F99" s="311"/>
      <c r="G99" s="165">
        <f>IF($O$27="Ya",'REGRESI 6'!T25,IF($O$27="Tidak",'PERHITUNGAN 6'!O91,"Pilih Dahulu"))</f>
        <v>-0.65353985723509922</v>
      </c>
      <c r="H99" s="165"/>
      <c r="I99" s="165"/>
      <c r="J99" s="166" t="str">
        <f>'PERHITUNGAN 6'!S91</f>
        <v>±</v>
      </c>
      <c r="K99" s="167" t="e" cm="1">
        <f t="array" aca="1" ref="K99" ca="1">_xll.SIGFIGUP('PERHITUNGAN 6'!T91,2)</f>
        <v>#NAME?</v>
      </c>
    </row>
    <row r="100" spans="1:11">
      <c r="A100" s="78"/>
      <c r="B100" s="307"/>
      <c r="C100" s="309">
        <f>IF($O$27="Ya",'REGRESI 6'!R26,IF($O$27="Tidak",'PERHITUNGAN 6'!N92,"Pilih Dahulu"))</f>
        <v>200</v>
      </c>
      <c r="D100" s="310"/>
      <c r="E100" s="310"/>
      <c r="F100" s="311"/>
      <c r="G100" s="165">
        <f>IF($O$27="Ya",'REGRESI 6'!T26,IF($O$27="Tidak",'PERHITUNGAN 6'!O92,"Pilih Dahulu"))</f>
        <v>-0.92188333532744338</v>
      </c>
      <c r="H100" s="165"/>
      <c r="I100" s="165"/>
      <c r="J100" s="166" t="str">
        <f>'PERHITUNGAN 6'!S92</f>
        <v>±</v>
      </c>
      <c r="K100" s="167" t="e" cm="1">
        <f t="array" aca="1" ref="K100" ca="1">_xll.SIGFIGUP('PERHITUNGAN 6'!T92,2)</f>
        <v>#NAME?</v>
      </c>
    </row>
    <row r="101" spans="1:11" hidden="1">
      <c r="A101" s="78"/>
      <c r="B101" s="307"/>
      <c r="C101" s="309">
        <f>IF($O$27="Ya",'REGRESI 6'!R27,IF($O$27="Tidak",'PERHITUNGAN 6'!N93,"Pilih Dahulu"))</f>
        <v>0</v>
      </c>
      <c r="D101" s="310"/>
      <c r="E101" s="310"/>
      <c r="F101" s="311"/>
      <c r="G101" s="277">
        <f>IF($O$27="Ya",'REGRESI 6'!T27,IF($O$27="Tidak",'PERHITUNGAN 6'!O93,"Pilih Dahulu"))</f>
        <v>-0.42335772439406361</v>
      </c>
      <c r="H101" s="165"/>
      <c r="I101" s="165"/>
      <c r="J101" s="166" t="str">
        <f>'PERHITUNGAN 6'!S93</f>
        <v>±</v>
      </c>
      <c r="K101" s="167" t="e" cm="1">
        <f t="array" aca="1" ref="K101" ca="1">_xll.SIGFIGUP('PERHITUNGAN 6'!T93,2)</f>
        <v>#NAME?</v>
      </c>
    </row>
    <row r="102" spans="1:11" hidden="1">
      <c r="A102" s="78"/>
      <c r="B102" s="307"/>
      <c r="C102" s="309">
        <f>IF($O$27="Ya",'REGRESI 6'!R28,IF($O$27="Tidak",'PERHITUNGAN 6'!N94,"Pilih Dahulu"))</f>
        <v>0</v>
      </c>
      <c r="D102" s="310"/>
      <c r="E102" s="310"/>
      <c r="F102" s="311"/>
      <c r="G102" s="277">
        <f>IF($O$27="Ya",'REGRESI 6'!T28,IF($O$27="Tidak",'PERHITUNGAN 6'!O94,"Pilih Dahulu"))</f>
        <v>-0.42335772439406361</v>
      </c>
      <c r="H102" s="165"/>
      <c r="I102" s="165"/>
      <c r="J102" s="166" t="str">
        <f>'PERHITUNGAN 6'!S94</f>
        <v>±</v>
      </c>
      <c r="K102" s="167" t="e" cm="1">
        <f t="array" aca="1" ref="K102" ca="1">_xll.SIGFIGUP('PERHITUNGAN 6'!T94,2)</f>
        <v>#NAME?</v>
      </c>
    </row>
    <row r="103" spans="1:11">
      <c r="A103" s="78"/>
      <c r="B103" s="308"/>
      <c r="C103" s="272"/>
      <c r="D103" s="273"/>
      <c r="E103" s="273"/>
      <c r="F103" s="274"/>
      <c r="G103" s="170"/>
      <c r="H103" s="170"/>
      <c r="I103" s="170"/>
      <c r="J103" s="172"/>
      <c r="K103" s="80"/>
    </row>
    <row r="104" spans="1:11">
      <c r="A104" s="78"/>
      <c r="B104" s="306">
        <f>'PERHITUNGAN 7'!I7</f>
        <v>7</v>
      </c>
      <c r="C104" s="269"/>
      <c r="D104" s="162"/>
      <c r="E104" s="162"/>
      <c r="F104" s="270"/>
      <c r="G104" s="165"/>
      <c r="H104" s="165"/>
      <c r="I104" s="165"/>
      <c r="J104" s="166"/>
      <c r="K104" s="167"/>
    </row>
    <row r="105" spans="1:11">
      <c r="A105" s="78"/>
      <c r="B105" s="307"/>
      <c r="C105" s="309">
        <f>IF($O$27="Ya",'REGRESI 7'!R19,IF($O$27="Tidak",'PERHITUNGAN 7'!N85,"Pilih Dahulu"))</f>
        <v>-10</v>
      </c>
      <c r="D105" s="310"/>
      <c r="E105" s="310"/>
      <c r="F105" s="311"/>
      <c r="G105" s="87">
        <f>IF($O$27="Ya",'REGRESI 7'!T19,IF($O$27="Tidak",'PERHITUNGAN 7'!O85,"Pilih Dahulu"))</f>
        <v>-1.1794323883463611</v>
      </c>
      <c r="H105" s="165"/>
      <c r="I105" s="165"/>
      <c r="J105" s="166" t="str">
        <f>'PERHITUNGAN 7'!S85</f>
        <v>±</v>
      </c>
      <c r="K105" s="167" t="e" cm="1">
        <f t="array" aca="1" ref="K105" ca="1">_xll.SIGFIGUP('PERHITUNGAN 7'!T85,2)</f>
        <v>#NAME?</v>
      </c>
    </row>
    <row r="106" spans="1:11">
      <c r="A106" s="78"/>
      <c r="B106" s="307"/>
      <c r="C106" s="309">
        <f>IF($O$27="Ya",'REGRESI 7'!R20,IF($O$27="Tidak",'PERHITUNGAN 7'!N86,"Pilih Dahulu"))</f>
        <v>0</v>
      </c>
      <c r="D106" s="310"/>
      <c r="E106" s="310"/>
      <c r="F106" s="311"/>
      <c r="G106" s="87">
        <f>IF($O$27="Ya",'REGRESI 7'!T20,IF($O$27="Tidak",'PERHITUNGAN 7'!O86,"Pilih Dahulu"))</f>
        <v>-0.58680129590184071</v>
      </c>
      <c r="H106" s="165"/>
      <c r="I106" s="165"/>
      <c r="J106" s="166" t="str">
        <f>'PERHITUNGAN 7'!S86</f>
        <v>±</v>
      </c>
      <c r="K106" s="167" t="e" cm="1">
        <f t="array" aca="1" ref="K106" ca="1">_xll.SIGFIGUP('PERHITUNGAN 7'!T86,2)</f>
        <v>#NAME?</v>
      </c>
    </row>
    <row r="107" spans="1:11">
      <c r="A107" s="78"/>
      <c r="B107" s="307"/>
      <c r="C107" s="309">
        <f>IF($O$27="Ya",'REGRESI 7'!R21,IF($O$27="Tidak",'PERHITUNGAN 7'!N87,"Pilih Dahulu"))</f>
        <v>25</v>
      </c>
      <c r="D107" s="310"/>
      <c r="E107" s="310"/>
      <c r="F107" s="311"/>
      <c r="G107" s="87">
        <f>IF($O$27="Ya",'REGRESI 7'!T21,IF($O$27="Tidak",'PERHITUNGAN 7'!O87,"Pilih Dahulu"))</f>
        <v>0.39771227005650883</v>
      </c>
      <c r="H107" s="165"/>
      <c r="I107" s="165"/>
      <c r="J107" s="166" t="str">
        <f>'PERHITUNGAN 7'!S87</f>
        <v>±</v>
      </c>
      <c r="K107" s="167" t="e" cm="1">
        <f t="array" aca="1" ref="K107" ca="1">_xll.SIGFIGUP('PERHITUNGAN 7'!T87,2)</f>
        <v>#NAME?</v>
      </c>
    </row>
    <row r="108" spans="1:11">
      <c r="A108" s="78"/>
      <c r="B108" s="307"/>
      <c r="C108" s="309">
        <f>IF($O$27="Ya",'REGRESI 7'!R22,IF($O$27="Tidak",'PERHITUNGAN 7'!N88,"Pilih Dahulu"))</f>
        <v>50</v>
      </c>
      <c r="D108" s="310"/>
      <c r="E108" s="310"/>
      <c r="F108" s="311"/>
      <c r="G108" s="87">
        <f>IF($O$27="Ya",'REGRESI 7'!T22,IF($O$27="Tidak",'PERHITUNGAN 7'!O88,"Pilih Dahulu"))</f>
        <v>0.78794635006896052</v>
      </c>
      <c r="H108" s="165"/>
      <c r="I108" s="165"/>
      <c r="J108" s="166" t="str">
        <f>'PERHITUNGAN 7'!S88</f>
        <v>±</v>
      </c>
      <c r="K108" s="167" t="e" cm="1">
        <f t="array" aca="1" ref="K108" ca="1">_xll.SIGFIGUP('PERHITUNGAN 7'!T88,2)</f>
        <v>#NAME?</v>
      </c>
    </row>
    <row r="109" spans="1:11">
      <c r="A109" s="78"/>
      <c r="B109" s="307"/>
      <c r="C109" s="309">
        <f>IF($O$27="Ya",'REGRESI 7'!R23,IF($O$27="Tidak",'PERHITUNGAN 7'!N89,"Pilih Dahulu"))</f>
        <v>100</v>
      </c>
      <c r="D109" s="310"/>
      <c r="E109" s="310"/>
      <c r="F109" s="311"/>
      <c r="G109" s="87">
        <f>IF($O$27="Ya",'REGRESI 7'!T23,IF($O$27="Tidak",'PERHITUNGAN 7'!O89,"Pilih Dahulu"))</f>
        <v>0.36463694504776134</v>
      </c>
      <c r="H109" s="165"/>
      <c r="I109" s="165"/>
      <c r="J109" s="166" t="str">
        <f>'PERHITUNGAN 7'!S89</f>
        <v>±</v>
      </c>
      <c r="K109" s="167" t="e" cm="1">
        <f t="array" aca="1" ref="K109" ca="1">_xll.SIGFIGUP('PERHITUNGAN 7'!T89,2)</f>
        <v>#NAME?</v>
      </c>
    </row>
    <row r="110" spans="1:11">
      <c r="A110" s="78"/>
      <c r="B110" s="307"/>
      <c r="C110" s="309">
        <f>IF($O$27="Ya",'REGRESI 7'!R24,IF($O$27="Tidak",'PERHITUNGAN 7'!N90,"Pilih Dahulu"))</f>
        <v>125</v>
      </c>
      <c r="D110" s="310"/>
      <c r="E110" s="310"/>
      <c r="F110" s="311"/>
      <c r="G110" s="87">
        <f>IF($O$27="Ya",'REGRESI 7'!T24,IF($O$27="Tidak",'PERHITUNGAN 7'!O90,"Pilih Dahulu"))</f>
        <v>-0.15937609359009519</v>
      </c>
      <c r="H110" s="165"/>
      <c r="I110" s="165"/>
      <c r="J110" s="166" t="str">
        <f>'PERHITUNGAN 7'!S90</f>
        <v>±</v>
      </c>
      <c r="K110" s="167" t="e" cm="1">
        <f t="array" aca="1" ref="K110" ca="1">_xll.SIGFIGUP('PERHITUNGAN 7'!T90,2)</f>
        <v>#NAME?</v>
      </c>
    </row>
    <row r="111" spans="1:11">
      <c r="A111" s="78"/>
      <c r="B111" s="307"/>
      <c r="C111" s="309">
        <f>IF($O$27="Ya",'REGRESI 7'!R25,IF($O$27="Tidak",'PERHITUNGAN 7'!N91,"Pilih Dahulu"))</f>
        <v>150</v>
      </c>
      <c r="D111" s="310"/>
      <c r="E111" s="310"/>
      <c r="F111" s="311"/>
      <c r="G111" s="87">
        <f>IF($O$27="Ya",'REGRESI 7'!T25,IF($O$27="Tidak",'PERHITUNGAN 7'!O91,"Pilih Dahulu"))</f>
        <v>-0.69860772538225735</v>
      </c>
      <c r="H111" s="165"/>
      <c r="I111" s="165"/>
      <c r="J111" s="166" t="str">
        <f>'PERHITUNGAN 7'!S91</f>
        <v>±</v>
      </c>
      <c r="K111" s="167" t="e" cm="1">
        <f t="array" aca="1" ref="K111" ca="1">_xll.SIGFIGUP('PERHITUNGAN 7'!T91,2)</f>
        <v>#NAME?</v>
      </c>
    </row>
    <row r="112" spans="1:11">
      <c r="A112" s="78"/>
      <c r="B112" s="307"/>
      <c r="C112" s="309">
        <f>IF($O$27="Ya",'REGRESI 7'!R26,IF($O$27="Tidak",'PERHITUNGAN 7'!N92,"Pilih Dahulu"))</f>
        <v>200</v>
      </c>
      <c r="D112" s="310"/>
      <c r="E112" s="310"/>
      <c r="F112" s="311"/>
      <c r="G112" s="87">
        <f>IF($O$27="Ya",'REGRESI 7'!T26,IF($O$27="Tidak",'PERHITUNGAN 7'!O92,"Pilih Dahulu"))</f>
        <v>-1.2436658756379124</v>
      </c>
      <c r="H112" s="165"/>
      <c r="I112" s="165"/>
      <c r="J112" s="166" t="str">
        <f>'PERHITUNGAN 7'!S92</f>
        <v>±</v>
      </c>
      <c r="K112" s="167" t="e" cm="1">
        <f t="array" aca="1" ref="K112" ca="1">_xll.SIGFIGUP('PERHITUNGAN 7'!T92,2)</f>
        <v>#NAME?</v>
      </c>
    </row>
    <row r="113" spans="1:11" hidden="1">
      <c r="A113" s="78"/>
      <c r="B113" s="307"/>
      <c r="C113" s="309">
        <f>IF($O$27="Ya",'REGRESI 7'!R27,IF($O$27="Tidak",'PERHITUNGAN 7'!N93,"Pilih Dahulu"))</f>
        <v>0</v>
      </c>
      <c r="D113" s="310"/>
      <c r="E113" s="310"/>
      <c r="F113" s="311"/>
      <c r="G113" s="277">
        <f>IF($O$27="Ya",'REGRESI 7'!T27,IF($O$27="Tidak",'PERHITUNGAN 7'!O93,"Pilih Dahulu"))</f>
        <v>-0.58680129590184071</v>
      </c>
      <c r="H113" s="165"/>
      <c r="I113" s="165"/>
      <c r="J113" s="166" t="str">
        <f>'PERHITUNGAN 7'!S93</f>
        <v>±</v>
      </c>
      <c r="K113" s="167" t="e" cm="1">
        <f t="array" aca="1" ref="K113" ca="1">_xll.SIGFIGUP('PERHITUNGAN 7'!T93,2)</f>
        <v>#NAME?</v>
      </c>
    </row>
    <row r="114" spans="1:11" hidden="1">
      <c r="A114" s="78"/>
      <c r="B114" s="307"/>
      <c r="C114" s="309">
        <f>IF($O$27="Ya",'REGRESI 7'!R28,IF($O$27="Tidak",'PERHITUNGAN 7'!N94,"Pilih Dahulu"))</f>
        <v>0</v>
      </c>
      <c r="D114" s="310"/>
      <c r="E114" s="310"/>
      <c r="F114" s="311"/>
      <c r="G114" s="277">
        <f>IF($O$27="Ya",'REGRESI 7'!T28,IF($O$27="Tidak",'PERHITUNGAN 7'!O94,"Pilih Dahulu"))</f>
        <v>-0.58680129590184071</v>
      </c>
      <c r="H114" s="165"/>
      <c r="I114" s="165"/>
      <c r="J114" s="166" t="str">
        <f>'PERHITUNGAN 7'!S94</f>
        <v>±</v>
      </c>
      <c r="K114" s="167" t="e" cm="1">
        <f t="array" aca="1" ref="K114" ca="1">_xll.SIGFIGUP('PERHITUNGAN 7'!T94,2)</f>
        <v>#NAME?</v>
      </c>
    </row>
    <row r="115" spans="1:11">
      <c r="A115" s="78"/>
      <c r="B115" s="308"/>
      <c r="C115" s="272"/>
      <c r="D115" s="273"/>
      <c r="E115" s="273"/>
      <c r="F115" s="274"/>
      <c r="G115" s="170"/>
      <c r="H115" s="170"/>
      <c r="I115" s="170"/>
      <c r="J115" s="172"/>
      <c r="K115" s="167"/>
    </row>
    <row r="116" spans="1:11">
      <c r="A116" s="78"/>
      <c r="B116" s="306">
        <f>'PERHITUNGAN 8'!I7</f>
        <v>8</v>
      </c>
      <c r="C116" s="271"/>
      <c r="D116" s="84"/>
      <c r="E116" s="84"/>
      <c r="F116" s="276"/>
      <c r="G116" s="280"/>
      <c r="H116" s="280"/>
      <c r="I116" s="280"/>
      <c r="J116" s="285"/>
      <c r="K116" s="174"/>
    </row>
    <row r="117" spans="1:11">
      <c r="A117" s="78"/>
      <c r="B117" s="307"/>
      <c r="C117" s="309">
        <f>IF($O$27="Ya",'REGRESI 8'!R19,IF($O$27="Tidak",'PERHITUNGAN 8'!N85,"Pilih Dahulu"))</f>
        <v>-10</v>
      </c>
      <c r="D117" s="310"/>
      <c r="E117" s="310"/>
      <c r="F117" s="311"/>
      <c r="G117" s="165">
        <f>IF($O$27="Ya",'REGRESI 8'!T19,IF($O$27="Tidak",'PERHITUNGAN 8'!O85,"Pilih Dahulu"))</f>
        <v>-0.93892622241169799</v>
      </c>
      <c r="H117" s="165"/>
      <c r="I117" s="165"/>
      <c r="J117" s="166" t="str">
        <f>'PERHITUNGAN 8'!S85</f>
        <v>±</v>
      </c>
      <c r="K117" s="167" t="e" cm="1">
        <f t="array" aca="1" ref="K117" ca="1">_xll.SIGFIGUP('PERHITUNGAN 8'!T85,2)</f>
        <v>#NAME?</v>
      </c>
    </row>
    <row r="118" spans="1:11">
      <c r="A118" s="78"/>
      <c r="B118" s="307"/>
      <c r="C118" s="309">
        <f>IF($O$27="Ya",'REGRESI 8'!R20,IF($O$27="Tidak",'PERHITUNGAN 8'!N86,"Pilih Dahulu"))</f>
        <v>0</v>
      </c>
      <c r="D118" s="310"/>
      <c r="E118" s="310"/>
      <c r="F118" s="311"/>
      <c r="G118" s="165">
        <f>IF($O$27="Ya",'REGRESI 8'!T20,IF($O$27="Tidak",'PERHITUNGAN 8'!O86,"Pilih Dahulu"))</f>
        <v>-0.4943100732290624</v>
      </c>
      <c r="H118" s="165"/>
      <c r="I118" s="165"/>
      <c r="J118" s="166" t="str">
        <f>'PERHITUNGAN 8'!S86</f>
        <v>±</v>
      </c>
      <c r="K118" s="167" t="e" cm="1">
        <f t="array" aca="1" ref="K118" ca="1">_xll.SIGFIGUP('PERHITUNGAN 8'!T86,2)</f>
        <v>#NAME?</v>
      </c>
    </row>
    <row r="119" spans="1:11">
      <c r="A119" s="78"/>
      <c r="B119" s="307"/>
      <c r="C119" s="309">
        <f>IF($O$27="Ya",'REGRESI 8'!R21,IF($O$27="Tidak",'PERHITUNGAN 8'!N87,"Pilih Dahulu"))</f>
        <v>25</v>
      </c>
      <c r="D119" s="310"/>
      <c r="E119" s="310"/>
      <c r="F119" s="311"/>
      <c r="G119" s="165">
        <f>IF($O$27="Ya",'REGRESI 8'!T21,IF($O$27="Tidak",'PERHITUNGAN 8'!O87,"Pilih Dahulu"))</f>
        <v>0.20003125733013849</v>
      </c>
      <c r="H119" s="165"/>
      <c r="I119" s="165"/>
      <c r="J119" s="166" t="str">
        <f>'PERHITUNGAN 8'!S87</f>
        <v>±</v>
      </c>
      <c r="K119" s="167" t="e" cm="1">
        <f t="array" aca="1" ref="K119" ca="1">_xll.SIGFIGUP('PERHITUNGAN 8'!T87,2)</f>
        <v>#NAME?</v>
      </c>
    </row>
    <row r="120" spans="1:11">
      <c r="A120" s="78"/>
      <c r="B120" s="307"/>
      <c r="C120" s="309">
        <f>IF($O$27="Ya",'REGRESI 8'!R22,IF($O$27="Tidak",'PERHITUNGAN 8'!N88,"Pilih Dahulu"))</f>
        <v>50</v>
      </c>
      <c r="D120" s="310"/>
      <c r="E120" s="310"/>
      <c r="F120" s="311"/>
      <c r="G120" s="165">
        <f>IF($O$27="Ya",'REGRESI 8'!T22,IF($O$27="Tidak",'PERHITUNGAN 8'!O88,"Pilih Dahulu"))</f>
        <v>0.4084524299543556</v>
      </c>
      <c r="H120" s="165"/>
      <c r="I120" s="165"/>
      <c r="J120" s="166" t="str">
        <f>'PERHITUNGAN 8'!S88</f>
        <v>±</v>
      </c>
      <c r="K120" s="167" t="e" cm="1">
        <f t="array" aca="1" ref="K120" ca="1">_xll.SIGFIGUP('PERHITUNGAN 8'!T88,2)</f>
        <v>#NAME?</v>
      </c>
    </row>
    <row r="121" spans="1:11">
      <c r="A121" s="78"/>
      <c r="B121" s="307"/>
      <c r="C121" s="309">
        <f>IF($O$27="Ya",'REGRESI 8'!R23,IF($O$27="Tidak",'PERHITUNGAN 8'!N89,"Pilih Dahulu"))</f>
        <v>100</v>
      </c>
      <c r="D121" s="310"/>
      <c r="E121" s="310"/>
      <c r="F121" s="311"/>
      <c r="G121" s="165">
        <f>IF($O$27="Ya",'REGRESI 8'!T23,IF($O$27="Tidak",'PERHITUNGAN 8'!O89,"Pilih Dahulu"))</f>
        <v>-8.2073328295736436E-2</v>
      </c>
      <c r="H121" s="165"/>
      <c r="I121" s="165"/>
      <c r="J121" s="166" t="str">
        <f>'PERHITUNGAN 8'!S89</f>
        <v>±</v>
      </c>
      <c r="K121" s="167" t="e" cm="1">
        <f t="array" aca="1" ref="K121" ca="1">_xll.SIGFIGUP('PERHITUNGAN 8'!T89,2)</f>
        <v>#NAME?</v>
      </c>
    </row>
    <row r="122" spans="1:11">
      <c r="A122" s="78"/>
      <c r="B122" s="307"/>
      <c r="C122" s="309">
        <f>IF($O$27="Ya",'REGRESI 8'!R24,IF($O$27="Tidak",'PERHITUNGAN 8'!N90,"Pilih Dahulu"))</f>
        <v>125</v>
      </c>
      <c r="D122" s="310"/>
      <c r="E122" s="310"/>
      <c r="F122" s="311"/>
      <c r="G122" s="165">
        <f>IF($O$27="Ya",'REGRESI 8'!T24,IF($O$27="Tidak",'PERHITUNGAN 8'!O90,"Pilih Dahulu"))</f>
        <v>-0.50582407401683449</v>
      </c>
      <c r="H122" s="165"/>
      <c r="I122" s="165"/>
      <c r="J122" s="166" t="str">
        <f>'PERHITUNGAN 8'!S90</f>
        <v>±</v>
      </c>
      <c r="K122" s="167" t="e" cm="1">
        <f t="array" aca="1" ref="K122" ca="1">_xll.SIGFIGUP('PERHITUNGAN 8'!T90,2)</f>
        <v>#NAME?</v>
      </c>
    </row>
    <row r="123" spans="1:11">
      <c r="A123" s="78"/>
      <c r="B123" s="307"/>
      <c r="C123" s="309">
        <f>IF($O$27="Ya",'REGRESI 8'!R25,IF($O$27="Tidak",'PERHITUNGAN 8'!N91,"Pilih Dahulu"))</f>
        <v>150</v>
      </c>
      <c r="D123" s="310"/>
      <c r="E123" s="310"/>
      <c r="F123" s="311"/>
      <c r="G123" s="165">
        <f>IF($O$27="Ya",'REGRESI 8'!T25,IF($O$27="Tidak",'PERHITUNGAN 8'!O91,"Pilih Dahulu"))</f>
        <v>-0.86510260736648981</v>
      </c>
      <c r="H123" s="165"/>
      <c r="I123" s="165"/>
      <c r="J123" s="166" t="str">
        <f>'PERHITUNGAN 8'!S91</f>
        <v>±</v>
      </c>
      <c r="K123" s="167" t="e" cm="1">
        <f t="array" aca="1" ref="K123" ca="1">_xll.SIGFIGUP('PERHITUNGAN 8'!T91,2)</f>
        <v>#NAME?</v>
      </c>
    </row>
    <row r="124" spans="1:11">
      <c r="A124" s="78"/>
      <c r="B124" s="307"/>
      <c r="C124" s="309">
        <f>IF($O$27="Ya",'REGRESI 8'!R26,IF($O$27="Tidak",'PERHITUNGAN 8'!N92,"Pilih Dahulu"))</f>
        <v>200</v>
      </c>
      <c r="D124" s="310"/>
      <c r="E124" s="310"/>
      <c r="F124" s="311"/>
      <c r="G124" s="165">
        <f>IF($O$27="Ya",'REGRESI 8'!T26,IF($O$27="Tidak",'PERHITUNGAN 8'!O92,"Pilih Dahulu"))</f>
        <v>-0.83985066664505226</v>
      </c>
      <c r="H124" s="165"/>
      <c r="I124" s="165"/>
      <c r="J124" s="166" t="str">
        <f>'PERHITUNGAN 8'!S92</f>
        <v>±</v>
      </c>
      <c r="K124" s="167" t="e" cm="1">
        <f t="array" aca="1" ref="K124" ca="1">_xll.SIGFIGUP('PERHITUNGAN 8'!T92,2)</f>
        <v>#NAME?</v>
      </c>
    </row>
    <row r="125" spans="1:11" hidden="1">
      <c r="A125" s="78"/>
      <c r="B125" s="307"/>
      <c r="C125" s="309">
        <f>IF($O$27="Ya",'REGRESI 8'!R27,IF($O$27="Tidak",'PERHITUNGAN 8'!N93,"Pilih Dahulu"))</f>
        <v>0</v>
      </c>
      <c r="D125" s="310"/>
      <c r="E125" s="310"/>
      <c r="F125" s="311"/>
      <c r="G125" s="277">
        <f>IF($O$27="Ya",'REGRESI 8'!T27,IF($O$27="Tidak",'PERHITUNGAN 8'!O93,"Pilih Dahulu"))</f>
        <v>-0.4943100732290624</v>
      </c>
      <c r="H125" s="165"/>
      <c r="I125" s="165"/>
      <c r="J125" s="166" t="str">
        <f>'PERHITUNGAN 8'!S93</f>
        <v>±</v>
      </c>
      <c r="K125" s="167" t="e" cm="1">
        <f t="array" aca="1" ref="K125" ca="1">_xll.SIGFIGUP('PERHITUNGAN 8'!T93,2)</f>
        <v>#NAME?</v>
      </c>
    </row>
    <row r="126" spans="1:11" hidden="1">
      <c r="A126" s="78"/>
      <c r="B126" s="307"/>
      <c r="C126" s="309">
        <f>IF($O$27="Ya",'REGRESI 8'!R28,IF($O$27="Tidak",'PERHITUNGAN 8'!N94,"Pilih Dahulu"))</f>
        <v>0</v>
      </c>
      <c r="D126" s="310"/>
      <c r="E126" s="310"/>
      <c r="F126" s="311"/>
      <c r="G126" s="277">
        <f>IF($O$27="Ya",'REGRESI 8'!T28,IF($O$27="Tidak",'PERHITUNGAN 8'!O94,"Pilih Dahulu"))</f>
        <v>-0.4943100732290624</v>
      </c>
      <c r="H126" s="165"/>
      <c r="I126" s="165"/>
      <c r="J126" s="166" t="str">
        <f>'PERHITUNGAN 8'!S94</f>
        <v>±</v>
      </c>
      <c r="K126" s="167" t="e" cm="1">
        <f t="array" aca="1" ref="K126" ca="1">_xll.SIGFIGUP('PERHITUNGAN 8'!T94,2)</f>
        <v>#NAME?</v>
      </c>
    </row>
    <row r="127" spans="1:11">
      <c r="A127" s="78"/>
      <c r="B127" s="308"/>
      <c r="C127" s="272"/>
      <c r="D127" s="273"/>
      <c r="E127" s="273"/>
      <c r="F127" s="274"/>
      <c r="G127" s="170"/>
      <c r="H127" s="170"/>
      <c r="I127" s="170"/>
      <c r="J127" s="172"/>
      <c r="K127" s="80"/>
    </row>
    <row r="128" spans="1:11">
      <c r="B128" s="288" t="s">
        <v>195</v>
      </c>
      <c r="C128" s="290" t="s">
        <v>48</v>
      </c>
      <c r="D128" s="291"/>
      <c r="E128" s="291"/>
      <c r="F128" s="292"/>
      <c r="G128" s="293" t="s">
        <v>4</v>
      </c>
      <c r="H128" s="294"/>
      <c r="I128" s="295"/>
      <c r="J128" s="296" t="s">
        <v>28</v>
      </c>
      <c r="K128" s="297"/>
    </row>
    <row r="129" spans="1:11">
      <c r="B129" s="289"/>
      <c r="C129" s="298" t="str">
        <f>IF('PERHITUNGAN 1'!$C$2="Celcius","(°C)","(°F)")</f>
        <v>(°C)</v>
      </c>
      <c r="D129" s="299"/>
      <c r="E129" s="299"/>
      <c r="F129" s="300"/>
      <c r="G129" s="301" t="str">
        <f>IF('PERHITUNGAN 1'!$C$2="Celcius","(°C)","(°F)")</f>
        <v>(°C)</v>
      </c>
      <c r="H129" s="302"/>
      <c r="I129" s="303"/>
      <c r="J129" s="304" t="str">
        <f>IF('PERHITUNGAN 1'!$C$2="Celcius","(°C)","(°F)")</f>
        <v>(°C)</v>
      </c>
      <c r="K129" s="305"/>
    </row>
    <row r="130" spans="1:11">
      <c r="A130" s="78"/>
      <c r="B130" s="306">
        <f>'PERHITUNGAN 9'!I7</f>
        <v>9</v>
      </c>
      <c r="C130" s="269"/>
      <c r="D130" s="162"/>
      <c r="E130" s="162"/>
      <c r="F130" s="270"/>
      <c r="G130" s="165"/>
      <c r="H130" s="165"/>
      <c r="I130" s="165"/>
      <c r="J130" s="166"/>
      <c r="K130" s="174"/>
    </row>
    <row r="131" spans="1:11">
      <c r="A131" s="78"/>
      <c r="B131" s="307"/>
      <c r="C131" s="309">
        <f>IF($O$27="Ya",'REGRESI 9'!R19,IF($O$27="Tidak",'PERHITUNGAN 9'!N85,"Pilih Dahulu"))</f>
        <v>-10</v>
      </c>
      <c r="D131" s="310"/>
      <c r="E131" s="310"/>
      <c r="F131" s="311"/>
      <c r="G131" s="165">
        <f>IF($O$27="Ya",'REGRESI 9'!T19,IF($O$27="Tidak",'PERHITUNGAN 9'!O85,"Pilih Dahulu"))</f>
        <v>-0.84383395695430652</v>
      </c>
      <c r="H131" s="165"/>
      <c r="I131" s="165"/>
      <c r="J131" s="166" t="str">
        <f>'PERHITUNGAN 9'!S85</f>
        <v>±</v>
      </c>
      <c r="K131" s="167" t="e" cm="1">
        <f t="array" aca="1" ref="K131" ca="1">_xll.SIGFIGUP('PERHITUNGAN 9'!T85,2)</f>
        <v>#NAME?</v>
      </c>
    </row>
    <row r="132" spans="1:11">
      <c r="A132" s="78"/>
      <c r="B132" s="307"/>
      <c r="C132" s="309">
        <f>IF($O$27="Ya",'REGRESI 9'!R20,IF($O$27="Tidak",'PERHITUNGAN 9'!N86,"Pilih Dahulu"))</f>
        <v>0</v>
      </c>
      <c r="D132" s="310"/>
      <c r="E132" s="310"/>
      <c r="F132" s="311"/>
      <c r="G132" s="165">
        <f>IF($O$27="Ya",'REGRESI 9'!T20,IF($O$27="Tidak",'PERHITUNGAN 9'!O86,"Pilih Dahulu"))</f>
        <v>-0.47568384008438525</v>
      </c>
      <c r="H132" s="165"/>
      <c r="I132" s="165"/>
      <c r="J132" s="166" t="str">
        <f>'PERHITUNGAN 9'!S86</f>
        <v>±</v>
      </c>
      <c r="K132" s="167" t="e" cm="1">
        <f t="array" aca="1" ref="K132" ca="1">_xll.SIGFIGUP('PERHITUNGAN 9'!T86,2)</f>
        <v>#NAME?</v>
      </c>
    </row>
    <row r="133" spans="1:11">
      <c r="A133" s="78"/>
      <c r="B133" s="307"/>
      <c r="C133" s="309">
        <f>IF($O$27="Ya",'REGRESI 9'!R21,IF($O$27="Tidak",'PERHITUNGAN 9'!N87,"Pilih Dahulu"))</f>
        <v>25</v>
      </c>
      <c r="D133" s="310"/>
      <c r="E133" s="310"/>
      <c r="F133" s="311"/>
      <c r="G133" s="165">
        <f>IF($O$27="Ya",'REGRESI 9'!T21,IF($O$27="Tidak",'PERHITUNGAN 9'!O87,"Pilih Dahulu"))</f>
        <v>0.16880773779408209</v>
      </c>
      <c r="H133" s="165"/>
      <c r="I133" s="165"/>
      <c r="J133" s="166" t="str">
        <f>'PERHITUNGAN 9'!S87</f>
        <v>±</v>
      </c>
      <c r="K133" s="167" t="e" cm="1">
        <f t="array" aca="1" ref="K133" ca="1">_xll.SIGFIGUP('PERHITUNGAN 9'!T87,2)</f>
        <v>#NAME?</v>
      </c>
    </row>
    <row r="134" spans="1:11">
      <c r="A134" s="78"/>
      <c r="B134" s="307"/>
      <c r="C134" s="309">
        <f>IF($O$27="Ya",'REGRESI 9'!R22,IF($O$27="Tidak",'PERHITUNGAN 9'!N88,"Pilih Dahulu"))</f>
        <v>50</v>
      </c>
      <c r="D134" s="310"/>
      <c r="E134" s="310"/>
      <c r="F134" s="311"/>
      <c r="G134" s="165">
        <f>IF($O$27="Ya",'REGRESI 9'!T22,IF($O$27="Tidak",'PERHITUNGAN 9'!O88,"Pilih Dahulu"))</f>
        <v>0.47457789091765878</v>
      </c>
      <c r="H134" s="165"/>
      <c r="I134" s="165"/>
      <c r="J134" s="166" t="str">
        <f>'PERHITUNGAN 9'!S88</f>
        <v>±</v>
      </c>
      <c r="K134" s="167" t="e" cm="1">
        <f t="array" aca="1" ref="K134" ca="1">_xll.SIGFIGUP('PERHITUNGAN 9'!T88,2)</f>
        <v>#NAME?</v>
      </c>
    </row>
    <row r="135" spans="1:11">
      <c r="A135" s="78"/>
      <c r="B135" s="307"/>
      <c r="C135" s="309">
        <f>IF($O$27="Ya",'REGRESI 9'!R23,IF($O$27="Tidak",'PERHITUNGAN 9'!N89,"Pilih Dahulu"))</f>
        <v>100</v>
      </c>
      <c r="D135" s="310"/>
      <c r="E135" s="310"/>
      <c r="F135" s="311"/>
      <c r="G135" s="165">
        <f>IF($O$27="Ya",'REGRESI 9'!T23,IF($O$27="Tidak",'PERHITUNGAN 9'!O89,"Pilih Dahulu"))</f>
        <v>0.34694475838522654</v>
      </c>
      <c r="H135" s="165"/>
      <c r="I135" s="165"/>
      <c r="J135" s="166" t="str">
        <f>'PERHITUNGAN 9'!S89</f>
        <v>±</v>
      </c>
      <c r="K135" s="167" t="e" cm="1">
        <f t="array" aca="1" ref="K135" ca="1">_xll.SIGFIGUP('PERHITUNGAN 9'!T89,2)</f>
        <v>#NAME?</v>
      </c>
    </row>
    <row r="136" spans="1:11">
      <c r="A136" s="78"/>
      <c r="B136" s="307"/>
      <c r="C136" s="309">
        <f>IF($O$27="Ya",'REGRESI 9'!R24,IF($O$27="Tidak",'PERHITUNGAN 9'!N90,"Pilih Dahulu"))</f>
        <v>125</v>
      </c>
      <c r="D136" s="310"/>
      <c r="E136" s="310"/>
      <c r="F136" s="311"/>
      <c r="G136" s="165">
        <f>IF($O$27="Ya",'REGRESI 9'!T24,IF($O$27="Tidak",'PERHITUNGAN 9'!O90,"Pilih Dahulu"))</f>
        <v>5.2036890471761188E-2</v>
      </c>
      <c r="H136" s="165"/>
      <c r="I136" s="165"/>
      <c r="J136" s="166" t="str">
        <f>'PERHITUNGAN 9'!S90</f>
        <v>±</v>
      </c>
      <c r="K136" s="167" t="e" cm="1">
        <f t="array" aca="1" ref="K136" ca="1">_xll.SIGFIGUP('PERHITUNGAN 9'!T90,2)</f>
        <v>#NAME?</v>
      </c>
    </row>
    <row r="137" spans="1:11">
      <c r="A137" s="78"/>
      <c r="B137" s="307"/>
      <c r="C137" s="309">
        <f>IF($O$27="Ya",'REGRESI 9'!R25,IF($O$27="Tidak",'PERHITUNGAN 9'!N91,"Pilih Dahulu"))</f>
        <v>150</v>
      </c>
      <c r="D137" s="310"/>
      <c r="E137" s="310"/>
      <c r="F137" s="311"/>
      <c r="G137" s="165">
        <f>IF($O$27="Ya",'REGRESI 9'!T25,IF($O$27="Tidak",'PERHITUNGAN 9'!O91,"Pilih Dahulu"))</f>
        <v>-0.30460156671150873</v>
      </c>
      <c r="H137" s="165"/>
      <c r="I137" s="165"/>
      <c r="J137" s="166" t="str">
        <f>'PERHITUNGAN 9'!S91</f>
        <v>±</v>
      </c>
      <c r="K137" s="167" t="e" cm="1">
        <f t="array" aca="1" ref="K137" ca="1">_xll.SIGFIGUP('PERHITUNGAN 9'!T91,2)</f>
        <v>#NAME?</v>
      </c>
    </row>
    <row r="138" spans="1:11">
      <c r="A138" s="78"/>
      <c r="B138" s="307"/>
      <c r="C138" s="309">
        <f>IF($O$27="Ya",'REGRESI 9'!R26,IF($O$27="Tidak",'PERHITUNGAN 9'!N92,"Pilih Dahulu"))</f>
        <v>200</v>
      </c>
      <c r="D138" s="310"/>
      <c r="E138" s="310"/>
      <c r="F138" s="311"/>
      <c r="G138" s="165">
        <f>IF($O$27="Ya",'REGRESI 9'!T26,IF($O$27="Tidak",'PERHITUNGAN 9'!O92,"Pilih Dahulu"))</f>
        <v>-0.9260794134023751</v>
      </c>
      <c r="H138" s="165"/>
      <c r="I138" s="165"/>
      <c r="J138" s="166" t="str">
        <f>'PERHITUNGAN 9'!S92</f>
        <v>±</v>
      </c>
      <c r="K138" s="167" t="e" cm="1">
        <f t="array" aca="1" ref="K138" ca="1">_xll.SIGFIGUP('PERHITUNGAN 9'!T92,2)</f>
        <v>#NAME?</v>
      </c>
    </row>
    <row r="139" spans="1:11" hidden="1">
      <c r="A139" s="78"/>
      <c r="B139" s="307"/>
      <c r="C139" s="309">
        <f>IF($O$27="Ya",'REGRESI 9'!R27,IF($O$27="Tidak",'PERHITUNGAN 9'!N93,"Pilih Dahulu"))</f>
        <v>0</v>
      </c>
      <c r="D139" s="310"/>
      <c r="E139" s="310"/>
      <c r="F139" s="311"/>
      <c r="G139" s="277">
        <f>IF($O$27="Ya",'REGRESI 9'!T27,IF($O$27="Tidak",'PERHITUNGAN 9'!O93,"Pilih Dahulu"))</f>
        <v>-0.47568384008438525</v>
      </c>
      <c r="H139" s="165"/>
      <c r="I139" s="165"/>
      <c r="J139" s="166" t="str">
        <f>'PERHITUNGAN 9'!S93</f>
        <v>±</v>
      </c>
      <c r="K139" s="167" t="e" cm="1">
        <f t="array" aca="1" ref="K139" ca="1">_xll.SIGFIGUP('PERHITUNGAN 9'!T93,2)</f>
        <v>#NAME?</v>
      </c>
    </row>
    <row r="140" spans="1:11" hidden="1">
      <c r="A140" s="78"/>
      <c r="B140" s="307"/>
      <c r="C140" s="309">
        <f>IF($O$27="Ya",'REGRESI 9'!R28,IF($O$27="Tidak",'PERHITUNGAN 9'!N94,"Pilih Dahulu"))</f>
        <v>0</v>
      </c>
      <c r="D140" s="310"/>
      <c r="E140" s="310"/>
      <c r="F140" s="311"/>
      <c r="G140" s="277">
        <f>IF($O$27="Ya",'REGRESI 9'!T28,IF($O$27="Tidak",'PERHITUNGAN 9'!O94,"Pilih Dahulu"))</f>
        <v>-0.47568384008438525</v>
      </c>
      <c r="H140" s="165"/>
      <c r="I140" s="165"/>
      <c r="J140" s="166" t="str">
        <f>'PERHITUNGAN 9'!S94</f>
        <v>±</v>
      </c>
      <c r="K140" s="167" t="e" cm="1">
        <f t="array" aca="1" ref="K140" ca="1">_xll.SIGFIGUP('PERHITUNGAN 9'!T94,2)</f>
        <v>#NAME?</v>
      </c>
    </row>
    <row r="141" spans="1:11">
      <c r="A141" s="78"/>
      <c r="B141" s="308"/>
      <c r="C141" s="272"/>
      <c r="D141" s="273"/>
      <c r="E141" s="273"/>
      <c r="F141" s="274"/>
      <c r="G141" s="170"/>
      <c r="H141" s="170"/>
      <c r="I141" s="170"/>
      <c r="J141" s="172"/>
      <c r="K141" s="80"/>
    </row>
    <row r="142" spans="1:11" ht="15.5" hidden="1">
      <c r="B142" s="257" t="s">
        <v>39</v>
      </c>
      <c r="C142" s="275" t="s">
        <v>41</v>
      </c>
      <c r="D142" s="275" t="s">
        <v>40</v>
      </c>
      <c r="E142" s="87"/>
      <c r="F142" s="87"/>
    </row>
    <row r="143" spans="1:11" hidden="1">
      <c r="B143" s="288" t="s">
        <v>195</v>
      </c>
      <c r="C143" s="290" t="s">
        <v>48</v>
      </c>
      <c r="D143" s="291"/>
      <c r="E143" s="291"/>
      <c r="F143" s="292"/>
      <c r="G143" s="296" t="s">
        <v>4</v>
      </c>
      <c r="H143" s="312"/>
      <c r="I143" s="297"/>
      <c r="J143" s="296" t="s">
        <v>28</v>
      </c>
      <c r="K143" s="297"/>
    </row>
    <row r="144" spans="1:11" hidden="1">
      <c r="B144" s="289"/>
      <c r="C144" s="298" t="str">
        <f>IF('PERHITUNGAN 1'!$C$2="Celcius","(°C)","(°F)")</f>
        <v>(°C)</v>
      </c>
      <c r="D144" s="299"/>
      <c r="E144" s="299"/>
      <c r="F144" s="300"/>
      <c r="G144" s="304" t="str">
        <f>IF('PERHITUNGAN 1'!$C$2="Celcius","(°C)","(°F)")</f>
        <v>(°C)</v>
      </c>
      <c r="H144" s="313"/>
      <c r="I144" s="305"/>
      <c r="J144" s="304" t="str">
        <f>IF('PERHITUNGAN 1'!$C$2="Celcius","(°C)","(°F)")</f>
        <v>(°C)</v>
      </c>
      <c r="K144" s="305"/>
    </row>
    <row r="145" spans="1:11">
      <c r="A145" s="78"/>
      <c r="B145" s="306" t="str">
        <f>'PERHITUNGAN 10'!I7</f>
        <v>-</v>
      </c>
      <c r="C145" s="269"/>
      <c r="D145" s="162"/>
      <c r="E145" s="162"/>
      <c r="F145" s="270"/>
      <c r="G145" s="165"/>
      <c r="H145" s="87"/>
      <c r="J145" s="166"/>
      <c r="K145" s="174"/>
    </row>
    <row r="146" spans="1:11">
      <c r="A146" s="78"/>
      <c r="B146" s="307"/>
      <c r="C146" s="309">
        <f>IF($O$27="Ya",'REGRESI 10'!R19,IF($O$27="Tidak",'PERHITUNGAN 10'!N85,"Pilih Dahulu"))</f>
        <v>-10</v>
      </c>
      <c r="D146" s="310"/>
      <c r="E146" s="310"/>
      <c r="F146" s="311"/>
      <c r="G146" s="165">
        <f>IF($O$27="Ya",'REGRESI 10'!T19,IF($O$27="Tidak",'PERHITUNGAN 10'!O85,"Pilih Dahulu"))</f>
        <v>-0.90376374546435845</v>
      </c>
      <c r="H146" s="87"/>
      <c r="J146" s="166" t="str">
        <f>'PERHITUNGAN 10'!S85</f>
        <v>±</v>
      </c>
      <c r="K146" s="167" t="e" cm="1">
        <f t="array" aca="1" ref="K146" ca="1">_xll.SIGFIGUP('PERHITUNGAN 10'!T85,2)</f>
        <v>#NAME?</v>
      </c>
    </row>
    <row r="147" spans="1:11">
      <c r="A147" s="78"/>
      <c r="B147" s="307"/>
      <c r="C147" s="309">
        <f>IF($O$27="Ya",'REGRESI 10'!R20,IF($O$27="Tidak",'PERHITUNGAN 10'!N86,"Pilih Dahulu"))</f>
        <v>0</v>
      </c>
      <c r="D147" s="310"/>
      <c r="E147" s="310"/>
      <c r="F147" s="311"/>
      <c r="G147" s="165">
        <f>IF($O$27="Ya",'REGRESI 10'!T20,IF($O$27="Tidak",'PERHITUNGAN 10'!O86,"Pilih Dahulu"))</f>
        <v>-0.73817504094720654</v>
      </c>
      <c r="H147" s="87"/>
      <c r="J147" s="166" t="str">
        <f>'PERHITUNGAN 10'!S86</f>
        <v>±</v>
      </c>
      <c r="K147" s="167" t="e" cm="1">
        <f t="array" aca="1" ref="K147" ca="1">_xll.SIGFIGUP('PERHITUNGAN 10'!T86,2)</f>
        <v>#NAME?</v>
      </c>
    </row>
    <row r="148" spans="1:11">
      <c r="A148" s="78"/>
      <c r="B148" s="307"/>
      <c r="C148" s="309">
        <f>IF($O$27="Ya",'REGRESI 10'!R21,IF($O$27="Tidak",'PERHITUNGAN 10'!N87,"Pilih Dahulu"))</f>
        <v>25</v>
      </c>
      <c r="D148" s="310"/>
      <c r="E148" s="310"/>
      <c r="F148" s="311"/>
      <c r="G148" s="165">
        <f>IF($O$27="Ya",'REGRESI 10'!T21,IF($O$27="Tidak",'PERHITUNGAN 10'!O87,"Pilih Dahulu"))</f>
        <v>0.13147597368515768</v>
      </c>
      <c r="H148" s="87"/>
      <c r="J148" s="166" t="str">
        <f>'PERHITUNGAN 10'!S87</f>
        <v>±</v>
      </c>
      <c r="K148" s="167" t="e" cm="1">
        <f t="array" aca="1" ref="K148" ca="1">_xll.SIGFIGUP('PERHITUNGAN 10'!T87,2)</f>
        <v>#NAME?</v>
      </c>
    </row>
    <row r="149" spans="1:11">
      <c r="A149" s="78"/>
      <c r="B149" s="307"/>
      <c r="C149" s="309">
        <f>IF($O$27="Ya",'REGRESI 10'!R22,IF($O$27="Tidak",'PERHITUNGAN 10'!N88,"Pilih Dahulu"))</f>
        <v>50</v>
      </c>
      <c r="D149" s="310"/>
      <c r="E149" s="310"/>
      <c r="F149" s="311"/>
      <c r="G149" s="165">
        <f>IF($O$27="Ya",'REGRESI 10'!T22,IF($O$27="Tidak",'PERHITUNGAN 10'!O88,"Pilih Dahulu"))</f>
        <v>1.4354187714518238</v>
      </c>
      <c r="H149" s="87"/>
      <c r="J149" s="166" t="str">
        <f>'PERHITUNGAN 10'!S88</f>
        <v>±</v>
      </c>
      <c r="K149" s="167" t="e" cm="1">
        <f t="array" aca="1" ref="K149" ca="1">_xll.SIGFIGUP('PERHITUNGAN 10'!T88,2)</f>
        <v>#NAME?</v>
      </c>
    </row>
    <row r="150" spans="1:11">
      <c r="A150" s="78"/>
      <c r="B150" s="307"/>
      <c r="C150" s="309">
        <f>IF($O$27="Ya",'REGRESI 10'!R23,IF($O$27="Tidak",'PERHITUNGAN 10'!N89,"Pilih Dahulu"))</f>
        <v>100</v>
      </c>
      <c r="D150" s="310"/>
      <c r="E150" s="310"/>
      <c r="F150" s="311"/>
      <c r="G150" s="165">
        <f>IF($O$27="Ya",'REGRESI 10'!T23,IF($O$27="Tidak",'PERHITUNGAN 10'!O89,"Pilih Dahulu"))</f>
        <v>4.2627868224918259</v>
      </c>
      <c r="H150" s="87"/>
      <c r="J150" s="166" t="str">
        <f>'PERHITUNGAN 10'!S89</f>
        <v>±</v>
      </c>
      <c r="K150" s="167" t="e" cm="1">
        <f t="array" aca="1" ref="K150" ca="1">_xll.SIGFIGUP('PERHITUNGAN 10'!T89,2)</f>
        <v>#NAME?</v>
      </c>
    </row>
    <row r="151" spans="1:11">
      <c r="A151" s="78"/>
      <c r="B151" s="307"/>
      <c r="C151" s="309">
        <f>IF($O$27="Ya",'REGRESI 10'!R24,IF($O$27="Tidak",'PERHITUNGAN 10'!N90,"Pilih Dahulu"))</f>
        <v>125</v>
      </c>
      <c r="D151" s="310"/>
      <c r="E151" s="310"/>
      <c r="F151" s="311"/>
      <c r="G151" s="165">
        <f>IF($O$27="Ya",'REGRESI 10'!T24,IF($O$27="Tidak",'PERHITUNGAN 10'!O90,"Pilih Dahulu"))</f>
        <v>5.2445156288170462</v>
      </c>
      <c r="H151" s="87"/>
      <c r="J151" s="166" t="str">
        <f>'PERHITUNGAN 10'!S90</f>
        <v>±</v>
      </c>
      <c r="K151" s="167" t="e" cm="1">
        <f t="array" aca="1" ref="K151" ca="1">_xll.SIGFIGUP('PERHITUNGAN 10'!T90,2)</f>
        <v>#NAME?</v>
      </c>
    </row>
    <row r="152" spans="1:11">
      <c r="A152" s="78"/>
      <c r="B152" s="307"/>
      <c r="C152" s="309">
        <f>IF($O$27="Ya",'REGRESI 10'!R25,IF($O$27="Tidak",'PERHITUNGAN 10'!N91,"Pilih Dahulu"))</f>
        <v>150</v>
      </c>
      <c r="D152" s="310"/>
      <c r="E152" s="310"/>
      <c r="F152" s="311"/>
      <c r="G152" s="165">
        <f>IF($O$27="Ya",'REGRESI 10'!T25,IF($O$27="Tidak",'PERHITUNGAN 10'!O91,"Pilih Dahulu"))</f>
        <v>5.5771433243803319</v>
      </c>
      <c r="H152" s="87"/>
      <c r="J152" s="166" t="str">
        <f>'PERHITUNGAN 10'!S91</f>
        <v>±</v>
      </c>
      <c r="K152" s="167" t="e" cm="1">
        <f t="array" aca="1" ref="K152" ca="1">_xll.SIGFIGUP('PERHITUNGAN 10'!T91,2)</f>
        <v>#NAME?</v>
      </c>
    </row>
    <row r="153" spans="1:11">
      <c r="A153" s="78"/>
      <c r="B153" s="307"/>
      <c r="C153" s="309">
        <f>IF($O$27="Ya",'REGRESI 10'!R26,IF($O$27="Tidak",'PERHITUNGAN 10'!N92,"Pilih Dahulu"))</f>
        <v>200</v>
      </c>
      <c r="D153" s="310"/>
      <c r="E153" s="310"/>
      <c r="F153" s="311"/>
      <c r="G153" s="165">
        <f>IF($O$27="Ya",'REGRESI 10'!T26,IF($O$27="Tidak",'PERHITUNGAN 10'!O92,"Pilih Dahulu"))</f>
        <v>3.2117024893248676</v>
      </c>
      <c r="H153" s="87"/>
      <c r="J153" s="166" t="str">
        <f>'PERHITUNGAN 10'!S92</f>
        <v>±</v>
      </c>
      <c r="K153" s="167" t="e" cm="1">
        <f t="array" aca="1" ref="K153" ca="1">_xll.SIGFIGUP('PERHITUNGAN 10'!T92,2)</f>
        <v>#NAME?</v>
      </c>
    </row>
    <row r="154" spans="1:11" hidden="1">
      <c r="A154" s="78"/>
      <c r="B154" s="307"/>
      <c r="C154" s="309">
        <f>IF($O$27="Ya",'REGRESI 10'!R27,IF($O$27="Tidak",'PERHITUNGAN 10'!N93,"Pilih Dahulu"))</f>
        <v>0</v>
      </c>
      <c r="D154" s="310"/>
      <c r="E154" s="310"/>
      <c r="F154" s="311"/>
      <c r="G154" s="165">
        <f>IF($O$27="Ya",'REGRESI 10'!T27,IF($O$27="Tidak",'PERHITUNGAN 10'!O93,"Pilih Dahulu"))</f>
        <v>-0.73817504094720654</v>
      </c>
      <c r="H154" s="87"/>
      <c r="J154" s="166" t="str">
        <f>'PERHITUNGAN 10'!S93</f>
        <v>±</v>
      </c>
      <c r="K154" s="167" t="e" cm="1">
        <f t="array" aca="1" ref="K154" ca="1">_xll.SIGFIGUP('PERHITUNGAN 10'!T93,2)</f>
        <v>#NAME?</v>
      </c>
    </row>
    <row r="155" spans="1:11" hidden="1">
      <c r="A155" s="78"/>
      <c r="B155" s="307"/>
      <c r="C155" s="309">
        <f>IF($O$27="Ya",'REGRESI 10'!R28,IF($O$27="Tidak",'PERHITUNGAN 10'!N94,"Pilih Dahulu"))</f>
        <v>0</v>
      </c>
      <c r="D155" s="310"/>
      <c r="E155" s="310"/>
      <c r="F155" s="311"/>
      <c r="G155" s="165">
        <f>IF($O$27="Ya",'REGRESI 10'!T28,IF($O$27="Tidak",'PERHITUNGAN 10'!O94,"Pilih Dahulu"))</f>
        <v>-0.73817504094720654</v>
      </c>
      <c r="H155" s="87"/>
      <c r="J155" s="166" t="str">
        <f>'PERHITUNGAN 10'!S94</f>
        <v>±</v>
      </c>
      <c r="K155" s="167" t="e" cm="1">
        <f t="array" aca="1" ref="K155" ca="1">_xll.SIGFIGUP('PERHITUNGAN 10'!T94,2)</f>
        <v>#NAME?</v>
      </c>
    </row>
    <row r="156" spans="1:11">
      <c r="A156" s="78"/>
      <c r="B156" s="308"/>
      <c r="C156" s="272"/>
      <c r="D156" s="273"/>
      <c r="E156" s="273"/>
      <c r="F156" s="274"/>
      <c r="G156" s="170"/>
      <c r="H156" s="171"/>
      <c r="I156" s="81"/>
      <c r="J156" s="172"/>
      <c r="K156" s="80"/>
    </row>
    <row r="157" spans="1:11">
      <c r="A157" s="78"/>
      <c r="B157" s="306">
        <f>'PERHITUNGAN 11'!I7</f>
        <v>11</v>
      </c>
      <c r="C157" s="269"/>
      <c r="D157" s="162"/>
      <c r="E157" s="162"/>
      <c r="F157" s="270"/>
      <c r="G157" s="165"/>
      <c r="H157" s="87"/>
      <c r="J157" s="166"/>
      <c r="K157" s="167"/>
    </row>
    <row r="158" spans="1:11">
      <c r="A158" s="78"/>
      <c r="B158" s="307"/>
      <c r="C158" s="309">
        <f>IF($O$27="Ya",'REGRESI 11'!R19,IF($O$27="Tidak",'PERHITUNGAN 11'!N85,"Pilih Dahulu"))</f>
        <v>-10</v>
      </c>
      <c r="D158" s="310"/>
      <c r="E158" s="310"/>
      <c r="F158" s="311"/>
      <c r="G158" s="165">
        <f>IF($O$27="Ya",'REGRESI 11'!T19,IF($O$27="Tidak",'PERHITUNGAN 11'!O85,"Pilih Dahulu"))</f>
        <v>-0.91528811986660341</v>
      </c>
      <c r="H158" s="87"/>
      <c r="J158" s="166" t="str">
        <f>'PERHITUNGAN 11'!S85</f>
        <v>±</v>
      </c>
      <c r="K158" s="167" t="e" cm="1">
        <f t="array" aca="1" ref="K158" ca="1">_xll.SIGFIGUP('PERHITUNGAN 11'!T85,2)</f>
        <v>#NAME?</v>
      </c>
    </row>
    <row r="159" spans="1:11">
      <c r="A159" s="78"/>
      <c r="B159" s="307"/>
      <c r="C159" s="309">
        <f>IF($O$27="Ya",'REGRESI 11'!R20,IF($O$27="Tidak",'PERHITUNGAN 11'!N86,"Pilih Dahulu"))</f>
        <v>0</v>
      </c>
      <c r="D159" s="310"/>
      <c r="E159" s="310"/>
      <c r="F159" s="311"/>
      <c r="G159" s="165">
        <f>IF($O$27="Ya",'REGRESI 11'!T20,IF($O$27="Tidak",'PERHITUNGAN 11'!O86,"Pilih Dahulu"))</f>
        <v>-0.4672291758883107</v>
      </c>
      <c r="H159" s="87"/>
      <c r="J159" s="166" t="str">
        <f>'PERHITUNGAN 11'!S86</f>
        <v>±</v>
      </c>
      <c r="K159" s="167" t="e" cm="1">
        <f t="array" aca="1" ref="K159" ca="1">_xll.SIGFIGUP('PERHITUNGAN 11'!T86,2)</f>
        <v>#NAME?</v>
      </c>
    </row>
    <row r="160" spans="1:11">
      <c r="A160" s="78"/>
      <c r="B160" s="307"/>
      <c r="C160" s="309">
        <f>IF($O$27="Ya",'REGRESI 11'!R21,IF($O$27="Tidak",'PERHITUNGAN 11'!N87,"Pilih Dahulu"))</f>
        <v>25</v>
      </c>
      <c r="D160" s="310"/>
      <c r="E160" s="310"/>
      <c r="F160" s="311"/>
      <c r="G160" s="165">
        <f>IF($O$27="Ya",'REGRESI 11'!T21,IF($O$27="Tidak",'PERHITUNGAN 11'!O87,"Pilih Dahulu"))</f>
        <v>0.35609744088426354</v>
      </c>
      <c r="H160" s="87"/>
      <c r="J160" s="166" t="str">
        <f>'PERHITUNGAN 11'!S87</f>
        <v>±</v>
      </c>
      <c r="K160" s="167" t="e" cm="1">
        <f t="array" aca="1" ref="K160" ca="1">_xll.SIGFIGUP('PERHITUNGAN 11'!T87,2)</f>
        <v>#NAME?</v>
      </c>
    </row>
    <row r="161" spans="1:15">
      <c r="A161" s="78"/>
      <c r="B161" s="307"/>
      <c r="C161" s="309">
        <f>IF($O$27="Ya",'REGRESI 11'!R22,IF($O$27="Tidak",'PERHITUNGAN 11'!N88,"Pilih Dahulu"))</f>
        <v>50</v>
      </c>
      <c r="D161" s="310"/>
      <c r="E161" s="310"/>
      <c r="F161" s="311"/>
      <c r="G161" s="165">
        <f>IF($O$27="Ya",'REGRESI 11'!T22,IF($O$27="Tidak",'PERHITUNGAN 11'!O88,"Pilih Dahulu"))</f>
        <v>0.79757767721103034</v>
      </c>
      <c r="H161" s="87"/>
      <c r="J161" s="166" t="str">
        <f>'PERHITUNGAN 11'!S88</f>
        <v>±</v>
      </c>
      <c r="K161" s="167" t="e" cm="1">
        <f t="array" aca="1" ref="K161" ca="1">_xll.SIGFIGUP('PERHITUNGAN 11'!T88,2)</f>
        <v>#NAME?</v>
      </c>
    </row>
    <row r="162" spans="1:15">
      <c r="A162" s="78"/>
      <c r="B162" s="307"/>
      <c r="C162" s="309">
        <f>IF($O$27="Ya",'REGRESI 11'!R23,IF($O$27="Tidak",'PERHITUNGAN 11'!N89,"Pilih Dahulu"))</f>
        <v>100</v>
      </c>
      <c r="D162" s="310"/>
      <c r="E162" s="310"/>
      <c r="F162" s="311"/>
      <c r="G162" s="165">
        <f>IF($O$27="Ya",'REGRESI 11'!T23,IF($O$27="Tidak",'PERHITUNGAN 11'!O89,"Pilih Dahulu"))</f>
        <v>0.74591527182065887</v>
      </c>
      <c r="H162" s="87"/>
      <c r="J162" s="166" t="str">
        <f>'PERHITUNGAN 11'!S89</f>
        <v>±</v>
      </c>
      <c r="K162" s="167" t="e" cm="1">
        <f t="array" aca="1" ref="K162" ca="1">_xll.SIGFIGUP('PERHITUNGAN 11'!T89,2)</f>
        <v>#NAME?</v>
      </c>
      <c r="O162" s="76" t="s">
        <v>196</v>
      </c>
    </row>
    <row r="163" spans="1:15">
      <c r="A163" s="78"/>
      <c r="B163" s="307"/>
      <c r="C163" s="309">
        <f>IF($O$27="Ya",'REGRESI 11'!R24,IF($O$27="Tidak",'PERHITUNGAN 11'!N90,"Pilih Dahulu"))</f>
        <v>125</v>
      </c>
      <c r="D163" s="310"/>
      <c r="E163" s="310"/>
      <c r="F163" s="311"/>
      <c r="G163" s="165">
        <f>IF($O$27="Ya",'REGRESI 11'!T24,IF($O$27="Tidak",'PERHITUNGAN 11'!O90,"Pilih Dahulu"))</f>
        <v>0.35823076175027868</v>
      </c>
      <c r="H163" s="87"/>
      <c r="J163" s="166" t="str">
        <f>'PERHITUNGAN 11'!S90</f>
        <v>±</v>
      </c>
      <c r="K163" s="167" t="e" cm="1">
        <f t="array" aca="1" ref="K163" ca="1">_xll.SIGFIGUP('PERHITUNGAN 11'!T90,2)</f>
        <v>#NAME?</v>
      </c>
    </row>
    <row r="164" spans="1:15">
      <c r="A164" s="78"/>
      <c r="B164" s="307"/>
      <c r="C164" s="309">
        <f>IF($O$27="Ya",'REGRESI 11'!R25,IF($O$27="Tidak",'PERHITUNGAN 11'!N91,"Pilih Dahulu"))</f>
        <v>150</v>
      </c>
      <c r="D164" s="310"/>
      <c r="E164" s="310"/>
      <c r="F164" s="311"/>
      <c r="G164" s="165">
        <f>IF($O$27="Ya",'REGRESI 11'!T25,IF($O$27="Tidak",'PERHITUNGAN 11'!O91,"Pilih Dahulu"))</f>
        <v>-0.20038386547239107</v>
      </c>
      <c r="H164" s="87"/>
      <c r="J164" s="166" t="str">
        <f>'PERHITUNGAN 11'!S91</f>
        <v>±</v>
      </c>
      <c r="K164" s="167" t="e" cm="1">
        <f t="array" aca="1" ref="K164" ca="1">_xll.SIGFIGUP('PERHITUNGAN 11'!T91,2)</f>
        <v>#NAME?</v>
      </c>
    </row>
    <row r="165" spans="1:15">
      <c r="A165" s="78"/>
      <c r="B165" s="307"/>
      <c r="C165" s="309">
        <f>IF($O$27="Ya",'REGRESI 11'!R26,IF($O$27="Tidak",'PERHITUNGAN 11'!N92,"Pilih Dahulu"))</f>
        <v>200</v>
      </c>
      <c r="D165" s="310"/>
      <c r="E165" s="310"/>
      <c r="F165" s="311"/>
      <c r="G165" s="165">
        <f>IF($O$27="Ya",'REGRESI 11'!T26,IF($O$27="Tidak",'PERHITUNGAN 11'!O92,"Pilih Dahulu"))</f>
        <v>-1.6194872080810878</v>
      </c>
      <c r="H165" s="87"/>
      <c r="J165" s="166" t="str">
        <f>'PERHITUNGAN 11'!S92</f>
        <v>±</v>
      </c>
      <c r="K165" s="167" t="e" cm="1">
        <f t="array" aca="1" ref="K165" ca="1">_xll.SIGFIGUP('PERHITUNGAN 11'!T92,2)</f>
        <v>#NAME?</v>
      </c>
    </row>
    <row r="166" spans="1:15" hidden="1">
      <c r="A166" s="78"/>
      <c r="B166" s="307"/>
      <c r="C166" s="309">
        <f>IF($O$27="Ya",'REGRESI 11'!R27,IF($O$27="Tidak",'PERHITUNGAN 11'!N93,"Pilih Dahulu"))</f>
        <v>0</v>
      </c>
      <c r="D166" s="310"/>
      <c r="E166" s="310"/>
      <c r="F166" s="311"/>
      <c r="G166" s="165">
        <f>IF($O$27="Ya",'REGRESI 11'!T27,IF($O$27="Tidak",'PERHITUNGAN 11'!O93,"Pilih Dahulu"))</f>
        <v>-0.4672291758883107</v>
      </c>
      <c r="H166" s="87"/>
      <c r="J166" s="166" t="str">
        <f>'PERHITUNGAN 11'!S93</f>
        <v>±</v>
      </c>
      <c r="K166" s="167" t="e" cm="1">
        <f t="array" aca="1" ref="K166" ca="1">_xll.SIGFIGUP('PERHITUNGAN 11'!T93,2)</f>
        <v>#NAME?</v>
      </c>
    </row>
    <row r="167" spans="1:15" hidden="1">
      <c r="A167" s="78"/>
      <c r="B167" s="307"/>
      <c r="C167" s="309">
        <f>IF($O$27="Ya",'REGRESI 11'!R28,IF($O$27="Tidak",'PERHITUNGAN 11'!N94,"Pilih Dahulu"))</f>
        <v>0</v>
      </c>
      <c r="D167" s="310"/>
      <c r="E167" s="310"/>
      <c r="F167" s="311"/>
      <c r="G167" s="165">
        <f>IF($O$27="Ya",'REGRESI 11'!T28,IF($O$27="Tidak",'PERHITUNGAN 11'!O94,"Pilih Dahulu"))</f>
        <v>-0.4672291758883107</v>
      </c>
      <c r="H167" s="87"/>
      <c r="J167" s="166" t="str">
        <f>'PERHITUNGAN 11'!S94</f>
        <v>±</v>
      </c>
      <c r="K167" s="167" t="e" cm="1">
        <f t="array" aca="1" ref="K167" ca="1">_xll.SIGFIGUP('PERHITUNGAN 11'!T94,2)</f>
        <v>#NAME?</v>
      </c>
    </row>
    <row r="168" spans="1:15">
      <c r="A168" s="78"/>
      <c r="B168" s="308"/>
      <c r="C168" s="272"/>
      <c r="D168" s="273"/>
      <c r="E168" s="273"/>
      <c r="F168" s="274"/>
      <c r="G168" s="170"/>
      <c r="H168" s="171"/>
      <c r="I168" s="81"/>
      <c r="J168" s="172"/>
      <c r="K168" s="80"/>
    </row>
    <row r="169" spans="1:15">
      <c r="A169" s="78"/>
      <c r="B169" s="306">
        <f>'PERHITUNGAN 12'!I7</f>
        <v>12</v>
      </c>
      <c r="C169" s="269"/>
      <c r="D169" s="162"/>
      <c r="E169" s="162"/>
      <c r="F169" s="270"/>
      <c r="G169" s="165"/>
      <c r="H169" s="87"/>
      <c r="J169" s="166"/>
      <c r="K169" s="167"/>
    </row>
    <row r="170" spans="1:15">
      <c r="A170" s="78"/>
      <c r="B170" s="307"/>
      <c r="C170" s="309">
        <f>IF($O$27="Ya",'REGRESI 12'!R19,IF($O$27="Tidak",'PERHITUNGAN 12'!N85,"Pilih Dahulu"))</f>
        <v>-10</v>
      </c>
      <c r="D170" s="310"/>
      <c r="E170" s="310"/>
      <c r="F170" s="311"/>
      <c r="G170" s="165">
        <f>IF($O$27="Ya",'REGRESI 12'!T19,IF($O$27="Tidak",'PERHITUNGAN 12'!O85,"Pilih Dahulu"))</f>
        <v>-0.92652017541131193</v>
      </c>
      <c r="H170" s="87"/>
      <c r="J170" s="166" t="str">
        <f>'PERHITUNGAN 12'!S85</f>
        <v>±</v>
      </c>
      <c r="K170" s="167" t="e" cm="1">
        <f t="array" aca="1" ref="K170" ca="1">_xll.SIGFIGUP('PERHITUNGAN 12'!T85,2)</f>
        <v>#NAME?</v>
      </c>
    </row>
    <row r="171" spans="1:15">
      <c r="A171" s="78"/>
      <c r="B171" s="307"/>
      <c r="C171" s="309">
        <f>IF($O$27="Ya",'REGRESI 12'!R20,IF($O$27="Tidak",'PERHITUNGAN 12'!N86,"Pilih Dahulu"))</f>
        <v>0</v>
      </c>
      <c r="D171" s="310"/>
      <c r="E171" s="310"/>
      <c r="F171" s="311"/>
      <c r="G171" s="165">
        <f>IF($O$27="Ya",'REGRESI 12'!T20,IF($O$27="Tidak",'PERHITUNGAN 12'!O86,"Pilih Dahulu"))</f>
        <v>-0.49174205409443039</v>
      </c>
      <c r="H171" s="87"/>
      <c r="J171" s="166" t="str">
        <f>'PERHITUNGAN 12'!S86</f>
        <v>±</v>
      </c>
      <c r="K171" s="167" t="e" cm="1">
        <f t="array" aca="1" ref="K171" ca="1">_xll.SIGFIGUP('PERHITUNGAN 12'!T86,2)</f>
        <v>#NAME?</v>
      </c>
    </row>
    <row r="172" spans="1:15">
      <c r="A172" s="78"/>
      <c r="B172" s="307"/>
      <c r="C172" s="309">
        <f>IF($O$27="Ya",'REGRESI 12'!R21,IF($O$27="Tidak",'PERHITUNGAN 12'!N87,"Pilih Dahulu"))</f>
        <v>25</v>
      </c>
      <c r="D172" s="310"/>
      <c r="E172" s="310"/>
      <c r="F172" s="311"/>
      <c r="G172" s="165">
        <f>IF($O$27="Ya",'REGRESI 12'!T21,IF($O$27="Tidak",'PERHITUNGAN 12'!O87,"Pilih Dahulu"))</f>
        <v>0.36288933327473932</v>
      </c>
      <c r="H172" s="87"/>
      <c r="J172" s="166" t="str">
        <f>'PERHITUNGAN 12'!S87</f>
        <v>±</v>
      </c>
      <c r="K172" s="167" t="e" cm="1">
        <f t="array" aca="1" ref="K172" ca="1">_xll.SIGFIGUP('PERHITUNGAN 12'!T87,2)</f>
        <v>#NAME?</v>
      </c>
    </row>
    <row r="173" spans="1:15">
      <c r="A173" s="78"/>
      <c r="B173" s="307"/>
      <c r="C173" s="309">
        <f>IF($O$27="Ya",'REGRESI 12'!R22,IF($O$27="Tidak",'PERHITUNGAN 12'!N88,"Pilih Dahulu"))</f>
        <v>50</v>
      </c>
      <c r="D173" s="310"/>
      <c r="E173" s="310"/>
      <c r="F173" s="311"/>
      <c r="G173" s="165">
        <f>IF($O$27="Ya",'REGRESI 12'!T22,IF($O$27="Tidak",'PERHITUNGAN 12'!O88,"Pilih Dahulu"))</f>
        <v>0.89940900239229371</v>
      </c>
      <c r="H173" s="87"/>
      <c r="J173" s="166" t="str">
        <f>'PERHITUNGAN 12'!S88</f>
        <v>±</v>
      </c>
      <c r="K173" s="167" t="e" cm="1">
        <f t="array" aca="1" ref="K173" ca="1">_xll.SIGFIGUP('PERHITUNGAN 12'!T88,2)</f>
        <v>#NAME?</v>
      </c>
    </row>
    <row r="174" spans="1:15">
      <c r="A174" s="78"/>
      <c r="B174" s="307"/>
      <c r="C174" s="309">
        <f>IF($O$27="Ya",'REGRESI 12'!R23,IF($O$27="Tidak",'PERHITUNGAN 12'!N89,"Pilih Dahulu"))</f>
        <v>100</v>
      </c>
      <c r="D174" s="310"/>
      <c r="E174" s="310"/>
      <c r="F174" s="311"/>
      <c r="G174" s="165">
        <f>IF($O$27="Ya",'REGRESI 12'!T23,IF($O$27="Tidak",'PERHITUNGAN 12'!O89,"Pilih Dahulu"))</f>
        <v>1.0869397083504355</v>
      </c>
      <c r="H174" s="87"/>
      <c r="J174" s="166" t="str">
        <f>'PERHITUNGAN 12'!S89</f>
        <v>±</v>
      </c>
      <c r="K174" s="167" t="e" cm="1">
        <f t="array" aca="1" ref="K174" ca="1">_xll.SIGFIGUP('PERHITUNGAN 12'!T89,2)</f>
        <v>#NAME?</v>
      </c>
    </row>
    <row r="175" spans="1:15">
      <c r="A175" s="78"/>
      <c r="B175" s="307"/>
      <c r="C175" s="309">
        <f>IF($O$27="Ya",'REGRESI 12'!R24,IF($O$27="Tidak",'PERHITUNGAN 12'!N90,"Pilih Dahulu"))</f>
        <v>125</v>
      </c>
      <c r="D175" s="310"/>
      <c r="E175" s="310"/>
      <c r="F175" s="311"/>
      <c r="G175" s="165">
        <f>IF($O$27="Ya",'REGRESI 12'!T24,IF($O$27="Tidak",'PERHITUNGAN 12'!O90,"Pilih Dahulu"))</f>
        <v>0.77236400642996306</v>
      </c>
      <c r="H175" s="87"/>
      <c r="J175" s="166" t="str">
        <f>'PERHITUNGAN 12'!S90</f>
        <v>±</v>
      </c>
      <c r="K175" s="167" t="e" cm="1">
        <f t="array" aca="1" ref="K175" ca="1">_xll.SIGFIGUP('PERHITUNGAN 12'!T90,2)</f>
        <v>#NAME?</v>
      </c>
    </row>
    <row r="176" spans="1:15">
      <c r="A176" s="78"/>
      <c r="B176" s="307"/>
      <c r="C176" s="309">
        <f>IF($O$27="Ya",'REGRESI 12'!R25,IF($O$27="Tidak",'PERHITUNGAN 12'!N91,"Pilih Dahulu"))</f>
        <v>150</v>
      </c>
      <c r="D176" s="310"/>
      <c r="E176" s="310"/>
      <c r="F176" s="311"/>
      <c r="G176" s="165">
        <f>IF($O$27="Ya",'REGRESI 12'!T25,IF($O$27="Tidak",'PERHITUNGAN 12'!O91,"Pilih Dahulu"))</f>
        <v>0.20850310873575473</v>
      </c>
      <c r="H176" s="87"/>
      <c r="J176" s="166" t="str">
        <f>'PERHITUNGAN 12'!S91</f>
        <v>±</v>
      </c>
      <c r="K176" s="167" t="e" cm="1">
        <f t="array" aca="1" ref="K176" ca="1">_xll.SIGFIGUP('PERHITUNGAN 12'!T91,2)</f>
        <v>#NAME?</v>
      </c>
    </row>
    <row r="177" spans="1:11">
      <c r="A177" s="78"/>
      <c r="B177" s="307"/>
      <c r="C177" s="309">
        <f>IF($O$27="Ya",'REGRESI 12'!R26,IF($O$27="Tidak",'PERHITUNGAN 12'!N92,"Pilih Dahulu"))</f>
        <v>200</v>
      </c>
      <c r="D177" s="310"/>
      <c r="E177" s="310"/>
      <c r="F177" s="311"/>
      <c r="G177" s="165">
        <f>IF($O$27="Ya",'REGRESI 12'!T26,IF($O$27="Tidak",'PERHITUNGAN 12'!O92,"Pilih Dahulu"))</f>
        <v>-1.5982477514959894</v>
      </c>
      <c r="H177" s="87"/>
      <c r="J177" s="166" t="str">
        <f>'PERHITUNGAN 12'!S92</f>
        <v>±</v>
      </c>
      <c r="K177" s="167" t="e" cm="1">
        <f t="array" aca="1" ref="K177" ca="1">_xll.SIGFIGUP('PERHITUNGAN 12'!T92,2)</f>
        <v>#NAME?</v>
      </c>
    </row>
    <row r="178" spans="1:11" hidden="1">
      <c r="A178" s="78"/>
      <c r="B178" s="307"/>
      <c r="C178" s="309">
        <f>IF($O$27="Ya",'REGRESI 12'!R27,IF($O$27="Tidak",'PERHITUNGAN 12'!N93,"Pilih Dahulu"))</f>
        <v>0</v>
      </c>
      <c r="D178" s="310"/>
      <c r="E178" s="310"/>
      <c r="F178" s="311"/>
      <c r="G178" s="277">
        <f>IF($O$27="Ya",'REGRESI 12'!T27,IF($O$27="Tidak",'PERHITUNGAN 12'!O93,"Pilih Dahulu"))</f>
        <v>-0.49174205409443039</v>
      </c>
      <c r="H178" s="87"/>
      <c r="J178" s="166" t="str">
        <f>'PERHITUNGAN 12'!S93</f>
        <v>±</v>
      </c>
      <c r="K178" s="167" t="e" cm="1">
        <f t="array" aca="1" ref="K178" ca="1">_xll.SIGFIGUP('PERHITUNGAN 12'!T93,2)</f>
        <v>#NAME?</v>
      </c>
    </row>
    <row r="179" spans="1:11" hidden="1">
      <c r="A179" s="78"/>
      <c r="B179" s="307"/>
      <c r="C179" s="309">
        <f>IF($O$27="Ya",'REGRESI 12'!R28,IF($O$27="Tidak",'PERHITUNGAN 12'!N94,"Pilih Dahulu"))</f>
        <v>0</v>
      </c>
      <c r="D179" s="310"/>
      <c r="E179" s="310"/>
      <c r="F179" s="311"/>
      <c r="G179" s="277">
        <f>IF($O$27="Ya",'REGRESI 12'!T28,IF($O$27="Tidak",'PERHITUNGAN 12'!O94,"Pilih Dahulu"))</f>
        <v>-0.49174205409443039</v>
      </c>
      <c r="H179" s="87"/>
      <c r="J179" s="166" t="str">
        <f>'PERHITUNGAN 12'!S94</f>
        <v>±</v>
      </c>
      <c r="K179" s="167" t="e" cm="1">
        <f t="array" aca="1" ref="K179" ca="1">_xll.SIGFIGUP('PERHITUNGAN 12'!T94,2)</f>
        <v>#NAME?</v>
      </c>
    </row>
    <row r="180" spans="1:11">
      <c r="A180" s="78"/>
      <c r="B180" s="307"/>
      <c r="C180" s="263"/>
      <c r="D180" s="278"/>
      <c r="E180" s="278"/>
      <c r="F180" s="264"/>
      <c r="G180" s="165"/>
      <c r="H180" s="87"/>
      <c r="J180" s="166"/>
      <c r="K180" s="167"/>
    </row>
    <row r="181" spans="1:11">
      <c r="A181" s="78"/>
      <c r="B181" s="306">
        <f>'PERHITUNGAN 13'!I7</f>
        <v>13</v>
      </c>
      <c r="C181" s="271"/>
      <c r="D181" s="84"/>
      <c r="E181" s="84"/>
      <c r="F181" s="276"/>
      <c r="G181" s="280"/>
      <c r="H181" s="286"/>
      <c r="I181" s="287"/>
      <c r="J181" s="285"/>
      <c r="K181" s="174"/>
    </row>
    <row r="182" spans="1:11">
      <c r="A182" s="78"/>
      <c r="B182" s="307"/>
      <c r="C182" s="309">
        <f>IF($O$27="Ya",'REGRESI 10'!R19,IF($O$27="Tidak",'PERHITUNGAN 13'!N85,"Pilih Dahulu"))</f>
        <v>-10</v>
      </c>
      <c r="D182" s="310"/>
      <c r="E182" s="310"/>
      <c r="F182" s="311"/>
      <c r="G182" s="165">
        <f>IF($O$27="Ya",'REGRESI 13'!T19,IF($O$27="Tidak",'PERHITUNGAN 13'!O85,"Pilih Dahulu"))</f>
        <v>-0.88121828832208526</v>
      </c>
      <c r="H182" s="165"/>
      <c r="J182" s="166" t="str">
        <f>'PERHITUNGAN 13'!S86</f>
        <v>±</v>
      </c>
      <c r="K182" s="167" t="e">
        <f ca="1">_xll.SIGFIGUP('PERHITUNGAN 13'!T86,2)</f>
        <v>#NAME?</v>
      </c>
    </row>
    <row r="183" spans="1:11">
      <c r="A183" s="78"/>
      <c r="B183" s="307"/>
      <c r="C183" s="309">
        <f>IF($O$27="Ya",'REGRESI 10'!R20,IF($O$27="Tidak",'PERHITUNGAN 13'!N86,"Pilih Dahulu"))</f>
        <v>0</v>
      </c>
      <c r="D183" s="310"/>
      <c r="E183" s="310"/>
      <c r="F183" s="311"/>
      <c r="G183" s="165">
        <f>IF($O$27="Ya",'REGRESI 13'!T20,IF($O$27="Tidak",'PERHITUNGAN 13'!O86,"Pilih Dahulu"))</f>
        <v>-0.46071808509844114</v>
      </c>
      <c r="H183" s="165"/>
      <c r="J183" s="166" t="str">
        <f>'PERHITUNGAN 13'!S87</f>
        <v>±</v>
      </c>
      <c r="K183" s="167" t="e">
        <f ca="1">_xll.SIGFIGUP('PERHITUNGAN 13'!T87,2)</f>
        <v>#NAME?</v>
      </c>
    </row>
    <row r="184" spans="1:11">
      <c r="A184" s="78"/>
      <c r="B184" s="307"/>
      <c r="C184" s="309">
        <f>IF($O$27="Ya",'REGRESI 10'!R21,IF($O$27="Tidak",'PERHITUNGAN 13'!N87,"Pilih Dahulu"))</f>
        <v>25</v>
      </c>
      <c r="D184" s="310"/>
      <c r="E184" s="310"/>
      <c r="F184" s="311"/>
      <c r="G184" s="165">
        <f>IF($O$27="Ya",'REGRESI 13'!T21,IF($O$27="Tidak",'PERHITUNGAN 13'!O87,"Pilih Dahulu"))</f>
        <v>0.32258343025158998</v>
      </c>
      <c r="H184" s="165"/>
      <c r="J184" s="166" t="str">
        <f>'PERHITUNGAN 13'!S88</f>
        <v>±</v>
      </c>
      <c r="K184" s="167" t="e">
        <f ca="1">_xll.SIGFIGUP('PERHITUNGAN 13'!T88,2)</f>
        <v>#NAME?</v>
      </c>
    </row>
    <row r="185" spans="1:11">
      <c r="A185" s="78"/>
      <c r="B185" s="307"/>
      <c r="C185" s="309">
        <f>IF($O$27="Ya",'REGRESI 10'!R22,IF($O$27="Tidak",'PERHITUNGAN 13'!N88,"Pilih Dahulu"))</f>
        <v>50</v>
      </c>
      <c r="D185" s="310"/>
      <c r="E185" s="310"/>
      <c r="F185" s="311"/>
      <c r="G185" s="165">
        <f>IF($O$27="Ya",'REGRESI 13'!T22,IF($O$27="Tidak",'PERHITUNGAN 13'!O88,"Pilih Dahulu"))</f>
        <v>0.75633801576894211</v>
      </c>
      <c r="H185" s="165"/>
      <c r="J185" s="166" t="str">
        <f>'PERHITUNGAN 13'!S89</f>
        <v>±</v>
      </c>
      <c r="K185" s="167" t="e">
        <f ca="1">_xll.SIGFIGUP('PERHITUNGAN 13'!T89,2)</f>
        <v>#NAME?</v>
      </c>
    </row>
    <row r="186" spans="1:11">
      <c r="A186" s="78"/>
      <c r="B186" s="307"/>
      <c r="C186" s="309">
        <f>IF($O$27="Ya",'REGRESI 10'!R23,IF($O$27="Tidak",'PERHITUNGAN 13'!N89,"Pilih Dahulu"))</f>
        <v>100</v>
      </c>
      <c r="D186" s="310"/>
      <c r="E186" s="310"/>
      <c r="F186" s="311"/>
      <c r="G186" s="165">
        <f>IF($O$27="Ya",'REGRESI 13'!T23,IF($O$27="Tidak",'PERHITUNGAN 13'!O89,"Pilih Dahulu"))</f>
        <v>0.74139312463563978</v>
      </c>
      <c r="H186" s="165"/>
      <c r="J186" s="166" t="str">
        <f>'PERHITUNGAN 13'!S90</f>
        <v>±</v>
      </c>
      <c r="K186" s="167" t="e">
        <f ca="1">_xll.SIGFIGUP('PERHITUNGAN 13'!T90,2)</f>
        <v>#NAME?</v>
      </c>
    </row>
    <row r="187" spans="1:11">
      <c r="A187" s="78"/>
      <c r="B187" s="307"/>
      <c r="C187" s="309">
        <f>IF($O$27="Ya",'REGRESI 10'!R24,IF($O$27="Tidak",'PERHITUNGAN 13'!N90,"Pilih Dahulu"))</f>
        <v>125</v>
      </c>
      <c r="D187" s="310"/>
      <c r="E187" s="310"/>
      <c r="F187" s="311"/>
      <c r="G187" s="165">
        <f>IF($O$27="Ya",'REGRESI 13'!T24,IF($O$27="Tidak",'PERHITUNGAN 13'!O90,"Pilih Dahulu"))</f>
        <v>0.37578701165000117</v>
      </c>
      <c r="H187" s="165"/>
      <c r="J187" s="166" t="str">
        <f>'PERHITUNGAN 13'!S91</f>
        <v>±</v>
      </c>
      <c r="K187" s="167" t="e">
        <f ca="1">_xll.SIGFIGUP('PERHITUNGAN 13'!T91,2)</f>
        <v>#NAME?</v>
      </c>
    </row>
    <row r="188" spans="1:11">
      <c r="A188" s="78"/>
      <c r="B188" s="307"/>
      <c r="C188" s="309">
        <f>IF($O$27="Ya",'REGRESI 10'!R25,IF($O$27="Tidak",'PERHITUNGAN 13'!N91,"Pilih Dahulu"))</f>
        <v>150</v>
      </c>
      <c r="D188" s="310"/>
      <c r="E188" s="310"/>
      <c r="F188" s="311"/>
      <c r="G188" s="165">
        <f>IF($O$27="Ya",'REGRESI 13'!T25,IF($O$27="Tidak",'PERHITUNGAN 13'!O91,"Pilih Dahulu"))</f>
        <v>-0.17317930383828761</v>
      </c>
      <c r="H188" s="165"/>
      <c r="J188" s="166" t="str">
        <f>'PERHITUNGAN 13'!S92</f>
        <v>±</v>
      </c>
      <c r="K188" s="167" t="e">
        <f ca="1">_xll.SIGFIGUP('PERHITUNGAN 13'!T92,2)</f>
        <v>#NAME?</v>
      </c>
    </row>
    <row r="189" spans="1:11">
      <c r="A189" s="78"/>
      <c r="B189" s="307"/>
      <c r="C189" s="309">
        <f>IF($O$27="Ya",'REGRESI 10'!R26,IF($O$27="Tidak",'PERHITUNGAN 13'!N92,"Pilih Dahulu"))</f>
        <v>200</v>
      </c>
      <c r="D189" s="310"/>
      <c r="E189" s="310"/>
      <c r="F189" s="311"/>
      <c r="G189" s="165">
        <f>IF($O$27="Ya",'REGRESI 13'!T26,IF($O$27="Tidak",'PERHITUNGAN 13'!O92,"Pilih Dahulu"))</f>
        <v>-1.6550058149927787</v>
      </c>
      <c r="H189" s="165"/>
      <c r="J189" s="166" t="str">
        <f>'PERHITUNGAN 13'!S93</f>
        <v>±</v>
      </c>
      <c r="K189" s="167" t="e">
        <f ca="1">_xll.SIGFIGUP('PERHITUNGAN 13'!T93,2)</f>
        <v>#NAME?</v>
      </c>
    </row>
    <row r="190" spans="1:11" hidden="1">
      <c r="A190" s="78"/>
      <c r="B190" s="307"/>
      <c r="C190" s="309">
        <f>IF($O$27="Ya",'REGRESI 10'!R27,IF($O$27="Tidak",'PERHITUNGAN 13'!N93,"Pilih Dahulu"))</f>
        <v>0</v>
      </c>
      <c r="D190" s="310"/>
      <c r="E190" s="310"/>
      <c r="F190" s="311"/>
      <c r="G190" s="165">
        <f>IF($O$27="Ya",'REGRESI 13'!T27,IF($O$27="Tidak",'PERHITUNGAN 13'!O93,"Pilih Dahulu"))</f>
        <v>-0.46071808509844114</v>
      </c>
      <c r="H190" s="87"/>
      <c r="J190" s="166" t="str">
        <f>'PERHITUNGAN 13'!S94</f>
        <v>±</v>
      </c>
      <c r="K190" s="167" t="e">
        <f ca="1">_xll.SIGFIGUP('PERHITUNGAN 13'!T94,2)</f>
        <v>#NAME?</v>
      </c>
    </row>
    <row r="191" spans="1:11" hidden="1">
      <c r="A191" s="78"/>
      <c r="B191" s="307"/>
      <c r="C191" s="309">
        <f>IF($O$27="Ya",'REGRESI 10'!R28,IF($O$27="Tidak",'PERHITUNGAN 13'!N94,"Pilih Dahulu"))</f>
        <v>0</v>
      </c>
      <c r="D191" s="310"/>
      <c r="E191" s="310"/>
      <c r="F191" s="311"/>
      <c r="G191" s="165">
        <f>IF($O$27="Ya",'REGRESI 13'!T28,IF($O$27="Tidak",'PERHITUNGAN 13'!O94,"Pilih Dahulu"))</f>
        <v>-0.46071808509844114</v>
      </c>
      <c r="H191" s="87"/>
      <c r="J191" s="166" t="str">
        <f>'PERHITUNGAN 13'!S95</f>
        <v>±</v>
      </c>
      <c r="K191" s="167" t="e">
        <f ca="1">_xll.SIGFIGUP('PERHITUNGAN 13'!T95,2)</f>
        <v>#NAME?</v>
      </c>
    </row>
    <row r="192" spans="1:11">
      <c r="A192" s="78"/>
      <c r="B192" s="308"/>
      <c r="C192" s="272"/>
      <c r="D192" s="273"/>
      <c r="E192" s="273"/>
      <c r="F192" s="274"/>
      <c r="G192" s="170"/>
      <c r="H192" s="171"/>
      <c r="I192" s="81"/>
      <c r="J192" s="172"/>
      <c r="K192" s="80"/>
    </row>
    <row r="193" spans="1:15">
      <c r="B193" s="288" t="s">
        <v>195</v>
      </c>
      <c r="C193" s="290" t="s">
        <v>48</v>
      </c>
      <c r="D193" s="291"/>
      <c r="E193" s="291"/>
      <c r="F193" s="292"/>
      <c r="G193" s="293" t="s">
        <v>4</v>
      </c>
      <c r="H193" s="294"/>
      <c r="I193" s="295"/>
      <c r="J193" s="296" t="s">
        <v>28</v>
      </c>
      <c r="K193" s="297"/>
    </row>
    <row r="194" spans="1:15">
      <c r="B194" s="289"/>
      <c r="C194" s="298" t="str">
        <f>IF('PERHITUNGAN 1'!$C$2="Celcius","(°C)","(°F)")</f>
        <v>(°C)</v>
      </c>
      <c r="D194" s="299"/>
      <c r="E194" s="299"/>
      <c r="F194" s="300"/>
      <c r="G194" s="301" t="str">
        <f>IF('PERHITUNGAN 1'!$C$2="Celcius","(°C)","(°F)")</f>
        <v>(°C)</v>
      </c>
      <c r="H194" s="302"/>
      <c r="I194" s="303"/>
      <c r="J194" s="304" t="str">
        <f>IF('PERHITUNGAN 1'!$C$2="Celcius","(°C)","(°F)")</f>
        <v>(°C)</v>
      </c>
      <c r="K194" s="305"/>
    </row>
    <row r="195" spans="1:15">
      <c r="A195" s="78"/>
      <c r="B195" s="306">
        <f>'PERHITUNGAN 14'!I7</f>
        <v>14</v>
      </c>
      <c r="C195" s="269"/>
      <c r="D195" s="162"/>
      <c r="E195" s="162"/>
      <c r="F195" s="270"/>
      <c r="G195" s="165"/>
      <c r="H195" s="87"/>
      <c r="J195" s="166"/>
      <c r="K195" s="167"/>
    </row>
    <row r="196" spans="1:15">
      <c r="A196" s="78"/>
      <c r="B196" s="307"/>
      <c r="C196" s="309">
        <f>IF($O$27="Ya",'REGRESI 14'!R19,IF($O$27="Tidak",'PERHITUNGAN 14'!N85,"Pilih Dahulu"))</f>
        <v>-10</v>
      </c>
      <c r="D196" s="310"/>
      <c r="E196" s="310"/>
      <c r="F196" s="311"/>
      <c r="G196" s="165">
        <f>IF($O$27="Ya",'REGRESI 14'!T19,IF($O$27="Tidak",'PERHITUNGAN 14'!O85,"Pilih Dahulu"))</f>
        <v>-0.92296925902559268</v>
      </c>
      <c r="H196" s="87"/>
      <c r="J196" s="166" t="str">
        <f>'PERHITUNGAN 14'!S86</f>
        <v>±</v>
      </c>
      <c r="K196" s="167" t="e">
        <f ca="1">_xll.SIGFIGUP('PERHITUNGAN 14'!T85,2)</f>
        <v>#NAME?</v>
      </c>
    </row>
    <row r="197" spans="1:15">
      <c r="A197" s="78"/>
      <c r="B197" s="307"/>
      <c r="C197" s="309">
        <f>IF($O$27="Ya",'REGRESI 14'!R20,IF($O$27="Tidak",'PERHITUNGAN 14'!N86,"Pilih Dahulu"))</f>
        <v>0</v>
      </c>
      <c r="D197" s="310"/>
      <c r="E197" s="310"/>
      <c r="F197" s="311"/>
      <c r="G197" s="165">
        <f>IF($O$27="Ya",'REGRESI 14'!T20,IF($O$27="Tidak",'PERHITUNGAN 14'!O86,"Pilih Dahulu"))</f>
        <v>-0.45546461122117693</v>
      </c>
      <c r="H197" s="87"/>
      <c r="J197" s="166" t="str">
        <f>'PERHITUNGAN 14'!S87</f>
        <v>±</v>
      </c>
      <c r="K197" s="167" t="e">
        <f ca="1">_xll.SIGFIGUP('PERHITUNGAN 14'!T86,2)</f>
        <v>#NAME?</v>
      </c>
    </row>
    <row r="198" spans="1:15">
      <c r="A198" s="78"/>
      <c r="B198" s="307"/>
      <c r="C198" s="309">
        <f>IF($O$27="Ya",'REGRESI 14'!R21,IF($O$27="Tidak",'PERHITUNGAN 14'!N87,"Pilih Dahulu"))</f>
        <v>25</v>
      </c>
      <c r="D198" s="310"/>
      <c r="E198" s="310"/>
      <c r="F198" s="311"/>
      <c r="G198" s="165">
        <f>IF($O$27="Ya",'REGRESI 14'!T21,IF($O$27="Tidak",'PERHITUNGAN 14'!O87,"Pilih Dahulu"))</f>
        <v>0.46034495517739554</v>
      </c>
      <c r="H198" s="87"/>
      <c r="J198" s="166" t="str">
        <f>'PERHITUNGAN 14'!S88</f>
        <v>±</v>
      </c>
      <c r="K198" s="167" t="e">
        <f ca="1">_xll.SIGFIGUP('PERHITUNGAN 14'!T87,2)</f>
        <v>#NAME?</v>
      </c>
    </row>
    <row r="199" spans="1:15">
      <c r="A199" s="78"/>
      <c r="B199" s="307"/>
      <c r="C199" s="309">
        <f>IF($O$27="Ya",'REGRESI 14'!R22,IF($O$27="Tidak",'PERHITUNGAN 14'!N88,"Pilih Dahulu"))</f>
        <v>50</v>
      </c>
      <c r="D199" s="310"/>
      <c r="E199" s="310"/>
      <c r="F199" s="311"/>
      <c r="G199" s="165">
        <f>IF($O$27="Ya",'REGRESI 14'!T22,IF($O$27="Tidak",'PERHITUNGAN 14'!O88,"Pilih Dahulu"))</f>
        <v>1.0321458332057136</v>
      </c>
      <c r="H199" s="87"/>
      <c r="J199" s="166" t="str">
        <f>'PERHITUNGAN 14'!S89</f>
        <v>±</v>
      </c>
      <c r="K199" s="167" t="e">
        <f ca="1">_xll.SIGFIGUP('PERHITUNGAN 14'!T88,2)</f>
        <v>#NAME?</v>
      </c>
    </row>
    <row r="200" spans="1:15">
      <c r="A200" s="78"/>
      <c r="B200" s="307"/>
      <c r="C200" s="309">
        <f>IF($O$27="Ya",'REGRESI 14'!R23,IF($O$27="Tidak",'PERHITUNGAN 14'!N89,"Pilih Dahulu"))</f>
        <v>100</v>
      </c>
      <c r="D200" s="310"/>
      <c r="E200" s="310"/>
      <c r="F200" s="311"/>
      <c r="G200" s="165">
        <f>IF($O$27="Ya",'REGRESI 14'!T23,IF($O$27="Tidak",'PERHITUNGAN 14'!O89,"Pilih Dahulu"))</f>
        <v>1.2304784616750797</v>
      </c>
      <c r="H200" s="87"/>
      <c r="J200" s="166" t="str">
        <f>'PERHITUNGAN 14'!S90</f>
        <v>±</v>
      </c>
      <c r="K200" s="167" t="e">
        <f ca="1">_xll.SIGFIGUP('PERHITUNGAN 14'!T89,2)</f>
        <v>#NAME?</v>
      </c>
      <c r="O200" s="76" t="s">
        <v>196</v>
      </c>
    </row>
    <row r="201" spans="1:15">
      <c r="A201" s="78"/>
      <c r="B201" s="307"/>
      <c r="C201" s="309">
        <f>IF($O$27="Ya",'REGRESI 14'!R24,IF($O$27="Tidak",'PERHITUNGAN 14'!N90,"Pilih Dahulu"))</f>
        <v>125</v>
      </c>
      <c r="D201" s="310"/>
      <c r="E201" s="310"/>
      <c r="F201" s="311"/>
      <c r="G201" s="165">
        <f>IF($O$27="Ya",'REGRESI 14'!T24,IF($O$27="Tidak",'PERHITUNGAN 14'!O90,"Pilih Dahulu"))</f>
        <v>0.90038868087787427</v>
      </c>
      <c r="H201" s="87"/>
      <c r="J201" s="166" t="str">
        <f>'PERHITUNGAN 14'!S91</f>
        <v>±</v>
      </c>
      <c r="K201" s="167" t="e">
        <f ca="1">_xll.SIGFIGUP('PERHITUNGAN 14'!T90,2)</f>
        <v>#NAME?</v>
      </c>
    </row>
    <row r="202" spans="1:15">
      <c r="A202" s="78"/>
      <c r="B202" s="307"/>
      <c r="C202" s="309">
        <f>IF($O$27="Ya",'REGRESI 14'!R25,IF($O$27="Tidak",'PERHITUNGAN 14'!N91,"Pilih Dahulu"))</f>
        <v>150</v>
      </c>
      <c r="D202" s="310"/>
      <c r="E202" s="310"/>
      <c r="F202" s="311"/>
      <c r="G202" s="165">
        <f>IF($O$27="Ya",'REGRESI 14'!T25,IF($O$27="Tidak",'PERHITUNGAN 14'!O91,"Pilih Dahulu"))</f>
        <v>0.31304714923390664</v>
      </c>
      <c r="H202" s="87"/>
      <c r="J202" s="166" t="str">
        <f>'PERHITUNGAN 14'!S92</f>
        <v>±</v>
      </c>
      <c r="K202" s="167" t="e">
        <f ca="1">_xll.SIGFIGUP('PERHITUNGAN 14'!T91,2)</f>
        <v>#NAME?</v>
      </c>
    </row>
    <row r="203" spans="1:15">
      <c r="A203" s="78"/>
      <c r="B203" s="307"/>
      <c r="C203" s="309">
        <f>IF($O$27="Ya",'REGRESI 14'!R26,IF($O$27="Tidak",'PERHITUNGAN 14'!N92,"Pilih Dahulu"))</f>
        <v>200</v>
      </c>
      <c r="D203" s="310"/>
      <c r="E203" s="310"/>
      <c r="F203" s="311"/>
      <c r="G203" s="165">
        <f>IF($O$27="Ya",'REGRESI 14'!T26,IF($O$27="Tidak",'PERHITUNGAN 14'!O92,"Pilih Dahulu"))</f>
        <v>-1.5466342290708213</v>
      </c>
      <c r="H203" s="87"/>
      <c r="J203" s="166" t="str">
        <f>'PERHITUNGAN 14'!S93</f>
        <v>±</v>
      </c>
      <c r="K203" s="167" t="e">
        <f ca="1">_xll.SIGFIGUP('PERHITUNGAN 14'!T92,2)</f>
        <v>#NAME?</v>
      </c>
    </row>
    <row r="204" spans="1:15" hidden="1">
      <c r="A204" s="78"/>
      <c r="B204" s="307"/>
      <c r="C204" s="309">
        <f>IF($O$27="Ya",'REGRESI 14'!R27,IF($O$27="Tidak",'PERHITUNGAN 14'!N93,"Pilih Dahulu"))</f>
        <v>0</v>
      </c>
      <c r="D204" s="310"/>
      <c r="E204" s="310"/>
      <c r="F204" s="311"/>
      <c r="G204" s="277">
        <f>IF($O$27="Ya",'REGRESI 14'!T27,IF($O$27="Tidak",'PERHITUNGAN 14'!O93,"Pilih Dahulu"))</f>
        <v>-0.45546461122117693</v>
      </c>
      <c r="H204" s="87"/>
      <c r="J204" s="166" t="str">
        <f>'PERHITUNGAN 13'!S94</f>
        <v>±</v>
      </c>
      <c r="K204" s="167" t="e">
        <f ca="1">_xll.SIGFIGUP('PERHITUNGAN 14'!T93,2)</f>
        <v>#NAME?</v>
      </c>
    </row>
    <row r="205" spans="1:15" hidden="1">
      <c r="A205" s="78"/>
      <c r="B205" s="307"/>
      <c r="C205" s="309">
        <f>IF($O$27="Ya",'REGRESI 14'!R28,IF($O$27="Tidak",'PERHITUNGAN 14'!N94,"Pilih Dahulu"))</f>
        <v>0</v>
      </c>
      <c r="D205" s="310"/>
      <c r="E205" s="310"/>
      <c r="F205" s="311"/>
      <c r="G205" s="277">
        <f>IF($O$27="Ya",'REGRESI 14'!T28,IF($O$27="Tidak",'PERHITUNGAN 14'!O94,"Pilih Dahulu"))</f>
        <v>-0.45546461122117693</v>
      </c>
      <c r="H205" s="87"/>
      <c r="J205" s="166" t="str">
        <f>'PERHITUNGAN 13'!S95</f>
        <v>±</v>
      </c>
      <c r="K205" s="167" t="e">
        <f ca="1">_xll.SIGFIGUP('PERHITUNGAN 14'!T94,2)</f>
        <v>#NAME?</v>
      </c>
    </row>
    <row r="206" spans="1:15">
      <c r="A206" s="78"/>
      <c r="B206" s="308"/>
      <c r="C206" s="272"/>
      <c r="D206" s="273"/>
      <c r="E206" s="273"/>
      <c r="F206" s="274"/>
      <c r="G206" s="170"/>
      <c r="H206" s="171"/>
      <c r="I206" s="81"/>
      <c r="J206" s="172"/>
      <c r="K206" s="80"/>
    </row>
    <row r="207" spans="1:15">
      <c r="A207" s="78"/>
      <c r="B207" s="306" t="str">
        <f>'PERHITUNGAN 15'!I7</f>
        <v>-</v>
      </c>
      <c r="C207" s="271"/>
      <c r="D207" s="84"/>
      <c r="E207" s="84"/>
      <c r="F207" s="276"/>
      <c r="G207" s="280"/>
      <c r="H207" s="286"/>
      <c r="I207" s="287"/>
      <c r="J207" s="285"/>
      <c r="K207" s="174"/>
    </row>
    <row r="208" spans="1:15">
      <c r="A208" s="78"/>
      <c r="B208" s="307"/>
      <c r="C208" s="309">
        <f>IF($O$27="Ya",'REGRESI 15'!R19,IF($O$27="Tidak",'PERHITUNGAN 15'!N85,"Pilih Dahulu"))</f>
        <v>-10</v>
      </c>
      <c r="D208" s="310"/>
      <c r="E208" s="310"/>
      <c r="F208" s="311"/>
      <c r="G208" s="165">
        <f>IF($O$27="Ya",'REGRESI 15'!T19,IF($O$27="Tidak",'PERHITUNGAN 15'!O85,"Pilih Dahulu"))</f>
        <v>-0.91202928933661442</v>
      </c>
      <c r="H208" s="87"/>
      <c r="J208" s="166" t="str">
        <f>'PERHITUNGAN 15'!S85</f>
        <v>±</v>
      </c>
      <c r="K208" s="167" t="e">
        <f ca="1">_xll.SIGFIGUP('PERHITUNGAN 15'!T85,2)</f>
        <v>#NAME?</v>
      </c>
    </row>
    <row r="209" spans="1:11">
      <c r="A209" s="78"/>
      <c r="B209" s="307"/>
      <c r="C209" s="309">
        <f>IF($O$27="Ya",'REGRESI 15'!R20,IF($O$27="Tidak",'PERHITUNGAN 15'!N20,"Pilih Dahulu"))</f>
        <v>0</v>
      </c>
      <c r="D209" s="310"/>
      <c r="E209" s="310"/>
      <c r="F209" s="311"/>
      <c r="G209" s="165">
        <f>IF($O$27="Ya",'REGRESI 15'!T20,IF($O$27="Tidak",'PERHITUNGAN 15'!O86,"Pilih Dahulu"))</f>
        <v>-0.4627406367271798</v>
      </c>
      <c r="H209" s="87"/>
      <c r="J209" s="166" t="str">
        <f>'PERHITUNGAN 15'!S86</f>
        <v>±</v>
      </c>
      <c r="K209" s="167" t="e">
        <f ca="1">_xll.SIGFIGUP('PERHITUNGAN 15'!T86,2)</f>
        <v>#NAME?</v>
      </c>
    </row>
    <row r="210" spans="1:11">
      <c r="A210" s="78"/>
      <c r="B210" s="307"/>
      <c r="C210" s="309">
        <f>IF($O$27="Ya",'REGRESI 15'!R21,IF($O$27="Tidak",'PERHITUNGAN 15'!N21,"Pilih Dahulu"))</f>
        <v>25</v>
      </c>
      <c r="D210" s="310"/>
      <c r="E210" s="310"/>
      <c r="F210" s="311"/>
      <c r="G210" s="165">
        <f>IF($O$27="Ya",'REGRESI 15'!T21,IF($O$27="Tidak",'PERHITUNGAN 15'!O87,"Pilih Dahulu"))</f>
        <v>0.36779863241106608</v>
      </c>
      <c r="H210" s="87"/>
      <c r="J210" s="166" t="str">
        <f>'PERHITUNGAN 15'!S87</f>
        <v>±</v>
      </c>
      <c r="K210" s="167" t="e">
        <f ca="1">_xll.SIGFIGUP('PERHITUNGAN 15'!T87,2)</f>
        <v>#NAME?</v>
      </c>
    </row>
    <row r="211" spans="1:11">
      <c r="A211" s="78"/>
      <c r="B211" s="307"/>
      <c r="C211" s="309">
        <f>IF($O$27="Ya",'REGRESI 15'!R22,IF($O$27="Tidak",'PERHITUNGAN 15'!N22,"Pilih Dahulu"))</f>
        <v>50</v>
      </c>
      <c r="D211" s="310"/>
      <c r="E211" s="310"/>
      <c r="F211" s="311"/>
      <c r="G211" s="165">
        <f>IF($O$27="Ya",'REGRESI 15'!T22,IF($O$27="Tidak",'PERHITUNGAN 15'!O88,"Pilih Dahulu"))</f>
        <v>0.82222531626347461</v>
      </c>
      <c r="H211" s="87"/>
      <c r="J211" s="166" t="str">
        <f>'PERHITUNGAN 15'!S88</f>
        <v>±</v>
      </c>
      <c r="K211" s="167" t="e">
        <f ca="1">_xll.SIGFIGUP('PERHITUNGAN 15'!T88,2)</f>
        <v>#NAME?</v>
      </c>
    </row>
    <row r="212" spans="1:11">
      <c r="A212" s="78"/>
      <c r="B212" s="307"/>
      <c r="C212" s="309">
        <f>IF($O$27="Ya",'REGRESI 15'!R23,IF($O$27="Tidak",'PERHITUNGAN 15'!N23,"Pilih Dahulu"))</f>
        <v>100</v>
      </c>
      <c r="D212" s="310"/>
      <c r="E212" s="310"/>
      <c r="F212" s="311"/>
      <c r="G212" s="165">
        <f>IF($O$27="Ya",'REGRESI 15'!T23,IF($O$27="Tidak",'PERHITUNGAN 15'!O89,"Pilih Dahulu"))</f>
        <v>0.81276630443402798</v>
      </c>
      <c r="H212" s="87"/>
      <c r="J212" s="166" t="str">
        <f>'PERHITUNGAN 15'!S89</f>
        <v>±</v>
      </c>
      <c r="K212" s="167" t="e">
        <f ca="1">_xll.SIGFIGUP('PERHITUNGAN 15'!T89,2)</f>
        <v>#NAME?</v>
      </c>
    </row>
    <row r="213" spans="1:11">
      <c r="A213" s="78"/>
      <c r="B213" s="307"/>
      <c r="C213" s="309">
        <f>IF($O$27="Ya",'REGRESI 15'!R24,IF($O$27="Tidak",'PERHITUNGAN 15'!N24,"Pilih Dahulu"))</f>
        <v>125</v>
      </c>
      <c r="D213" s="310"/>
      <c r="E213" s="310"/>
      <c r="F213" s="311"/>
      <c r="G213" s="165">
        <f>IF($O$27="Ya",'REGRESI 15'!T24,IF($O$27="Tidak",'PERHITUNGAN 15'!O90,"Pilih Dahulu"))</f>
        <v>0.45389329691379698</v>
      </c>
      <c r="H213" s="87"/>
      <c r="J213" s="166" t="str">
        <f>'PERHITUNGAN 15'!S90</f>
        <v>±</v>
      </c>
      <c r="K213" s="167" t="e">
        <f ca="1">_xll.SIGFIGUP('PERHITUNGAN 15'!T90,2)</f>
        <v>#NAME?</v>
      </c>
    </row>
    <row r="214" spans="1:11">
      <c r="A214" s="78"/>
      <c r="B214" s="307"/>
      <c r="C214" s="309">
        <f>IF($O$27="Ya",'REGRESI 15'!R25,IF($O$27="Tidak",'PERHITUNGAN 15'!N25,"Pilih Dahulu"))</f>
        <v>150</v>
      </c>
      <c r="D214" s="310"/>
      <c r="E214" s="310"/>
      <c r="F214" s="311"/>
      <c r="G214" s="165">
        <f>IF($O$27="Ya",'REGRESI 15'!T25,IF($O$27="Tidak",'PERHITUNGAN 15'!O91,"Pilih Dahulu"))</f>
        <v>-7.1066919569024556E-2</v>
      </c>
      <c r="H214" s="87"/>
      <c r="J214" s="166" t="str">
        <f>'PERHITUNGAN 15'!S91</f>
        <v>±</v>
      </c>
      <c r="K214" s="167" t="e">
        <f ca="1">_xll.SIGFIGUP('PERHITUNGAN 15'!T91,2)</f>
        <v>#NAME?</v>
      </c>
    </row>
    <row r="215" spans="1:11">
      <c r="A215" s="78"/>
      <c r="B215" s="307"/>
      <c r="C215" s="309">
        <f>IF($O$27="Ya",'REGRESI 15'!R26,IF($O$27="Tidak",'PERHITUNGAN 15'!N26,"Pilih Dahulu"))</f>
        <v>200</v>
      </c>
      <c r="D215" s="310"/>
      <c r="E215" s="310"/>
      <c r="F215" s="311"/>
      <c r="G215" s="165">
        <f>IF($O$27="Ya",'REGRESI 15'!T26,IF($O$27="Tidak",'PERHITUNGAN 15'!O92,"Pilih Dahulu"))</f>
        <v>-1.4092236030991883</v>
      </c>
      <c r="H215" s="87"/>
      <c r="J215" s="166" t="str">
        <f>'PERHITUNGAN 15'!S92</f>
        <v>±</v>
      </c>
      <c r="K215" s="167" t="e">
        <f ca="1">_xll.SIGFIGUP('PERHITUNGAN 15'!T92,2)</f>
        <v>#NAME?</v>
      </c>
    </row>
    <row r="216" spans="1:11" hidden="1">
      <c r="A216" s="78"/>
      <c r="B216" s="307"/>
      <c r="C216" s="309">
        <f>IF($O$27="Ya",'REGRESI 15'!R27,IF($O$27="Tidak",'PERHITUNGAN 15'!N27,"Pilih Dahulu"))</f>
        <v>0</v>
      </c>
      <c r="D216" s="310"/>
      <c r="E216" s="310"/>
      <c r="F216" s="311"/>
      <c r="G216" s="165">
        <f>IF($O$27="Ya",'REGRESI 15'!T27,IF($O$27="Tidak",'PERHITUNGAN 15'!O93,"Pilih Dahulu"))</f>
        <v>-0.4627406367271798</v>
      </c>
      <c r="H216" s="87"/>
      <c r="J216" s="166" t="str">
        <f>'PERHITUNGAN 15'!S93</f>
        <v>±</v>
      </c>
      <c r="K216" s="167" t="e">
        <f ca="1">_xll.SIGFIGUP('PERHITUNGAN 15'!T93,2)</f>
        <v>#NAME?</v>
      </c>
    </row>
    <row r="217" spans="1:11" hidden="1">
      <c r="A217" s="78"/>
      <c r="B217" s="307"/>
      <c r="C217" s="309">
        <f>IF($O$27="Ya",'REGRESI 15'!R28,IF($O$27="Tidak",'PERHITUNGAN 15'!N28,"Pilih Dahulu"))</f>
        <v>0</v>
      </c>
      <c r="D217" s="310"/>
      <c r="E217" s="310"/>
      <c r="F217" s="311"/>
      <c r="G217" s="165">
        <f>IF($O$27="Ya",'REGRESI 15'!T28,IF($O$27="Tidak",'PERHITUNGAN 15'!O94,"Pilih Dahulu"))</f>
        <v>-0.4627406367271798</v>
      </c>
      <c r="H217" s="87"/>
      <c r="J217" s="166" t="str">
        <f>'PERHITUNGAN 15'!S94</f>
        <v>±</v>
      </c>
      <c r="K217" s="167" t="e">
        <f ca="1">_xll.SIGFIGUP('PERHITUNGAN 15'!T94,2)</f>
        <v>#NAME?</v>
      </c>
    </row>
    <row r="218" spans="1:11">
      <c r="A218" s="78"/>
      <c r="B218" s="308"/>
      <c r="C218" s="168"/>
      <c r="D218" s="164"/>
      <c r="E218" s="164"/>
      <c r="F218" s="169"/>
      <c r="G218" s="170"/>
      <c r="H218" s="171"/>
      <c r="I218" s="81"/>
      <c r="J218" s="172"/>
      <c r="K218" s="80"/>
    </row>
    <row r="219" spans="1:11">
      <c r="A219" s="78"/>
      <c r="B219" s="307">
        <f>'PERHITUNGAN 16'!I7</f>
        <v>16</v>
      </c>
      <c r="C219" s="269"/>
      <c r="D219" s="162"/>
      <c r="E219" s="162"/>
      <c r="F219" s="270"/>
      <c r="G219" s="165"/>
      <c r="H219" s="87"/>
      <c r="J219" s="166"/>
      <c r="K219" s="167"/>
    </row>
    <row r="220" spans="1:11">
      <c r="A220" s="78"/>
      <c r="B220" s="307"/>
      <c r="C220" s="309">
        <f>IF($O$27="Ya",'REGRESI 16'!R19,IF($O$27="Tidak",'PERHITUNGAN 16'!N85,"Pilih Dahulu"))</f>
        <v>-10</v>
      </c>
      <c r="D220" s="310"/>
      <c r="E220" s="310"/>
      <c r="F220" s="311"/>
      <c r="G220" s="165">
        <f>IF($O$27="Ya",'REGRESI 16'!T19,IF($O$27="Tidak",'PERHITUNGAN 16'!O85,"Pilih Dahulu"))</f>
        <v>-0.80365631850890584</v>
      </c>
      <c r="H220" s="87"/>
      <c r="J220" s="166" t="str">
        <f>'PERHITUNGAN 16'!S85</f>
        <v>±</v>
      </c>
      <c r="K220" s="167" t="e">
        <f ca="1">_xll.SIGFIGUP('PERHITUNGAN 16'!T85,2)</f>
        <v>#NAME?</v>
      </c>
    </row>
    <row r="221" spans="1:11">
      <c r="A221" s="78"/>
      <c r="B221" s="307"/>
      <c r="C221" s="309">
        <f>IF($O$27="Ya",'REGRESI 16'!R20,IF($O$27="Tidak",'PERHITUNGAN 16'!N86,"Pilih Dahulu"))</f>
        <v>0</v>
      </c>
      <c r="D221" s="310"/>
      <c r="E221" s="310"/>
      <c r="F221" s="311"/>
      <c r="G221" s="165">
        <f>IF($O$27="Ya",'REGRESI 16'!T20,IF($O$27="Tidak",'PERHITUNGAN 16'!O86,"Pilih Dahulu"))</f>
        <v>-0.46864765392465024</v>
      </c>
      <c r="H221" s="87"/>
      <c r="J221" s="166" t="str">
        <f>'PERHITUNGAN 16'!S86</f>
        <v>±</v>
      </c>
      <c r="K221" s="167" t="e">
        <f ca="1">_xll.SIGFIGUP('PERHITUNGAN 16'!T86,2)</f>
        <v>#NAME?</v>
      </c>
    </row>
    <row r="222" spans="1:11">
      <c r="A222" s="78"/>
      <c r="B222" s="307"/>
      <c r="C222" s="309">
        <f>IF($O$27="Ya",'REGRESI 16'!R21,IF($O$27="Tidak",'PERHITUNGAN 16'!N87,"Pilih Dahulu"))</f>
        <v>25</v>
      </c>
      <c r="D222" s="310"/>
      <c r="E222" s="310"/>
      <c r="F222" s="311"/>
      <c r="G222" s="165">
        <f>IF($O$27="Ya",'REGRESI 16'!T21,IF($O$27="Tidak",'PERHITUNGAN 16'!O87,"Pilih Dahulu"))</f>
        <v>0.28765051188471075</v>
      </c>
      <c r="H222" s="87"/>
      <c r="J222" s="166" t="str">
        <f>'PERHITUNGAN 16'!S87</f>
        <v>±</v>
      </c>
      <c r="K222" s="167" t="e">
        <f ca="1">_xll.SIGFIGUP('PERHITUNGAN 16'!T87,2)</f>
        <v>#NAME?</v>
      </c>
    </row>
    <row r="223" spans="1:11">
      <c r="A223" s="78"/>
      <c r="B223" s="307"/>
      <c r="C223" s="309">
        <f>IF($O$27="Ya",'REGRESI 16'!R22,IF($O$27="Tidak",'PERHITUNGAN 16'!N88,"Pilih Dahulu"))</f>
        <v>50</v>
      </c>
      <c r="D223" s="310"/>
      <c r="E223" s="310"/>
      <c r="F223" s="311"/>
      <c r="G223" s="165">
        <f>IF($O$27="Ya",'REGRESI 16'!T22,IF($O$27="Tidak",'PERHITUNGAN 16'!O88,"Pilih Dahulu"))</f>
        <v>0.90394582375890153</v>
      </c>
      <c r="H223" s="87"/>
      <c r="J223" s="166" t="str">
        <f>'PERHITUNGAN 16'!S88</f>
        <v>±</v>
      </c>
      <c r="K223" s="167" t="e">
        <f ca="1">_xll.SIGFIGUP('PERHITUNGAN 16'!T88,2)</f>
        <v>#NAME?</v>
      </c>
    </row>
    <row r="224" spans="1:11">
      <c r="A224" s="78"/>
      <c r="B224" s="307"/>
      <c r="C224" s="309">
        <f>IF($O$27="Ya",'REGRESI 16'!R23,IF($O$27="Tidak",'PERHITUNGAN 16'!N89,"Pilih Dahulu"))</f>
        <v>100</v>
      </c>
      <c r="D224" s="310"/>
      <c r="E224" s="310"/>
      <c r="F224" s="311"/>
      <c r="G224" s="165">
        <f>IF($O$27="Ya",'REGRESI 16'!T23,IF($O$27="Tidak",'PERHITUNGAN 16'!O89,"Pilih Dahulu"))</f>
        <v>1.5966814421064781</v>
      </c>
      <c r="H224" s="87"/>
      <c r="J224" s="166" t="str">
        <f>'PERHITUNGAN 16'!S89</f>
        <v>±</v>
      </c>
      <c r="K224" s="167" t="e">
        <f ca="1">_xll.SIGFIGUP('PERHITUNGAN 16'!T89,2)</f>
        <v>#NAME?</v>
      </c>
    </row>
    <row r="225" spans="1:11">
      <c r="A225" s="78"/>
      <c r="B225" s="307"/>
      <c r="C225" s="309">
        <f>IF($O$27="Ya",'REGRESI 16'!R24,IF($O$27="Tidak",'PERHITUNGAN 16'!N90,"Pilih Dahulu"))</f>
        <v>125</v>
      </c>
      <c r="D225" s="310"/>
      <c r="E225" s="310"/>
      <c r="F225" s="311"/>
      <c r="G225" s="165">
        <f>IF($O$27="Ya",'REGRESI 16'!T24,IF($O$27="Tidak",'PERHITUNGAN 16'!O90,"Pilih Dahulu"))</f>
        <v>1.6131985267822164</v>
      </c>
      <c r="H225" s="87"/>
      <c r="J225" s="166" t="str">
        <f>'PERHITUNGAN 16'!S90</f>
        <v>±</v>
      </c>
      <c r="K225" s="167" t="e">
        <f ca="1">_xll.SIGFIGUP('PERHITUNGAN 16'!T90,2)</f>
        <v>#NAME?</v>
      </c>
    </row>
    <row r="226" spans="1:11">
      <c r="A226" s="78"/>
      <c r="B226" s="307"/>
      <c r="C226" s="309">
        <f>IF($O$27="Ya",'REGRESI 16'!R25,IF($O$27="Tidak",'PERHITUNGAN 16'!N91,"Pilih Dahulu"))</f>
        <v>150</v>
      </c>
      <c r="D226" s="310"/>
      <c r="E226" s="310"/>
      <c r="F226" s="311"/>
      <c r="G226" s="165">
        <f>IF($O$27="Ya",'REGRESI 16'!T25,IF($O$27="Tidak",'PERHITUNGAN 16'!O91,"Pilih Dahulu"))</f>
        <v>1.3698663139274898</v>
      </c>
      <c r="H226" s="87"/>
      <c r="J226" s="166" t="str">
        <f>'PERHITUNGAN 16'!S91</f>
        <v>±</v>
      </c>
      <c r="K226" s="167" t="e">
        <f ca="1">_xll.SIGFIGUP('PERHITUNGAN 16'!T91,2)</f>
        <v>#NAME?</v>
      </c>
    </row>
    <row r="227" spans="1:11">
      <c r="A227" s="78"/>
      <c r="B227" s="307"/>
      <c r="C227" s="309">
        <f>IF($O$27="Ya",'REGRESI 16'!R26,IF($O$27="Tidak",'PERHITUNGAN 16'!N92,"Pilih Dahulu"))</f>
        <v>200</v>
      </c>
      <c r="D227" s="310"/>
      <c r="E227" s="310"/>
      <c r="F227" s="311"/>
      <c r="G227" s="165">
        <f>IF($O$27="Ya",'REGRESI 16'!T26,IF($O$27="Tidak",'PERHITUNGAN 16'!O92,"Pilih Dahulu"))</f>
        <v>-1.6192447968651713E-2</v>
      </c>
      <c r="H227" s="87"/>
      <c r="J227" s="166" t="str">
        <f>'PERHITUNGAN 16'!S92</f>
        <v>±</v>
      </c>
      <c r="K227" s="167" t="e">
        <f ca="1">_xll.SIGFIGUP('PERHITUNGAN 16'!T92,2)</f>
        <v>#NAME?</v>
      </c>
    </row>
    <row r="228" spans="1:11" hidden="1">
      <c r="A228" s="78"/>
      <c r="B228" s="307"/>
      <c r="C228" s="309">
        <f>IF($O$27="Ya",'REGRESI 16'!R27,IF($O$27="Tidak",'PERHITUNGAN 16'!N93,"Pilih Dahulu"))</f>
        <v>0</v>
      </c>
      <c r="D228" s="310"/>
      <c r="E228" s="310"/>
      <c r="F228" s="311"/>
      <c r="G228" s="165">
        <f>IF($O$27="Ya",'REGRESI 16'!T27,IF($O$27="Tidak",'PERHITUNGAN 16'!O93,"Pilih Dahulu"))</f>
        <v>-0.46864765392465024</v>
      </c>
      <c r="H228" s="87"/>
      <c r="J228" s="166" t="str">
        <f>'PERHITUNGAN 16'!S93</f>
        <v>±</v>
      </c>
      <c r="K228" s="167" t="e">
        <f ca="1">_xll.SIGFIGUP('PERHITUNGAN 16'!T93,2)</f>
        <v>#NAME?</v>
      </c>
    </row>
    <row r="229" spans="1:11" hidden="1">
      <c r="A229" s="78"/>
      <c r="B229" s="307"/>
      <c r="C229" s="309">
        <f>IF($O$27="Ya",'REGRESI 16'!R28,IF($O$27="Tidak",'PERHITUNGAN 16'!N94,"Pilih Dahulu"))</f>
        <v>0</v>
      </c>
      <c r="D229" s="310"/>
      <c r="E229" s="310"/>
      <c r="F229" s="311"/>
      <c r="G229" s="165">
        <f>IF($O$27="Ya",'REGRESI 16'!T28,IF($O$27="Tidak",'PERHITUNGAN 16'!O94,"Pilih Dahulu"))</f>
        <v>-0.46864765392465024</v>
      </c>
      <c r="H229" s="87"/>
      <c r="J229" s="166" t="str">
        <f>'PERHITUNGAN 16'!S94</f>
        <v>±</v>
      </c>
      <c r="K229" s="167" t="e">
        <f ca="1">_xll.SIGFIGUP('PERHITUNGAN 16'!T94,2)</f>
        <v>#NAME?</v>
      </c>
    </row>
    <row r="230" spans="1:11">
      <c r="A230" s="78"/>
      <c r="B230" s="307"/>
      <c r="C230" s="263"/>
      <c r="D230" s="278"/>
      <c r="E230" s="278"/>
      <c r="F230" s="264"/>
      <c r="G230" s="165"/>
      <c r="H230" s="87"/>
      <c r="J230" s="166"/>
      <c r="K230" s="167"/>
    </row>
    <row r="231" spans="1:11">
      <c r="A231" s="78"/>
      <c r="B231" s="306">
        <f>'PERHITUNGAN 17'!I7</f>
        <v>17</v>
      </c>
      <c r="C231" s="271"/>
      <c r="D231" s="84"/>
      <c r="E231" s="84"/>
      <c r="F231" s="276"/>
      <c r="G231" s="280"/>
      <c r="H231" s="286"/>
      <c r="I231" s="287"/>
      <c r="J231" s="285"/>
      <c r="K231" s="174"/>
    </row>
    <row r="232" spans="1:11">
      <c r="A232" s="78"/>
      <c r="B232" s="307"/>
      <c r="C232" s="309">
        <f>IF($O$27="Ya",'REGRESI 17'!R19,IF($O$27="Tidak",'PERHITUNGAN 17'!N85,"Pilih Dahulu"))</f>
        <v>-10</v>
      </c>
      <c r="D232" s="310"/>
      <c r="E232" s="310"/>
      <c r="F232" s="311"/>
      <c r="G232" s="165">
        <f>IF($O$27="Ya",'REGRESI 17'!T19,IF($O$27="Tidak",'PERHITUNGAN 17'!O85,"Pilih Dahulu"))</f>
        <v>-0.88688720906432317</v>
      </c>
      <c r="H232" s="87"/>
      <c r="J232" s="166" t="str">
        <f>'PERHITUNGAN 17'!S85</f>
        <v>±</v>
      </c>
      <c r="K232" s="167" t="e">
        <f ca="1">_xll.SIGFIGUP('PERHITUNGAN 17'!T85,2)</f>
        <v>#NAME?</v>
      </c>
    </row>
    <row r="233" spans="1:11">
      <c r="A233" s="78"/>
      <c r="B233" s="307"/>
      <c r="C233" s="309">
        <f>IF($O$27="Ya",'REGRESI 17'!R20,IF($O$27="Tidak",'PERHITUNGAN 17'!N86,"Pilih Dahulu"))</f>
        <v>0</v>
      </c>
      <c r="D233" s="310"/>
      <c r="E233" s="310"/>
      <c r="F233" s="311"/>
      <c r="G233" s="165">
        <f>IF($O$27="Ya",'REGRESI 17'!T20,IF($O$27="Tidak",'PERHITUNGAN 17'!O86,"Pilih Dahulu"))</f>
        <v>-0.4501654410999727</v>
      </c>
      <c r="H233" s="87"/>
      <c r="J233" s="166" t="str">
        <f>'PERHITUNGAN 17'!S86</f>
        <v>±</v>
      </c>
      <c r="K233" s="167" t="e">
        <f ca="1">_xll.SIGFIGUP('PERHITUNGAN 17'!T86,2)</f>
        <v>#NAME?</v>
      </c>
    </row>
    <row r="234" spans="1:11">
      <c r="A234" s="78"/>
      <c r="B234" s="307"/>
      <c r="C234" s="309">
        <f>IF($O$27="Ya",'REGRESI 17'!R21,IF($O$27="Tidak",'PERHITUNGAN 17'!N87,"Pilih Dahulu"))</f>
        <v>25</v>
      </c>
      <c r="D234" s="310"/>
      <c r="E234" s="310"/>
      <c r="F234" s="311"/>
      <c r="G234" s="165">
        <f>IF($O$27="Ya",'REGRESI 17'!T21,IF($O$27="Tidak",'PERHITUNGAN 17'!O87,"Pilih Dahulu"))</f>
        <v>0.33221179350332836</v>
      </c>
      <c r="H234" s="87"/>
      <c r="J234" s="166" t="str">
        <f>'PERHITUNGAN 17'!S87</f>
        <v>±</v>
      </c>
      <c r="K234" s="167" t="e">
        <f ca="1">_xll.SIGFIGUP('PERHITUNGAN 17'!T87,2)</f>
        <v>#NAME?</v>
      </c>
    </row>
    <row r="235" spans="1:11">
      <c r="A235" s="78"/>
      <c r="B235" s="307"/>
      <c r="C235" s="309">
        <f>IF($O$27="Ya",'REGRESI 17'!R22,IF($O$27="Tidak",'PERHITUNGAN 17'!N88,"Pilih Dahulu"))</f>
        <v>50</v>
      </c>
      <c r="D235" s="310"/>
      <c r="E235" s="310"/>
      <c r="F235" s="311"/>
      <c r="G235" s="165">
        <f>IF($O$27="Ya",'REGRESI 17'!T22,IF($O$27="Tidak",'PERHITUNGAN 17'!O88,"Pilih Dahulu"))</f>
        <v>0.72518537057249233</v>
      </c>
      <c r="H235" s="87"/>
      <c r="J235" s="166" t="str">
        <f>'PERHITUNGAN 17'!S88</f>
        <v>±</v>
      </c>
      <c r="K235" s="167" t="e">
        <f ca="1">_xll.SIGFIGUP('PERHITUNGAN 17'!T88,2)</f>
        <v>#NAME?</v>
      </c>
    </row>
    <row r="236" spans="1:11">
      <c r="A236" s="78"/>
      <c r="B236" s="307"/>
      <c r="C236" s="309">
        <f>IF($O$27="Ya",'REGRESI 17'!R23,IF($O$27="Tidak",'PERHITUNGAN 17'!N89,"Pilih Dahulu"))</f>
        <v>100</v>
      </c>
      <c r="D236" s="310"/>
      <c r="E236" s="310"/>
      <c r="F236" s="311"/>
      <c r="G236" s="165">
        <f>IF($O$27="Ya",'REGRESI 17'!T23,IF($O$27="Tidak",'PERHITUNGAN 17'!O89,"Pilih Dahulu"))</f>
        <v>0.60609744520611686</v>
      </c>
      <c r="H236" s="87"/>
      <c r="J236" s="166" t="str">
        <f>'PERHITUNGAN 17'!S89</f>
        <v>±</v>
      </c>
      <c r="K236" s="167" t="e">
        <f ca="1">_xll.SIGFIGUP('PERHITUNGAN 17'!T89,2)</f>
        <v>#NAME?</v>
      </c>
    </row>
    <row r="237" spans="1:11">
      <c r="A237" s="78"/>
      <c r="B237" s="307"/>
      <c r="C237" s="309">
        <f>IF($O$27="Ya",'REGRESI 17'!R24,IF($O$27="Tidak",'PERHITUNGAN 17'!N90,"Pilih Dahulu"))</f>
        <v>125</v>
      </c>
      <c r="D237" s="310"/>
      <c r="E237" s="310"/>
      <c r="F237" s="311"/>
      <c r="G237" s="165">
        <f>IF($O$27="Ya",'REGRESI 17'!T24,IF($O$27="Tidak",'PERHITUNGAN 17'!O90,"Pilih Dahulu"))</f>
        <v>0.22562388931943111</v>
      </c>
      <c r="H237" s="87"/>
      <c r="J237" s="166" t="str">
        <f>'PERHITUNGAN 17'!S90</f>
        <v>±</v>
      </c>
      <c r="K237" s="167" t="e">
        <f ca="1">_xll.SIGFIGUP('PERHITUNGAN 17'!T90,2)</f>
        <v>#NAME?</v>
      </c>
    </row>
    <row r="238" spans="1:11">
      <c r="A238" s="78"/>
      <c r="B238" s="307"/>
      <c r="C238" s="309">
        <f>IF($O$27="Ya",'REGRESI 17'!R25,IF($O$27="Tidak",'PERHITUNGAN 17'!N91,"Pilih Dahulu"))</f>
        <v>150</v>
      </c>
      <c r="D238" s="310"/>
      <c r="E238" s="310"/>
      <c r="F238" s="311"/>
      <c r="G238" s="165">
        <f>IF($O$27="Ya",'REGRESI 17'!T25,IF($O$27="Tidak",'PERHITUNGAN 17'!O91,"Pilih Dahulu"))</f>
        <v>-0.28107743100368277</v>
      </c>
      <c r="H238" s="87"/>
      <c r="J238" s="166" t="str">
        <f>'PERHITUNGAN 17'!S91</f>
        <v>±</v>
      </c>
      <c r="K238" s="167" t="e">
        <f ca="1">_xll.SIGFIGUP('PERHITUNGAN 17'!T91,2)</f>
        <v>#NAME?</v>
      </c>
    </row>
    <row r="239" spans="1:11">
      <c r="A239" s="78"/>
      <c r="B239" s="307"/>
      <c r="C239" s="309">
        <f>IF($O$27="Ya",'REGRESI 17'!R26,IF($O$27="Tidak",'PERHITUNGAN 17'!N92,"Pilih Dahulu"))</f>
        <v>200</v>
      </c>
      <c r="D239" s="310"/>
      <c r="E239" s="310"/>
      <c r="F239" s="311"/>
      <c r="G239" s="165">
        <f>IF($O$27="Ya",'REGRESI 17'!T26,IF($O$27="Tidak",'PERHITUNGAN 17'!O92,"Pilih Dahulu"))</f>
        <v>-1.409987471861494</v>
      </c>
      <c r="H239" s="87"/>
      <c r="J239" s="166" t="str">
        <f>'PERHITUNGAN 17'!S92</f>
        <v>±</v>
      </c>
      <c r="K239" s="167" t="e">
        <f ca="1">_xll.SIGFIGUP('PERHITUNGAN 17'!T92,2)</f>
        <v>#NAME?</v>
      </c>
    </row>
    <row r="240" spans="1:11" hidden="1">
      <c r="A240" s="78"/>
      <c r="B240" s="307"/>
      <c r="C240" s="309">
        <f>IF($O$27="Ya",'REGRESI 17'!R27,IF($O$27="Tidak",'PERHITUNGAN 17'!N93,"Pilih Dahulu"))</f>
        <v>0</v>
      </c>
      <c r="D240" s="310"/>
      <c r="E240" s="310"/>
      <c r="F240" s="311"/>
      <c r="G240" s="165">
        <f>IF($O$27="Ya",'REGRESI 17'!T27,IF($O$27="Tidak",'PERHITUNGAN 17'!O93,"Pilih Dahulu"))</f>
        <v>-0.4501654410999727</v>
      </c>
      <c r="H240" s="87"/>
      <c r="J240" s="166">
        <f>'PERHITUNGAN 16'!S105</f>
        <v>0</v>
      </c>
      <c r="K240" s="167" t="e">
        <f ca="1">_xll.SIGFIGUP('PERHITUNGAN 17'!T93,2)</f>
        <v>#NAME?</v>
      </c>
    </row>
    <row r="241" spans="1:11" hidden="1">
      <c r="A241" s="78"/>
      <c r="B241" s="307"/>
      <c r="C241" s="309">
        <f>IF($O$27="Ya",'REGRESI 17'!R28,IF($O$27="Tidak",'PERHITUNGAN 17'!N94,"Pilih Dahulu"))</f>
        <v>0</v>
      </c>
      <c r="D241" s="310"/>
      <c r="E241" s="310"/>
      <c r="F241" s="311"/>
      <c r="G241" s="165">
        <f>IF($O$27="Ya",'REGRESI 17'!T28,IF($O$27="Tidak",'PERHITUNGAN 17'!O94,"Pilih Dahulu"))</f>
        <v>-0.4501654410999727</v>
      </c>
      <c r="H241" s="87"/>
      <c r="J241" s="166">
        <f>'PERHITUNGAN 16'!S106</f>
        <v>0</v>
      </c>
      <c r="K241" s="167" t="e">
        <f ca="1">_xll.SIGFIGUP('PERHITUNGAN 17'!T94,2)</f>
        <v>#NAME?</v>
      </c>
    </row>
    <row r="242" spans="1:11">
      <c r="A242" s="78"/>
      <c r="B242" s="308"/>
      <c r="C242" s="168"/>
      <c r="D242" s="164"/>
      <c r="E242" s="164"/>
      <c r="F242" s="169"/>
      <c r="G242" s="170"/>
      <c r="H242" s="171"/>
      <c r="I242" s="81"/>
      <c r="J242" s="172"/>
      <c r="K242" s="80"/>
    </row>
    <row r="243" spans="1:11">
      <c r="A243" s="78"/>
      <c r="B243" s="306">
        <f>'PERHITUNGAN 18'!I7</f>
        <v>18</v>
      </c>
      <c r="C243" s="271"/>
      <c r="D243" s="84"/>
      <c r="E243" s="84"/>
      <c r="F243" s="276"/>
      <c r="G243" s="280"/>
      <c r="H243" s="286"/>
      <c r="I243" s="287"/>
      <c r="J243" s="285"/>
      <c r="K243" s="174"/>
    </row>
    <row r="244" spans="1:11">
      <c r="A244" s="78"/>
      <c r="B244" s="307"/>
      <c r="C244" s="309">
        <f>IF($O$27="Ya",'REGRESI 18'!R19,IF($O$27="Tidak",'PERHITUNGAN 18'!N85,"Pilih Dahulu"))</f>
        <v>-10</v>
      </c>
      <c r="D244" s="310"/>
      <c r="E244" s="310"/>
      <c r="F244" s="311"/>
      <c r="G244" s="165">
        <f>IF($O$27="Ya",'REGRESI 18'!T19,IF($O$27="Tidak",'PERHITUNGAN 18'!O85,"Pilih Dahulu"))</f>
        <v>-1.0587747654191781</v>
      </c>
      <c r="H244" s="87"/>
      <c r="J244" s="166" t="str">
        <f>'PERHITUNGAN 18'!S85</f>
        <v>±</v>
      </c>
      <c r="K244" s="167" t="e">
        <f ca="1">_xll.SIGFIGUP('PERHITUNGAN 18'!T85,2)</f>
        <v>#NAME?</v>
      </c>
    </row>
    <row r="245" spans="1:11">
      <c r="A245" s="78"/>
      <c r="B245" s="307"/>
      <c r="C245" s="309">
        <f>IF($O$27="Ya",'REGRESI 18'!R20,IF($O$27="Tidak",'PERHITUNGAN 18'!N86,"Pilih Dahulu"))</f>
        <v>0</v>
      </c>
      <c r="D245" s="310"/>
      <c r="E245" s="310"/>
      <c r="F245" s="311"/>
      <c r="G245" s="165">
        <f>IF($O$27="Ya",'REGRESI 18'!T20,IF($O$27="Tidak",'PERHITUNGAN 18'!O86,"Pilih Dahulu"))</f>
        <v>-0.56081779070997495</v>
      </c>
      <c r="H245" s="87"/>
      <c r="J245" s="166" t="str">
        <f>'PERHITUNGAN 18'!S86</f>
        <v>±</v>
      </c>
      <c r="K245" s="167" t="e">
        <f ca="1">_xll.SIGFIGUP('PERHITUNGAN 18'!T86,2)</f>
        <v>#NAME?</v>
      </c>
    </row>
    <row r="246" spans="1:11">
      <c r="A246" s="78"/>
      <c r="B246" s="307"/>
      <c r="C246" s="309">
        <f>IF($O$27="Ya",'REGRESI 18'!R21,IF($O$27="Tidak",'PERHITUNGAN 18'!N87,"Pilih Dahulu"))</f>
        <v>25</v>
      </c>
      <c r="D246" s="310"/>
      <c r="E246" s="310"/>
      <c r="F246" s="311"/>
      <c r="G246" s="165">
        <f>IF($O$27="Ya",'REGRESI 18'!T21,IF($O$27="Tidak",'PERHITUNGAN 18'!O87,"Pilih Dahulu"))</f>
        <v>0.34087726415810643</v>
      </c>
      <c r="H246" s="87"/>
      <c r="J246" s="166" t="str">
        <f>'PERHITUNGAN 18'!S87</f>
        <v>±</v>
      </c>
      <c r="K246" s="167" t="e">
        <f ca="1">_xll.SIGFIGUP('PERHITUNGAN 18'!T87,2)</f>
        <v>#NAME?</v>
      </c>
    </row>
    <row r="247" spans="1:11">
      <c r="A247" s="78"/>
      <c r="B247" s="307"/>
      <c r="C247" s="309">
        <f>IF($O$27="Ya",'REGRESI 18'!R22,IF($O$27="Tidak",'PERHITUNGAN 18'!N88,"Pilih Dahulu"))</f>
        <v>50</v>
      </c>
      <c r="D247" s="310"/>
      <c r="E247" s="310"/>
      <c r="F247" s="311"/>
      <c r="G247" s="165">
        <f>IF($O$27="Ya",'REGRESI 18'!T22,IF($O$27="Tidak",'PERHITUNGAN 18'!O88,"Pilih Dahulu"))</f>
        <v>0.80986288711417886</v>
      </c>
      <c r="H247" s="87"/>
      <c r="J247" s="166" t="str">
        <f>'PERHITUNGAN 18'!S88</f>
        <v>±</v>
      </c>
      <c r="K247" s="167" t="e">
        <f ca="1">_xll.SIGFIGUP('PERHITUNGAN 18'!T88,2)</f>
        <v>#NAME?</v>
      </c>
    </row>
    <row r="248" spans="1:11">
      <c r="A248" s="78"/>
      <c r="B248" s="307"/>
      <c r="C248" s="309">
        <f>IF($O$27="Ya",'REGRESI 18'!R23,IF($O$27="Tidak",'PERHITUNGAN 18'!N89,"Pilih Dahulu"))</f>
        <v>100</v>
      </c>
      <c r="D248" s="310"/>
      <c r="E248" s="310"/>
      <c r="F248" s="311"/>
      <c r="G248" s="165">
        <f>IF($O$27="Ya",'REGRESI 18'!T23,IF($O$27="Tidak",'PERHITUNGAN 18'!O89,"Pilih Dahulu"))</f>
        <v>0.73756854847972531</v>
      </c>
      <c r="H248" s="87"/>
      <c r="J248" s="166" t="str">
        <f>'PERHITUNGAN 18'!S89</f>
        <v>±</v>
      </c>
      <c r="K248" s="167" t="e">
        <f ca="1">_xll.SIGFIGUP('PERHITUNGAN 18'!T89,2)</f>
        <v>#NAME?</v>
      </c>
    </row>
    <row r="249" spans="1:11">
      <c r="A249" s="78"/>
      <c r="B249" s="307"/>
      <c r="C249" s="309">
        <f>IF($O$27="Ya",'REGRESI 18'!R24,IF($O$27="Tidak",'PERHITUNGAN 18'!N90,"Pilih Dahulu"))</f>
        <v>125</v>
      </c>
      <c r="D249" s="310"/>
      <c r="E249" s="310"/>
      <c r="F249" s="311"/>
      <c r="G249" s="165">
        <f>IF($O$27="Ya",'REGRESI 18'!T24,IF($O$27="Tidak",'PERHITUNGAN 18'!O90,"Pilih Dahulu"))</f>
        <v>0.34021994248391341</v>
      </c>
      <c r="H249" s="87"/>
      <c r="J249" s="166" t="str">
        <f>'PERHITUNGAN 18'!S90</f>
        <v>±</v>
      </c>
      <c r="K249" s="167" t="e">
        <f ca="1">_xll.SIGFIGUP('PERHITUNGAN 18'!T90,2)</f>
        <v>#NAME?</v>
      </c>
    </row>
    <row r="250" spans="1:11">
      <c r="A250" s="78"/>
      <c r="B250" s="307"/>
      <c r="C250" s="309">
        <f>IF($O$27="Ya",'REGRESI 18'!R25,IF($O$27="Tidak",'PERHITUNGAN 18'!N91,"Pilih Dahulu"))</f>
        <v>150</v>
      </c>
      <c r="D250" s="310"/>
      <c r="E250" s="310"/>
      <c r="F250" s="311"/>
      <c r="G250" s="165">
        <f>IF($O$27="Ya",'REGRESI 18'!T25,IF($O$27="Tidak",'PERHITUNGAN 18'!O91,"Pilih Dahulu"))</f>
        <v>-0.20197538423447892</v>
      </c>
      <c r="H250" s="87"/>
      <c r="J250" s="166" t="str">
        <f>'PERHITUNGAN 18'!S91</f>
        <v>±</v>
      </c>
      <c r="K250" s="167" t="e">
        <f ca="1">_xll.SIGFIGUP('PERHITUNGAN 18'!T91,2)</f>
        <v>#NAME?</v>
      </c>
    </row>
    <row r="251" spans="1:11">
      <c r="A251" s="78"/>
      <c r="B251" s="307"/>
      <c r="C251" s="309">
        <f>IF($O$27="Ya",'REGRESI 18'!R26,IF($O$27="Tidak",'PERHITUNGAN 18'!N92,"Pilih Dahulu"))</f>
        <v>200</v>
      </c>
      <c r="D251" s="310"/>
      <c r="E251" s="310"/>
      <c r="F251" s="311"/>
      <c r="G251" s="165">
        <f>IF($O$27="Ya",'REGRESI 18'!T26,IF($O$27="Tidak",'PERHITUNGAN 18'!O92,"Pilih Dahulu"))</f>
        <v>-1.4330434886495764</v>
      </c>
      <c r="H251" s="87"/>
      <c r="J251" s="166" t="str">
        <f>'PERHITUNGAN 18'!S92</f>
        <v>±</v>
      </c>
      <c r="K251" s="167" t="e">
        <f ca="1">_xll.SIGFIGUP('PERHITUNGAN 18'!T92,2)</f>
        <v>#NAME?</v>
      </c>
    </row>
    <row r="252" spans="1:11" hidden="1">
      <c r="A252" s="78"/>
      <c r="B252" s="307"/>
      <c r="C252" s="309">
        <f>IF($O$27="Ya",'REGRESI 18'!R27,IF($O$27="Tidak",'PERHITUNGAN 18'!N93,"Pilih Dahulu"))</f>
        <v>0</v>
      </c>
      <c r="D252" s="310"/>
      <c r="E252" s="310"/>
      <c r="F252" s="311"/>
      <c r="G252" s="165">
        <f>IF($O$27="Ya",'REGRESI 18'!T27,IF($O$27="Tidak",'PERHITUNGAN 18'!O93,"Pilih Dahulu"))</f>
        <v>-0.56081779070997495</v>
      </c>
      <c r="H252" s="87"/>
      <c r="J252" s="166" t="str">
        <f>'PERHITUNGAN 18'!S93</f>
        <v>±</v>
      </c>
      <c r="K252" s="167" t="e">
        <f ca="1">_xll.SIGFIGUP('PERHITUNGAN 18'!T93,2)</f>
        <v>#NAME?</v>
      </c>
    </row>
    <row r="253" spans="1:11" hidden="1">
      <c r="A253" s="78"/>
      <c r="B253" s="307"/>
      <c r="C253" s="309">
        <f>IF($O$27="Ya",'REGRESI 18'!R28,IF($O$27="Tidak",'PERHITUNGAN 18'!N94,"Pilih Dahulu"))</f>
        <v>0</v>
      </c>
      <c r="D253" s="310"/>
      <c r="E253" s="310"/>
      <c r="F253" s="311"/>
      <c r="G253" s="165">
        <f>IF($O$27="Ya",'REGRESI 18'!T28,IF($O$27="Tidak",'PERHITUNGAN 18'!O94,"Pilih Dahulu"))</f>
        <v>-0.56081779070997495</v>
      </c>
      <c r="H253" s="87"/>
      <c r="J253" s="166" t="str">
        <f>'PERHITUNGAN 18'!S94</f>
        <v>±</v>
      </c>
      <c r="K253" s="167" t="e">
        <f ca="1">_xll.SIGFIGUP('PERHITUNGAN 18'!T94,2)</f>
        <v>#NAME?</v>
      </c>
    </row>
    <row r="254" spans="1:11">
      <c r="A254" s="78"/>
      <c r="B254" s="308"/>
      <c r="C254" s="168"/>
      <c r="D254" s="164"/>
      <c r="E254" s="164"/>
      <c r="F254" s="169"/>
      <c r="G254" s="170"/>
      <c r="H254" s="171"/>
      <c r="I254" s="81"/>
      <c r="J254" s="172"/>
      <c r="K254" s="80"/>
    </row>
    <row r="255" spans="1:11">
      <c r="B255" s="288" t="s">
        <v>195</v>
      </c>
      <c r="C255" s="290" t="s">
        <v>48</v>
      </c>
      <c r="D255" s="291"/>
      <c r="E255" s="291"/>
      <c r="F255" s="292"/>
      <c r="G255" s="293" t="s">
        <v>4</v>
      </c>
      <c r="H255" s="294"/>
      <c r="I255" s="295"/>
      <c r="J255" s="296" t="s">
        <v>28</v>
      </c>
      <c r="K255" s="297"/>
    </row>
    <row r="256" spans="1:11">
      <c r="B256" s="289"/>
      <c r="C256" s="298" t="str">
        <f>IF('PERHITUNGAN 1'!$C$2="Celcius","(°C)","(°F)")</f>
        <v>(°C)</v>
      </c>
      <c r="D256" s="299"/>
      <c r="E256" s="299"/>
      <c r="F256" s="300"/>
      <c r="G256" s="301" t="str">
        <f>IF('PERHITUNGAN 1'!$C$2="Celcius","(°C)","(°F)")</f>
        <v>(°C)</v>
      </c>
      <c r="H256" s="302"/>
      <c r="I256" s="303"/>
      <c r="J256" s="304" t="str">
        <f>IF('PERHITUNGAN 1'!$C$2="Celcius","(°C)","(°F)")</f>
        <v>(°C)</v>
      </c>
      <c r="K256" s="305"/>
    </row>
    <row r="257" spans="1:11">
      <c r="A257" s="78"/>
      <c r="B257" s="306">
        <f>'PERHITUNGAN 19'!I7</f>
        <v>19</v>
      </c>
      <c r="C257" s="271"/>
      <c r="D257" s="84"/>
      <c r="E257" s="84"/>
      <c r="F257" s="276"/>
      <c r="G257" s="280"/>
      <c r="H257" s="286"/>
      <c r="I257" s="287"/>
      <c r="J257" s="285"/>
      <c r="K257" s="174"/>
    </row>
    <row r="258" spans="1:11">
      <c r="A258" s="78"/>
      <c r="B258" s="307"/>
      <c r="C258" s="309">
        <f>IF($O$27="Ya",'REGRESI 19'!R19,IF($O$27="Tidak",'PERHITUNGAN 19'!N85,"Pilih Dahulu"))</f>
        <v>-10</v>
      </c>
      <c r="D258" s="310"/>
      <c r="E258" s="310"/>
      <c r="F258" s="311"/>
      <c r="G258" s="165">
        <f>IF($O$27="Ya",'REGRESI 19'!T19,IF($O$27="Tidak",'PERHITUNGAN 19'!O85,"Pilih Dahulu"))</f>
        <v>-0.92828000555710255</v>
      </c>
      <c r="H258" s="87"/>
      <c r="J258" s="166" t="str">
        <f>'PERHITUNGAN 19'!S85</f>
        <v>±</v>
      </c>
      <c r="K258" s="167" t="e">
        <f ca="1">_xll.SIGFIGUP('PERHITUNGAN 19'!T85,2)</f>
        <v>#NAME?</v>
      </c>
    </row>
    <row r="259" spans="1:11">
      <c r="A259" s="78"/>
      <c r="B259" s="307"/>
      <c r="C259" s="309">
        <f>IF($O$27="Ya",'REGRESI 19'!R20,IF($O$27="Tidak",'PERHITUNGAN 19'!N86,"Pilih Dahulu"))</f>
        <v>0</v>
      </c>
      <c r="D259" s="310"/>
      <c r="E259" s="310"/>
      <c r="F259" s="311"/>
      <c r="G259" s="165">
        <f>IF($O$27="Ya",'REGRESI 19'!T20,IF($O$27="Tidak",'PERHITUNGAN 19'!O86,"Pilih Dahulu"))</f>
        <v>-0.50501706482237341</v>
      </c>
      <c r="H259" s="87"/>
      <c r="J259" s="166" t="str">
        <f>'PERHITUNGAN 19'!S86</f>
        <v>±</v>
      </c>
      <c r="K259" s="167" t="e">
        <f ca="1">_xll.SIGFIGUP('PERHITUNGAN 19'!T86,2)</f>
        <v>#NAME?</v>
      </c>
    </row>
    <row r="260" spans="1:11">
      <c r="A260" s="78"/>
      <c r="B260" s="307"/>
      <c r="C260" s="309">
        <f>IF($O$27="Ya",'REGRESI 19'!R21,IF($O$27="Tidak",'PERHITUNGAN 19'!N87,"Pilih Dahulu"))</f>
        <v>25</v>
      </c>
      <c r="D260" s="310"/>
      <c r="E260" s="310"/>
      <c r="F260" s="311"/>
      <c r="G260" s="165">
        <f>IF($O$27="Ya",'REGRESI 19'!T21,IF($O$27="Tidak",'PERHITUNGAN 19'!O87,"Pilih Dahulu"))</f>
        <v>0.32476041921745508</v>
      </c>
      <c r="H260" s="87"/>
      <c r="J260" s="166" t="str">
        <f>'PERHITUNGAN 19'!S87</f>
        <v>±</v>
      </c>
      <c r="K260" s="167" t="e">
        <f ca="1">_xll.SIGFIGUP('PERHITUNGAN 19'!T87,2)</f>
        <v>#NAME?</v>
      </c>
    </row>
    <row r="261" spans="1:11">
      <c r="A261" s="78"/>
      <c r="B261" s="307"/>
      <c r="C261" s="309">
        <f>IF($O$27="Ya",'REGRESI 19'!R22,IF($O$27="Tidak",'PERHITUNGAN 19'!N88,"Pilih Dahulu"))</f>
        <v>50</v>
      </c>
      <c r="D261" s="310"/>
      <c r="E261" s="310"/>
      <c r="F261" s="311"/>
      <c r="G261" s="165">
        <f>IF($O$27="Ya",'REGRESI 19'!T22,IF($O$27="Tidak",'PERHITUNGAN 19'!O88,"Pilih Dahulu"))</f>
        <v>0.84337935615435344</v>
      </c>
      <c r="H261" s="87"/>
      <c r="J261" s="166" t="str">
        <f>'PERHITUNGAN 19'!S88</f>
        <v>±</v>
      </c>
      <c r="K261" s="167" t="e">
        <f ca="1">_xll.SIGFIGUP('PERHITUNGAN 19'!T88,2)</f>
        <v>#NAME?</v>
      </c>
    </row>
    <row r="262" spans="1:11">
      <c r="A262" s="78"/>
      <c r="B262" s="307"/>
      <c r="C262" s="309">
        <f>IF($O$27="Ya",'REGRESI 19'!R23,IF($O$27="Tidak",'PERHITUNGAN 19'!N89,"Pilih Dahulu"))</f>
        <v>100</v>
      </c>
      <c r="D262" s="310"/>
      <c r="E262" s="310"/>
      <c r="F262" s="311"/>
      <c r="G262" s="165">
        <f>IF($O$27="Ya",'REGRESI 19'!T23,IF($O$27="Tidak",'PERHITUNGAN 19'!O89,"Pilih Dahulu"))</f>
        <v>1.0226336231832407</v>
      </c>
      <c r="H262" s="87"/>
      <c r="J262" s="166" t="str">
        <f>'PERHITUNGAN 19'!S89</f>
        <v>±</v>
      </c>
      <c r="K262" s="167" t="e">
        <f ca="1">_xll.SIGFIGUP('PERHITUNGAN 19'!T89,2)</f>
        <v>#NAME?</v>
      </c>
    </row>
    <row r="263" spans="1:11">
      <c r="A263" s="78"/>
      <c r="B263" s="307"/>
      <c r="C263" s="309">
        <f>IF($O$27="Ya",'REGRESI 19'!R24,IF($O$27="Tidak",'PERHITUNGAN 19'!N90,"Pilih Dahulu"))</f>
        <v>125</v>
      </c>
      <c r="D263" s="310"/>
      <c r="E263" s="310"/>
      <c r="F263" s="311"/>
      <c r="G263" s="165">
        <f>IF($O$27="Ya",'REGRESI 19'!T24,IF($O$27="Tidak",'PERHITUNGAN 19'!O90,"Pilih Dahulu"))</f>
        <v>0.72101497050716934</v>
      </c>
      <c r="H263" s="87"/>
      <c r="J263" s="166" t="str">
        <f>'PERHITUNGAN 19'!S90</f>
        <v>±</v>
      </c>
      <c r="K263" s="167" t="e">
        <f ca="1">_xll.SIGFIGUP('PERHITUNGAN 19'!T90,2)</f>
        <v>#NAME?</v>
      </c>
    </row>
    <row r="264" spans="1:11">
      <c r="A264" s="78"/>
      <c r="B264" s="307"/>
      <c r="C264" s="309">
        <f>IF($O$27="Ya",'REGRESI 19'!R25,IF($O$27="Tidak",'PERHITUNGAN 19'!N91,"Pilih Dahulu"))</f>
        <v>150</v>
      </c>
      <c r="D264" s="310"/>
      <c r="E264" s="310"/>
      <c r="F264" s="311"/>
      <c r="G264" s="165">
        <f>IF($O$27="Ya",'REGRESI 19'!T25,IF($O$27="Tidak",'PERHITUNGAN 19'!O91,"Pilih Dahulu"))</f>
        <v>0.18372980519204807</v>
      </c>
      <c r="H264" s="87"/>
      <c r="J264" s="166" t="str">
        <f>'PERHITUNGAN 19'!S91</f>
        <v>±</v>
      </c>
      <c r="K264" s="167" t="e">
        <f ca="1">_xll.SIGFIGUP('PERHITUNGAN 19'!T91,2)</f>
        <v>#NAME?</v>
      </c>
    </row>
    <row r="265" spans="1:11">
      <c r="A265" s="78"/>
      <c r="B265" s="307"/>
      <c r="C265" s="309">
        <f>IF($O$27="Ya",'REGRESI 19'!R26,IF($O$27="Tidak",'PERHITUNGAN 19'!N92,"Pilih Dahulu"))</f>
        <v>200</v>
      </c>
      <c r="D265" s="310"/>
      <c r="E265" s="310"/>
      <c r="F265" s="311"/>
      <c r="G265" s="165">
        <f>IF($O$27="Ya",'REGRESI 19'!T26,IF($O$27="Tidak",'PERHITUNGAN 19'!O92,"Pilih Dahulu"))</f>
        <v>-1.522348028891463</v>
      </c>
      <c r="H265" s="87"/>
      <c r="J265" s="166" t="str">
        <f>'PERHITUNGAN 19'!S92</f>
        <v>±</v>
      </c>
      <c r="K265" s="167" t="e">
        <f ca="1">_xll.SIGFIGUP('PERHITUNGAN 19'!T92,2)</f>
        <v>#NAME?</v>
      </c>
    </row>
    <row r="266" spans="1:11" hidden="1">
      <c r="A266" s="78"/>
      <c r="B266" s="307"/>
      <c r="C266" s="309">
        <f>IF($O$27="Ya",'REGRESI 19'!R27,IF($O$27="Tidak",'PERHITUNGAN 19'!N93,"Pilih Dahulu"))</f>
        <v>0</v>
      </c>
      <c r="D266" s="310"/>
      <c r="E266" s="310"/>
      <c r="F266" s="311"/>
      <c r="G266" s="165">
        <f>IF($O$27="Ya",'REGRESI 19'!T27,IF($O$27="Tidak",'PERHITUNGAN 19'!O93,"Pilih Dahulu"))</f>
        <v>-0.50501706482237341</v>
      </c>
      <c r="H266" s="87"/>
      <c r="J266" s="166" t="str">
        <f>'PERHITUNGAN 19'!S93</f>
        <v>±</v>
      </c>
      <c r="K266" s="167" t="e">
        <f ca="1">_xll.SIGFIGUP('PERHITUNGAN 19'!T93,2)</f>
        <v>#NAME?</v>
      </c>
    </row>
    <row r="267" spans="1:11" hidden="1">
      <c r="A267" s="78"/>
      <c r="B267" s="307"/>
      <c r="C267" s="309">
        <f>IF($O$27="Ya",'REGRESI 19'!R28,IF($O$27="Tidak",'PERHITUNGAN 19'!N94,"Pilih Dahulu"))</f>
        <v>0</v>
      </c>
      <c r="D267" s="310"/>
      <c r="E267" s="310"/>
      <c r="F267" s="311"/>
      <c r="G267" s="165">
        <f>IF($O$27="Ya",'REGRESI 19'!T28,IF($O$27="Tidak",'PERHITUNGAN 19'!O94,"Pilih Dahulu"))</f>
        <v>-0.50501706482237341</v>
      </c>
      <c r="H267" s="87"/>
      <c r="J267" s="166" t="str">
        <f>'PERHITUNGAN 19'!S94</f>
        <v>±</v>
      </c>
      <c r="K267" s="167" t="e">
        <f ca="1">_xll.SIGFIGUP('PERHITUNGAN 19'!T94,2)</f>
        <v>#NAME?</v>
      </c>
    </row>
    <row r="268" spans="1:11">
      <c r="A268" s="78"/>
      <c r="B268" s="308"/>
      <c r="C268" s="168"/>
      <c r="D268" s="164"/>
      <c r="E268" s="164"/>
      <c r="F268" s="169"/>
      <c r="G268" s="170"/>
      <c r="H268" s="171"/>
      <c r="I268" s="81"/>
      <c r="J268" s="172"/>
      <c r="K268" s="80"/>
    </row>
    <row r="269" spans="1:11">
      <c r="A269" s="78"/>
      <c r="B269" s="306">
        <f>'PERHITUNGAN 20'!I7</f>
        <v>20</v>
      </c>
      <c r="C269" s="271"/>
      <c r="D269" s="84"/>
      <c r="E269" s="84"/>
      <c r="F269" s="276"/>
      <c r="G269" s="280"/>
      <c r="H269" s="286"/>
      <c r="I269" s="287"/>
      <c r="J269" s="285"/>
      <c r="K269" s="174"/>
    </row>
    <row r="270" spans="1:11">
      <c r="A270" s="78"/>
      <c r="B270" s="307"/>
      <c r="C270" s="309">
        <f>IF($O$27="Ya",'REGRESI 20'!R19,IF($O$27="Tidak",'PERHITUNGAN 20'!N85,"Pilih Dahulu"))</f>
        <v>-10</v>
      </c>
      <c r="D270" s="310"/>
      <c r="E270" s="310"/>
      <c r="F270" s="311"/>
      <c r="G270" s="165">
        <f>IF($O$27="Ya",'REGRESI 20'!T19,IF($O$27="Tidak",'PERHITUNGAN 20'!O85,"Pilih Dahulu"))</f>
        <v>-0.75207634822966463</v>
      </c>
      <c r="H270" s="87"/>
      <c r="J270" s="166" t="str">
        <f>'PERHITUNGAN 20'!S85</f>
        <v>±</v>
      </c>
      <c r="K270" s="167" t="e">
        <f ca="1">_xll.SIGFIGUP('PERHITUNGAN 20'!T85,2)</f>
        <v>#NAME?</v>
      </c>
    </row>
    <row r="271" spans="1:11">
      <c r="A271" s="78"/>
      <c r="B271" s="307"/>
      <c r="C271" s="309">
        <f>IF($O$27="Ya",'REGRESI 20'!R20,IF($O$27="Tidak",'PERHITUNGAN 20'!N86,"Pilih Dahulu"))</f>
        <v>0</v>
      </c>
      <c r="D271" s="310"/>
      <c r="E271" s="310"/>
      <c r="F271" s="311"/>
      <c r="G271" s="165">
        <f>IF($O$27="Ya",'REGRESI 20'!T20,IF($O$27="Tidak",'PERHITUNGAN 20'!O86,"Pilih Dahulu"))</f>
        <v>-0.44200701663360992</v>
      </c>
      <c r="H271" s="87"/>
      <c r="J271" s="166" t="str">
        <f>'PERHITUNGAN 20'!S86</f>
        <v>±</v>
      </c>
      <c r="K271" s="167" t="e">
        <f ca="1">_xll.SIGFIGUP('PERHITUNGAN 20'!T86,2)</f>
        <v>#NAME?</v>
      </c>
    </row>
    <row r="272" spans="1:11">
      <c r="A272" s="78"/>
      <c r="B272" s="307"/>
      <c r="C272" s="309">
        <f>IF($O$27="Ya",'REGRESI 20'!R21,IF($O$27="Tidak",'PERHITUNGAN 20'!N87,"Pilih Dahulu"))</f>
        <v>25</v>
      </c>
      <c r="D272" s="310"/>
      <c r="E272" s="310"/>
      <c r="F272" s="311"/>
      <c r="G272" s="165">
        <f>IF($O$27="Ya",'REGRESI 20'!T21,IF($O$27="Tidak",'PERHITUNGAN 20'!O87,"Pilih Dahulu"))</f>
        <v>0.19676742684659707</v>
      </c>
      <c r="H272" s="87"/>
      <c r="J272" s="166" t="str">
        <f>'PERHITUNGAN 20'!S87</f>
        <v>±</v>
      </c>
      <c r="K272" s="167" t="e">
        <f ca="1">_xll.SIGFIGUP('PERHITUNGAN 20'!T87,2)</f>
        <v>#NAME?</v>
      </c>
    </row>
    <row r="273" spans="1:12">
      <c r="A273" s="78"/>
      <c r="B273" s="307"/>
      <c r="C273" s="309">
        <f>IF($O$27="Ya",'REGRESI 20'!R22,IF($O$27="Tidak",'PERHITUNGAN 20'!N88,"Pilih Dahulu"))</f>
        <v>50</v>
      </c>
      <c r="D273" s="310"/>
      <c r="E273" s="310"/>
      <c r="F273" s="311"/>
      <c r="G273" s="165">
        <f>IF($O$27="Ya",'REGRESI 20'!T22,IF($O$27="Tidak",'PERHITUNGAN 20'!O88,"Pilih Dahulu"))</f>
        <v>0.63618963181146948</v>
      </c>
      <c r="H273" s="87"/>
      <c r="J273" s="166" t="str">
        <f>'PERHITUNGAN 20'!S88</f>
        <v>±</v>
      </c>
      <c r="K273" s="167" t="e">
        <f ca="1">_xll.SIGFIGUP('PERHITUNGAN 20'!T88,2)</f>
        <v>#NAME?</v>
      </c>
    </row>
    <row r="274" spans="1:12">
      <c r="A274" s="78"/>
      <c r="B274" s="307"/>
      <c r="C274" s="309">
        <f>IF($O$27="Ya",'REGRESI 20'!R23,IF($O$27="Tidak",'PERHITUNGAN 20'!N89,"Pilih Dahulu"))</f>
        <v>100</v>
      </c>
      <c r="D274" s="310"/>
      <c r="E274" s="310"/>
      <c r="F274" s="311"/>
      <c r="G274" s="165">
        <f>IF($O$27="Ya",'REGRESI 20'!T23,IF($O$27="Tidak",'PERHITUNGAN 20'!O89,"Pilih Dahulu"))</f>
        <v>0.89449388726089363</v>
      </c>
      <c r="H274" s="87"/>
      <c r="J274" s="166" t="str">
        <f>'PERHITUNGAN 20'!S89</f>
        <v>±</v>
      </c>
      <c r="K274" s="167" t="e">
        <f ca="1">_xll.SIGFIGUP('PERHITUNGAN 20'!T89,2)</f>
        <v>#NAME?</v>
      </c>
    </row>
    <row r="275" spans="1:12">
      <c r="A275" s="78"/>
      <c r="B275" s="307"/>
      <c r="C275" s="309">
        <f>IF($O$27="Ya",'REGRESI 20'!R24,IF($O$27="Tidak",'PERHITUNGAN 20'!N90,"Pilih Dahulu"))</f>
        <v>125</v>
      </c>
      <c r="D275" s="310"/>
      <c r="E275" s="310"/>
      <c r="F275" s="311"/>
      <c r="G275" s="165">
        <f>IF($O$27="Ya",'REGRESI 20'!T24,IF($O$27="Tidak",'PERHITUNGAN 20'!O90,"Pilih Dahulu"))</f>
        <v>0.70213421827828726</v>
      </c>
      <c r="H275" s="87"/>
      <c r="J275" s="166" t="str">
        <f>'PERHITUNGAN 20'!S90</f>
        <v>±</v>
      </c>
      <c r="K275" s="167" t="e">
        <f ca="1">_xll.SIGFIGUP('PERHITUNGAN 20'!T90,2)</f>
        <v>#NAME?</v>
      </c>
    </row>
    <row r="276" spans="1:12">
      <c r="A276" s="78"/>
      <c r="B276" s="307"/>
      <c r="C276" s="309">
        <f>IF($O$27="Ya",'REGRESI 20'!R25,IF($O$27="Tidak",'PERHITUNGAN 20'!N91,"Pilih Dahulu"))</f>
        <v>150</v>
      </c>
      <c r="D276" s="310"/>
      <c r="E276" s="310"/>
      <c r="F276" s="311"/>
      <c r="G276" s="165">
        <f>IF($O$27="Ya",'REGRESI 20'!T25,IF($O$27="Tidak",'PERHITUNGAN 20'!O91,"Pilih Dahulu"))</f>
        <v>0.2879388718460289</v>
      </c>
      <c r="H276" s="87"/>
      <c r="J276" s="166" t="str">
        <f>'PERHITUNGAN 20'!S91</f>
        <v>±</v>
      </c>
      <c r="K276" s="167" t="e">
        <f ca="1">_xll.SIGFIGUP('PERHITUNGAN 20'!T91,2)</f>
        <v>#NAME?</v>
      </c>
    </row>
    <row r="277" spans="1:12">
      <c r="A277" s="78"/>
      <c r="B277" s="307"/>
      <c r="C277" s="309">
        <f>IF($O$27="Ya",'REGRESI 20'!R26,IF($O$27="Tidak",'PERHITUNGAN 20'!N92,"Pilih Dahulu"))</f>
        <v>200</v>
      </c>
      <c r="D277" s="310"/>
      <c r="E277" s="310"/>
      <c r="F277" s="311"/>
      <c r="G277" s="165">
        <f>IF($O$27="Ya",'REGRESI 20'!T26,IF($O$27="Tidak",'PERHITUNGAN 20'!O92,"Pilih Dahulu"))</f>
        <v>-1.2284422923017595</v>
      </c>
      <c r="H277" s="87"/>
      <c r="J277" s="166" t="str">
        <f>'PERHITUNGAN 20'!S92</f>
        <v>±</v>
      </c>
      <c r="K277" s="167" t="e">
        <f ca="1">_xll.SIGFIGUP('PERHITUNGAN 20'!T92,2)</f>
        <v>#NAME?</v>
      </c>
    </row>
    <row r="278" spans="1:12" hidden="1">
      <c r="A278" s="78"/>
      <c r="B278" s="307"/>
      <c r="C278" s="309">
        <f>IF($O$27="Ya",'REGRESI 20'!R27,IF($O$27="Tidak",'PERHITUNGAN 20'!N93,"Pilih Dahulu"))</f>
        <v>0</v>
      </c>
      <c r="D278" s="310"/>
      <c r="E278" s="310"/>
      <c r="F278" s="311"/>
      <c r="G278" s="165">
        <f>IF($O$27="Ya",'REGRESI 20'!T27,IF($O$27="Tidak",'PERHITUNGAN 20'!O93,"Pilih Dahulu"))</f>
        <v>-0.44200701663360992</v>
      </c>
      <c r="H278" s="87"/>
      <c r="J278" s="166">
        <f>'PERHITUNGAN 19'!S105</f>
        <v>0</v>
      </c>
      <c r="K278" s="167" t="e">
        <f ca="1">_xll.SIGFIGUP('PERHITUNGAN 20'!T93,2)</f>
        <v>#NAME?</v>
      </c>
    </row>
    <row r="279" spans="1:12" hidden="1">
      <c r="A279" s="78"/>
      <c r="B279" s="307"/>
      <c r="C279" s="309">
        <f>IF($O$27="Ya",'REGRESI 20'!R28,IF($O$27="Tidak",'PERHITUNGAN 20'!N94,"Pilih Dahulu"))</f>
        <v>0</v>
      </c>
      <c r="D279" s="310"/>
      <c r="E279" s="310"/>
      <c r="F279" s="311"/>
      <c r="G279" s="165">
        <f>IF($O$27="Ya",'REGRESI 20'!T28,IF($O$27="Tidak",'PERHITUNGAN 20'!O94,"Pilih Dahulu"))</f>
        <v>-0.44200701663360992</v>
      </c>
      <c r="H279" s="87"/>
      <c r="J279" s="166">
        <f>'PERHITUNGAN 19'!S106</f>
        <v>0</v>
      </c>
      <c r="K279" s="167" t="e">
        <f ca="1">_xll.SIGFIGUP('PERHITUNGAN 20'!T94,2)</f>
        <v>#NAME?</v>
      </c>
    </row>
    <row r="280" spans="1:12">
      <c r="A280" s="78"/>
      <c r="B280" s="308"/>
      <c r="C280" s="168"/>
      <c r="D280" s="164"/>
      <c r="E280" s="164"/>
      <c r="F280" s="169"/>
      <c r="G280" s="170"/>
      <c r="H280" s="171"/>
      <c r="I280" s="81"/>
      <c r="J280" s="172"/>
      <c r="K280" s="80"/>
    </row>
    <row r="281" spans="1:12" ht="10.5" customHeight="1">
      <c r="C281" s="314"/>
      <c r="D281" s="314"/>
      <c r="E281" s="162"/>
      <c r="F281" s="79"/>
      <c r="G281" s="82"/>
      <c r="H281" s="82"/>
    </row>
    <row r="282" spans="1:12" ht="14">
      <c r="B282" s="86" t="s">
        <v>125</v>
      </c>
      <c r="C282" s="87"/>
      <c r="D282" s="162"/>
      <c r="E282" s="87"/>
      <c r="F282" s="87"/>
      <c r="G282" s="163"/>
      <c r="H282" s="163"/>
      <c r="I282" s="82"/>
    </row>
    <row r="283" spans="1:12">
      <c r="C283" s="317"/>
      <c r="D283" s="317"/>
      <c r="E283" s="253"/>
      <c r="F283" s="79"/>
      <c r="G283" s="82"/>
      <c r="H283" s="82"/>
      <c r="I283" s="163"/>
      <c r="J283" s="82"/>
    </row>
    <row r="285" spans="1:12">
      <c r="C285" s="317"/>
      <c r="D285" s="317"/>
      <c r="E285" s="253"/>
      <c r="F285" s="79"/>
      <c r="G285" s="82"/>
      <c r="H285" s="82"/>
    </row>
    <row r="286" spans="1:12" ht="27" customHeight="1">
      <c r="C286" s="317"/>
      <c r="D286" s="317"/>
      <c r="E286" s="253"/>
      <c r="F286" s="79"/>
      <c r="G286" s="82"/>
      <c r="H286" s="82"/>
      <c r="I286" s="323" t="s">
        <v>224</v>
      </c>
      <c r="J286" s="323"/>
      <c r="K286" s="323"/>
      <c r="L286" s="323"/>
    </row>
    <row r="287" spans="1:12" ht="13.5" customHeight="1">
      <c r="I287" s="258"/>
      <c r="J287" s="258"/>
      <c r="K287" s="258"/>
      <c r="L287" s="258"/>
    </row>
    <row r="288" spans="1:12">
      <c r="I288" s="258"/>
      <c r="J288" s="258"/>
      <c r="K288" s="258"/>
      <c r="L288" s="258"/>
    </row>
    <row r="289" spans="9:12">
      <c r="I289" s="258"/>
      <c r="J289" s="258"/>
      <c r="K289" s="258"/>
      <c r="L289" s="258"/>
    </row>
    <row r="290" spans="9:12" ht="14">
      <c r="I290" s="259" t="s">
        <v>225</v>
      </c>
      <c r="J290" s="258"/>
      <c r="K290" s="258"/>
      <c r="L290" s="258"/>
    </row>
    <row r="291" spans="9:12" ht="14">
      <c r="I291" s="259" t="s">
        <v>226</v>
      </c>
      <c r="J291" s="258"/>
      <c r="K291" s="258"/>
      <c r="L291" s="258"/>
    </row>
  </sheetData>
  <mergeCells count="282">
    <mergeCell ref="C203:F203"/>
    <mergeCell ref="C204:F204"/>
    <mergeCell ref="C205:F205"/>
    <mergeCell ref="B207:B218"/>
    <mergeCell ref="C208:F208"/>
    <mergeCell ref="C209:F209"/>
    <mergeCell ref="C210:F210"/>
    <mergeCell ref="C211:F211"/>
    <mergeCell ref="C212:F212"/>
    <mergeCell ref="C213:F213"/>
    <mergeCell ref="C214:F214"/>
    <mergeCell ref="C215:F215"/>
    <mergeCell ref="C216:F216"/>
    <mergeCell ref="C217:F217"/>
    <mergeCell ref="I286:L286"/>
    <mergeCell ref="J1:K1"/>
    <mergeCell ref="B24:B25"/>
    <mergeCell ref="C24:F24"/>
    <mergeCell ref="G24:I24"/>
    <mergeCell ref="B38:B49"/>
    <mergeCell ref="C39:F39"/>
    <mergeCell ref="C40:F40"/>
    <mergeCell ref="C41:F41"/>
    <mergeCell ref="C42:F42"/>
    <mergeCell ref="B26:B37"/>
    <mergeCell ref="C47:F47"/>
    <mergeCell ref="J24:K24"/>
    <mergeCell ref="C25:F25"/>
    <mergeCell ref="G25:I25"/>
    <mergeCell ref="J25:K25"/>
    <mergeCell ref="C48:F48"/>
    <mergeCell ref="B181:B192"/>
    <mergeCell ref="C182:F182"/>
    <mergeCell ref="C183:F183"/>
    <mergeCell ref="C184:F184"/>
    <mergeCell ref="C185:F185"/>
    <mergeCell ref="C186:F186"/>
    <mergeCell ref="C187:F187"/>
    <mergeCell ref="I20:J20"/>
    <mergeCell ref="I21:J21"/>
    <mergeCell ref="I19:J19"/>
    <mergeCell ref="D13:F13"/>
    <mergeCell ref="D14:F14"/>
    <mergeCell ref="D15:G15"/>
    <mergeCell ref="B128:B129"/>
    <mergeCell ref="C128:F128"/>
    <mergeCell ref="G128:I128"/>
    <mergeCell ref="J128:K128"/>
    <mergeCell ref="C129:F129"/>
    <mergeCell ref="G129:I129"/>
    <mergeCell ref="J129:K129"/>
    <mergeCell ref="C57:F57"/>
    <mergeCell ref="B65:B76"/>
    <mergeCell ref="C66:F66"/>
    <mergeCell ref="C67:F67"/>
    <mergeCell ref="C68:F68"/>
    <mergeCell ref="C69:F69"/>
    <mergeCell ref="C70:F70"/>
    <mergeCell ref="C71:F71"/>
    <mergeCell ref="C72:F72"/>
    <mergeCell ref="C73:F73"/>
    <mergeCell ref="C74:F74"/>
    <mergeCell ref="D6:F6"/>
    <mergeCell ref="C286:D286"/>
    <mergeCell ref="C283:D283"/>
    <mergeCell ref="C285:D285"/>
    <mergeCell ref="C27:F27"/>
    <mergeCell ref="C28:F28"/>
    <mergeCell ref="C29:F29"/>
    <mergeCell ref="C30:F30"/>
    <mergeCell ref="C31:F31"/>
    <mergeCell ref="C32:F32"/>
    <mergeCell ref="C33:F33"/>
    <mergeCell ref="C34:F34"/>
    <mergeCell ref="C35:F35"/>
    <mergeCell ref="C36:F36"/>
    <mergeCell ref="C43:F43"/>
    <mergeCell ref="C44:F44"/>
    <mergeCell ref="C45:F45"/>
    <mergeCell ref="C46:F46"/>
    <mergeCell ref="C58:F58"/>
    <mergeCell ref="C59:F59"/>
    <mergeCell ref="C60:F60"/>
    <mergeCell ref="C54:F54"/>
    <mergeCell ref="C55:F55"/>
    <mergeCell ref="C56:F56"/>
    <mergeCell ref="C75:F75"/>
    <mergeCell ref="B63:B64"/>
    <mergeCell ref="C63:F63"/>
    <mergeCell ref="B51:B60"/>
    <mergeCell ref="C51:F51"/>
    <mergeCell ref="C52:F52"/>
    <mergeCell ref="C53:F53"/>
    <mergeCell ref="B90:B91"/>
    <mergeCell ref="C90:F90"/>
    <mergeCell ref="G90:I90"/>
    <mergeCell ref="J90:K90"/>
    <mergeCell ref="C91:F91"/>
    <mergeCell ref="G91:I91"/>
    <mergeCell ref="J91:K91"/>
    <mergeCell ref="B77:B88"/>
    <mergeCell ref="C78:F78"/>
    <mergeCell ref="C79:F79"/>
    <mergeCell ref="C80:F80"/>
    <mergeCell ref="C81:F81"/>
    <mergeCell ref="C82:F82"/>
    <mergeCell ref="C83:F83"/>
    <mergeCell ref="C84:F84"/>
    <mergeCell ref="C85:F85"/>
    <mergeCell ref="C86:F86"/>
    <mergeCell ref="C87:F87"/>
    <mergeCell ref="B92:B103"/>
    <mergeCell ref="C93:F93"/>
    <mergeCell ref="C94:F94"/>
    <mergeCell ref="C95:F95"/>
    <mergeCell ref="C96:F96"/>
    <mergeCell ref="C97:F97"/>
    <mergeCell ref="C98:F98"/>
    <mergeCell ref="C99:F99"/>
    <mergeCell ref="C100:F100"/>
    <mergeCell ref="C101:F101"/>
    <mergeCell ref="C102:F102"/>
    <mergeCell ref="C126:F126"/>
    <mergeCell ref="B104:B115"/>
    <mergeCell ref="C105:F105"/>
    <mergeCell ref="C106:F106"/>
    <mergeCell ref="C107:F107"/>
    <mergeCell ref="C108:F108"/>
    <mergeCell ref="C109:F109"/>
    <mergeCell ref="C110:F110"/>
    <mergeCell ref="C111:F111"/>
    <mergeCell ref="C112:F112"/>
    <mergeCell ref="C113:F113"/>
    <mergeCell ref="C114:F114"/>
    <mergeCell ref="C117:F117"/>
    <mergeCell ref="C118:F118"/>
    <mergeCell ref="C119:F119"/>
    <mergeCell ref="C120:F120"/>
    <mergeCell ref="C121:F121"/>
    <mergeCell ref="C122:F122"/>
    <mergeCell ref="C123:F123"/>
    <mergeCell ref="C124:F124"/>
    <mergeCell ref="C125:F125"/>
    <mergeCell ref="B145:B156"/>
    <mergeCell ref="C146:F146"/>
    <mergeCell ref="C147:F147"/>
    <mergeCell ref="C148:F148"/>
    <mergeCell ref="C149:F149"/>
    <mergeCell ref="C150:F150"/>
    <mergeCell ref="C151:F151"/>
    <mergeCell ref="C152:F152"/>
    <mergeCell ref="C153:F153"/>
    <mergeCell ref="C154:F154"/>
    <mergeCell ref="C155:F155"/>
    <mergeCell ref="B157:B168"/>
    <mergeCell ref="C158:F158"/>
    <mergeCell ref="C159:F159"/>
    <mergeCell ref="C160:F160"/>
    <mergeCell ref="C161:F161"/>
    <mergeCell ref="C162:F162"/>
    <mergeCell ref="C163:F163"/>
    <mergeCell ref="C164:F164"/>
    <mergeCell ref="C165:F165"/>
    <mergeCell ref="C166:F166"/>
    <mergeCell ref="C167:F167"/>
    <mergeCell ref="C281:D281"/>
    <mergeCell ref="B169:B180"/>
    <mergeCell ref="C170:F170"/>
    <mergeCell ref="C171:F171"/>
    <mergeCell ref="C172:F172"/>
    <mergeCell ref="C173:F173"/>
    <mergeCell ref="C174:F174"/>
    <mergeCell ref="C175:F175"/>
    <mergeCell ref="C176:F176"/>
    <mergeCell ref="C177:F177"/>
    <mergeCell ref="C178:F178"/>
    <mergeCell ref="C179:F179"/>
    <mergeCell ref="C188:F188"/>
    <mergeCell ref="C189:F189"/>
    <mergeCell ref="C190:F190"/>
    <mergeCell ref="C191:F191"/>
    <mergeCell ref="B195:B206"/>
    <mergeCell ref="C196:F196"/>
    <mergeCell ref="C197:F197"/>
    <mergeCell ref="C198:F198"/>
    <mergeCell ref="C199:F199"/>
    <mergeCell ref="C200:F200"/>
    <mergeCell ref="C201:F201"/>
    <mergeCell ref="C202:F202"/>
    <mergeCell ref="G63:I63"/>
    <mergeCell ref="J63:K63"/>
    <mergeCell ref="C64:F64"/>
    <mergeCell ref="G64:I64"/>
    <mergeCell ref="J64:K64"/>
    <mergeCell ref="B143:B144"/>
    <mergeCell ref="C143:F143"/>
    <mergeCell ref="G143:I143"/>
    <mergeCell ref="J143:K143"/>
    <mergeCell ref="C144:F144"/>
    <mergeCell ref="G144:I144"/>
    <mergeCell ref="J144:K144"/>
    <mergeCell ref="B130:B141"/>
    <mergeCell ref="C131:F131"/>
    <mergeCell ref="C132:F132"/>
    <mergeCell ref="C133:F133"/>
    <mergeCell ref="C134:F134"/>
    <mergeCell ref="C135:F135"/>
    <mergeCell ref="C136:F136"/>
    <mergeCell ref="C137:F137"/>
    <mergeCell ref="C138:F138"/>
    <mergeCell ref="C139:F139"/>
    <mergeCell ref="C140:F140"/>
    <mergeCell ref="B116:B127"/>
    <mergeCell ref="B219:B230"/>
    <mergeCell ref="C220:F220"/>
    <mergeCell ref="C221:F221"/>
    <mergeCell ref="C222:F222"/>
    <mergeCell ref="C223:F223"/>
    <mergeCell ref="C224:F224"/>
    <mergeCell ref="C225:F225"/>
    <mergeCell ref="C226:F226"/>
    <mergeCell ref="C227:F227"/>
    <mergeCell ref="C228:F228"/>
    <mergeCell ref="C229:F229"/>
    <mergeCell ref="C253:F253"/>
    <mergeCell ref="B231:B242"/>
    <mergeCell ref="C232:F232"/>
    <mergeCell ref="C233:F233"/>
    <mergeCell ref="C234:F234"/>
    <mergeCell ref="C235:F235"/>
    <mergeCell ref="C236:F236"/>
    <mergeCell ref="C237:F237"/>
    <mergeCell ref="C238:F238"/>
    <mergeCell ref="C239:F239"/>
    <mergeCell ref="C240:F240"/>
    <mergeCell ref="C241:F241"/>
    <mergeCell ref="B257:B268"/>
    <mergeCell ref="C258:F258"/>
    <mergeCell ref="C259:F259"/>
    <mergeCell ref="C260:F260"/>
    <mergeCell ref="C261:F261"/>
    <mergeCell ref="C262:F262"/>
    <mergeCell ref="C263:F263"/>
    <mergeCell ref="C264:F264"/>
    <mergeCell ref="C265:F265"/>
    <mergeCell ref="C266:F266"/>
    <mergeCell ref="C267:F267"/>
    <mergeCell ref="B269:B280"/>
    <mergeCell ref="C270:F270"/>
    <mergeCell ref="C271:F271"/>
    <mergeCell ref="C272:F272"/>
    <mergeCell ref="C273:F273"/>
    <mergeCell ref="C274:F274"/>
    <mergeCell ref="C275:F275"/>
    <mergeCell ref="C276:F276"/>
    <mergeCell ref="C277:F277"/>
    <mergeCell ref="C278:F278"/>
    <mergeCell ref="C279:F279"/>
    <mergeCell ref="B193:B194"/>
    <mergeCell ref="C193:F193"/>
    <mergeCell ref="G193:I193"/>
    <mergeCell ref="J193:K193"/>
    <mergeCell ref="C194:F194"/>
    <mergeCell ref="G194:I194"/>
    <mergeCell ref="J194:K194"/>
    <mergeCell ref="B255:B256"/>
    <mergeCell ref="C255:F255"/>
    <mergeCell ref="G255:I255"/>
    <mergeCell ref="J255:K255"/>
    <mergeCell ref="C256:F256"/>
    <mergeCell ref="G256:I256"/>
    <mergeCell ref="J256:K256"/>
    <mergeCell ref="B243:B254"/>
    <mergeCell ref="C244:F244"/>
    <mergeCell ref="C245:F245"/>
    <mergeCell ref="C246:F246"/>
    <mergeCell ref="C247:F247"/>
    <mergeCell ref="C248:F248"/>
    <mergeCell ref="C249:F249"/>
    <mergeCell ref="C250:F250"/>
    <mergeCell ref="C251:F251"/>
    <mergeCell ref="C252:F252"/>
  </mergeCells>
  <phoneticPr fontId="9" type="noConversion"/>
  <dataValidations count="1">
    <dataValidation type="list" allowBlank="1" showInputMessage="1" showErrorMessage="1" sqref="O27" xr:uid="{00000000-0002-0000-0000-000001000000}">
      <formula1>"Ya,Tidak"</formula1>
    </dataValidation>
  </dataValidations>
  <printOptions horizontalCentered="1"/>
  <pageMargins left="0.39370078740157483" right="0.39370078740157483" top="1.4960629921259843" bottom="0.78740157480314965" header="0.39370078740157483" footer="0.31496062992125984"/>
  <pageSetup paperSize="9" scale="95" orientation="portrait" r:id="rId1"/>
  <headerFooter differentFirst="1" scaleWithDoc="0">
    <oddHeader>&amp;R&amp;"Calibri,Regular"Halaman &amp;P+1 dari &amp;N+1&amp;"Book Antiqua,Regular"
&amp;G</oddHeader>
    <oddFooter>&amp;C&amp;"Calibri,Regular"&amp;8&amp;G
Dilarang keras mengutip/memperbanyak dan/atau mempublikasikan sebagaian isi Sertifikat ini tanpa ijin dari Laboratorium Kalibrasi LEMIGAS
Sertifikat ini sah bila telah dibubuhi stempel LEMIGAS</oddFooter>
    <firstHeader>&amp;C&amp;G
&amp;"Book Antiqua,Bold"&amp;14LABORATORIUM SUHU&amp;R
&amp;"-,Regular"Halaman &amp;P+1 dari &amp;N+1&amp;"Book Antiqua,Regular"
&amp;G</firstHeader>
    <firstFooter>&amp;C&amp;G
&amp;"Calibri,Regular"&amp;8Dilarang keras mengutip/memperbanyak dan/atau mempublikasikan sebagaian isi Sertifikat ini tanpa ijin dari Laboratorium Kalibrasi LEMIGAS
Sertifikat ini sah bila telah dibubuhi stempel LEMIGAS</firstFooter>
  </headerFooter>
  <rowBreaks count="3" manualBreakCount="3">
    <brk id="61" max="10" man="1"/>
    <brk id="192" max="10" man="1"/>
    <brk id="254" max="10" man="1"/>
  </rowBreaks>
  <drawing r:id="rId2"/>
  <legacyDrawing r:id="rId3"/>
  <legacyDrawingHF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H188"/>
  <sheetViews>
    <sheetView topLeftCell="A70" workbookViewId="0">
      <selection activeCell="T93" sqref="T93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6.69921875" customWidth="1"/>
    <col min="5" max="5" width="10.09765625" customWidth="1"/>
    <col min="6" max="6" width="15.09765625" customWidth="1"/>
    <col min="7" max="7" width="13.3984375" customWidth="1"/>
    <col min="8" max="9" width="9.39843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">
        <v>187</v>
      </c>
    </row>
    <row r="3" spans="1:34">
      <c r="A3" s="11"/>
      <c r="B3" s="11"/>
      <c r="C3" s="11"/>
      <c r="D3" s="11"/>
      <c r="E3" s="11"/>
      <c r="F3" s="11"/>
      <c r="G3" s="34" t="s">
        <v>231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">
        <v>222</v>
      </c>
      <c r="F5" s="11"/>
      <c r="G5" s="11" t="s">
        <v>127</v>
      </c>
      <c r="H5" s="11" t="s">
        <v>16</v>
      </c>
      <c r="I5" s="66" t="s">
        <v>234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">
        <v>232</v>
      </c>
      <c r="F6" s="11"/>
      <c r="G6" s="11" t="s">
        <v>128</v>
      </c>
      <c r="H6" s="11" t="s">
        <v>16</v>
      </c>
      <c r="I6" s="129"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v>210149173</v>
      </c>
      <c r="F7" s="11"/>
      <c r="G7" t="s">
        <v>223</v>
      </c>
      <c r="H7" s="11" t="s">
        <v>16</v>
      </c>
      <c r="I7" s="31">
        <v>1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0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66"/>
      <c r="F8" s="11"/>
      <c r="G8" s="11" t="s">
        <v>44</v>
      </c>
      <c r="H8" s="11" t="s">
        <v>16</v>
      </c>
      <c r="I8">
        <v>1</v>
      </c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/>
      <c r="B9" s="11"/>
      <c r="C9" s="11"/>
      <c r="D9" s="11"/>
      <c r="E9" s="66"/>
      <c r="F9" s="11"/>
      <c r="G9" s="11"/>
      <c r="H9" s="11"/>
      <c r="J9" s="11"/>
      <c r="K9" s="11"/>
      <c r="L9" s="11"/>
      <c r="N9" s="345"/>
      <c r="O9" s="192"/>
      <c r="P9" s="154"/>
      <c r="Q9" s="55"/>
      <c r="R9" s="55"/>
      <c r="S9" s="155"/>
      <c r="T9" s="156"/>
      <c r="U9" s="368"/>
      <c r="V9" s="32"/>
      <c r="AH9" s="190"/>
    </row>
    <row r="10" spans="1:34" ht="15.5">
      <c r="A10" s="28" t="s">
        <v>17</v>
      </c>
      <c r="B10" s="12" t="s">
        <v>210</v>
      </c>
      <c r="L10" s="11"/>
      <c r="N10" s="345"/>
      <c r="O10" s="192">
        <f>IF($C$2="Celcius",Database!Q7,(Database!Q7*9/5)+32)</f>
        <v>0</v>
      </c>
      <c r="P10" s="154">
        <f>IF($C$2="Celcius",Database!R7,(Database!R7*9/5))</f>
        <v>0.02</v>
      </c>
      <c r="Q10" s="55" t="s">
        <v>58</v>
      </c>
      <c r="R10" s="55">
        <v>2</v>
      </c>
      <c r="S10" s="155">
        <v>60</v>
      </c>
      <c r="T10" s="156">
        <f t="shared" si="0"/>
        <v>0.01</v>
      </c>
      <c r="U10" s="368"/>
      <c r="V10" s="32"/>
      <c r="AH10" s="190"/>
    </row>
    <row r="11" spans="1:34" ht="15.5">
      <c r="A11" s="28"/>
      <c r="B11" t="s">
        <v>33</v>
      </c>
      <c r="D11" s="11" t="s">
        <v>64</v>
      </c>
      <c r="E11" s="83" t="str">
        <f>VLOOKUP($E$12,Database!$AR:$AV,2,0)</f>
        <v>Termometer Digital (PRT)</v>
      </c>
      <c r="L11" s="11"/>
      <c r="N11" s="346"/>
      <c r="O11" s="193">
        <f>IF($C$2="Celcius",Database!Q8,(Database!Q8*9/5)+32)</f>
        <v>10</v>
      </c>
      <c r="P11" s="147">
        <f>IF($C$2="Celcius",Database!R8,(Database!R8*9/5))</f>
        <v>0.04</v>
      </c>
      <c r="Q11" s="52" t="s">
        <v>58</v>
      </c>
      <c r="R11" s="52">
        <v>2</v>
      </c>
      <c r="S11" s="148">
        <v>60</v>
      </c>
      <c r="T11" s="149">
        <f t="shared" si="0"/>
        <v>0.02</v>
      </c>
      <c r="U11" s="368"/>
      <c r="V11" s="32"/>
      <c r="AH11" s="190"/>
    </row>
    <row r="12" spans="1:34" ht="15.5">
      <c r="A12" s="28"/>
      <c r="B12" t="s">
        <v>43</v>
      </c>
      <c r="D12" s="11" t="s">
        <v>64</v>
      </c>
      <c r="E12" s="83" t="s">
        <v>117</v>
      </c>
      <c r="L12" s="11"/>
      <c r="N12" s="347" t="s">
        <v>59</v>
      </c>
      <c r="O12" s="191">
        <f>IF($C$2="Celcius",Database!Q9,(Database!Q9*9/5)+32)</f>
        <v>10</v>
      </c>
      <c r="P12" s="150">
        <f>IF($C$2="Celcius",Database!R9,(Database!R9*9/5))</f>
        <v>0.02</v>
      </c>
      <c r="Q12" s="151" t="s">
        <v>58</v>
      </c>
      <c r="R12" s="151">
        <v>2</v>
      </c>
      <c r="S12" s="152">
        <v>60</v>
      </c>
      <c r="T12" s="153">
        <f t="shared" si="0"/>
        <v>0.01</v>
      </c>
      <c r="U12" s="368"/>
      <c r="V12" s="32"/>
    </row>
    <row r="13" spans="1:34" ht="15.5">
      <c r="A13" s="28"/>
      <c r="B13" t="s">
        <v>211</v>
      </c>
      <c r="D13" s="11" t="s">
        <v>64</v>
      </c>
      <c r="E13" s="83" t="str">
        <f>VLOOKUP($E$12,Database!$AR:$AV,3,0)</f>
        <v>3925/496170</v>
      </c>
      <c r="L13" s="11"/>
      <c r="N13" s="348"/>
      <c r="O13" s="192">
        <f>IF($C$2="Celcius",Database!Q10,(Database!Q10*9/5)+32)</f>
        <v>25</v>
      </c>
      <c r="P13" s="154">
        <f>IF($C$2="Celcius",Database!R10,(Database!R10*9/5))</f>
        <v>0.01</v>
      </c>
      <c r="Q13" s="55" t="s">
        <v>58</v>
      </c>
      <c r="R13" s="55">
        <v>2</v>
      </c>
      <c r="S13" s="155">
        <v>60</v>
      </c>
      <c r="T13" s="156">
        <f t="shared" si="0"/>
        <v>5.0000000000000001E-3</v>
      </c>
      <c r="U13" s="368"/>
      <c r="V13" s="32"/>
    </row>
    <row r="14" spans="1:34" ht="15.5">
      <c r="A14" s="28"/>
      <c r="B14" t="s">
        <v>38</v>
      </c>
      <c r="D14" s="11" t="s">
        <v>64</v>
      </c>
      <c r="E14" s="83" t="str">
        <f>VLOOKUP($E$12,Database!$AR:$AV,5,0)</f>
        <v>SI melalui BSN SNSU</v>
      </c>
      <c r="L14" s="11"/>
      <c r="N14" s="348"/>
      <c r="O14" s="192">
        <f>IF($C$2="Celcius",Database!Q11,(Database!Q11*9/5)+32)</f>
        <v>50</v>
      </c>
      <c r="P14" s="154">
        <f>IF($C$2="Celcius",Database!R11,(Database!R11*9/5))</f>
        <v>0.03</v>
      </c>
      <c r="Q14" s="55" t="s">
        <v>58</v>
      </c>
      <c r="R14" s="55">
        <v>2</v>
      </c>
      <c r="S14" s="155">
        <v>60</v>
      </c>
      <c r="T14" s="156">
        <f t="shared" si="0"/>
        <v>1.4999999999999999E-2</v>
      </c>
      <c r="U14" s="368"/>
      <c r="V14" s="32"/>
    </row>
    <row r="15" spans="1:34" ht="15.5">
      <c r="L15" s="11"/>
      <c r="N15" s="348"/>
      <c r="O15" s="192">
        <f>IF($C$2="Celcius",Database!Q12,(Database!Q12*9/5)+32)</f>
        <v>75</v>
      </c>
      <c r="P15" s="154">
        <f>IF($C$2="Celcius",Database!R12,(Database!R12*9/5))</f>
        <v>0.04</v>
      </c>
      <c r="Q15" s="55" t="s">
        <v>58</v>
      </c>
      <c r="R15" s="55">
        <v>2</v>
      </c>
      <c r="S15" s="155">
        <v>60</v>
      </c>
      <c r="T15" s="156">
        <f t="shared" si="0"/>
        <v>0.02</v>
      </c>
      <c r="U15" s="368"/>
      <c r="V15" s="32"/>
      <c r="AB15" s="326"/>
      <c r="AC15" s="326"/>
      <c r="AD15" s="35"/>
      <c r="AE15" s="1"/>
      <c r="AF15" s="16"/>
      <c r="AG15" s="58"/>
    </row>
    <row r="16" spans="1:34" ht="16.5" customHeight="1">
      <c r="A16" s="28" t="s">
        <v>20</v>
      </c>
      <c r="B16" s="12" t="s">
        <v>18</v>
      </c>
      <c r="C16" s="12"/>
      <c r="D16" s="11"/>
      <c r="E16" s="11"/>
      <c r="F16" s="11"/>
      <c r="G16" s="11"/>
      <c r="H16" s="11"/>
      <c r="I16" s="11"/>
      <c r="J16" s="11"/>
      <c r="K16" s="11"/>
      <c r="L16" s="11"/>
      <c r="M16" s="1"/>
      <c r="N16" s="349"/>
      <c r="O16" s="193">
        <f>IF($C$2="Celcius",Database!Q13,(Database!Q13*9/5)+32)</f>
        <v>90</v>
      </c>
      <c r="P16" s="147">
        <f>IF($C$2="Celcius",Database!R13,(Database!R13*9/5))</f>
        <v>0.03</v>
      </c>
      <c r="Q16" s="52" t="s">
        <v>58</v>
      </c>
      <c r="R16" s="52">
        <v>2</v>
      </c>
      <c r="S16" s="148">
        <v>60</v>
      </c>
      <c r="T16" s="149">
        <f t="shared" si="0"/>
        <v>1.4999999999999999E-2</v>
      </c>
      <c r="U16" s="368"/>
      <c r="V16" s="32"/>
      <c r="AB16" s="326"/>
      <c r="AC16" s="326"/>
      <c r="AD16" s="35"/>
      <c r="AE16" s="1"/>
      <c r="AG16" s="58"/>
    </row>
    <row r="17" spans="1:34" ht="15.75" customHeight="1">
      <c r="A17" s="28"/>
      <c r="B17" t="s">
        <v>119</v>
      </c>
      <c r="C17" s="11"/>
      <c r="D17" s="11" t="s">
        <v>64</v>
      </c>
      <c r="E17" s="354">
        <v>45237</v>
      </c>
      <c r="F17" s="355"/>
      <c r="G17" s="11"/>
      <c r="H17" s="11"/>
      <c r="I17" s="11"/>
      <c r="J17" s="11"/>
      <c r="K17" s="11"/>
      <c r="L17" s="11"/>
      <c r="M17" s="1"/>
      <c r="N17" s="344" t="s">
        <v>60</v>
      </c>
      <c r="O17" s="191">
        <f>IF($C$2="Celcius",Database!Q14,(Database!Q14*9/5)+32)</f>
        <v>30</v>
      </c>
      <c r="P17" s="150">
        <f>IF($C$2="Celcius",Database!R14,(Database!R14*9/5))</f>
        <v>0.05</v>
      </c>
      <c r="Q17" s="151" t="s">
        <v>58</v>
      </c>
      <c r="R17" s="151">
        <v>2</v>
      </c>
      <c r="S17" s="152">
        <v>60</v>
      </c>
      <c r="T17" s="153">
        <f t="shared" si="0"/>
        <v>2.5000000000000001E-2</v>
      </c>
      <c r="U17" s="368"/>
      <c r="V17" s="32"/>
      <c r="AB17" s="1"/>
      <c r="AC17" s="1"/>
      <c r="AE17" s="1"/>
      <c r="AF17" s="16"/>
      <c r="AG17" s="17"/>
    </row>
    <row r="18" spans="1:34" ht="15.5">
      <c r="A18" s="28"/>
      <c r="B18" t="s">
        <v>36</v>
      </c>
      <c r="C18" s="11"/>
      <c r="D18" s="11" t="s">
        <v>64</v>
      </c>
      <c r="E18" s="354">
        <v>45245</v>
      </c>
      <c r="F18" s="355"/>
      <c r="G18" s="11"/>
      <c r="H18" s="11"/>
      <c r="I18" s="11"/>
      <c r="J18" s="11"/>
      <c r="K18" s="11"/>
      <c r="L18" s="11"/>
      <c r="M18" s="1"/>
      <c r="N18" s="345"/>
      <c r="O18" s="192">
        <f>IF($C$2="Celcius",Database!Q15,(Database!Q15*9/5)+32)</f>
        <v>50</v>
      </c>
      <c r="P18" s="154">
        <f>IF($C$2="Celcius",Database!R15,(Database!R15*9/5))</f>
        <v>0.11000000000000001</v>
      </c>
      <c r="Q18" s="55" t="s">
        <v>58</v>
      </c>
      <c r="R18" s="158">
        <v>2</v>
      </c>
      <c r="S18" s="155">
        <v>60</v>
      </c>
      <c r="T18" s="156">
        <f t="shared" si="0"/>
        <v>5.5000000000000007E-2</v>
      </c>
      <c r="U18" s="368"/>
      <c r="V18" s="32"/>
      <c r="AB18" s="1"/>
      <c r="AC18" s="1"/>
      <c r="AE18" s="1"/>
    </row>
    <row r="19" spans="1:34" ht="15.5">
      <c r="A19" s="28"/>
      <c r="B19" t="s">
        <v>37</v>
      </c>
      <c r="C19" s="11"/>
      <c r="D19" s="30" t="s">
        <v>16</v>
      </c>
      <c r="E19" t="s">
        <v>228</v>
      </c>
      <c r="F19" s="11"/>
      <c r="G19" s="11"/>
      <c r="H19" s="11"/>
      <c r="I19" s="11"/>
      <c r="J19" s="11"/>
      <c r="K19" s="11"/>
      <c r="L19" s="11"/>
      <c r="M19" s="1"/>
      <c r="N19" s="345"/>
      <c r="O19" s="192">
        <f>IF($C$2="Celcius",Database!Q16,(Database!Q16*9/5)+32)</f>
        <v>70</v>
      </c>
      <c r="P19" s="154">
        <f>IF($C$2="Celcius",Database!R16,(Database!R16*9/5))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326"/>
      <c r="AC19" s="326"/>
      <c r="AD19" s="35"/>
      <c r="AE19" s="1"/>
      <c r="AF19" s="16"/>
      <c r="AG19" s="60"/>
    </row>
    <row r="20" spans="1:34" ht="15.5">
      <c r="A20" s="28"/>
      <c r="E20" t="s">
        <v>227</v>
      </c>
      <c r="K20" s="11"/>
      <c r="L20" s="11"/>
      <c r="M20" s="1"/>
      <c r="N20" s="345"/>
      <c r="O20" s="192">
        <f>IF($C$2="Celcius",Database!Q17,(Database!Q17*9/5)+32)</f>
        <v>100</v>
      </c>
      <c r="P20" s="154">
        <f>IF($C$2="Celcius",Database!R17,(Database!R17*9/5))</f>
        <v>0.01</v>
      </c>
      <c r="Q20" s="55" t="s">
        <v>58</v>
      </c>
      <c r="R20" s="158">
        <v>2</v>
      </c>
      <c r="S20" s="155">
        <v>60</v>
      </c>
      <c r="T20" s="156">
        <f t="shared" si="0"/>
        <v>5.0000000000000001E-3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8"/>
      <c r="B21" s="11" t="s">
        <v>19</v>
      </c>
      <c r="C21" s="11"/>
      <c r="D21" t="s">
        <v>64</v>
      </c>
      <c r="E21" t="s">
        <v>118</v>
      </c>
      <c r="F21" s="11"/>
      <c r="G21" s="11"/>
      <c r="H21" s="11"/>
      <c r="I21" s="11"/>
      <c r="J21" s="11"/>
      <c r="K21" s="65"/>
      <c r="L21" s="11"/>
      <c r="M21" s="1"/>
      <c r="N21" s="345"/>
      <c r="O21" s="193">
        <f>IF($C$2="Celcius",Database!Q18,(Database!Q18*9/5)+32)</f>
        <v>110</v>
      </c>
      <c r="P21" s="147">
        <f>IF($C$2="Celcius",Database!R18,(Database!R18*9/5))</f>
        <v>0.02</v>
      </c>
      <c r="Q21" s="52" t="s">
        <v>58</v>
      </c>
      <c r="R21" s="157">
        <v>2</v>
      </c>
      <c r="S21" s="148">
        <v>60</v>
      </c>
      <c r="T21" s="149">
        <f t="shared" ref="T21:T26" si="1">P21/R21</f>
        <v>0.01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38" t="s">
        <v>212</v>
      </c>
      <c r="B22" s="239" t="s">
        <v>21</v>
      </c>
      <c r="C22" s="240"/>
      <c r="D22" s="240"/>
      <c r="E22" s="240"/>
      <c r="F22" s="339" t="s">
        <v>68</v>
      </c>
      <c r="G22" s="339"/>
      <c r="H22" s="240"/>
      <c r="I22" s="49"/>
      <c r="J22" s="49"/>
      <c r="K22" s="240"/>
      <c r="L22" s="240"/>
      <c r="M22" s="1"/>
      <c r="N22" s="348" t="s">
        <v>61</v>
      </c>
      <c r="O22" s="191">
        <f>IF($C$2="Celcius",Database!Q19,(Database!Q19*9/5)+32)</f>
        <v>100</v>
      </c>
      <c r="P22" s="150">
        <f>IF($C$2="Celcius",Database!R19,(Database!R19*9/5))</f>
        <v>3.0000000000000006E-2</v>
      </c>
      <c r="Q22" s="151" t="s">
        <v>58</v>
      </c>
      <c r="R22" s="56">
        <v>2</v>
      </c>
      <c r="S22" s="152">
        <v>60</v>
      </c>
      <c r="T22" s="153">
        <f t="shared" si="1"/>
        <v>1.5000000000000003E-2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22</v>
      </c>
      <c r="C23" s="240"/>
      <c r="D23" s="242" t="s">
        <v>23</v>
      </c>
      <c r="E23" s="243" t="s">
        <v>24</v>
      </c>
      <c r="F23" s="242" t="s">
        <v>23</v>
      </c>
      <c r="G23" s="243" t="s">
        <v>24</v>
      </c>
      <c r="H23" s="240"/>
      <c r="I23" s="49"/>
      <c r="J23" s="49"/>
      <c r="K23" s="240"/>
      <c r="L23" s="240"/>
      <c r="M23" s="1"/>
      <c r="N23" s="348"/>
      <c r="O23" s="192">
        <f>IF($C$2="Celcius",Database!Q20,(Database!Q20*9/5)+32)</f>
        <v>150</v>
      </c>
      <c r="P23" s="154">
        <f>IF($C$2="Celcius",Database!R20,(Database!R20*9/5))</f>
        <v>0.1</v>
      </c>
      <c r="Q23" s="55" t="s">
        <v>58</v>
      </c>
      <c r="R23" s="158">
        <v>2</v>
      </c>
      <c r="S23" s="155">
        <v>60</v>
      </c>
      <c r="T23" s="156">
        <f t="shared" si="1"/>
        <v>0.05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241"/>
      <c r="B24" s="240" t="s">
        <v>25</v>
      </c>
      <c r="C24" s="240"/>
      <c r="D24" s="244">
        <v>22</v>
      </c>
      <c r="E24" s="244"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IF($C$2="Celcius",Database!Q21,(Database!Q21*9/5)+32)</f>
        <v>200</v>
      </c>
      <c r="P24" s="154">
        <f>IF($C$2="Celcius",Database!R21,(Database!R21*9/5))</f>
        <v>3.0000000000000006E-2</v>
      </c>
      <c r="Q24" s="55" t="s">
        <v>58</v>
      </c>
      <c r="R24" s="158">
        <v>2</v>
      </c>
      <c r="S24" s="155">
        <v>60</v>
      </c>
      <c r="T24" s="156">
        <f t="shared" si="1"/>
        <v>1.5000000000000003E-2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49"/>
      <c r="B25" s="240" t="s">
        <v>26</v>
      </c>
      <c r="C25" s="240"/>
      <c r="D25" s="244">
        <v>22</v>
      </c>
      <c r="E25" s="244">
        <v>58</v>
      </c>
      <c r="F25" s="245" t="str">
        <f>CONCATENATE(D25+J29,K29)</f>
        <v>22,4± 0,79</v>
      </c>
      <c r="G25" s="245" t="str">
        <f>CONCATENATE(E25+J34,K34)</f>
        <v>56,8± 3,4</v>
      </c>
      <c r="H25" s="241"/>
      <c r="I25" s="49"/>
      <c r="J25" s="49"/>
      <c r="K25" s="240"/>
      <c r="L25" s="240"/>
      <c r="M25" s="1"/>
      <c r="N25" s="348"/>
      <c r="O25" s="192">
        <f>IF($C$2="Celcius",Database!Q22,(Database!Q22*9/5)+32)</f>
        <v>250</v>
      </c>
      <c r="P25" s="154">
        <f>IF($C$2="Celcius",Database!R22,(Database!R22*9/5))</f>
        <v>0.13</v>
      </c>
      <c r="Q25" s="55" t="s">
        <v>58</v>
      </c>
      <c r="R25" s="158">
        <v>2</v>
      </c>
      <c r="S25" s="155">
        <v>60</v>
      </c>
      <c r="T25" s="156">
        <f t="shared" si="1"/>
        <v>6.5000000000000002E-2</v>
      </c>
      <c r="U25" s="368"/>
      <c r="V25" s="32"/>
      <c r="AB25" s="61"/>
      <c r="AC25" s="61"/>
      <c r="AD25" s="35"/>
      <c r="AE25" s="1"/>
      <c r="AF25" s="16"/>
      <c r="AG25" s="60"/>
    </row>
    <row r="26" spans="1:34" ht="15.5">
      <c r="A26" s="28"/>
      <c r="B26" s="11"/>
      <c r="C26" s="11"/>
      <c r="D26" s="11"/>
      <c r="E26" s="28"/>
      <c r="F26" s="28"/>
      <c r="G26" s="45"/>
      <c r="H26" s="45"/>
      <c r="I26" s="45"/>
      <c r="J26" s="65"/>
      <c r="K26" s="65"/>
      <c r="L26" s="11"/>
      <c r="M26" s="1"/>
      <c r="N26" s="348"/>
      <c r="O26" s="193">
        <f>IF($C$2="Celcius",Database!Q23,(Database!Q23*9/5)+32)</f>
        <v>260</v>
      </c>
      <c r="P26" s="147">
        <f>IF($C$2="Celcius",Database!R23,(Database!R23*9/5))</f>
        <v>0.04</v>
      </c>
      <c r="Q26" s="52" t="s">
        <v>58</v>
      </c>
      <c r="R26" s="157">
        <v>2</v>
      </c>
      <c r="S26" s="148">
        <v>60</v>
      </c>
      <c r="T26" s="149">
        <f t="shared" si="1"/>
        <v>0.02</v>
      </c>
      <c r="U26" s="343"/>
      <c r="V26" s="32"/>
      <c r="AB26" s="61"/>
      <c r="AC26" s="61"/>
      <c r="AD26" s="35"/>
      <c r="AE26" s="1"/>
      <c r="AF26" s="16"/>
      <c r="AG26" s="60"/>
    </row>
    <row r="27" spans="1:34" ht="23">
      <c r="A27" s="49"/>
      <c r="B27" s="240" t="s">
        <v>214</v>
      </c>
      <c r="C27" s="49"/>
      <c r="D27" s="246" t="s">
        <v>215</v>
      </c>
      <c r="E27" s="246" t="s">
        <v>216</v>
      </c>
      <c r="F27" s="247" t="s">
        <v>217</v>
      </c>
      <c r="G27" s="247" t="s">
        <v>218</v>
      </c>
      <c r="H27" s="247" t="s">
        <v>219</v>
      </c>
      <c r="I27" s="247" t="s">
        <v>220</v>
      </c>
      <c r="J27" s="340" t="s">
        <v>221</v>
      </c>
      <c r="K27" s="341"/>
      <c r="L27" s="240"/>
      <c r="M27" s="1"/>
      <c r="N27" s="204" t="s">
        <v>105</v>
      </c>
      <c r="O27" s="206"/>
      <c r="P27" s="214">
        <f>VLOOKUP($E$12,Database!$AR:$AV,4,0)/2</f>
        <v>5.0000000000000001E-4</v>
      </c>
      <c r="Q27" s="210" t="s">
        <v>62</v>
      </c>
      <c r="R27" s="55"/>
      <c r="S27" s="216" t="s">
        <v>9</v>
      </c>
      <c r="T27" s="212">
        <f>P27/SQRT(3)</f>
        <v>2.886751345948129E-4</v>
      </c>
      <c r="U27" s="208" t="s">
        <v>106</v>
      </c>
      <c r="V27" s="32"/>
      <c r="AB27" s="61"/>
      <c r="AC27" s="61"/>
      <c r="AD27" s="35"/>
      <c r="AE27" s="1"/>
      <c r="AF27" s="16"/>
      <c r="AG27" s="60"/>
    </row>
    <row r="28" spans="1:34" ht="15.75" customHeight="1">
      <c r="A28" s="49"/>
      <c r="B28" s="240" t="s">
        <v>25</v>
      </c>
      <c r="C28" s="49"/>
      <c r="D28" s="246">
        <v>20</v>
      </c>
      <c r="E28" s="246">
        <v>25</v>
      </c>
      <c r="F28" s="247">
        <f>VLOOKUP($D$28:$D$29,Database!$AD$4:$AF$8,2,0)</f>
        <v>0</v>
      </c>
      <c r="G28" s="247">
        <f>VLOOKUP($E$28:$E$29,Database!$AD$4:$AF$8,2,0)</f>
        <v>1</v>
      </c>
      <c r="H28" s="247">
        <f>VLOOKUP($D$28:$D$29,Database!$AD$4:$AF$8,3,0)</f>
        <v>0.79</v>
      </c>
      <c r="I28" s="247">
        <f>VLOOKUP($E$28:$E$29,Database!$AD$4:$AF$8,3,0)</f>
        <v>0.79</v>
      </c>
      <c r="J28" s="75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205"/>
      <c r="O28" s="207"/>
      <c r="P28" s="215"/>
      <c r="Q28" s="211"/>
      <c r="R28" s="50"/>
      <c r="S28" s="217"/>
      <c r="T28" s="213"/>
      <c r="U28" s="209"/>
      <c r="V28" s="32"/>
      <c r="AB28" s="61"/>
      <c r="AC28" s="61"/>
      <c r="AD28" s="35"/>
      <c r="AE28" s="1"/>
      <c r="AG28" s="35"/>
      <c r="AH28" s="18"/>
    </row>
    <row r="29" spans="1:34" ht="15.5">
      <c r="A29" s="49"/>
      <c r="B29" s="240" t="s">
        <v>26</v>
      </c>
      <c r="C29" s="49"/>
      <c r="D29" s="246">
        <v>20</v>
      </c>
      <c r="E29" s="246">
        <v>25</v>
      </c>
      <c r="F29" s="247">
        <f>VLOOKUP($D$28:$D$29,Database!$AD$4:$AF$8,2,0)</f>
        <v>0</v>
      </c>
      <c r="G29" s="247">
        <f>VLOOKUP($E$28:$E$29,Database!$AD$4:$AF$8,2,0)</f>
        <v>1</v>
      </c>
      <c r="H29" s="247">
        <f>VLOOKUP($D$28:$D$29,Database!$AD$4:$AF$8,3,0)</f>
        <v>0.79</v>
      </c>
      <c r="I29" s="247">
        <f>VLOOKUP($E$28:$E$29,Database!$AD$4:$AF$8,3,0)</f>
        <v>0.79</v>
      </c>
      <c r="J29" s="248">
        <f>IFERROR((((D25-D29)*(G29-F29)/(E29-D29))+F29),0)</f>
        <v>0.4</v>
      </c>
      <c r="K29" s="75" t="str">
        <f>CONCATENATE("± ",IFERROR((((D25-D29)*(I29-H29)/(E29-D29))+H29),0))</f>
        <v>± 0,79</v>
      </c>
      <c r="L29" s="240"/>
      <c r="M29" s="1"/>
      <c r="N29" s="344" t="s">
        <v>63</v>
      </c>
      <c r="O29" s="376"/>
      <c r="P29" s="378">
        <f>$I$6/2</f>
        <v>5.0000000000000001E-3</v>
      </c>
      <c r="Q29" s="342" t="s">
        <v>62</v>
      </c>
      <c r="R29" s="57"/>
      <c r="S29" s="337" t="s">
        <v>9</v>
      </c>
      <c r="T29" s="335">
        <f>P29/SQRT(3)</f>
        <v>2.886751345948129E-3</v>
      </c>
      <c r="U29" s="369" t="s">
        <v>107</v>
      </c>
      <c r="V29" s="32"/>
      <c r="AB29" s="326"/>
      <c r="AC29" s="326"/>
      <c r="AD29" s="35"/>
      <c r="AE29" s="1"/>
      <c r="AF29" s="16"/>
      <c r="AG29" s="60"/>
    </row>
    <row r="30" spans="1:34" ht="13.5" customHeight="1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N30" s="346"/>
      <c r="O30" s="377"/>
      <c r="P30" s="379"/>
      <c r="Q30" s="343"/>
      <c r="R30" s="51"/>
      <c r="S30" s="338"/>
      <c r="T30" s="336"/>
      <c r="U30" s="370"/>
      <c r="X30" s="182"/>
      <c r="Y30" s="1"/>
      <c r="Z30" s="1"/>
      <c r="AA30" s="59"/>
      <c r="AB30" s="61"/>
      <c r="AC30" s="61"/>
      <c r="AE30" s="1"/>
      <c r="AG30" s="35"/>
    </row>
    <row r="31" spans="1:34" ht="15.5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240"/>
      <c r="L31" s="240"/>
      <c r="M31" s="1"/>
      <c r="X31" s="182"/>
      <c r="Y31" s="1"/>
      <c r="Z31" s="1"/>
      <c r="AA31" s="59"/>
      <c r="AB31" s="326"/>
      <c r="AC31" s="326"/>
      <c r="AD31" s="35"/>
      <c r="AE31" s="1"/>
      <c r="AF31" s="16"/>
      <c r="AG31" s="60"/>
      <c r="AH31" s="15"/>
    </row>
    <row r="32" spans="1:34" ht="13.5" customHeight="1">
      <c r="A32" s="49"/>
      <c r="B32" s="240" t="s">
        <v>114</v>
      </c>
      <c r="C32" s="49"/>
      <c r="D32" s="246" t="s">
        <v>215</v>
      </c>
      <c r="E32" s="246" t="s">
        <v>216</v>
      </c>
      <c r="F32" s="247" t="s">
        <v>217</v>
      </c>
      <c r="G32" s="247" t="s">
        <v>218</v>
      </c>
      <c r="H32" s="247" t="s">
        <v>219</v>
      </c>
      <c r="I32" s="247" t="s">
        <v>220</v>
      </c>
      <c r="J32" s="340" t="s">
        <v>221</v>
      </c>
      <c r="K32" s="341"/>
      <c r="L32" s="240"/>
      <c r="M32" s="1"/>
      <c r="X32" s="182"/>
      <c r="Y32" s="1"/>
      <c r="Z32" s="1"/>
      <c r="AA32" s="59"/>
      <c r="AB32" s="61"/>
      <c r="AC32" s="61"/>
      <c r="AD32" s="61"/>
      <c r="AG32" s="35"/>
      <c r="AH32" s="15"/>
    </row>
    <row r="33" spans="1:34" ht="13.5" customHeight="1">
      <c r="A33" s="49"/>
      <c r="B33" s="240" t="s">
        <v>25</v>
      </c>
      <c r="C33" s="49"/>
      <c r="D33" s="246">
        <v>55</v>
      </c>
      <c r="E33" s="246">
        <v>60</v>
      </c>
      <c r="F33" s="247">
        <f>VLOOKUP($D$33:$D$34,Database!$AG$4:$AI$8,2,0)</f>
        <v>0</v>
      </c>
      <c r="G33" s="247">
        <f>VLOOKUP($E$33:$E$34,Database!$AG$4:$AI$8,2,0)</f>
        <v>-2</v>
      </c>
      <c r="H33" s="247">
        <f>VLOOKUP($D$33:$D$34,Database!$AG$4:$AI$8,3,0)</f>
        <v>3.4</v>
      </c>
      <c r="I33" s="247">
        <f>VLOOKUP($E$33:$E$34,Database!$AG$4:$AI$8,3,0)</f>
        <v>3.4</v>
      </c>
      <c r="J33" s="75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X33" s="182"/>
      <c r="Y33" s="1"/>
      <c r="Z33" s="1"/>
      <c r="AA33" s="59"/>
      <c r="AB33" s="326"/>
      <c r="AC33" s="326"/>
      <c r="AD33" s="35"/>
      <c r="AF33" s="16"/>
      <c r="AG33" s="62"/>
      <c r="AH33" s="15"/>
    </row>
    <row r="34" spans="1:34">
      <c r="A34" s="49"/>
      <c r="B34" s="240" t="s">
        <v>26</v>
      </c>
      <c r="C34" s="49"/>
      <c r="D34" s="246">
        <v>55</v>
      </c>
      <c r="E34" s="246">
        <v>60</v>
      </c>
      <c r="F34" s="247">
        <f>VLOOKUP($D$33:$D$34,Database!$AG$4:$AI$8,2,0)</f>
        <v>0</v>
      </c>
      <c r="G34" s="247">
        <f>VLOOKUP($E$33:$E$34,Database!$AG$4:$AI$8,2,0)</f>
        <v>-2</v>
      </c>
      <c r="H34" s="247">
        <f>VLOOKUP($D$33:$D$34,Database!$AG$4:$AI$8,3,0)</f>
        <v>3.4</v>
      </c>
      <c r="I34" s="247">
        <f>VLOOKUP($E$33:$E$34,Database!$AG$4:$AI$8,3,0)</f>
        <v>3.4</v>
      </c>
      <c r="J34" s="248">
        <f>IFERROR((((E25-D34)*(G34-F34)/(E34-D34))+F34),0)</f>
        <v>-1.2</v>
      </c>
      <c r="K34" s="75" t="str">
        <f>CONCATENATE("± ",IFERROR((((E25-D34)*(I34-H34)/(E34-D34))+H34),0))</f>
        <v>± 3,4</v>
      </c>
      <c r="L34" s="240"/>
      <c r="M34" s="1"/>
      <c r="N34" s="195"/>
      <c r="O34" s="1"/>
      <c r="X34" s="182"/>
      <c r="Y34" s="1"/>
      <c r="Z34" s="1"/>
      <c r="AA34" s="59"/>
      <c r="AB34" s="1"/>
      <c r="AC34" s="1"/>
      <c r="AD34" s="35"/>
    </row>
    <row r="35" spans="1:34" ht="13.5" customHeight="1">
      <c r="A35" s="49"/>
      <c r="B35" s="49"/>
      <c r="C35" s="49"/>
      <c r="D35" s="49"/>
      <c r="E35" s="49"/>
      <c r="F35" s="49"/>
      <c r="G35" s="49"/>
      <c r="H35" s="49"/>
      <c r="I35" s="49"/>
      <c r="J35" s="240"/>
      <c r="K35" s="240"/>
      <c r="L35" s="240"/>
      <c r="X35" s="45"/>
      <c r="Y35" s="45"/>
      <c r="Z35" s="45"/>
      <c r="AA35" s="45"/>
      <c r="AB35" s="1"/>
    </row>
    <row r="36" spans="1:34">
      <c r="N36" s="36" t="s">
        <v>51</v>
      </c>
      <c r="O36" s="2"/>
      <c r="P36" s="2"/>
      <c r="Q36" s="2"/>
      <c r="R36" s="2"/>
      <c r="S36" s="2"/>
      <c r="AB36" s="1"/>
    </row>
    <row r="37" spans="1:34">
      <c r="N37" s="391" t="s">
        <v>189</v>
      </c>
      <c r="O37" s="380">
        <f>F49</f>
        <v>-29.774000000000001</v>
      </c>
      <c r="P37" s="380">
        <f>F57</f>
        <v>0.19900000000000001</v>
      </c>
      <c r="Q37" s="380">
        <f>F65</f>
        <v>50.347000000000001</v>
      </c>
      <c r="R37" s="380">
        <f>F73</f>
        <v>99.887</v>
      </c>
      <c r="S37" s="380">
        <f>F81</f>
        <v>149.71799999999999</v>
      </c>
      <c r="T37" s="380">
        <f>F89</f>
        <v>199.465</v>
      </c>
      <c r="U37" s="380">
        <f>F97</f>
        <v>249.47800000000001</v>
      </c>
      <c r="V37" s="380">
        <f>F105</f>
        <v>259.55399999999997</v>
      </c>
      <c r="W37" s="380">
        <f>F113</f>
        <v>0</v>
      </c>
      <c r="X37" s="380">
        <f>F121</f>
        <v>0</v>
      </c>
      <c r="Y37" s="46"/>
      <c r="Z37" s="46"/>
      <c r="AA37" s="46"/>
      <c r="AB37" s="1"/>
    </row>
    <row r="38" spans="1:34">
      <c r="N38" s="392"/>
      <c r="O38" s="381"/>
      <c r="P38" s="381"/>
      <c r="Q38" s="381"/>
      <c r="R38" s="381"/>
      <c r="S38" s="381"/>
      <c r="T38" s="381"/>
      <c r="U38" s="381"/>
      <c r="V38" s="381"/>
      <c r="W38" s="381"/>
      <c r="X38" s="381"/>
      <c r="Y38" s="1"/>
      <c r="Z38" s="1"/>
      <c r="AA38" s="1"/>
      <c r="AB38" s="1"/>
    </row>
    <row r="39" spans="1:34">
      <c r="N39" s="20" t="s">
        <v>49</v>
      </c>
      <c r="O39" s="54">
        <f>IF('PERHITUNGAN 1'!$E$12="Burn Engr",IF(O37&lt;=$AA$39,$AB$39,$AB$40),IF(O37&lt;=$AC$39,$AD$39,IF(O37&lt;=$AC$40,$AD$40,$AD$41)))</f>
        <v>0.02</v>
      </c>
      <c r="P39" s="54">
        <f>IF('PERHITUNGAN 1'!$E$12="Burn Engr",IF(P37&lt;=$AA$39,$AB$39,$AB$40),IF(P37&lt;=$AC$39,$AD$39,IF(P37&lt;=$AC$40,$AD$40,$AD$41)))</f>
        <v>7.0000000000000007E-2</v>
      </c>
      <c r="Q39" s="54">
        <f>IF('PERHITUNGAN 1'!$E$12="Burn Engr",IF(Q37&lt;=$AA$39,$AB$39,$AB$40),IF(Q37&lt;=$AC$39,$AD$39,IF(Q37&lt;=$AC$40,$AD$40,$AD$41)))</f>
        <v>7.0000000000000007E-2</v>
      </c>
      <c r="R39" s="54">
        <f>IF('PERHITUNGAN 1'!$E$12="Burn Engr",IF(R37&lt;=$AA$39,$AB$39,$AB$40),IF(R37&lt;=$AC$39,$AD$39,IF(R37&lt;=$AC$40,$AD$40,$AD$41)))</f>
        <v>7.0000000000000007E-2</v>
      </c>
      <c r="S39" s="54">
        <f>IF('PERHITUNGAN 1'!$E$12="Burn Engr",IF(S37&lt;=$AA$39,$AB$39,$AB$40),IF(S37&lt;=$AC$39,$AD$39,IF(S37&lt;=$AC$40,$AD$40,$AD$41)))</f>
        <v>7.0000000000000007E-2</v>
      </c>
      <c r="T39" s="54">
        <f>IF('PERHITUNGAN 1'!$E$12="Burn Engr",IF(T37&lt;=$AA$39,$AB$39,$AB$40),IF(T37&lt;=$AC$39,$AD$39,IF(T37&lt;=$AC$40,$AD$40,$AD$41)))</f>
        <v>7.0000000000000007E-2</v>
      </c>
      <c r="U39" s="54">
        <f>IF('PERHITUNGAN 1'!$E$12="Burn Engr",IF(U37&lt;=$AA$39,$AB$39,$AB$40),IF(U37&lt;=$AC$39,$AD$39,IF(U37&lt;=$AC$40,$AD$40,$AD$41)))</f>
        <v>7.0000000000000007E-2</v>
      </c>
      <c r="V39" s="54">
        <f>IF('PERHITUNGAN 1'!$E$12="Burn Engr",IF(V37&lt;=$AA$39,$AB$39,$AB$40),IF(V37&lt;=$AC$39,$AD$39,IF(V37&lt;=$AC$40,$AD$40,$AD$41)))</f>
        <v>7.0000000000000007E-2</v>
      </c>
      <c r="W39" s="54">
        <f>IF('PERHITUNGAN 1'!$E$12="Burn Engr",IF(W37&lt;=$AA$39,$AB$39,$AB$40),IF(W37&lt;=$AC$39,$AD$39,IF(W37&lt;=$AC$40,$AD$40,$AD$41)))</f>
        <v>0.02</v>
      </c>
      <c r="X39" s="54">
        <f>IF('PERHITUNGAN 1'!$E$12="Burn Engr",IF(X37&lt;=$AA$39,$AB$39,$AB$40),IF(X37&lt;=$AC$39,$AD$39,IF(X37&lt;=$AC$40,$AD$40,$AD$41)))</f>
        <v>0.02</v>
      </c>
      <c r="Y39" s="19"/>
      <c r="Z39" s="19"/>
      <c r="AA39" s="187">
        <f>IF($C$2="Celcius",Database!H3,(Database!H3*9/5)+32)</f>
        <v>0</v>
      </c>
      <c r="AB39" s="188">
        <f>IF($C$2="Celcius",Database!I3,(Database!I3*9/5))</f>
        <v>0.02</v>
      </c>
      <c r="AC39" s="139">
        <f>IF($C$2="Celcius",Database!L3,(Database!L3*9/5)+32)</f>
        <v>0</v>
      </c>
      <c r="AD39" s="139">
        <f>IF($C$2="Celcius",Database!M3,(Database!M3*9/5))</f>
        <v>0.05</v>
      </c>
    </row>
    <row r="40" spans="1:34">
      <c r="A40" s="2" t="s">
        <v>32</v>
      </c>
      <c r="B40" s="2"/>
      <c r="C40" s="2"/>
      <c r="D40" s="2"/>
      <c r="E40" s="2"/>
      <c r="F40" s="2"/>
      <c r="G40" s="2"/>
      <c r="N40" s="25" t="s">
        <v>50</v>
      </c>
      <c r="O40" s="25">
        <v>2</v>
      </c>
      <c r="P40" s="25">
        <v>2</v>
      </c>
      <c r="Q40" s="25">
        <v>2</v>
      </c>
      <c r="R40" s="25">
        <v>2</v>
      </c>
      <c r="S40" s="25">
        <v>2</v>
      </c>
      <c r="T40" s="25">
        <v>2</v>
      </c>
      <c r="U40" s="25">
        <v>2</v>
      </c>
      <c r="V40" s="25">
        <v>2</v>
      </c>
      <c r="W40" s="25">
        <v>2</v>
      </c>
      <c r="X40" s="25">
        <v>2</v>
      </c>
      <c r="Y40" s="19"/>
      <c r="Z40" s="19"/>
      <c r="AA40" s="187">
        <f>IF($C$2="Celcius",Database!H4,(Database!H4*9/5)+32)</f>
        <v>500</v>
      </c>
      <c r="AB40" s="188">
        <f>IF($C$2="Celcius",Database!I4,(Database!I4*9/5))</f>
        <v>7.0000000000000007E-2</v>
      </c>
      <c r="AC40" s="139">
        <f>IF($C$2="Celcius",Database!L4,(Database!L4*9/5)+32)</f>
        <v>250</v>
      </c>
      <c r="AD40" s="139">
        <f>IF($C$2="Celcius",Database!M4,(Database!M4*9/5))</f>
        <v>3.1E-2</v>
      </c>
    </row>
    <row r="41" spans="1:34">
      <c r="A41" s="39"/>
      <c r="B41" s="3" t="s">
        <v>65</v>
      </c>
      <c r="C41" s="382" t="s">
        <v>2</v>
      </c>
      <c r="D41" s="382"/>
      <c r="E41" s="39" t="s">
        <v>2</v>
      </c>
      <c r="F41" s="39" t="s">
        <v>2</v>
      </c>
      <c r="G41" s="39" t="s">
        <v>4</v>
      </c>
      <c r="H41" s="1"/>
      <c r="I41" s="1"/>
      <c r="N41" s="38" t="s">
        <v>28</v>
      </c>
      <c r="O41" s="37">
        <f>O39/O40</f>
        <v>0.01</v>
      </c>
      <c r="P41" s="37">
        <f t="shared" ref="P41:X41" si="2">P39/P40</f>
        <v>3.5000000000000003E-2</v>
      </c>
      <c r="Q41" s="37">
        <f t="shared" si="2"/>
        <v>3.5000000000000003E-2</v>
      </c>
      <c r="R41" s="37">
        <f>R39/R40</f>
        <v>3.5000000000000003E-2</v>
      </c>
      <c r="S41" s="37">
        <f t="shared" si="2"/>
        <v>3.5000000000000003E-2</v>
      </c>
      <c r="T41" s="37">
        <f t="shared" si="2"/>
        <v>3.5000000000000003E-2</v>
      </c>
      <c r="U41" s="37">
        <f t="shared" si="2"/>
        <v>3.5000000000000003E-2</v>
      </c>
      <c r="V41" s="37">
        <f t="shared" si="2"/>
        <v>3.5000000000000003E-2</v>
      </c>
      <c r="W41" s="37">
        <f t="shared" si="2"/>
        <v>0.01</v>
      </c>
      <c r="X41" s="37">
        <f t="shared" si="2"/>
        <v>0.01</v>
      </c>
      <c r="AA41" s="189"/>
      <c r="AB41" s="189"/>
      <c r="AC41" s="139">
        <f>IF($C$2="Celcius",Database!L5,(Database!L5*9/5)+32)</f>
        <v>400</v>
      </c>
      <c r="AD41" s="139">
        <f>IF($C$2="Celcius",Database!M5,(Database!M5*9/5))</f>
        <v>0.08</v>
      </c>
    </row>
    <row r="42" spans="1:34">
      <c r="A42" s="105" t="s">
        <v>0</v>
      </c>
      <c r="B42" s="71" t="s">
        <v>102</v>
      </c>
      <c r="C42" s="383" t="s">
        <v>3</v>
      </c>
      <c r="D42" s="383"/>
      <c r="E42" s="105" t="s">
        <v>1</v>
      </c>
      <c r="F42" s="105" t="s">
        <v>29</v>
      </c>
      <c r="G42" s="105" t="s">
        <v>5</v>
      </c>
      <c r="H42" s="1"/>
      <c r="I42" s="1"/>
      <c r="AA42" s="1"/>
      <c r="AB42" s="1"/>
    </row>
    <row r="43" spans="1:34" ht="13.5" customHeight="1">
      <c r="A43" s="9"/>
      <c r="B43" s="5" t="str">
        <f>IF($C$2="Celcius","(°C)","(°F)")</f>
        <v>(°C)</v>
      </c>
      <c r="C43" s="375" t="str">
        <f>CONCATENATE("r ", IF($C$2="Celcius","(°C)","(°F)"))</f>
        <v>r (°C)</v>
      </c>
      <c r="D43" s="375"/>
      <c r="E43" s="9" t="str">
        <f>CONCATENATE("t ", IF($C$2="Celcius","(°C)","(°F)"))</f>
        <v>t (°C)</v>
      </c>
      <c r="F43" s="9" t="str">
        <f>CONCATENATE("t ", IF($C$2="Celcius","(°C)","(°F)"))</f>
        <v>t (°C)</v>
      </c>
      <c r="G43" s="9" t="str">
        <f>IF($C$2="Celcius","(°C)","(°F)")</f>
        <v>(°C)</v>
      </c>
      <c r="H43" s="1"/>
      <c r="I43" s="1"/>
      <c r="N43" t="s">
        <v>10</v>
      </c>
      <c r="S43" s="35" t="s">
        <v>13</v>
      </c>
      <c r="W43" t="s">
        <v>169</v>
      </c>
      <c r="AA43" s="59"/>
      <c r="AB43" s="1"/>
    </row>
    <row r="44" spans="1:34" ht="13.5" customHeight="1">
      <c r="A44" s="105">
        <v>1</v>
      </c>
      <c r="B44" s="194">
        <v>-30</v>
      </c>
      <c r="C44" s="373">
        <v>-28.52</v>
      </c>
      <c r="D44" s="374"/>
      <c r="E44" s="90">
        <v>-29.774000000000001</v>
      </c>
      <c r="F44" s="37">
        <f>IF('PERHITUNGAN 1'!$E$12="Burn Engr",'PERHITUNGAN 1'!E44,E44+('regresi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-29.774000000000001</v>
      </c>
      <c r="G44" s="90">
        <f>F44-C44</f>
        <v>-1.2540000000000013</v>
      </c>
      <c r="H44" s="63"/>
      <c r="I44" s="63"/>
      <c r="N44" t="s">
        <v>11</v>
      </c>
      <c r="S44" s="35" t="s">
        <v>12</v>
      </c>
      <c r="AA44" s="1"/>
      <c r="AB44" s="1"/>
    </row>
    <row r="45" spans="1:34" ht="13.5" customHeight="1">
      <c r="A45" s="105"/>
      <c r="C45" s="373">
        <v>-28.52</v>
      </c>
      <c r="D45" s="374"/>
      <c r="E45" s="90">
        <v>-29.774000000000001</v>
      </c>
      <c r="F45" s="37">
        <f>IF('PERHITUNGAN 1'!$E$12="Burn Engr",'PERHITUNGAN 1'!E45,E45+('regresi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-29.774000000000001</v>
      </c>
      <c r="G45" s="90">
        <f>F45-C45</f>
        <v>-1.2540000000000013</v>
      </c>
      <c r="H45" s="63"/>
      <c r="I45" s="63"/>
      <c r="AB45" s="1"/>
    </row>
    <row r="46" spans="1:34" ht="13.5" customHeight="1">
      <c r="A46" s="105"/>
      <c r="C46" s="373">
        <v>-28.52</v>
      </c>
      <c r="D46" s="374"/>
      <c r="E46" s="90">
        <v>-29.774000000000001</v>
      </c>
      <c r="F46" s="37">
        <f>IF('PERHITUNGAN 1'!$E$12="Burn Engr",'PERHITUNGAN 1'!E46,E46+('regresi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-29.774000000000001</v>
      </c>
      <c r="G46" s="90">
        <f>F46-C46</f>
        <v>-1.2540000000000013</v>
      </c>
      <c r="H46" s="63"/>
      <c r="I46" s="63"/>
      <c r="L46" s="22"/>
      <c r="N46" s="387" t="s">
        <v>69</v>
      </c>
      <c r="O46" s="388"/>
      <c r="P46" s="388"/>
      <c r="Q46" s="388"/>
      <c r="R46" s="388"/>
      <c r="S46" s="388"/>
      <c r="T46" s="401" t="s">
        <v>113</v>
      </c>
      <c r="U46" s="402"/>
      <c r="V46" s="402"/>
      <c r="W46" s="402"/>
      <c r="X46" s="402"/>
      <c r="Y46" s="387"/>
    </row>
    <row r="47" spans="1:34" ht="15.5">
      <c r="A47" s="105"/>
      <c r="C47" s="373">
        <v>-28.52</v>
      </c>
      <c r="D47" s="374"/>
      <c r="E47" s="90">
        <v>-29.774000000000001</v>
      </c>
      <c r="F47" s="37">
        <f>IF('PERHITUNGAN 1'!$E$12="Burn Engr",'PERHITUNGAN 1'!E47,E47+('regresi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-29.774000000000001</v>
      </c>
      <c r="G47" s="90">
        <f>F47-C47</f>
        <v>-1.2540000000000013</v>
      </c>
      <c r="H47" s="63"/>
      <c r="I47" s="63"/>
      <c r="N47" s="25" t="str">
        <f>CONCATENATE("Suhu ", IF($C$2="Celcius","(°C)","(°F)"))</f>
        <v>Suhu (°C)</v>
      </c>
      <c r="O47" s="99" t="s">
        <v>28</v>
      </c>
      <c r="P47" s="100" t="s">
        <v>55</v>
      </c>
      <c r="Q47" s="100" t="s">
        <v>66</v>
      </c>
      <c r="R47" s="101" t="s">
        <v>8</v>
      </c>
      <c r="S47" s="102" t="s">
        <v>67</v>
      </c>
      <c r="T47" s="179" t="str">
        <f>CONCATENATE("Suhu ", IF($C$2="Celcius","(°C)","(°F)"))</f>
        <v>Suhu (°C)</v>
      </c>
      <c r="U47" s="99" t="s">
        <v>28</v>
      </c>
      <c r="V47" s="100" t="s">
        <v>55</v>
      </c>
      <c r="W47" s="100" t="s">
        <v>66</v>
      </c>
      <c r="X47" s="101" t="s">
        <v>8</v>
      </c>
      <c r="Y47" s="102" t="s">
        <v>67</v>
      </c>
    </row>
    <row r="48" spans="1:34" ht="15.5">
      <c r="A48" s="105"/>
      <c r="C48" s="373">
        <v>-28.52</v>
      </c>
      <c r="D48" s="374"/>
      <c r="E48" s="90">
        <v>-29.774000000000001</v>
      </c>
      <c r="F48" s="37">
        <f>IF('PERHITUNGAN 1'!$E$12="Burn Engr",'PERHITUNGAN 1'!E48,E48+('regresi PRT'!$P$40+('regresi PRT'!$P$41*E48)+('regresi PRT'!$P$42*(E48^2))+('regresi PRT'!$P$43*(E48^3))+('regresi PRT'!$P$44*(E48^4))+('regresi PRT'!$P$45*(E48^5))+('regresi PRT'!$P$46*(E48^6))+('regresi PRT'!$P$47*(E48^7))+('regresi PRT'!$P$48*(E48^8))+('regresi PRT'!$P$49*(E48^9))+('regresi PRT'!$P$50*(E48^10))))</f>
        <v>-29.774000000000001</v>
      </c>
      <c r="G48" s="90">
        <f>F48-C48</f>
        <v>-1.2540000000000013</v>
      </c>
      <c r="H48" s="63"/>
      <c r="I48" s="63"/>
      <c r="J48" s="15"/>
      <c r="N48" s="110">
        <f>IF($C$2="Celcius",Database!T3,(Database!T3*9/5)+32)</f>
        <v>30</v>
      </c>
      <c r="O48" s="39">
        <f>IF($C$2="Celcius",Database!U3,(Database!U3*9/5))</f>
        <v>0.7</v>
      </c>
      <c r="P48" s="197" t="s">
        <v>58</v>
      </c>
      <c r="Q48" s="39">
        <v>2</v>
      </c>
      <c r="R48" s="103">
        <v>60</v>
      </c>
      <c r="S48" s="161">
        <f t="shared" ref="S48:S53" si="3">O48/Q48</f>
        <v>0.35</v>
      </c>
      <c r="T48" s="3" t="str">
        <f>IF($C$2="Celcius",CONCATENATE(Database!W3,"~",Database!Y3),CONCATENATE((Database!W3*9/5)+32,"~",(Database!Y3*9/5)+32))</f>
        <v>50~100</v>
      </c>
      <c r="U48" s="39">
        <f>IF($C$2="Celcius",Database!Z3,(Database!Z3*9/5))</f>
        <v>0.7</v>
      </c>
      <c r="V48" s="39" t="s">
        <v>58</v>
      </c>
      <c r="W48" s="39">
        <v>2</v>
      </c>
      <c r="X48" s="103">
        <v>60</v>
      </c>
      <c r="Y48" s="104">
        <f>U48/W48</f>
        <v>0.35</v>
      </c>
    </row>
    <row r="49" spans="1:28" ht="15.5">
      <c r="A49" s="105"/>
      <c r="B49" s="4" t="s">
        <v>31</v>
      </c>
      <c r="C49" s="356">
        <f>AVERAGE(C44:D48)</f>
        <v>-28.52</v>
      </c>
      <c r="D49" s="357"/>
      <c r="E49" s="95">
        <f>AVERAGE(E44:E48)</f>
        <v>-29.774000000000001</v>
      </c>
      <c r="F49" s="95">
        <f>AVERAGE(F44:F48)</f>
        <v>-29.774000000000001</v>
      </c>
      <c r="G49" s="95">
        <f>SUM(G44:G48)/5</f>
        <v>-1.2540000000000013</v>
      </c>
      <c r="H49" s="63"/>
      <c r="I49" s="63"/>
      <c r="J49" s="15"/>
      <c r="N49" s="146">
        <f>IF($C$2="Celcius",Database!T4,(Database!T4*9/5)+32)</f>
        <v>50</v>
      </c>
      <c r="O49" s="105">
        <f>IF($C$2="Celcius",Database!U4,(Database!U4*9/5))</f>
        <v>0.7</v>
      </c>
      <c r="P49" s="198" t="s">
        <v>58</v>
      </c>
      <c r="Q49" s="105">
        <v>2</v>
      </c>
      <c r="R49" s="143">
        <v>60</v>
      </c>
      <c r="S49" s="144">
        <f t="shared" si="3"/>
        <v>0.35</v>
      </c>
      <c r="T49" s="5" t="str">
        <f>IF($C$2="Celcius",CONCATENATE(Database!W4,"~",Database!Y4),CONCATENATE((Database!W4*9/5)+32,"~",(Database!Y4*9/5)+32))</f>
        <v>150~350</v>
      </c>
      <c r="U49" s="9">
        <f>IF($C$2="Celcius",Database!Z4,(Database!Z4*9/5))</f>
        <v>1.1000000000000001</v>
      </c>
      <c r="V49" s="9" t="s">
        <v>58</v>
      </c>
      <c r="W49" s="9">
        <v>2</v>
      </c>
      <c r="X49" s="108">
        <v>60</v>
      </c>
      <c r="Y49" s="109">
        <f>U49/W49</f>
        <v>0.55000000000000004</v>
      </c>
    </row>
    <row r="50" spans="1:28" ht="15.5">
      <c r="A50" s="105"/>
      <c r="B50" s="4" t="s">
        <v>30</v>
      </c>
      <c r="C50" s="371"/>
      <c r="D50" s="372"/>
      <c r="E50" s="4"/>
      <c r="F50" s="4"/>
      <c r="G50" s="96">
        <f>_xlfn.STDEV.S(G44:G48)</f>
        <v>0</v>
      </c>
      <c r="H50" s="44"/>
      <c r="I50" s="63"/>
      <c r="J50" s="15"/>
      <c r="N50" s="146">
        <f>IF($C$2="Celcius",Database!T5,(Database!T5*9/5)+32)</f>
        <v>75</v>
      </c>
      <c r="O50" s="105">
        <f>IF($C$2="Celcius",Database!U5,(Database!U5*9/5))</f>
        <v>0.7</v>
      </c>
      <c r="P50" s="198" t="s">
        <v>58</v>
      </c>
      <c r="Q50" s="105">
        <v>2</v>
      </c>
      <c r="R50" s="143">
        <v>60</v>
      </c>
      <c r="S50" s="106">
        <f t="shared" si="3"/>
        <v>0.35</v>
      </c>
      <c r="T50" s="107"/>
    </row>
    <row r="51" spans="1:28" ht="15.5">
      <c r="A51" s="9"/>
      <c r="B51" s="175" t="s">
        <v>6</v>
      </c>
      <c r="C51" s="358"/>
      <c r="D51" s="359"/>
      <c r="E51" s="5"/>
      <c r="F51" s="5"/>
      <c r="G51" s="97">
        <f>G50/SQRT(5)</f>
        <v>0</v>
      </c>
      <c r="H51" s="44"/>
      <c r="I51" s="63"/>
      <c r="J51" s="15"/>
      <c r="N51" s="146">
        <f>IF($C$2="Celcius",Database!T6,(Database!T6*9/5)+32)</f>
        <v>100</v>
      </c>
      <c r="O51" s="105">
        <f>IF($C$2="Celcius",Database!U6,(Database!U6*9/5))</f>
        <v>0.7</v>
      </c>
      <c r="P51" s="198" t="s">
        <v>58</v>
      </c>
      <c r="Q51" s="105">
        <v>2</v>
      </c>
      <c r="R51" s="143">
        <v>60</v>
      </c>
      <c r="S51" s="106">
        <f t="shared" si="3"/>
        <v>0.35</v>
      </c>
      <c r="T51" s="107"/>
    </row>
    <row r="52" spans="1:28" ht="15.5">
      <c r="A52" s="105">
        <v>2</v>
      </c>
      <c r="B52" s="194">
        <v>0</v>
      </c>
      <c r="C52" s="373">
        <v>1.05</v>
      </c>
      <c r="D52" s="374"/>
      <c r="E52" s="90">
        <v>0.19900000000000001</v>
      </c>
      <c r="F52" s="37">
        <f>IF('PERHITUNGAN 1'!$E$12="Burn Engr",'PERHITUNGAN 1'!E52,E52+('regresi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0.19900000000000001</v>
      </c>
      <c r="G52" s="90">
        <f>F52-C52</f>
        <v>-0.85099999999999998</v>
      </c>
      <c r="H52" s="63"/>
      <c r="I52" s="63"/>
      <c r="J52" s="15"/>
      <c r="N52" s="146">
        <f>IF($C$2="Celcius",Database!T7,(Database!T7*9/5)+32)</f>
        <v>150</v>
      </c>
      <c r="O52" s="105">
        <f>IF($C$2="Celcius",Database!U7,(Database!U7*9/5))</f>
        <v>1</v>
      </c>
      <c r="P52" s="198" t="s">
        <v>58</v>
      </c>
      <c r="Q52" s="105">
        <v>2</v>
      </c>
      <c r="R52" s="143">
        <v>60</v>
      </c>
      <c r="S52" s="106">
        <f t="shared" si="3"/>
        <v>0.5</v>
      </c>
      <c r="T52" s="107"/>
    </row>
    <row r="53" spans="1:28" ht="15.5">
      <c r="A53" s="10"/>
      <c r="C53" s="373">
        <v>1.05</v>
      </c>
      <c r="D53" s="374"/>
      <c r="E53" s="90">
        <v>0.19900000000000001</v>
      </c>
      <c r="F53" s="37">
        <f>IF('PERHITUNGAN 1'!$E$12="Burn Engr",'PERHITUNGAN 1'!E53,E53+('regresi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0.19900000000000001</v>
      </c>
      <c r="G53" s="90">
        <f>F53-C53</f>
        <v>-0.85099999999999998</v>
      </c>
      <c r="H53" s="63"/>
      <c r="I53" s="63"/>
      <c r="N53" s="159">
        <f>IF($C$2="Celcius",Database!T8,(Database!T8*9/5)+32)</f>
        <v>200</v>
      </c>
      <c r="O53" s="9">
        <f>IF($C$2="Celcius",Database!U8,(Database!U8*9/5))</f>
        <v>1</v>
      </c>
      <c r="P53" s="199" t="s">
        <v>58</v>
      </c>
      <c r="Q53" s="9">
        <v>2</v>
      </c>
      <c r="R53" s="108">
        <v>60</v>
      </c>
      <c r="S53" s="160">
        <f t="shared" si="3"/>
        <v>0.5</v>
      </c>
      <c r="T53" s="107"/>
    </row>
    <row r="54" spans="1:28" ht="15.5">
      <c r="A54" s="10"/>
      <c r="C54" s="373">
        <v>1.05</v>
      </c>
      <c r="D54" s="374"/>
      <c r="E54" s="90">
        <v>0.19900000000000001</v>
      </c>
      <c r="F54" s="37">
        <f>IF('PERHITUNGAN 1'!$E$12="Burn Engr",'PERHITUNGAN 1'!E54,E54+('regresi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0.19900000000000001</v>
      </c>
      <c r="G54" s="90">
        <f>F54-C54</f>
        <v>-0.85099999999999998</v>
      </c>
      <c r="H54" s="63"/>
      <c r="I54" s="63"/>
      <c r="L54" s="22"/>
      <c r="N54" s="45"/>
      <c r="O54" s="1"/>
      <c r="P54" s="182"/>
      <c r="Q54" s="1"/>
      <c r="R54" s="145"/>
      <c r="S54" s="22"/>
      <c r="AB54" s="1"/>
    </row>
    <row r="55" spans="1:28">
      <c r="A55" s="10"/>
      <c r="C55" s="373">
        <v>1.05</v>
      </c>
      <c r="D55" s="374"/>
      <c r="E55" s="90">
        <v>0.19900000000000001</v>
      </c>
      <c r="F55" s="37">
        <f>IF('PERHITUNGAN 1'!$E$12="Burn Engr",'PERHITUNGAN 1'!E55,E55+('regresi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0.19900000000000001</v>
      </c>
      <c r="G55" s="90">
        <f>F55-C55</f>
        <v>-0.85099999999999998</v>
      </c>
      <c r="H55" s="63"/>
      <c r="I55" s="63"/>
      <c r="AB55" s="1"/>
    </row>
    <row r="56" spans="1:28" ht="13.5" customHeight="1">
      <c r="A56" s="10"/>
      <c r="C56" s="373">
        <v>1.05</v>
      </c>
      <c r="D56" s="374"/>
      <c r="E56" s="90">
        <v>0.19900000000000001</v>
      </c>
      <c r="F56" s="37">
        <f>IF('PERHITUNGAN 1'!$E$12="Burn Engr",'PERHITUNGAN 1'!E56,E56+('regresi PRT'!$P$40+('regresi PRT'!$P$41*E56)+('regresi PRT'!$P$42*(E56^2))+('regresi PRT'!$P$43*(E56^3))+('regresi PRT'!$P$44*(E56^4))+('regresi PRT'!$P$45*(E56^5))+('regresi PRT'!$P$46*(E56^6))+('regresi PRT'!$P$47*(E56^7))+('regresi PRT'!$P$48*(E56^8))+('regresi PRT'!$P$49*(E56^9))+('regresi PRT'!$P$50*(E56^10))))</f>
        <v>0.19900000000000001</v>
      </c>
      <c r="G56" s="90">
        <f>F56-C56</f>
        <v>-0.85099999999999998</v>
      </c>
      <c r="H56" s="63"/>
      <c r="I56" s="63"/>
      <c r="N56" s="389" t="s">
        <v>190</v>
      </c>
      <c r="O56" s="384" t="str">
        <f>CONCATENATE("PENUNJUKKAN ALAT ", IF($C$2="Celcius","(°C)","(°F)"))</f>
        <v>PENUNJUKKAN ALAT (°C)</v>
      </c>
      <c r="P56" s="385"/>
      <c r="Q56" s="385"/>
      <c r="R56" s="385"/>
      <c r="S56" s="385"/>
      <c r="T56" s="385"/>
      <c r="U56" s="385"/>
      <c r="V56" s="385"/>
      <c r="W56" s="385"/>
      <c r="X56" s="386"/>
      <c r="AB56" s="1"/>
    </row>
    <row r="57" spans="1:28" ht="13.5" customHeight="1">
      <c r="A57" s="10"/>
      <c r="B57" s="8" t="s">
        <v>31</v>
      </c>
      <c r="C57" s="333">
        <f>AVERAGE(C52:D56)</f>
        <v>1.05</v>
      </c>
      <c r="D57" s="334"/>
      <c r="E57" s="95">
        <f>AVERAGE(E52:E56)</f>
        <v>0.19900000000000001</v>
      </c>
      <c r="F57" s="95">
        <f>AVERAGE(F52:F56)</f>
        <v>0.19900000000000001</v>
      </c>
      <c r="G57" s="95">
        <f>SUM(G52:G56)/5</f>
        <v>-0.85099999999999998</v>
      </c>
      <c r="H57" s="63"/>
      <c r="I57" s="63"/>
      <c r="N57" s="390"/>
      <c r="O57" s="115">
        <f>C49</f>
        <v>-28.52</v>
      </c>
      <c r="P57" s="115">
        <f>C57</f>
        <v>1.05</v>
      </c>
      <c r="Q57" s="115">
        <f>C65</f>
        <v>50.69</v>
      </c>
      <c r="R57" s="115">
        <f>C73</f>
        <v>100.55</v>
      </c>
      <c r="S57" s="115">
        <f>C81</f>
        <v>150.54</v>
      </c>
      <c r="T57" s="115">
        <f>C89</f>
        <v>199.96</v>
      </c>
      <c r="U57" s="115">
        <f>C97</f>
        <v>249.72999999999996</v>
      </c>
      <c r="V57" s="115">
        <f>C105</f>
        <v>259.72000000000003</v>
      </c>
      <c r="W57" s="116" t="e">
        <f>C113</f>
        <v>#DIV/0!</v>
      </c>
      <c r="X57" s="116" t="e">
        <f>C121</f>
        <v>#DIV/0!</v>
      </c>
      <c r="AB57" s="1"/>
    </row>
    <row r="58" spans="1:28" ht="13.5" customHeight="1">
      <c r="A58" s="10"/>
      <c r="B58" s="8" t="s">
        <v>30</v>
      </c>
      <c r="C58" s="261"/>
      <c r="D58" s="262"/>
      <c r="E58" s="42"/>
      <c r="F58" s="4"/>
      <c r="G58" s="96">
        <f>_xlfn.STDEV.S(G52:G56)</f>
        <v>0</v>
      </c>
      <c r="H58" s="44"/>
      <c r="I58" s="63"/>
      <c r="N58" s="25" t="s">
        <v>152</v>
      </c>
      <c r="O58" s="112">
        <f>$G$50/5^0.5</f>
        <v>0</v>
      </c>
      <c r="P58" s="112">
        <f>$G$58/5^0.5</f>
        <v>0</v>
      </c>
      <c r="Q58" s="112">
        <f>$G$66/5^0.5</f>
        <v>0</v>
      </c>
      <c r="R58" s="112">
        <f>$G$74/5^0.5</f>
        <v>0</v>
      </c>
      <c r="S58" s="112">
        <f>$G$82/5^0.5</f>
        <v>0</v>
      </c>
      <c r="T58" s="112">
        <f>$G$90/5^0.5</f>
        <v>0</v>
      </c>
      <c r="U58" s="112">
        <f>$G$98/5^0.5</f>
        <v>0</v>
      </c>
      <c r="V58" s="112">
        <f>$G$106/5^0.5</f>
        <v>0</v>
      </c>
      <c r="W58" s="112">
        <f>$G$114/5^0.5</f>
        <v>0</v>
      </c>
      <c r="X58" s="112">
        <f>$G$122/5^0.5</f>
        <v>0</v>
      </c>
      <c r="AB58" s="1"/>
    </row>
    <row r="59" spans="1:28">
      <c r="A59" s="7"/>
      <c r="B59" s="6" t="s">
        <v>27</v>
      </c>
      <c r="C59" s="230"/>
      <c r="D59" s="231"/>
      <c r="E59" s="43"/>
      <c r="F59" s="9"/>
      <c r="G59" s="97">
        <f>G58/SQRT(5)</f>
        <v>0</v>
      </c>
      <c r="H59" s="44"/>
      <c r="I59" s="63"/>
      <c r="N59" s="25" t="s">
        <v>153</v>
      </c>
      <c r="O59" s="113">
        <f>IF('DRAFT-SERTIF'!$O$27="Ya",'REGRESI 1'!$C$36,0)</f>
        <v>0.27380485446702318</v>
      </c>
      <c r="P59" s="113">
        <f>IF('DRAFT-SERTIF'!$O$27="Ya",'REGRESI 1'!$C$36,0)</f>
        <v>0.27380485446702318</v>
      </c>
      <c r="Q59" s="113">
        <f>IF('DRAFT-SERTIF'!$O$27="Ya",'REGRESI 1'!$C$36,0)</f>
        <v>0.27380485446702318</v>
      </c>
      <c r="R59" s="113">
        <f>IF('DRAFT-SERTIF'!$O$27="Ya",'REGRESI 1'!$C$36,0)</f>
        <v>0.27380485446702318</v>
      </c>
      <c r="S59" s="113">
        <f>IF('DRAFT-SERTIF'!$O$27="Ya",'REGRESI 1'!$C$36,0)</f>
        <v>0.27380485446702318</v>
      </c>
      <c r="T59" s="113">
        <f>IF('DRAFT-SERTIF'!$O$27="Ya",'REGRESI 1'!$C$36,0)</f>
        <v>0.27380485446702318</v>
      </c>
      <c r="U59" s="113">
        <f>IF('DRAFT-SERTIF'!$O$27="Ya",'REGRESI 1'!$C$36,0)</f>
        <v>0.27380485446702318</v>
      </c>
      <c r="V59" s="113">
        <f>IF('DRAFT-SERTIF'!$O$27="Ya",'REGRESI 1'!$C$36,0)</f>
        <v>0.27380485446702318</v>
      </c>
      <c r="W59" s="113">
        <f>IF('DRAFT-SERTIF'!$O$27="Ya",'REGRESI 1'!$C$36,0)</f>
        <v>0.27380485446702318</v>
      </c>
      <c r="X59" s="113">
        <f>IF('DRAFT-SERTIF'!$O$27="Ya",'REGRESI 1'!$C$36,0)</f>
        <v>0.27380485446702318</v>
      </c>
      <c r="AB59" s="1"/>
    </row>
    <row r="60" spans="1:28" ht="13.5" customHeight="1">
      <c r="A60" s="105">
        <v>3</v>
      </c>
      <c r="B60" s="196">
        <v>50</v>
      </c>
      <c r="C60" s="327">
        <v>50.69</v>
      </c>
      <c r="D60" s="327"/>
      <c r="E60" s="15">
        <v>50.347000000000001</v>
      </c>
      <c r="F60" s="37">
        <f>IF('PERHITUNGAN 1'!$E$12="Burn Engr",'PERHITUNGAN 1'!E60,E60+('regresi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50.347000000000001</v>
      </c>
      <c r="G60" s="90">
        <f>F60-C60</f>
        <v>-0.34299999999999642</v>
      </c>
      <c r="H60" s="63"/>
      <c r="I60" s="63"/>
      <c r="N60" s="25" t="s">
        <v>154</v>
      </c>
      <c r="O60" s="91">
        <f t="shared" ref="O60:X60" si="4">O41</f>
        <v>0.01</v>
      </c>
      <c r="P60" s="91">
        <f t="shared" si="4"/>
        <v>3.5000000000000003E-2</v>
      </c>
      <c r="Q60" s="91">
        <f t="shared" si="4"/>
        <v>3.5000000000000003E-2</v>
      </c>
      <c r="R60" s="91">
        <f t="shared" si="4"/>
        <v>3.5000000000000003E-2</v>
      </c>
      <c r="S60" s="91">
        <f t="shared" si="4"/>
        <v>3.5000000000000003E-2</v>
      </c>
      <c r="T60" s="91">
        <f t="shared" si="4"/>
        <v>3.5000000000000003E-2</v>
      </c>
      <c r="U60" s="91">
        <f t="shared" si="4"/>
        <v>3.5000000000000003E-2</v>
      </c>
      <c r="V60" s="91">
        <f t="shared" si="4"/>
        <v>3.5000000000000003E-2</v>
      </c>
      <c r="W60" s="91">
        <f t="shared" si="4"/>
        <v>0.01</v>
      </c>
      <c r="X60" s="91">
        <f t="shared" si="4"/>
        <v>0.01</v>
      </c>
    </row>
    <row r="61" spans="1:28">
      <c r="A61" s="10"/>
      <c r="C61" s="327">
        <v>50.69</v>
      </c>
      <c r="D61" s="327"/>
      <c r="E61" s="15">
        <v>50.347000000000001</v>
      </c>
      <c r="F61" s="37">
        <f>IF('PERHITUNGAN 1'!$E$12="Burn Engr",'PERHITUNGAN 1'!E61,E61+('regresi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50.347000000000001</v>
      </c>
      <c r="G61" s="90">
        <f>F61-C61</f>
        <v>-0.34299999999999642</v>
      </c>
      <c r="H61" s="63"/>
      <c r="I61" s="63"/>
      <c r="N61" s="133" t="s">
        <v>155</v>
      </c>
      <c r="O61" s="134">
        <f>$T$8</f>
        <v>1.5000000000000003E-2</v>
      </c>
      <c r="P61" s="134">
        <f>$T$10</f>
        <v>0.01</v>
      </c>
      <c r="Q61" s="134">
        <f>$T$13</f>
        <v>5.0000000000000001E-3</v>
      </c>
      <c r="R61" s="134">
        <f>$T$14</f>
        <v>1.4999999999999999E-2</v>
      </c>
      <c r="S61" s="134">
        <f>$T$20</f>
        <v>5.0000000000000001E-3</v>
      </c>
      <c r="T61" s="134">
        <f>$T$23</f>
        <v>0.05</v>
      </c>
      <c r="U61" s="134">
        <f>$T$23</f>
        <v>0.05</v>
      </c>
      <c r="V61" s="134">
        <f>$T$24</f>
        <v>1.5000000000000003E-2</v>
      </c>
      <c r="W61" s="134">
        <f t="shared" ref="W61:X61" si="5">$T$14</f>
        <v>1.4999999999999999E-2</v>
      </c>
      <c r="X61" s="134">
        <f t="shared" si="5"/>
        <v>1.4999999999999999E-2</v>
      </c>
    </row>
    <row r="62" spans="1:28">
      <c r="A62" s="10"/>
      <c r="C62" s="327">
        <v>50.69</v>
      </c>
      <c r="D62" s="327"/>
      <c r="E62" s="15">
        <v>50.347000000000001</v>
      </c>
      <c r="F62" s="37">
        <f>IF('PERHITUNGAN 1'!$E$12="Burn Engr",'PERHITUNGAN 1'!E62,E62+('regresi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50.347000000000001</v>
      </c>
      <c r="G62" s="90">
        <f>F62-C62</f>
        <v>-0.34299999999999642</v>
      </c>
      <c r="H62" s="63"/>
      <c r="I62" s="63"/>
      <c r="N62" s="25" t="s">
        <v>156</v>
      </c>
      <c r="O62" s="20">
        <f t="shared" ref="O62:X62" si="6">(0.1*O39)/SQRT(3)</f>
        <v>1.1547005383792516E-3</v>
      </c>
      <c r="P62" s="20">
        <f t="shared" si="6"/>
        <v>4.041451884327381E-3</v>
      </c>
      <c r="Q62" s="20">
        <f t="shared" si="6"/>
        <v>4.041451884327381E-3</v>
      </c>
      <c r="R62" s="20">
        <f t="shared" si="6"/>
        <v>4.041451884327381E-3</v>
      </c>
      <c r="S62" s="20">
        <f t="shared" si="6"/>
        <v>4.041451884327381E-3</v>
      </c>
      <c r="T62" s="20">
        <f t="shared" si="6"/>
        <v>4.041451884327381E-3</v>
      </c>
      <c r="U62" s="20">
        <f t="shared" si="6"/>
        <v>4.041451884327381E-3</v>
      </c>
      <c r="V62" s="20">
        <f t="shared" si="6"/>
        <v>4.041451884327381E-3</v>
      </c>
      <c r="W62" s="20">
        <f t="shared" si="6"/>
        <v>1.1547005383792516E-3</v>
      </c>
      <c r="X62" s="20">
        <f t="shared" si="6"/>
        <v>1.1547005383792516E-3</v>
      </c>
    </row>
    <row r="63" spans="1:28">
      <c r="A63" s="10"/>
      <c r="C63" s="327">
        <v>50.69</v>
      </c>
      <c r="D63" s="327"/>
      <c r="E63" s="15">
        <v>50.347000000000001</v>
      </c>
      <c r="F63" s="37">
        <f>IF('PERHITUNGAN 1'!$E$12="Burn Engr",'PERHITUNGAN 1'!E63,E63+('regresi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50.347000000000001</v>
      </c>
      <c r="G63" s="90">
        <f>F63-C63</f>
        <v>-0.34299999999999642</v>
      </c>
      <c r="H63" s="63"/>
      <c r="I63" s="63"/>
      <c r="N63" s="25" t="s">
        <v>157</v>
      </c>
      <c r="O63" s="114">
        <f t="shared" ref="O63:X63" si="7">$T$29</f>
        <v>2.886751345948129E-3</v>
      </c>
      <c r="P63" s="114">
        <f t="shared" si="7"/>
        <v>2.886751345948129E-3</v>
      </c>
      <c r="Q63" s="114">
        <f t="shared" si="7"/>
        <v>2.886751345948129E-3</v>
      </c>
      <c r="R63" s="114">
        <f t="shared" si="7"/>
        <v>2.886751345948129E-3</v>
      </c>
      <c r="S63" s="114">
        <f t="shared" si="7"/>
        <v>2.886751345948129E-3</v>
      </c>
      <c r="T63" s="114">
        <f t="shared" si="7"/>
        <v>2.886751345948129E-3</v>
      </c>
      <c r="U63" s="114">
        <f t="shared" si="7"/>
        <v>2.886751345948129E-3</v>
      </c>
      <c r="V63" s="114">
        <f t="shared" si="7"/>
        <v>2.886751345948129E-3</v>
      </c>
      <c r="W63" s="114">
        <f t="shared" si="7"/>
        <v>2.886751345948129E-3</v>
      </c>
      <c r="X63" s="114">
        <f t="shared" si="7"/>
        <v>2.886751345948129E-3</v>
      </c>
    </row>
    <row r="64" spans="1:28">
      <c r="A64" s="10"/>
      <c r="C64" s="327">
        <v>50.69</v>
      </c>
      <c r="D64" s="327"/>
      <c r="E64" s="15">
        <v>50.347000000000001</v>
      </c>
      <c r="F64" s="37">
        <f>IF('PERHITUNGAN 1'!$E$12="Burn Engr",'PERHITUNGAN 1'!E64,E64+('regresi PRT'!$P$40+('regresi PRT'!$P$41*E64)+('regresi PRT'!$P$42*(E64^2))+('regresi PRT'!$P$43*(E64^3))+('regresi PRT'!$P$44*(E64^4))+('regresi PRT'!$P$45*(E64^5))+('regresi PRT'!$P$46*(E64^6))+('regresi PRT'!$P$47*(E64^7))+('regresi PRT'!$P$48*(E64^8))+('regresi PRT'!$P$49*(E64^9))+('regresi PRT'!$P$50*(E64^10))))</f>
        <v>50.347000000000001</v>
      </c>
      <c r="G64" s="90">
        <f>F64-C64</f>
        <v>-0.34299999999999642</v>
      </c>
      <c r="H64" s="63"/>
      <c r="I64" s="63"/>
      <c r="N64" s="25" t="s">
        <v>158</v>
      </c>
      <c r="O64" s="114">
        <f t="shared" ref="O64:X64" si="8">$T$27</f>
        <v>2.886751345948129E-4</v>
      </c>
      <c r="P64" s="114">
        <f t="shared" si="8"/>
        <v>2.886751345948129E-4</v>
      </c>
      <c r="Q64" s="114">
        <f t="shared" si="8"/>
        <v>2.886751345948129E-4</v>
      </c>
      <c r="R64" s="114">
        <f t="shared" si="8"/>
        <v>2.886751345948129E-4</v>
      </c>
      <c r="S64" s="114">
        <f t="shared" si="8"/>
        <v>2.886751345948129E-4</v>
      </c>
      <c r="T64" s="114">
        <f t="shared" si="8"/>
        <v>2.886751345948129E-4</v>
      </c>
      <c r="U64" s="114">
        <f t="shared" si="8"/>
        <v>2.886751345948129E-4</v>
      </c>
      <c r="V64" s="114">
        <f t="shared" si="8"/>
        <v>2.886751345948129E-4</v>
      </c>
      <c r="W64" s="114">
        <f t="shared" si="8"/>
        <v>2.886751345948129E-4</v>
      </c>
      <c r="X64" s="114">
        <f t="shared" si="8"/>
        <v>2.886751345948129E-4</v>
      </c>
    </row>
    <row r="65" spans="1:28">
      <c r="A65" s="10"/>
      <c r="B65" s="8" t="s">
        <v>31</v>
      </c>
      <c r="C65" s="333">
        <f>AVERAGE(C60:D64)</f>
        <v>50.69</v>
      </c>
      <c r="D65" s="334"/>
      <c r="E65" s="95">
        <f>AVERAGE(E60:E64)</f>
        <v>50.347000000000001</v>
      </c>
      <c r="F65" s="95">
        <f>SUM(F60:F64)/5</f>
        <v>50.347000000000001</v>
      </c>
      <c r="G65" s="95">
        <f>SUM(G60:G64)/5</f>
        <v>-0.34299999999999642</v>
      </c>
      <c r="H65" s="63"/>
      <c r="I65" s="63"/>
      <c r="N65" s="92"/>
      <c r="O65" s="117"/>
      <c r="P65" s="117"/>
      <c r="Q65" s="117"/>
      <c r="R65" s="117"/>
      <c r="S65" s="117"/>
      <c r="T65" s="117"/>
      <c r="U65" s="117"/>
      <c r="V65" s="117"/>
      <c r="W65" s="117"/>
      <c r="X65" s="117"/>
    </row>
    <row r="66" spans="1:28">
      <c r="A66" s="10"/>
      <c r="B66" s="8" t="s">
        <v>30</v>
      </c>
      <c r="C66" s="228"/>
      <c r="D66" s="229"/>
      <c r="E66" s="42"/>
      <c r="F66" s="42"/>
      <c r="G66" s="96">
        <f>_xlfn.STDEV.S(G60:G64)</f>
        <v>0</v>
      </c>
      <c r="H66" s="44"/>
      <c r="I66" s="63"/>
      <c r="N66" s="25" t="s">
        <v>159</v>
      </c>
      <c r="O66" s="25">
        <v>4</v>
      </c>
      <c r="P66" s="25">
        <v>4</v>
      </c>
      <c r="Q66" s="25">
        <v>4</v>
      </c>
      <c r="R66" s="25">
        <v>4</v>
      </c>
      <c r="S66" s="25">
        <v>4</v>
      </c>
      <c r="T66" s="25">
        <v>4</v>
      </c>
      <c r="U66" s="25">
        <v>4</v>
      </c>
      <c r="V66" s="25">
        <v>4</v>
      </c>
      <c r="W66" s="25">
        <v>4</v>
      </c>
      <c r="X66" s="25">
        <v>4</v>
      </c>
    </row>
    <row r="67" spans="1:28">
      <c r="A67" s="7"/>
      <c r="B67" s="6" t="s">
        <v>27</v>
      </c>
      <c r="C67" s="230"/>
      <c r="D67" s="231"/>
      <c r="E67" s="73"/>
      <c r="F67" s="73"/>
      <c r="G67" s="97">
        <f>G66/SQRT(5)</f>
        <v>0</v>
      </c>
      <c r="H67" s="44"/>
      <c r="I67" s="63"/>
      <c r="N67" s="25" t="s">
        <v>160</v>
      </c>
      <c r="O67" s="53">
        <f>10^10</f>
        <v>10000000000</v>
      </c>
      <c r="P67" s="53">
        <f t="shared" ref="P67:X67" si="9">10^10</f>
        <v>10000000000</v>
      </c>
      <c r="Q67" s="53">
        <f t="shared" si="9"/>
        <v>10000000000</v>
      </c>
      <c r="R67" s="53">
        <f t="shared" si="9"/>
        <v>10000000000</v>
      </c>
      <c r="S67" s="53">
        <f t="shared" si="9"/>
        <v>10000000000</v>
      </c>
      <c r="T67" s="53">
        <f t="shared" si="9"/>
        <v>10000000000</v>
      </c>
      <c r="U67" s="53">
        <f t="shared" si="9"/>
        <v>10000000000</v>
      </c>
      <c r="V67" s="53">
        <f t="shared" si="9"/>
        <v>10000000000</v>
      </c>
      <c r="W67" s="53">
        <f t="shared" si="9"/>
        <v>10000000000</v>
      </c>
      <c r="X67" s="53">
        <f t="shared" si="9"/>
        <v>10000000000</v>
      </c>
    </row>
    <row r="68" spans="1:28">
      <c r="A68" s="105">
        <v>4</v>
      </c>
      <c r="B68" s="196">
        <v>100</v>
      </c>
      <c r="C68" s="327">
        <v>100.55</v>
      </c>
      <c r="D68" s="327"/>
      <c r="E68" s="90">
        <v>99.887</v>
      </c>
      <c r="F68" s="37">
        <f>IF('PERHITUNGAN 1'!$E$12="Burn Engr",'PERHITUNGAN 1'!E68,E68+('regresi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99.887</v>
      </c>
      <c r="G68" s="90">
        <f>F68-C68</f>
        <v>-0.6629999999999967</v>
      </c>
      <c r="H68" s="63"/>
      <c r="I68" s="63"/>
      <c r="N68" s="25" t="s">
        <v>161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</row>
    <row r="69" spans="1:28" ht="13.5" customHeight="1">
      <c r="A69" s="10"/>
      <c r="C69" s="327">
        <v>100.55</v>
      </c>
      <c r="D69" s="327"/>
      <c r="E69" s="90">
        <v>99.887</v>
      </c>
      <c r="F69" s="37">
        <f>IF('PERHITUNGAN 1'!$E$12="Burn Engr",'PERHITUNGAN 1'!E69,E69+('regresi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99.887</v>
      </c>
      <c r="G69" s="90">
        <f>F69-C69</f>
        <v>-0.6629999999999967</v>
      </c>
      <c r="H69" s="63"/>
      <c r="I69" s="63"/>
      <c r="N69" s="25" t="s">
        <v>162</v>
      </c>
      <c r="O69" s="25">
        <v>60</v>
      </c>
      <c r="P69" s="25">
        <v>60</v>
      </c>
      <c r="Q69" s="25">
        <v>60</v>
      </c>
      <c r="R69" s="25">
        <v>60</v>
      </c>
      <c r="S69" s="25">
        <v>60</v>
      </c>
      <c r="T69" s="25">
        <v>60</v>
      </c>
      <c r="U69" s="25">
        <v>60</v>
      </c>
      <c r="V69" s="25">
        <v>60</v>
      </c>
      <c r="W69" s="25">
        <v>60</v>
      </c>
      <c r="X69" s="25">
        <v>60</v>
      </c>
      <c r="AB69" s="1"/>
    </row>
    <row r="70" spans="1:28">
      <c r="A70" s="10"/>
      <c r="C70" s="327">
        <v>100.55</v>
      </c>
      <c r="D70" s="327"/>
      <c r="E70" s="90">
        <v>99.887</v>
      </c>
      <c r="F70" s="37">
        <f>IF('PERHITUNGAN 1'!$E$12="Burn Engr",'PERHITUNGAN 1'!E70,E70+('regresi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99.887</v>
      </c>
      <c r="G70" s="90">
        <f>F70-C70</f>
        <v>-0.6629999999999967</v>
      </c>
      <c r="H70" s="63"/>
      <c r="I70" s="63"/>
      <c r="N70" s="25" t="s">
        <v>163</v>
      </c>
      <c r="O70" s="53">
        <f t="shared" ref="O70:X72" si="10">10^10</f>
        <v>10000000000</v>
      </c>
      <c r="P70" s="53">
        <f t="shared" si="10"/>
        <v>10000000000</v>
      </c>
      <c r="Q70" s="53">
        <f t="shared" si="10"/>
        <v>10000000000</v>
      </c>
      <c r="R70" s="53">
        <f t="shared" si="10"/>
        <v>10000000000</v>
      </c>
      <c r="S70" s="53">
        <f t="shared" si="10"/>
        <v>10000000000</v>
      </c>
      <c r="T70" s="53">
        <f t="shared" si="10"/>
        <v>10000000000</v>
      </c>
      <c r="U70" s="53">
        <f t="shared" si="10"/>
        <v>10000000000</v>
      </c>
      <c r="V70" s="53">
        <f t="shared" si="10"/>
        <v>10000000000</v>
      </c>
      <c r="W70" s="53">
        <f t="shared" si="10"/>
        <v>10000000000</v>
      </c>
      <c r="X70" s="53">
        <f t="shared" si="10"/>
        <v>10000000000</v>
      </c>
      <c r="AB70" s="1"/>
    </row>
    <row r="71" spans="1:28">
      <c r="A71" s="10"/>
      <c r="C71" s="327">
        <v>100.55</v>
      </c>
      <c r="D71" s="327"/>
      <c r="E71" s="90">
        <v>99.887</v>
      </c>
      <c r="F71" s="37">
        <f>IF('PERHITUNGAN 1'!$E$12="Burn Engr",'PERHITUNGAN 1'!E71,E71+('regresi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99.887</v>
      </c>
      <c r="G71" s="90">
        <f>F71-C71</f>
        <v>-0.6629999999999967</v>
      </c>
      <c r="H71" s="63"/>
      <c r="I71" s="63"/>
      <c r="N71" s="25" t="s">
        <v>164</v>
      </c>
      <c r="O71" s="53">
        <f t="shared" si="10"/>
        <v>10000000000</v>
      </c>
      <c r="P71" s="53">
        <f t="shared" si="10"/>
        <v>10000000000</v>
      </c>
      <c r="Q71" s="53">
        <f t="shared" si="10"/>
        <v>10000000000</v>
      </c>
      <c r="R71" s="53">
        <f t="shared" si="10"/>
        <v>10000000000</v>
      </c>
      <c r="S71" s="53">
        <f t="shared" si="10"/>
        <v>10000000000</v>
      </c>
      <c r="T71" s="53">
        <f t="shared" si="10"/>
        <v>10000000000</v>
      </c>
      <c r="U71" s="53">
        <f t="shared" si="10"/>
        <v>10000000000</v>
      </c>
      <c r="V71" s="53">
        <f t="shared" si="10"/>
        <v>10000000000</v>
      </c>
      <c r="W71" s="53">
        <f t="shared" si="10"/>
        <v>10000000000</v>
      </c>
      <c r="X71" s="53">
        <f t="shared" si="10"/>
        <v>10000000000</v>
      </c>
      <c r="AB71" s="1"/>
    </row>
    <row r="72" spans="1:28">
      <c r="A72" s="10"/>
      <c r="C72" s="327">
        <v>100.55</v>
      </c>
      <c r="D72" s="327"/>
      <c r="E72" s="90">
        <v>99.887</v>
      </c>
      <c r="F72" s="37">
        <f>IF('PERHITUNGAN 1'!$E$12="Burn Engr",'PERHITUNGAN 1'!E72,E72+('regresi PRT'!$P$40+('regresi PRT'!$P$41*E72)+('regresi PRT'!$P$42*(E72^2))+('regresi PRT'!$P$43*(E72^3))+('regresi PRT'!$P$44*(E72^4))+('regresi PRT'!$P$45*(E72^5))+('regresi PRT'!$P$46*(E72^6))+('regresi PRT'!$P$47*(E72^7))+('regresi PRT'!$P$48*(E72^8))+('regresi PRT'!$P$49*(E72^9))+('regresi PRT'!$P$50*(E72^10))))</f>
        <v>99.887</v>
      </c>
      <c r="G72" s="90">
        <f>F72-C72</f>
        <v>-0.6629999999999967</v>
      </c>
      <c r="H72" s="63"/>
      <c r="I72" s="63"/>
      <c r="N72" s="25" t="s">
        <v>165</v>
      </c>
      <c r="O72" s="53">
        <f t="shared" si="10"/>
        <v>10000000000</v>
      </c>
      <c r="P72" s="53">
        <f t="shared" si="10"/>
        <v>10000000000</v>
      </c>
      <c r="Q72" s="53">
        <f t="shared" si="10"/>
        <v>10000000000</v>
      </c>
      <c r="R72" s="53">
        <f t="shared" si="10"/>
        <v>10000000000</v>
      </c>
      <c r="S72" s="53">
        <f t="shared" si="10"/>
        <v>10000000000</v>
      </c>
      <c r="T72" s="53">
        <f t="shared" si="10"/>
        <v>10000000000</v>
      </c>
      <c r="U72" s="53">
        <f t="shared" si="10"/>
        <v>10000000000</v>
      </c>
      <c r="V72" s="53">
        <f t="shared" si="10"/>
        <v>10000000000</v>
      </c>
      <c r="W72" s="53">
        <f t="shared" si="10"/>
        <v>10000000000</v>
      </c>
      <c r="X72" s="53">
        <f t="shared" si="10"/>
        <v>10000000000</v>
      </c>
      <c r="AB72" s="1"/>
    </row>
    <row r="73" spans="1:28">
      <c r="A73" s="10"/>
      <c r="B73" s="8" t="s">
        <v>31</v>
      </c>
      <c r="C73" s="333">
        <f>AVERAGE(C68:D72)</f>
        <v>100.55</v>
      </c>
      <c r="D73" s="334"/>
      <c r="E73" s="95">
        <f>AVERAGE(E68:E72)</f>
        <v>99.887</v>
      </c>
      <c r="F73" s="95">
        <f>SUM(F68:F72)/5</f>
        <v>99.887</v>
      </c>
      <c r="G73" s="95">
        <f>SUM(G68:G72)/5</f>
        <v>-0.6629999999999967</v>
      </c>
      <c r="H73" s="63"/>
      <c r="I73" s="63"/>
      <c r="N73" s="111" t="s">
        <v>168</v>
      </c>
      <c r="O73" s="118">
        <f>SQRT((O58^2)+(O59^2)+(O60^2)+(O61^2)+(O62^2)+(O63^2)+(O64^2))</f>
        <v>0.27441546663719185</v>
      </c>
      <c r="P73" s="118">
        <f t="shared" ref="P73:X73" si="11">SQRT((P58^2)+(P59^2)+(P60^2)+(P61^2)+(P62^2)+(P63^2)+(P64^2))</f>
        <v>0.27625866199941629</v>
      </c>
      <c r="Q73" s="118">
        <f t="shared" si="11"/>
        <v>0.27612288628382065</v>
      </c>
      <c r="R73" s="118">
        <f t="shared" si="11"/>
        <v>0.27648480668873604</v>
      </c>
      <c r="S73" s="118">
        <f t="shared" si="11"/>
        <v>0.27612288628382065</v>
      </c>
      <c r="T73" s="118">
        <f t="shared" si="11"/>
        <v>0.28056879429064763</v>
      </c>
      <c r="U73" s="118">
        <f t="shared" si="11"/>
        <v>0.28056879429064763</v>
      </c>
      <c r="V73" s="118">
        <f t="shared" si="11"/>
        <v>0.27648480668873604</v>
      </c>
      <c r="W73" s="118">
        <f t="shared" si="11"/>
        <v>0.27441546663719185</v>
      </c>
      <c r="X73" s="118">
        <f t="shared" si="11"/>
        <v>0.27441546663719185</v>
      </c>
      <c r="AB73" s="1"/>
    </row>
    <row r="74" spans="1:28">
      <c r="A74" s="10"/>
      <c r="B74" s="8" t="s">
        <v>30</v>
      </c>
      <c r="C74" s="228"/>
      <c r="D74" s="229"/>
      <c r="E74" s="42"/>
      <c r="F74" s="42"/>
      <c r="G74" s="96">
        <f>_xlfn.STDEV.S(G68:G72)</f>
        <v>0</v>
      </c>
      <c r="H74" s="63"/>
      <c r="I74" s="63"/>
      <c r="N74" s="119" t="s">
        <v>167</v>
      </c>
      <c r="O74" s="120">
        <f>(O73^4)/((O58^4/O66)+(O59^4/O67)+(O60^4/O68)+(O61^4/O69)+(O62^4/O70)+(O63^4/O71)+(O64^4/O72))</f>
        <v>5609089.0491228662</v>
      </c>
      <c r="P74" s="120">
        <f t="shared" ref="P74:X74" si="12">(P73^4)/((P58^4/P66)+(P59^4/P67)+(P60^4/P68)+(P61^4/P69)+(P62^4/P70)+(P63^4/P71)+(P64^4/P72))</f>
        <v>231338.81364965043</v>
      </c>
      <c r="Q74" s="120">
        <f t="shared" si="12"/>
        <v>232326.14816949051</v>
      </c>
      <c r="R74" s="120">
        <f t="shared" si="12"/>
        <v>226019.07815478698</v>
      </c>
      <c r="S74" s="120">
        <f t="shared" si="12"/>
        <v>232326.14816949051</v>
      </c>
      <c r="T74" s="120">
        <f t="shared" si="12"/>
        <v>47970.042065789457</v>
      </c>
      <c r="U74" s="120">
        <f t="shared" si="12"/>
        <v>47970.042065789457</v>
      </c>
      <c r="V74" s="120">
        <f t="shared" si="12"/>
        <v>226019.07815478698</v>
      </c>
      <c r="W74" s="120">
        <f t="shared" si="12"/>
        <v>5609089.0491228681</v>
      </c>
      <c r="X74" s="120">
        <f t="shared" si="12"/>
        <v>5609089.0491228681</v>
      </c>
      <c r="AB74" s="1"/>
    </row>
    <row r="75" spans="1:28">
      <c r="A75" s="7"/>
      <c r="B75" s="6" t="s">
        <v>27</v>
      </c>
      <c r="C75" s="230"/>
      <c r="D75" s="231"/>
      <c r="E75" s="73"/>
      <c r="F75" s="73"/>
      <c r="G75" s="97">
        <f>G74/SQRT(5)</f>
        <v>0</v>
      </c>
      <c r="H75" s="63"/>
      <c r="I75" s="63"/>
      <c r="L75" s="22"/>
      <c r="N75" s="122" t="s">
        <v>7</v>
      </c>
      <c r="O75" s="123">
        <f>_xlfn.T.INV.2T(0.05,O74)</f>
        <v>1.9599644074043208</v>
      </c>
      <c r="P75" s="123">
        <f t="shared" ref="P75:X75" si="13">_xlfn.T.INV.2T(0.05,P74)</f>
        <v>1.9599742391656689</v>
      </c>
      <c r="Q75" s="123">
        <f t="shared" si="13"/>
        <v>1.9599741955486571</v>
      </c>
      <c r="R75" s="123">
        <f t="shared" si="13"/>
        <v>1.9599744804829766</v>
      </c>
      <c r="S75" s="123">
        <f t="shared" si="13"/>
        <v>1.9599741955486571</v>
      </c>
      <c r="T75" s="123">
        <f t="shared" si="13"/>
        <v>1.9600134389917245</v>
      </c>
      <c r="U75" s="123">
        <f t="shared" si="13"/>
        <v>1.9600134389917245</v>
      </c>
      <c r="V75" s="123">
        <f t="shared" si="13"/>
        <v>1.9599744804829766</v>
      </c>
      <c r="W75" s="123">
        <f t="shared" si="13"/>
        <v>1.9599644074043208</v>
      </c>
      <c r="X75" s="123">
        <f t="shared" si="13"/>
        <v>1.9599644074043208</v>
      </c>
      <c r="Z75" s="124"/>
      <c r="AB75" s="1"/>
    </row>
    <row r="76" spans="1:28">
      <c r="A76" s="105">
        <v>5</v>
      </c>
      <c r="B76" s="196">
        <v>150</v>
      </c>
      <c r="C76" s="327">
        <v>150.54</v>
      </c>
      <c r="D76" s="327"/>
      <c r="E76" s="90">
        <v>149.71799999999999</v>
      </c>
      <c r="F76" s="37">
        <f>IF('PERHITUNGAN 1'!$E$12="Burn Engr",'PERHITUNGAN 1'!E76,E76+('regresi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149.71799999999999</v>
      </c>
      <c r="G76" s="90">
        <f>F76-C76</f>
        <v>-0.82200000000000273</v>
      </c>
      <c r="H76" s="63"/>
      <c r="I76" s="63"/>
      <c r="N76" s="53"/>
      <c r="O76" s="20"/>
      <c r="P76" s="20"/>
      <c r="Q76" s="20"/>
      <c r="R76" s="20"/>
      <c r="S76" s="20"/>
      <c r="T76" s="20"/>
      <c r="U76" s="20"/>
      <c r="V76" s="20"/>
      <c r="W76" s="20"/>
      <c r="X76" s="20"/>
      <c r="AB76" s="1"/>
    </row>
    <row r="77" spans="1:28">
      <c r="A77" s="10"/>
      <c r="C77" s="327">
        <v>150.54</v>
      </c>
      <c r="D77" s="327"/>
      <c r="E77" s="90">
        <v>149.71799999999999</v>
      </c>
      <c r="F77" s="37">
        <f>IF('PERHITUNGAN 1'!$E$12="Burn Engr",'PERHITUNGAN 1'!E77,E77+('regresi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149.71799999999999</v>
      </c>
      <c r="G77" s="90">
        <f>F77-C77</f>
        <v>-0.82200000000000273</v>
      </c>
      <c r="H77" s="63"/>
      <c r="I77" s="63"/>
      <c r="N77" s="111" t="s">
        <v>166</v>
      </c>
      <c r="O77" s="121">
        <f t="shared" ref="O77:X77" si="14">O73*O75</f>
        <v>0.53784454745014387</v>
      </c>
      <c r="P77" s="121">
        <f t="shared" si="14"/>
        <v>0.54145986086523168</v>
      </c>
      <c r="Q77" s="121">
        <f t="shared" si="14"/>
        <v>0.54119373191670472</v>
      </c>
      <c r="R77" s="121">
        <f t="shared" si="14"/>
        <v>0.54190316535119165</v>
      </c>
      <c r="S77" s="121">
        <f t="shared" si="14"/>
        <v>0.54119373191670472</v>
      </c>
      <c r="T77" s="121">
        <f t="shared" si="14"/>
        <v>0.54991860737137399</v>
      </c>
      <c r="U77" s="121">
        <f t="shared" si="14"/>
        <v>0.54991860737137399</v>
      </c>
      <c r="V77" s="121">
        <f t="shared" si="14"/>
        <v>0.54190316535119165</v>
      </c>
      <c r="W77" s="121">
        <f t="shared" si="14"/>
        <v>0.53784454745014387</v>
      </c>
      <c r="X77" s="121">
        <f t="shared" si="14"/>
        <v>0.53784454745014387</v>
      </c>
      <c r="AB77" s="1"/>
    </row>
    <row r="78" spans="1:28">
      <c r="A78" s="10"/>
      <c r="C78" s="327">
        <v>150.54</v>
      </c>
      <c r="D78" s="327"/>
      <c r="E78" s="90">
        <v>149.71799999999999</v>
      </c>
      <c r="F78" s="37">
        <f>IF('PERHITUNGAN 1'!$E$12="Burn Engr",'PERHITUNGAN 1'!E78,E78+('regresi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149.71799999999999</v>
      </c>
      <c r="G78" s="90">
        <f>F78-C78</f>
        <v>-0.82200000000000273</v>
      </c>
      <c r="H78" s="63"/>
      <c r="I78" s="63"/>
      <c r="AB78" s="1"/>
    </row>
    <row r="79" spans="1:28">
      <c r="A79" s="10"/>
      <c r="C79" s="327">
        <v>150.54</v>
      </c>
      <c r="D79" s="327"/>
      <c r="E79" s="90">
        <v>149.71799999999999</v>
      </c>
      <c r="F79" s="37">
        <f>IF('PERHITUNGAN 1'!$E$12="Burn Engr",'PERHITUNGAN 1'!E79,E79+('regresi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149.71799999999999</v>
      </c>
      <c r="G79" s="90">
        <f>F79-C79</f>
        <v>-0.82200000000000273</v>
      </c>
      <c r="H79" s="26"/>
      <c r="I79" s="26"/>
      <c r="AB79" s="1"/>
    </row>
    <row r="80" spans="1:28">
      <c r="A80" s="10"/>
      <c r="C80" s="327">
        <v>150.54</v>
      </c>
      <c r="D80" s="327"/>
      <c r="E80" s="90">
        <v>149.71799999999999</v>
      </c>
      <c r="F80" s="37">
        <f>IF('PERHITUNGAN 1'!$E$12="Burn Engr",'PERHITUNGAN 1'!E80,E80+('regresi PRT'!$P$40+('regresi PRT'!$P$41*E80)+('regresi PRT'!$P$42*(E80^2))+('regresi PRT'!$P$43*(E80^3))+('regresi PRT'!$P$44*(E80^4))+('regresi PRT'!$P$45*(E80^5))+('regresi PRT'!$P$46*(E80^6))+('regresi PRT'!$P$47*(E80^7))+('regresi PRT'!$P$48*(E80^8))+('regresi PRT'!$P$49*(E80^9))+('regresi PRT'!$P$50*(E80^10))))</f>
        <v>149.71799999999999</v>
      </c>
      <c r="G80" s="90">
        <f>F80-C80</f>
        <v>-0.82200000000000273</v>
      </c>
      <c r="AB80" s="1"/>
    </row>
    <row r="81" spans="1:28">
      <c r="A81" s="10"/>
      <c r="B81" s="8" t="s">
        <v>31</v>
      </c>
      <c r="C81" s="333">
        <f>AVERAGE(C76:D80)</f>
        <v>150.54</v>
      </c>
      <c r="D81" s="334"/>
      <c r="E81" s="95">
        <f>AVERAGE(E76:E80)</f>
        <v>149.71799999999999</v>
      </c>
      <c r="F81" s="95">
        <f>SUM(F76:F80)/5</f>
        <v>149.71799999999999</v>
      </c>
      <c r="G81" s="95">
        <f>SUM(G76:G80)/5</f>
        <v>-0.82200000000000273</v>
      </c>
      <c r="AB81" s="1"/>
    </row>
    <row r="82" spans="1:28">
      <c r="A82" s="10"/>
      <c r="B82" s="8" t="s">
        <v>30</v>
      </c>
      <c r="C82" s="228"/>
      <c r="D82" s="229"/>
      <c r="E82" s="42"/>
      <c r="F82" s="42"/>
      <c r="G82" s="96">
        <f>_xlfn.STDEV.S(G76:G80)</f>
        <v>0</v>
      </c>
      <c r="AB82" s="1"/>
    </row>
    <row r="83" spans="1:28">
      <c r="A83" s="7"/>
      <c r="B83" s="6" t="s">
        <v>27</v>
      </c>
      <c r="C83" s="230"/>
      <c r="D83" s="231"/>
      <c r="E83" s="73"/>
      <c r="F83" s="73"/>
      <c r="G83" s="97">
        <f>G82/SQRT(5)</f>
        <v>0</v>
      </c>
      <c r="H83" s="26"/>
      <c r="I83" s="26"/>
      <c r="L83" s="22"/>
      <c r="N83" s="12" t="s">
        <v>34</v>
      </c>
      <c r="AB83" s="1"/>
    </row>
    <row r="84" spans="1:28">
      <c r="A84" s="105">
        <v>6</v>
      </c>
      <c r="B84" s="196">
        <v>200</v>
      </c>
      <c r="C84" s="327">
        <v>199.96</v>
      </c>
      <c r="D84" s="327"/>
      <c r="E84" s="90">
        <v>199.465</v>
      </c>
      <c r="F84" s="37">
        <f>IF('PERHITUNGAN 1'!$E$12="Burn Engr",'PERHITUNGAN 1'!E84,E84+('regresi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199.465</v>
      </c>
      <c r="G84" s="40">
        <f>F84-C84</f>
        <v>-0.49500000000000455</v>
      </c>
      <c r="H84" s="26"/>
      <c r="I84" s="26"/>
      <c r="N84" s="391" t="str">
        <f>CONCATENATE("Penunjukan Alat ", IF($C$2="Celcius","(°C)","(°F)"))</f>
        <v>Penunjukan Alat (°C)</v>
      </c>
      <c r="O84" s="393" t="str">
        <f>CONCATENATE("Koreksi Pengamatan ", IF($C$2="Celcius","(°C)","(°F)"))</f>
        <v>Koreksi Pengamatan (°C)</v>
      </c>
      <c r="P84" s="394"/>
      <c r="Q84" s="397" t="str">
        <f>CONCATENATE("Penunjukan sebenarnya ", IF($C$2="Celcius","(°C)","(°F)"))</f>
        <v>Penunjukan sebenarnya (°C)</v>
      </c>
      <c r="R84" s="398"/>
      <c r="S84" s="352" t="s">
        <v>28</v>
      </c>
      <c r="T84" s="353"/>
      <c r="AB84" s="1"/>
    </row>
    <row r="85" spans="1:28">
      <c r="A85" s="10"/>
      <c r="C85" s="327">
        <v>199.96</v>
      </c>
      <c r="D85" s="327"/>
      <c r="E85" s="90">
        <v>199.465</v>
      </c>
      <c r="F85" s="37">
        <f>IF('PERHITUNGAN 1'!$E$12="Burn Engr",'PERHITUNGAN 1'!E85,E85+('regresi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199.465</v>
      </c>
      <c r="G85" s="40">
        <f>F85-C85</f>
        <v>-0.49500000000000455</v>
      </c>
      <c r="H85" s="26"/>
      <c r="I85" s="26"/>
      <c r="N85" s="392"/>
      <c r="O85" s="395"/>
      <c r="P85" s="396"/>
      <c r="Q85" s="399"/>
      <c r="R85" s="400"/>
      <c r="S85" s="350" t="str">
        <f>IF($C$2="Celcius","(°C)","(°F)")</f>
        <v>(°C)</v>
      </c>
      <c r="T85" s="351"/>
      <c r="AB85" s="1"/>
    </row>
    <row r="86" spans="1:28">
      <c r="A86" s="10"/>
      <c r="C86" s="327">
        <v>199.96</v>
      </c>
      <c r="D86" s="327"/>
      <c r="E86" s="90">
        <v>199.465</v>
      </c>
      <c r="F86" s="37">
        <f>IF('PERHITUNGAN 1'!$E$12="Burn Engr",'PERHITUNGAN 1'!E86,E86+('regresi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199.465</v>
      </c>
      <c r="G86" s="40">
        <f>F86-C86</f>
        <v>-0.49500000000000455</v>
      </c>
      <c r="H86" s="26"/>
      <c r="I86" s="26"/>
      <c r="N86" s="93">
        <f>O57</f>
        <v>-28.52</v>
      </c>
      <c r="O86" s="403">
        <f>G49</f>
        <v>-1.2540000000000013</v>
      </c>
      <c r="P86" s="404"/>
      <c r="Q86" s="387">
        <f t="shared" ref="Q86:Q95" si="15">N86+O86</f>
        <v>-29.774000000000001</v>
      </c>
      <c r="R86" s="405"/>
      <c r="S86" s="138" t="s">
        <v>35</v>
      </c>
      <c r="T86" s="94">
        <f>IF(N86&lt;$AA$98,MAX($O$98,O77),IF(N86&lt;$AA$99,MAX($O$99,O77),IF(N86&lt;300,MAX(0.707,O77),MAX($O$100,O77))))</f>
        <v>0.53784454745014387</v>
      </c>
      <c r="AB86" s="1"/>
    </row>
    <row r="87" spans="1:28">
      <c r="A87" s="10"/>
      <c r="C87" s="327">
        <v>199.96</v>
      </c>
      <c r="D87" s="327"/>
      <c r="E87" s="90">
        <v>199.465</v>
      </c>
      <c r="F87" s="37">
        <f>IF('PERHITUNGAN 1'!$E$12="Burn Engr",'PERHITUNGAN 1'!E87,E87+('regresi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199.465</v>
      </c>
      <c r="G87" s="40">
        <f>F87-C87</f>
        <v>-0.49500000000000455</v>
      </c>
      <c r="H87" s="63"/>
      <c r="I87" s="63"/>
      <c r="N87" s="93">
        <f>P57</f>
        <v>1.05</v>
      </c>
      <c r="O87" s="403">
        <f>G57</f>
        <v>-0.85099999999999998</v>
      </c>
      <c r="P87" s="404"/>
      <c r="Q87" s="406">
        <f t="shared" si="15"/>
        <v>0.19900000000000007</v>
      </c>
      <c r="R87" s="407"/>
      <c r="S87" s="138" t="s">
        <v>35</v>
      </c>
      <c r="T87" s="94">
        <f>IF(N87&lt;$AA$98,MAX($O$98,P77),IF(N87&lt;$AA$99,MAX($O$99,P77),MAX($O$100,P77)))</f>
        <v>0.54145986086523168</v>
      </c>
      <c r="AB87" s="1"/>
    </row>
    <row r="88" spans="1:28">
      <c r="A88" s="10"/>
      <c r="C88" s="327">
        <v>199.96</v>
      </c>
      <c r="D88" s="327"/>
      <c r="E88" s="90">
        <v>199.465</v>
      </c>
      <c r="F88" s="37">
        <f>IF('PERHITUNGAN 1'!$E$12="Burn Engr",'PERHITUNGAN 1'!E88,E88+('regresi PRT'!$P$40+('regresi PRT'!$P$41*E88)+('regresi PRT'!$P$42*(E88^2))+('regresi PRT'!$P$43*(E88^3))+('regresi PRT'!$P$44*(E88^4))+('regresi PRT'!$P$45*(E88^5))+('regresi PRT'!$P$46*(E88^6))+('regresi PRT'!$P$47*(E88^7))+('regresi PRT'!$P$48*(E88^8))+('regresi PRT'!$P$49*(E88^9))+('regresi PRT'!$P$50*(E88^10))))</f>
        <v>199.465</v>
      </c>
      <c r="G88" s="41">
        <f>F88-C88</f>
        <v>-0.49500000000000455</v>
      </c>
      <c r="H88" s="63"/>
      <c r="I88" s="63"/>
      <c r="N88" s="93">
        <f>Q57</f>
        <v>50.69</v>
      </c>
      <c r="O88" s="403">
        <f>G65</f>
        <v>-0.34299999999999642</v>
      </c>
      <c r="P88" s="404"/>
      <c r="Q88" s="406">
        <f t="shared" si="15"/>
        <v>50.347000000000001</v>
      </c>
      <c r="R88" s="407"/>
      <c r="S88" s="138" t="s">
        <v>35</v>
      </c>
      <c r="T88" s="94">
        <f>IF(N88&lt;$AA$98,MAX($O$98,Q77),IF(N88&lt;$AA$99,MAX($O$99,Q77),MAX($O$100,Q77)))</f>
        <v>0.54119373191670472</v>
      </c>
      <c r="AB88" s="1"/>
    </row>
    <row r="89" spans="1:28">
      <c r="A89" s="10"/>
      <c r="B89" s="8" t="s">
        <v>31</v>
      </c>
      <c r="C89" s="333">
        <f>AVERAGE(C84:D88)</f>
        <v>199.96</v>
      </c>
      <c r="D89" s="334"/>
      <c r="E89" s="95">
        <f>AVERAGE(E84:E88)</f>
        <v>199.465</v>
      </c>
      <c r="F89" s="95">
        <f>SUM(F84:F88)/5</f>
        <v>199.465</v>
      </c>
      <c r="G89" s="95">
        <f>SUM(G84:G88)/5</f>
        <v>-0.49500000000000455</v>
      </c>
      <c r="H89" s="63"/>
      <c r="I89" s="63"/>
      <c r="N89" s="93">
        <f>R57</f>
        <v>100.55</v>
      </c>
      <c r="O89" s="403">
        <f>G73</f>
        <v>-0.6629999999999967</v>
      </c>
      <c r="P89" s="404"/>
      <c r="Q89" s="406">
        <f t="shared" si="15"/>
        <v>99.887</v>
      </c>
      <c r="R89" s="407"/>
      <c r="S89" s="138" t="s">
        <v>35</v>
      </c>
      <c r="T89" s="94">
        <f>IF(N89&lt;$AA$98,MAX($O$98,R77),IF(N89&lt;$AA$99,MAX($O$99,R77),MAX($O$100,R77)))</f>
        <v>0.54190316535119165</v>
      </c>
      <c r="AB89" s="1"/>
    </row>
    <row r="90" spans="1:28">
      <c r="A90" s="10"/>
      <c r="B90" s="8" t="s">
        <v>30</v>
      </c>
      <c r="C90" s="228"/>
      <c r="D90" s="229"/>
      <c r="E90" s="42"/>
      <c r="F90" s="42"/>
      <c r="G90" s="96">
        <f>_xlfn.STDEV.S(G84:G88)</f>
        <v>0</v>
      </c>
      <c r="H90" s="63"/>
      <c r="I90" s="63"/>
      <c r="N90" s="93">
        <f>S57</f>
        <v>150.54</v>
      </c>
      <c r="O90" s="403">
        <f>G81</f>
        <v>-0.82200000000000273</v>
      </c>
      <c r="P90" s="404"/>
      <c r="Q90" s="406">
        <f t="shared" si="15"/>
        <v>149.71799999999999</v>
      </c>
      <c r="R90" s="407"/>
      <c r="S90" s="138" t="s">
        <v>35</v>
      </c>
      <c r="T90" s="94">
        <f>IF(N90&lt;$AA$98,MAX($O$98,S77),IF(N90&lt;$AA$99,MAX($O$99,S77),MAX($O$100,S77)))</f>
        <v>0.54119373191670472</v>
      </c>
      <c r="AB90" s="1"/>
    </row>
    <row r="91" spans="1:28">
      <c r="A91" s="7"/>
      <c r="B91" s="6" t="s">
        <v>27</v>
      </c>
      <c r="C91" s="230"/>
      <c r="D91" s="231"/>
      <c r="E91" s="73"/>
      <c r="F91" s="73"/>
      <c r="G91" s="97">
        <f>G90/SQRT(5)</f>
        <v>0</v>
      </c>
      <c r="H91" s="63"/>
      <c r="I91" s="63"/>
      <c r="L91" s="22"/>
      <c r="N91" s="93">
        <f>T57</f>
        <v>199.96</v>
      </c>
      <c r="O91" s="403">
        <f>G89</f>
        <v>-0.49500000000000455</v>
      </c>
      <c r="P91" s="404"/>
      <c r="Q91" s="406">
        <f t="shared" si="15"/>
        <v>199.465</v>
      </c>
      <c r="R91" s="407"/>
      <c r="S91" s="138" t="s">
        <v>35</v>
      </c>
      <c r="T91" s="94">
        <f>IF(N91&lt;$AA$98,MAX($O$98,T77),IF(N91&lt;$AA$99,MAX($O$99,T77),MAX($O$100,T77)))</f>
        <v>0.54991860737137399</v>
      </c>
      <c r="AB91" s="1"/>
    </row>
    <row r="92" spans="1:28">
      <c r="A92" s="105">
        <v>7</v>
      </c>
      <c r="B92" s="196">
        <v>250</v>
      </c>
      <c r="C92" s="327">
        <v>249.73</v>
      </c>
      <c r="D92" s="327"/>
      <c r="E92" s="90">
        <v>249.47800000000001</v>
      </c>
      <c r="F92" s="37">
        <f>IF('PERHITUNGAN 1'!$E$12="Burn Engr",'PERHITUNGAN 1'!E92,E92+('regresi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249.47800000000001</v>
      </c>
      <c r="G92" s="40">
        <f>F92-C92</f>
        <v>-0.25199999999998113</v>
      </c>
      <c r="H92" s="63"/>
      <c r="I92" s="63"/>
      <c r="N92" s="93">
        <f>U57</f>
        <v>249.72999999999996</v>
      </c>
      <c r="O92" s="403">
        <f>G97</f>
        <v>-0.25199999999998113</v>
      </c>
      <c r="P92" s="404"/>
      <c r="Q92" s="406">
        <f t="shared" si="15"/>
        <v>249.47799999999998</v>
      </c>
      <c r="R92" s="407"/>
      <c r="S92" s="138" t="s">
        <v>35</v>
      </c>
      <c r="T92" s="94">
        <f>IF(N92&lt;$AA$98,MAX($O$98,U77),IF(N92&lt;$AA$99,MAX($O$99,U77),MAX($O$100,U77)))</f>
        <v>0.54991860737137399</v>
      </c>
      <c r="AB92" s="1"/>
    </row>
    <row r="93" spans="1:28">
      <c r="A93" s="10"/>
      <c r="C93" s="327">
        <v>249.73</v>
      </c>
      <c r="D93" s="327"/>
      <c r="E93" s="90">
        <v>249.47800000000001</v>
      </c>
      <c r="F93" s="37">
        <f>IF('PERHITUNGAN 1'!$E$12="Burn Engr",'PERHITUNGAN 1'!E93,E93+('regresi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249.47800000000001</v>
      </c>
      <c r="G93" s="40">
        <f>F93-C93</f>
        <v>-0.25199999999998113</v>
      </c>
      <c r="H93" s="44"/>
      <c r="I93" s="63"/>
      <c r="N93" s="93">
        <f>V57</f>
        <v>259.72000000000003</v>
      </c>
      <c r="O93" s="403">
        <f>G105</f>
        <v>-0.16600000000005366</v>
      </c>
      <c r="P93" s="404"/>
      <c r="Q93" s="406">
        <f t="shared" si="15"/>
        <v>259.55399999999997</v>
      </c>
      <c r="R93" s="407"/>
      <c r="S93" s="138" t="s">
        <v>35</v>
      </c>
      <c r="T93" s="94">
        <f>IF(N93&lt;$AA$98,MAX($O$98,V77),IF(N93&lt;$AA$99,MAX($O$99,V77),MAX($O$100,V77)))</f>
        <v>1.8</v>
      </c>
      <c r="AB93" s="1"/>
    </row>
    <row r="94" spans="1:28">
      <c r="A94" s="10"/>
      <c r="C94" s="327">
        <v>249.73</v>
      </c>
      <c r="D94" s="327"/>
      <c r="E94" s="90">
        <v>249.47800000000001</v>
      </c>
      <c r="F94" s="37">
        <f>IF('PERHITUNGAN 1'!$E$12="Burn Engr",'PERHITUNGAN 1'!E94,E94+('regresi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249.47800000000001</v>
      </c>
      <c r="G94" s="40">
        <f>F94-C94</f>
        <v>-0.25199999999998113</v>
      </c>
      <c r="H94" s="44"/>
      <c r="I94" s="63"/>
      <c r="N94" s="93" t="e">
        <f>W57</f>
        <v>#DIV/0!</v>
      </c>
      <c r="O94" s="403">
        <f>G113</f>
        <v>0</v>
      </c>
      <c r="P94" s="404"/>
      <c r="Q94" s="406" t="e">
        <f t="shared" si="15"/>
        <v>#DIV/0!</v>
      </c>
      <c r="R94" s="407"/>
      <c r="S94" s="138" t="s">
        <v>35</v>
      </c>
      <c r="T94" s="94" t="e">
        <f>IF(N94&lt;$AA$98,MAX($O$98,W77),IF(N94&lt;$AA$99,MAX($O$99,W77),MAX($O$100,W77)))</f>
        <v>#DIV/0!</v>
      </c>
      <c r="AB94" s="1"/>
    </row>
    <row r="95" spans="1:28">
      <c r="A95" s="10"/>
      <c r="C95" s="327">
        <v>249.73</v>
      </c>
      <c r="D95" s="327"/>
      <c r="E95" s="90">
        <v>249.47800000000001</v>
      </c>
      <c r="F95" s="37">
        <f>IF('PERHITUNGAN 1'!$E$12="Burn Engr",'PERHITUNGAN 1'!E95,E95+('regresi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249.47800000000001</v>
      </c>
      <c r="G95" s="40">
        <f>F95-C95</f>
        <v>-0.25199999999998113</v>
      </c>
      <c r="H95" s="63"/>
      <c r="I95" s="63"/>
      <c r="N95" s="93" t="e">
        <f>X57</f>
        <v>#DIV/0!</v>
      </c>
      <c r="O95" s="403">
        <f>G121</f>
        <v>0</v>
      </c>
      <c r="P95" s="404"/>
      <c r="Q95" s="406" t="e">
        <f t="shared" si="15"/>
        <v>#DIV/0!</v>
      </c>
      <c r="R95" s="407"/>
      <c r="S95" s="138" t="s">
        <v>35</v>
      </c>
      <c r="T95" s="94" t="e">
        <f>IF(N95&lt;$AA$98,MAX($O$98,X77),IF(N95&lt;$AA$99,MAX($O$99,X77),MAX($O$100,X77)))</f>
        <v>#DIV/0!</v>
      </c>
      <c r="AB95" s="1"/>
    </row>
    <row r="96" spans="1:28">
      <c r="A96" s="10"/>
      <c r="C96" s="327">
        <v>249.73</v>
      </c>
      <c r="D96" s="327"/>
      <c r="E96" s="90">
        <v>249.47800000000001</v>
      </c>
      <c r="F96" s="37">
        <f>IF('PERHITUNGAN 1'!$E$12="Burn Engr",'PERHITUNGAN 1'!E96,E96+('regresi PRT'!$P$40+('regresi PRT'!$P$41*E96)+('regresi PRT'!$P$42*(E96^2))+('regresi PRT'!$P$43*(E96^3))+('regresi PRT'!$P$44*(E96^4))+('regresi PRT'!$P$45*(E96^5))+('regresi PRT'!$P$46*(E96^6))+('regresi PRT'!$P$47*(E96^7))+('regresi PRT'!$P$48*(E96^8))+('regresi PRT'!$P$49*(E96^9))+('regresi PRT'!$P$50*(E96^10))))</f>
        <v>249.47800000000001</v>
      </c>
      <c r="G96" s="41">
        <f>F96-C96</f>
        <v>-0.25199999999998113</v>
      </c>
      <c r="H96" s="63"/>
      <c r="I96" s="63"/>
      <c r="U96" s="47"/>
      <c r="AB96" s="1"/>
    </row>
    <row r="97" spans="1:27">
      <c r="A97" s="10"/>
      <c r="B97" s="8" t="s">
        <v>31</v>
      </c>
      <c r="C97" s="333">
        <f>AVERAGE(C92:D96)</f>
        <v>249.72999999999996</v>
      </c>
      <c r="D97" s="334"/>
      <c r="E97" s="95">
        <f>AVERAGE(E92:E96)</f>
        <v>249.47800000000001</v>
      </c>
      <c r="F97" s="95">
        <f>SUM(F92:F96)/5</f>
        <v>249.47800000000001</v>
      </c>
      <c r="G97" s="95">
        <f>SUM(G92:G96)/5</f>
        <v>-0.25199999999998113</v>
      </c>
      <c r="H97" s="63"/>
      <c r="I97" s="63"/>
      <c r="N97" s="332" t="str">
        <f>CONCATENATE("CMC in ",IF($C$2="Celcius","(°C)","(°F)"))</f>
        <v>CMC in (°C)</v>
      </c>
      <c r="O97" s="332"/>
      <c r="Z97" s="331"/>
      <c r="AA97" s="331"/>
    </row>
    <row r="98" spans="1:27">
      <c r="A98" s="10"/>
      <c r="B98" s="8" t="s">
        <v>30</v>
      </c>
      <c r="C98" s="228"/>
      <c r="D98" s="229"/>
      <c r="E98" s="42"/>
      <c r="F98" s="42"/>
      <c r="G98" s="96">
        <f>_xlfn.STDEV.S(G92:G96)</f>
        <v>0</v>
      </c>
      <c r="H98" s="63"/>
      <c r="I98" s="63"/>
      <c r="N98" s="74" t="str">
        <f>IF($C$2="Celcius",CONCATENATE(Database!AL3," ~ ",Database!AN3," ="),CONCATENATE((Database!AL3*9/5)+32," ~ ",(Database!AN3*9/5)+32," ="))</f>
        <v>-30 ~ 0 =</v>
      </c>
      <c r="O98">
        <f>IF($C$2="Celcius",Database!AO3,(Database!AO3*9/5))</f>
        <v>7.8E-2</v>
      </c>
      <c r="AA98" s="139">
        <f>IF($C$2="Celcius",Database!AN3,(Database!AN3*9/5)+32)</f>
        <v>0</v>
      </c>
    </row>
    <row r="99" spans="1:27">
      <c r="A99" s="7"/>
      <c r="B99" s="6" t="s">
        <v>27</v>
      </c>
      <c r="C99" s="230"/>
      <c r="D99" s="231"/>
      <c r="E99" s="73"/>
      <c r="F99" s="73"/>
      <c r="G99" s="97">
        <f>G98/SQRT(5)</f>
        <v>0</v>
      </c>
      <c r="H99" s="63"/>
      <c r="I99" s="63"/>
      <c r="L99" s="22"/>
      <c r="N99" s="74" t="str">
        <f>IF($C$2="Celcius",CONCATENATE(Database!AL4," ~ ",Database!AN4," ="),CONCATENATE((Database!AL4*9/5)+32," ~ ",(Database!AN4*9/5)+32," ="))</f>
        <v>0 ~ 250 =</v>
      </c>
      <c r="O99">
        <f>IF($C$2="Celcius",Database!AO4,(Database!AO4*9/5))</f>
        <v>0.16</v>
      </c>
      <c r="AA99" s="139">
        <f>IF($C$2="Celcius",Database!AN4,(Database!AN4*9/5)+32)</f>
        <v>250</v>
      </c>
    </row>
    <row r="100" spans="1:27">
      <c r="A100" s="105">
        <v>8</v>
      </c>
      <c r="B100" s="196">
        <v>260</v>
      </c>
      <c r="C100" s="327">
        <v>259.72000000000003</v>
      </c>
      <c r="D100" s="327"/>
      <c r="E100" s="90">
        <v>259.55399999999997</v>
      </c>
      <c r="F100" s="37">
        <f>IF('PERHITUNGAN 1'!$E$12="Burn Engr",'PERHITUNGAN 1'!E100,E100+('regresi PRT'!$P$40+('regresi PRT'!$P$41*E100)+('regresi PRT'!$P$42*(E100^2))+('regresi PRT'!$P$43*(E100^3))+('regresi PRT'!$P$44*(E100^4))+('regresi PRT'!$P$45*(E100^5))+('regresi PRT'!$P$46*(E100^6))+('regresi PRT'!$P$47*(E100^7))+('regresi PRT'!$P$48*(E100^8))+('regresi PRT'!$P$49*(E100^9))+('regresi PRT'!$P$50*(E100^10))))</f>
        <v>259.55399999999997</v>
      </c>
      <c r="G100" s="40">
        <f>F100-C100</f>
        <v>-0.16600000000005366</v>
      </c>
      <c r="H100" s="63"/>
      <c r="I100" s="63"/>
      <c r="N100" s="74" t="str">
        <f>IF($C$2="Celcius",CONCATENATE(Database!AL5," ~ ",Database!AN5," ="),CONCATENATE((Database!AL5*9/5)+32," ~ ",(Database!AN5*9/5)+32," ="))</f>
        <v>300 ~ 400 =</v>
      </c>
      <c r="O100">
        <f>IF($C$2="Celcius",Database!AO5,(Database!AO5*9/5))</f>
        <v>1.8</v>
      </c>
      <c r="AA100" s="139">
        <f>IF($C$2="Celcius",Database!AN5,(Database!AN5*9/5)+32)</f>
        <v>400</v>
      </c>
    </row>
    <row r="101" spans="1:27">
      <c r="A101" s="10"/>
      <c r="C101" s="327">
        <v>259.72000000000003</v>
      </c>
      <c r="D101" s="327"/>
      <c r="E101" s="90">
        <v>259.55399999999997</v>
      </c>
      <c r="F101" s="37">
        <f>IF('PERHITUNGAN 1'!$E$12="Burn Engr",'PERHITUNGAN 1'!E101,E101+('regresi PRT'!$P$40+('regresi PRT'!$P$41*E101)+('regresi PRT'!$P$42*(E101^2))+('regresi PRT'!$P$43*(E101^3))+('regresi PRT'!$P$44*(E101^4))+('regresi PRT'!$P$45*(E101^5))+('regresi PRT'!$P$46*(E101^6))+('regresi PRT'!$P$47*(E101^7))+('regresi PRT'!$P$48*(E101^8))+('regresi PRT'!$P$49*(E101^9))+('regresi PRT'!$P$50*(E101^10))))</f>
        <v>259.55399999999997</v>
      </c>
      <c r="G101" s="40">
        <f>F101-C101</f>
        <v>-0.16600000000005366</v>
      </c>
      <c r="H101" s="44"/>
      <c r="I101" s="44"/>
      <c r="M101" s="1"/>
    </row>
    <row r="102" spans="1:27">
      <c r="A102" s="10"/>
      <c r="C102" s="327">
        <v>259.72000000000003</v>
      </c>
      <c r="D102" s="327"/>
      <c r="E102" s="90">
        <v>259.55399999999997</v>
      </c>
      <c r="F102" s="37">
        <f>IF('PERHITUNGAN 1'!$E$12="Burn Engr",'PERHITUNGAN 1'!E102,E102+('regresi PRT'!$P$40+('regresi PRT'!$P$41*E102)+('regresi PRT'!$P$42*(E102^2))+('regresi PRT'!$P$43*(E102^3))+('regresi PRT'!$P$44*(E102^4))+('regresi PRT'!$P$45*(E102^5))+('regresi PRT'!$P$46*(E102^6))+('regresi PRT'!$P$47*(E102^7))+('regresi PRT'!$P$48*(E102^8))+('regresi PRT'!$P$49*(E102^9))+('regresi PRT'!$P$50*(E102^10))))</f>
        <v>259.55399999999997</v>
      </c>
      <c r="G102" s="40">
        <f>F102-C102</f>
        <v>-0.16600000000005366</v>
      </c>
      <c r="H102" s="44"/>
      <c r="I102" s="44"/>
    </row>
    <row r="103" spans="1:27">
      <c r="A103" s="10"/>
      <c r="C103" s="327">
        <v>259.72000000000003</v>
      </c>
      <c r="D103" s="327"/>
      <c r="E103" s="90">
        <v>259.55399999999997</v>
      </c>
      <c r="F103" s="37">
        <f>IF('PERHITUNGAN 1'!$E$12="Burn Engr",'PERHITUNGAN 1'!E103,E103+('regresi PRT'!$P$40+('regresi PRT'!$P$41*E103)+('regresi PRT'!$P$42*(E103^2))+('regresi PRT'!$P$43*(E103^3))+('regresi PRT'!$P$44*(E103^4))+('regresi PRT'!$P$45*(E103^5))+('regresi PRT'!$P$46*(E103^6))+('regresi PRT'!$P$47*(E103^7))+('regresi PRT'!$P$48*(E103^8))+('regresi PRT'!$P$49*(E103^9))+('regresi PRT'!$P$50*(E103^10))))</f>
        <v>259.55399999999997</v>
      </c>
      <c r="G103" s="40">
        <f>F103-C103</f>
        <v>-0.16600000000005366</v>
      </c>
      <c r="H103" s="63"/>
      <c r="I103" s="63"/>
    </row>
    <row r="104" spans="1:27">
      <c r="A104" s="10"/>
      <c r="C104" s="327">
        <v>259.72000000000003</v>
      </c>
      <c r="D104" s="327"/>
      <c r="E104" s="90">
        <v>259.55399999999997</v>
      </c>
      <c r="F104" s="37">
        <f>IF('PERHITUNGAN 1'!$E$12="Burn Engr",'PERHITUNGAN 1'!E104,E104+('regresi PRT'!$P$40+('regresi PRT'!$P$41*E104)+('regresi PRT'!$P$42*(E104^2))+('regresi PRT'!$P$43*(E104^3))+('regresi PRT'!$P$44*(E104^4))+('regresi PRT'!$P$45*(E104^5))+('regresi PRT'!$P$46*(E104^6))+('regresi PRT'!$P$47*(E104^7))+('regresi PRT'!$P$48*(E104^8))+('regresi PRT'!$P$49*(E104^9))+('regresi PRT'!$P$50*(E104^10))))</f>
        <v>259.55399999999997</v>
      </c>
      <c r="G104" s="41">
        <f>F104-C104</f>
        <v>-0.16600000000005366</v>
      </c>
      <c r="H104" s="63"/>
      <c r="I104" s="63"/>
      <c r="N104" s="74"/>
      <c r="O104" s="129"/>
    </row>
    <row r="105" spans="1:27">
      <c r="A105" s="10"/>
      <c r="B105" s="8" t="s">
        <v>31</v>
      </c>
      <c r="C105" s="333">
        <f>AVERAGE(C100:D104)</f>
        <v>259.72000000000003</v>
      </c>
      <c r="D105" s="334"/>
      <c r="E105" s="95">
        <f>AVERAGE(E100:E104)</f>
        <v>259.55399999999997</v>
      </c>
      <c r="F105" s="95">
        <f>SUM(F100:F104)/5</f>
        <v>259.55399999999997</v>
      </c>
      <c r="G105" s="95">
        <f>SUM(G100:G104)/5</f>
        <v>-0.16600000000005366</v>
      </c>
      <c r="H105" s="63"/>
      <c r="I105" s="63"/>
      <c r="M105" s="1"/>
      <c r="N105" s="74"/>
      <c r="O105" s="129"/>
    </row>
    <row r="106" spans="1:27">
      <c r="A106" s="10"/>
      <c r="B106" s="8" t="s">
        <v>30</v>
      </c>
      <c r="C106" s="228"/>
      <c r="D106" s="229"/>
      <c r="E106" s="42"/>
      <c r="F106" s="42"/>
      <c r="G106" s="96">
        <f>_xlfn.STDEV.S(G100:G104)</f>
        <v>0</v>
      </c>
      <c r="H106" s="63"/>
      <c r="I106" s="63"/>
      <c r="M106" s="1"/>
      <c r="N106" s="74"/>
      <c r="O106" s="129"/>
    </row>
    <row r="107" spans="1:27">
      <c r="A107" s="7"/>
      <c r="B107" s="6" t="s">
        <v>27</v>
      </c>
      <c r="C107" s="230"/>
      <c r="D107" s="231"/>
      <c r="E107" s="73"/>
      <c r="F107" s="73"/>
      <c r="G107" s="97">
        <f>G106/SQRT(5)</f>
        <v>0</v>
      </c>
      <c r="H107" s="63"/>
      <c r="I107" s="63"/>
      <c r="M107" s="1"/>
    </row>
    <row r="108" spans="1:27">
      <c r="A108" s="105">
        <v>9</v>
      </c>
      <c r="B108" s="196"/>
      <c r="C108" s="327"/>
      <c r="D108" s="327"/>
      <c r="E108" s="90"/>
      <c r="F108" s="37">
        <f>IF('PERHITUNGAN 1'!$E$12="Burn Engr",'PERHITUNGAN 1'!E108,E108+('regresi PRT'!$P$40+('regresi PRT'!$P$41*E108)+('regresi PRT'!$P$42*(E108^2))+('regresi PRT'!$P$43*(E108^3))+('regresi PRT'!$P$44*(E108^4))+('regresi PRT'!$P$45*(E108^5))+('regresi PRT'!$P$46*(E108^6))+('regresi PRT'!$P$47*(E108^7))+('regresi PRT'!$P$48*(E108^8))+('regresi PRT'!$P$49*(E108^9))+('regresi PRT'!$P$50*(E108^10))))</f>
        <v>0</v>
      </c>
      <c r="G108" s="40">
        <f>F108-C108</f>
        <v>0</v>
      </c>
      <c r="H108" s="63"/>
      <c r="I108" s="63"/>
      <c r="M108" s="1"/>
    </row>
    <row r="109" spans="1:27">
      <c r="A109" s="10"/>
      <c r="C109" s="327"/>
      <c r="D109" s="327"/>
      <c r="E109" s="90"/>
      <c r="F109" s="37">
        <f>IF('PERHITUNGAN 1'!$E$12="Burn Engr",'PERHITUNGAN 1'!E109,E109+('regresi PRT'!$P$40+('regresi PRT'!$P$41*E109)+('regresi PRT'!$P$42*(E109^2))+('regresi PRT'!$P$43*(E109^3))+('regresi PRT'!$P$44*(E109^4))+('regresi PRT'!$P$45*(E109^5))+('regresi PRT'!$P$46*(E109^6))+('regresi PRT'!$P$47*(E109^7))+('regresi PRT'!$P$48*(E109^8))+('regresi PRT'!$P$49*(E109^9))+('regresi PRT'!$P$50*(E109^10))))</f>
        <v>0</v>
      </c>
      <c r="G109" s="40">
        <f>F109-C109</f>
        <v>0</v>
      </c>
      <c r="H109" s="44"/>
      <c r="I109" s="44"/>
      <c r="M109" s="1"/>
    </row>
    <row r="110" spans="1:27">
      <c r="A110" s="10"/>
      <c r="C110" s="327"/>
      <c r="D110" s="327"/>
      <c r="E110" s="90"/>
      <c r="F110" s="37">
        <f>IF('PERHITUNGAN 1'!$E$12="Burn Engr",'PERHITUNGAN 1'!E110,E110+('regresi PRT'!$P$40+('regresi PRT'!$P$41*E110)+('regresi PRT'!$P$42*(E110^2))+('regresi PRT'!$P$43*(E110^3))+('regresi PRT'!$P$44*(E110^4))+('regresi PRT'!$P$45*(E110^5))+('regresi PRT'!$P$46*(E110^6))+('regresi PRT'!$P$47*(E110^7))+('regresi PRT'!$P$48*(E110^8))+('regresi PRT'!$P$49*(E110^9))+('regresi PRT'!$P$50*(E110^10))))</f>
        <v>0</v>
      </c>
      <c r="G110" s="40">
        <f>F110-C110</f>
        <v>0</v>
      </c>
      <c r="H110" s="44"/>
      <c r="I110" s="44"/>
    </row>
    <row r="111" spans="1:27">
      <c r="A111" s="10"/>
      <c r="C111" s="327"/>
      <c r="D111" s="327"/>
      <c r="E111" s="90"/>
      <c r="F111" s="37">
        <f>IF('PERHITUNGAN 1'!$E$12="Burn Engr",'PERHITUNGAN 1'!E111,E111+('regresi PRT'!$P$40+('regresi PRT'!$P$41*E111)+('regresi PRT'!$P$42*(E111^2))+('regresi PRT'!$P$43*(E111^3))+('regresi PRT'!$P$44*(E111^4))+('regresi PRT'!$P$45*(E111^5))+('regresi PRT'!$P$46*(E111^6))+('regresi PRT'!$P$47*(E111^7))+('regresi PRT'!$P$48*(E111^8))+('regresi PRT'!$P$49*(E111^9))+('regresi PRT'!$P$50*(E111^10))))</f>
        <v>0</v>
      </c>
      <c r="G111" s="40">
        <f>F111-C111</f>
        <v>0</v>
      </c>
      <c r="H111" s="63"/>
      <c r="I111" s="63"/>
    </row>
    <row r="112" spans="1:27">
      <c r="A112" s="10"/>
      <c r="C112" s="327"/>
      <c r="D112" s="327"/>
      <c r="E112" s="90"/>
      <c r="F112" s="37">
        <f>IF('PERHITUNGAN 1'!$E$12="Burn Engr",'PERHITUNGAN 1'!E112,E112+('regresi PRT'!$P$40+('regresi PRT'!$P$41*E112)+('regresi PRT'!$P$42*(E112^2))+('regresi PRT'!$P$43*(E112^3))+('regresi PRT'!$P$44*(E112^4))+('regresi PRT'!$P$45*(E112^5))+('regresi PRT'!$P$46*(E112^6))+('regresi PRT'!$P$47*(E112^7))+('regresi PRT'!$P$48*(E112^8))+('regresi PRT'!$P$49*(E112^9))+('regresi PRT'!$P$50*(E112^10))))</f>
        <v>0</v>
      </c>
      <c r="G112" s="41">
        <f>F112-C112</f>
        <v>0</v>
      </c>
      <c r="H112" s="63"/>
      <c r="I112" s="63"/>
    </row>
    <row r="113" spans="1:21">
      <c r="A113" s="10"/>
      <c r="B113" s="8" t="s">
        <v>31</v>
      </c>
      <c r="C113" s="333" t="e">
        <f>AVERAGE(C108:D112)</f>
        <v>#DIV/0!</v>
      </c>
      <c r="D113" s="334"/>
      <c r="E113" s="95" t="e">
        <f>AVERAGE(E108:E112)</f>
        <v>#DIV/0!</v>
      </c>
      <c r="F113" s="95">
        <f>SUM(F108:F112)/5</f>
        <v>0</v>
      </c>
      <c r="G113" s="95">
        <f>SUM(G108:G112)/5</f>
        <v>0</v>
      </c>
      <c r="H113" s="63"/>
      <c r="I113" s="63"/>
    </row>
    <row r="114" spans="1:21" ht="15.5">
      <c r="A114" s="10"/>
      <c r="B114" s="8" t="s">
        <v>30</v>
      </c>
      <c r="C114" s="228"/>
      <c r="D114" s="229"/>
      <c r="E114" s="42"/>
      <c r="F114" s="42"/>
      <c r="G114" s="96">
        <f>_xlfn.STDEV.S(G108:G112)</f>
        <v>0</v>
      </c>
      <c r="H114" s="63"/>
      <c r="I114" s="63"/>
      <c r="R114" s="16"/>
      <c r="U114" s="49"/>
    </row>
    <row r="115" spans="1:21">
      <c r="A115" s="7"/>
      <c r="B115" s="6" t="s">
        <v>27</v>
      </c>
      <c r="C115" s="230"/>
      <c r="D115" s="231"/>
      <c r="E115" s="73"/>
      <c r="F115" s="73"/>
      <c r="G115" s="97">
        <f>G114/SQRT(5)</f>
        <v>0</v>
      </c>
      <c r="H115" s="63"/>
      <c r="I115" s="63"/>
    </row>
    <row r="116" spans="1:21">
      <c r="A116" s="105">
        <v>10</v>
      </c>
      <c r="B116" s="196"/>
      <c r="C116" s="224"/>
      <c r="D116" s="225"/>
      <c r="E116" s="90"/>
      <c r="F116" s="37">
        <f>IF('PERHITUNGAN 1'!$E$12="Burn Engr",'PERHITUNGAN 1'!E116,E116+('regresi PRT'!$P$40+('regresi PRT'!$P$41*E116)+('regresi PRT'!$P$42*(E116^2))+('regresi PRT'!$P$43*(E116^3))+('regresi PRT'!$P$44*(E116^4))+('regresi PRT'!$P$45*(E116^5))+('regresi PRT'!$P$46*(E116^6))+('regresi PRT'!$P$47*(E116^7))+('regresi PRT'!$P$48*(E116^8))+('regresi PRT'!$P$49*(E116^9))+('regresi PRT'!$P$50*(E116^10))))</f>
        <v>0</v>
      </c>
      <c r="G116" s="40">
        <f>F116-C116</f>
        <v>0</v>
      </c>
      <c r="H116" s="63"/>
      <c r="I116" s="63"/>
      <c r="N116" s="98"/>
      <c r="U116" s="72"/>
    </row>
    <row r="117" spans="1:21">
      <c r="A117" s="10"/>
      <c r="C117" s="224"/>
      <c r="D117" s="225"/>
      <c r="E117" s="90"/>
      <c r="F117" s="37">
        <f>IF('PERHITUNGAN 1'!$E$12="Burn Engr",'PERHITUNGAN 1'!E117,E117+('regresi PRT'!$P$40+('regresi PRT'!$P$41*E117)+('regresi PRT'!$P$42*(E117^2))+('regresi PRT'!$P$43*(E117^3))+('regresi PRT'!$P$44*(E117^4))+('regresi PRT'!$P$45*(E117^5))+('regresi PRT'!$P$46*(E117^6))+('regresi PRT'!$P$47*(E117^7))+('regresi PRT'!$P$48*(E117^8))+('regresi PRT'!$P$49*(E117^9))+('regresi PRT'!$P$50*(E117^10))))</f>
        <v>0</v>
      </c>
      <c r="G117" s="40">
        <f>F117-C117</f>
        <v>0</v>
      </c>
      <c r="H117" s="44"/>
      <c r="I117" s="44"/>
      <c r="U117" s="49"/>
    </row>
    <row r="118" spans="1:21">
      <c r="A118" s="10"/>
      <c r="C118" s="224"/>
      <c r="D118" s="225"/>
      <c r="E118" s="90"/>
      <c r="F118" s="37">
        <f>IF('PERHITUNGAN 1'!$E$12="Burn Engr",'PERHITUNGAN 1'!E118,E118+('regresi PRT'!$P$40+('regresi PRT'!$P$41*E118)+('regresi PRT'!$P$42*(E118^2))+('regresi PRT'!$P$43*(E118^3))+('regresi PRT'!$P$44*(E118^4))+('regresi PRT'!$P$45*(E118^5))+('regresi PRT'!$P$46*(E118^6))+('regresi PRT'!$P$47*(E118^7))+('regresi PRT'!$P$48*(E118^8))+('regresi PRT'!$P$49*(E118^9))+('regresi PRT'!$P$50*(E118^10))))</f>
        <v>0</v>
      </c>
      <c r="G118" s="40">
        <f>F118-C118</f>
        <v>0</v>
      </c>
      <c r="H118" s="44"/>
      <c r="I118" s="44"/>
      <c r="U118" s="49"/>
    </row>
    <row r="119" spans="1:21">
      <c r="A119" s="10"/>
      <c r="C119" s="224"/>
      <c r="D119" s="225"/>
      <c r="E119" s="90"/>
      <c r="F119" s="37">
        <f>IF('PERHITUNGAN 1'!$E$12="Burn Engr",'PERHITUNGAN 1'!E119,E119+('regresi PRT'!$P$40+('regresi PRT'!$P$41*E119)+('regresi PRT'!$P$42*(E119^2))+('regresi PRT'!$P$43*(E119^3))+('regresi PRT'!$P$44*(E119^4))+('regresi PRT'!$P$45*(E119^5))+('regresi PRT'!$P$46*(E119^6))+('regresi PRT'!$P$47*(E119^7))+('regresi PRT'!$P$48*(E119^8))+('regresi PRT'!$P$49*(E119^9))+('regresi PRT'!$P$50*(E119^10))))</f>
        <v>0</v>
      </c>
      <c r="G119" s="40">
        <f>F119-C119</f>
        <v>0</v>
      </c>
      <c r="H119" s="63"/>
      <c r="I119" s="63"/>
    </row>
    <row r="120" spans="1:21">
      <c r="A120" s="10"/>
      <c r="C120" s="233"/>
      <c r="D120" s="234"/>
      <c r="E120" s="90"/>
      <c r="F120" s="37">
        <f>IF('PERHITUNGAN 1'!$E$12="Burn Engr",'PERHITUNGAN 1'!E120,E120+('regresi PRT'!$P$40+('regresi PRT'!$P$41*E120)+('regresi PRT'!$P$42*(E120^2))+('regresi PRT'!$P$43*(E120^3))+('regresi PRT'!$P$44*(E120^4))+('regresi PRT'!$P$45*(E120^5))+('regresi PRT'!$P$46*(E120^6))+('regresi PRT'!$P$47*(E120^7))+('regresi PRT'!$P$48*(E120^8))+('regresi PRT'!$P$49*(E120^9))+('regresi PRT'!$P$50*(E120^10))))</f>
        <v>0</v>
      </c>
      <c r="G120" s="41">
        <f>F120-C120</f>
        <v>0</v>
      </c>
      <c r="H120" s="63"/>
      <c r="I120" s="63"/>
    </row>
    <row r="121" spans="1:21">
      <c r="A121" s="10"/>
      <c r="B121" s="8" t="s">
        <v>31</v>
      </c>
      <c r="C121" s="226" t="e">
        <f>AVERAGE(C116:D120)</f>
        <v>#DIV/0!</v>
      </c>
      <c r="D121" s="227"/>
      <c r="E121" s="95" t="e">
        <f>AVERAGE(E116:E120)</f>
        <v>#DIV/0!</v>
      </c>
      <c r="F121" s="95">
        <f>SUM(F116:F120)/5</f>
        <v>0</v>
      </c>
      <c r="G121" s="95">
        <f>SUM(G116:G120)/5</f>
        <v>0</v>
      </c>
      <c r="H121" s="63"/>
      <c r="I121" s="63"/>
    </row>
    <row r="122" spans="1:21">
      <c r="A122" s="10"/>
      <c r="B122" s="8" t="s">
        <v>30</v>
      </c>
      <c r="C122" s="228"/>
      <c r="D122" s="229"/>
      <c r="E122" s="42"/>
      <c r="F122" s="42"/>
      <c r="G122" s="96">
        <f>_xlfn.STDEV.S(G116:G120)</f>
        <v>0</v>
      </c>
      <c r="H122" s="63"/>
      <c r="I122" s="63"/>
    </row>
    <row r="123" spans="1:21">
      <c r="A123" s="7"/>
      <c r="B123" s="6" t="s">
        <v>27</v>
      </c>
      <c r="C123" s="230"/>
      <c r="D123" s="231"/>
      <c r="E123" s="73"/>
      <c r="F123" s="73"/>
      <c r="G123" s="97">
        <f>G122/SQRT(5)</f>
        <v>0</v>
      </c>
      <c r="H123" s="63"/>
      <c r="I123" s="63"/>
    </row>
    <row r="124" spans="1:21">
      <c r="C124" s="232"/>
      <c r="D124" s="232"/>
      <c r="H124" s="63"/>
      <c r="I124" s="63"/>
    </row>
    <row r="125" spans="1:21">
      <c r="C125" s="26"/>
      <c r="D125" s="26"/>
      <c r="H125" s="44"/>
      <c r="I125" s="44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330"/>
      <c r="D128" s="330"/>
      <c r="E128" s="63"/>
      <c r="F128" s="63"/>
      <c r="G128" s="63"/>
      <c r="H128" s="63"/>
      <c r="I128" s="63"/>
    </row>
    <row r="129" spans="1:9">
      <c r="C129" s="178"/>
      <c r="D129" s="26"/>
      <c r="E129" s="26"/>
      <c r="F129" s="26"/>
      <c r="G129" s="44"/>
      <c r="H129" s="44"/>
      <c r="I129" s="44"/>
    </row>
    <row r="130" spans="1:9">
      <c r="C130" s="26"/>
      <c r="D130" s="26"/>
      <c r="E130" s="26"/>
      <c r="F130" s="26"/>
      <c r="G130" s="44"/>
      <c r="H130" s="44"/>
      <c r="I130" s="44"/>
    </row>
    <row r="135" spans="1:9"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26"/>
      <c r="D138" s="26"/>
      <c r="E138" s="26"/>
      <c r="F138" s="26"/>
      <c r="G138" s="26"/>
      <c r="H138" s="26"/>
      <c r="I138" s="26"/>
    </row>
    <row r="139" spans="1:9">
      <c r="A139" s="1"/>
      <c r="B139" s="1"/>
      <c r="C139" s="328"/>
      <c r="D139" s="329"/>
      <c r="E139" s="63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26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63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26"/>
      <c r="F143" s="63"/>
      <c r="G143" s="63"/>
      <c r="H143" s="63"/>
      <c r="I143" s="63"/>
    </row>
    <row r="144" spans="1:9">
      <c r="A144" s="1"/>
      <c r="B144" s="1"/>
      <c r="C144" s="328"/>
      <c r="D144" s="329"/>
      <c r="E144" s="63"/>
      <c r="F144" s="63"/>
      <c r="G144" s="63"/>
      <c r="H144" s="63"/>
      <c r="I144" s="63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26"/>
      <c r="D146" s="26"/>
      <c r="E146" s="26"/>
      <c r="F146" s="26"/>
      <c r="G146" s="44"/>
      <c r="H146" s="44"/>
      <c r="I146" s="44"/>
    </row>
    <row r="147" spans="1:9">
      <c r="A147" s="1"/>
      <c r="B147" s="1"/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328"/>
      <c r="D152" s="329"/>
      <c r="E152" s="63"/>
      <c r="F152" s="63"/>
      <c r="G152" s="63"/>
      <c r="H152" s="63"/>
      <c r="I152" s="63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26"/>
      <c r="D154" s="26"/>
      <c r="E154" s="26"/>
      <c r="F154" s="26"/>
      <c r="G154" s="44"/>
      <c r="H154" s="44"/>
      <c r="I154" s="44"/>
    </row>
    <row r="155" spans="1:9">
      <c r="C155" s="178"/>
      <c r="D155" s="26"/>
      <c r="E155" s="26"/>
      <c r="F155" s="26"/>
      <c r="G155" s="44"/>
      <c r="H155" s="44"/>
      <c r="I155" s="44"/>
    </row>
    <row r="156" spans="1:9">
      <c r="C156" s="26"/>
      <c r="D156" s="26"/>
      <c r="E156" s="26"/>
      <c r="F156" s="26"/>
      <c r="G156" s="44"/>
      <c r="H156" s="44"/>
      <c r="I156" s="44"/>
    </row>
    <row r="157" spans="1:9">
      <c r="A157" s="1"/>
      <c r="B157" s="1"/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328"/>
      <c r="D162" s="328"/>
      <c r="E162" s="63"/>
      <c r="F162" s="63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C164" s="26"/>
      <c r="D164" s="26"/>
      <c r="E164" s="26"/>
      <c r="F164" s="26"/>
      <c r="G164" s="63"/>
      <c r="H164" s="63"/>
      <c r="I164" s="63"/>
    </row>
    <row r="165" spans="1:9">
      <c r="A165" s="1"/>
      <c r="B165" s="1"/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328"/>
      <c r="D170" s="328"/>
      <c r="E170" s="63"/>
      <c r="F170" s="63"/>
      <c r="G170" s="63"/>
      <c r="H170" s="63"/>
      <c r="I170" s="63"/>
    </row>
    <row r="171" spans="1:9">
      <c r="C171" s="178"/>
      <c r="D171" s="26"/>
      <c r="E171" s="26"/>
      <c r="F171" s="26"/>
      <c r="G171" s="63"/>
      <c r="H171" s="63"/>
      <c r="I171" s="63"/>
    </row>
    <row r="172" spans="1:9">
      <c r="C172" s="26"/>
      <c r="D172" s="26"/>
      <c r="E172" s="26"/>
      <c r="F172" s="26"/>
      <c r="G172" s="63"/>
      <c r="H172" s="63"/>
      <c r="I172" s="63"/>
    </row>
    <row r="173" spans="1:9">
      <c r="A173" s="1"/>
      <c r="B173" s="1"/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328"/>
      <c r="D178" s="328"/>
      <c r="E178" s="63"/>
      <c r="F178" s="63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C180" s="26"/>
      <c r="D180" s="26"/>
      <c r="E180" s="26"/>
      <c r="F180" s="26"/>
      <c r="G180" s="63"/>
      <c r="H180" s="63"/>
      <c r="I180" s="63"/>
    </row>
    <row r="181" spans="1:9">
      <c r="A181" s="1"/>
      <c r="B181" s="1"/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30"/>
      <c r="D185" s="329"/>
      <c r="E185" s="63"/>
      <c r="F185" s="63"/>
      <c r="G185" s="63"/>
      <c r="H185" s="63"/>
      <c r="I185" s="63"/>
    </row>
    <row r="186" spans="1:9">
      <c r="C186" s="328"/>
      <c r="D186" s="328"/>
      <c r="E186" s="63"/>
      <c r="F186" s="63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  <row r="188" spans="1:9">
      <c r="C188" s="26"/>
      <c r="D188" s="26"/>
      <c r="E188" s="26"/>
      <c r="F188" s="26"/>
      <c r="G188" s="63"/>
      <c r="H188" s="63"/>
      <c r="I188" s="63"/>
    </row>
  </sheetData>
  <mergeCells count="171">
    <mergeCell ref="C80:D80"/>
    <mergeCell ref="C81:D81"/>
    <mergeCell ref="C84:D84"/>
    <mergeCell ref="C77:D77"/>
    <mergeCell ref="C85:D85"/>
    <mergeCell ref="C93:D93"/>
    <mergeCell ref="C101:D101"/>
    <mergeCell ref="C96:D96"/>
    <mergeCell ref="C97:D97"/>
    <mergeCell ref="C100:D100"/>
    <mergeCell ref="C86:D86"/>
    <mergeCell ref="C87:D87"/>
    <mergeCell ref="C88:D88"/>
    <mergeCell ref="C89:D89"/>
    <mergeCell ref="C92:D92"/>
    <mergeCell ref="C94:D94"/>
    <mergeCell ref="C95:D95"/>
    <mergeCell ref="O94:P94"/>
    <mergeCell ref="O95:P95"/>
    <mergeCell ref="Q86:R86"/>
    <mergeCell ref="Q87:R87"/>
    <mergeCell ref="Q88:R88"/>
    <mergeCell ref="Q89:R89"/>
    <mergeCell ref="Q90:R90"/>
    <mergeCell ref="Q91:R91"/>
    <mergeCell ref="Q92:R92"/>
    <mergeCell ref="Q93:R93"/>
    <mergeCell ref="Q94:R94"/>
    <mergeCell ref="Q95:R95"/>
    <mergeCell ref="O86:P86"/>
    <mergeCell ref="O87:P87"/>
    <mergeCell ref="O88:P88"/>
    <mergeCell ref="O89:P89"/>
    <mergeCell ref="O90:P90"/>
    <mergeCell ref="N84:N85"/>
    <mergeCell ref="O84:P85"/>
    <mergeCell ref="Q84:R85"/>
    <mergeCell ref="T46:Y46"/>
    <mergeCell ref="N37:N38"/>
    <mergeCell ref="O37:O38"/>
    <mergeCell ref="O91:P91"/>
    <mergeCell ref="O92:P92"/>
    <mergeCell ref="O93:P93"/>
    <mergeCell ref="C68:D68"/>
    <mergeCell ref="C69:D69"/>
    <mergeCell ref="C64:D64"/>
    <mergeCell ref="C65:D65"/>
    <mergeCell ref="P37:P38"/>
    <mergeCell ref="Q37:Q38"/>
    <mergeCell ref="R37:R38"/>
    <mergeCell ref="S37:S38"/>
    <mergeCell ref="T37:T38"/>
    <mergeCell ref="O56:X56"/>
    <mergeCell ref="N46:S46"/>
    <mergeCell ref="W37:W38"/>
    <mergeCell ref="X37:X38"/>
    <mergeCell ref="N56:N57"/>
    <mergeCell ref="AB31:AC31"/>
    <mergeCell ref="C50:D50"/>
    <mergeCell ref="C61:D61"/>
    <mergeCell ref="C46:D46"/>
    <mergeCell ref="C43:D43"/>
    <mergeCell ref="C44:D44"/>
    <mergeCell ref="O29:O30"/>
    <mergeCell ref="N29:N30"/>
    <mergeCell ref="P29:P30"/>
    <mergeCell ref="Q29:Q30"/>
    <mergeCell ref="U37:U38"/>
    <mergeCell ref="V37:V38"/>
    <mergeCell ref="C48:D48"/>
    <mergeCell ref="C41:D41"/>
    <mergeCell ref="C42:D42"/>
    <mergeCell ref="C60:D60"/>
    <mergeCell ref="C52:D52"/>
    <mergeCell ref="C56:D56"/>
    <mergeCell ref="C53:D53"/>
    <mergeCell ref="C57:D57"/>
    <mergeCell ref="C54:D54"/>
    <mergeCell ref="C55:D55"/>
    <mergeCell ref="C45:D45"/>
    <mergeCell ref="C47:D47"/>
    <mergeCell ref="AB15:AC15"/>
    <mergeCell ref="AB16:AC16"/>
    <mergeCell ref="AB19:AC19"/>
    <mergeCell ref="AB29:AC29"/>
    <mergeCell ref="N4:N5"/>
    <mergeCell ref="O4:O5"/>
    <mergeCell ref="P4:P5"/>
    <mergeCell ref="T4:T5"/>
    <mergeCell ref="Q4:Q5"/>
    <mergeCell ref="R4:R5"/>
    <mergeCell ref="S4:S5"/>
    <mergeCell ref="N17:N21"/>
    <mergeCell ref="N22:N26"/>
    <mergeCell ref="U6:U26"/>
    <mergeCell ref="U29:U30"/>
    <mergeCell ref="C102:D102"/>
    <mergeCell ref="T29:T30"/>
    <mergeCell ref="S29:S30"/>
    <mergeCell ref="F22:G22"/>
    <mergeCell ref="J27:K27"/>
    <mergeCell ref="J32:K32"/>
    <mergeCell ref="U4:U5"/>
    <mergeCell ref="N6:N11"/>
    <mergeCell ref="N12:N16"/>
    <mergeCell ref="C76:D76"/>
    <mergeCell ref="C78:D78"/>
    <mergeCell ref="C79:D79"/>
    <mergeCell ref="S85:T85"/>
    <mergeCell ref="S84:T84"/>
    <mergeCell ref="E17:F17"/>
    <mergeCell ref="E18:F18"/>
    <mergeCell ref="C49:D49"/>
    <mergeCell ref="C62:D62"/>
    <mergeCell ref="C51:D51"/>
    <mergeCell ref="C63:D63"/>
    <mergeCell ref="C70:D70"/>
    <mergeCell ref="C71:D71"/>
    <mergeCell ref="C72:D72"/>
    <mergeCell ref="C73:D73"/>
    <mergeCell ref="C158:D158"/>
    <mergeCell ref="C159:D159"/>
    <mergeCell ref="C110:D110"/>
    <mergeCell ref="C111:D111"/>
    <mergeCell ref="C112:D112"/>
    <mergeCell ref="C113:D113"/>
    <mergeCell ref="C103:D103"/>
    <mergeCell ref="C104:D104"/>
    <mergeCell ref="C105:D105"/>
    <mergeCell ref="C186:D186"/>
    <mergeCell ref="C178:D178"/>
    <mergeCell ref="C181:D181"/>
    <mergeCell ref="C182:D182"/>
    <mergeCell ref="C183:D183"/>
    <mergeCell ref="C184:D184"/>
    <mergeCell ref="C185:D185"/>
    <mergeCell ref="C161:D161"/>
    <mergeCell ref="C162:D162"/>
    <mergeCell ref="C177:D177"/>
    <mergeCell ref="C166:D166"/>
    <mergeCell ref="C169:D169"/>
    <mergeCell ref="C167:D167"/>
    <mergeCell ref="C170:D170"/>
    <mergeCell ref="C174:D174"/>
    <mergeCell ref="C176:D176"/>
    <mergeCell ref="C168:D168"/>
    <mergeCell ref="C165:D165"/>
    <mergeCell ref="AB33:AC33"/>
    <mergeCell ref="C108:D108"/>
    <mergeCell ref="C109:D109"/>
    <mergeCell ref="C175:D175"/>
    <mergeCell ref="C152:D152"/>
    <mergeCell ref="C149:D149"/>
    <mergeCell ref="C157:D157"/>
    <mergeCell ref="C151:D151"/>
    <mergeCell ref="C126:D126"/>
    <mergeCell ref="C173:D173"/>
    <mergeCell ref="C143:D143"/>
    <mergeCell ref="Z97:AA97"/>
    <mergeCell ref="C144:D144"/>
    <mergeCell ref="C147:D147"/>
    <mergeCell ref="C127:D127"/>
    <mergeCell ref="C128:D128"/>
    <mergeCell ref="C139:D139"/>
    <mergeCell ref="C140:D140"/>
    <mergeCell ref="C141:D141"/>
    <mergeCell ref="C160:D160"/>
    <mergeCell ref="N97:O97"/>
    <mergeCell ref="C148:D148"/>
    <mergeCell ref="C150:D150"/>
    <mergeCell ref="C142:D142"/>
  </mergeCells>
  <phoneticPr fontId="0" type="noConversion"/>
  <conditionalFormatting sqref="C57">
    <cfRule type="expression" dxfId="459" priority="30" stopIfTrue="1">
      <formula>COUNT(C52:C56)&lt;&gt;5</formula>
    </cfRule>
  </conditionalFormatting>
  <conditionalFormatting sqref="C65">
    <cfRule type="expression" dxfId="458" priority="2" stopIfTrue="1">
      <formula>COUNT(C60:C64)&lt;&gt;5</formula>
    </cfRule>
  </conditionalFormatting>
  <conditionalFormatting sqref="C73">
    <cfRule type="expression" dxfId="457" priority="11" stopIfTrue="1">
      <formula>COUNT(C68:C72)&lt;&gt;5</formula>
    </cfRule>
  </conditionalFormatting>
  <conditionalFormatting sqref="C81">
    <cfRule type="expression" dxfId="456" priority="10" stopIfTrue="1">
      <formula>COUNT(C76:C80)&lt;&gt;5</formula>
    </cfRule>
  </conditionalFormatting>
  <conditionalFormatting sqref="C89">
    <cfRule type="expression" dxfId="455" priority="6" stopIfTrue="1">
      <formula>COUNT(C84:C88)&lt;&gt;5</formula>
    </cfRule>
  </conditionalFormatting>
  <conditionalFormatting sqref="C97">
    <cfRule type="expression" dxfId="454" priority="5" stopIfTrue="1">
      <formula>COUNT(C92:C96)&lt;&gt;5</formula>
    </cfRule>
  </conditionalFormatting>
  <conditionalFormatting sqref="C105">
    <cfRule type="expression" dxfId="453" priority="4" stopIfTrue="1">
      <formula>COUNT(C100:C104)&lt;&gt;5</formula>
    </cfRule>
  </conditionalFormatting>
  <conditionalFormatting sqref="C113">
    <cfRule type="expression" dxfId="452" priority="3" stopIfTrue="1">
      <formula>COUNT(C108:C112)&lt;&gt;5</formula>
    </cfRule>
  </conditionalFormatting>
  <conditionalFormatting sqref="C49:E49">
    <cfRule type="expression" dxfId="451" priority="31" stopIfTrue="1">
      <formula>COUNT(C44:C48)&lt;&gt;5</formula>
    </cfRule>
  </conditionalFormatting>
  <conditionalFormatting sqref="C121:E121">
    <cfRule type="expression" dxfId="450" priority="13" stopIfTrue="1">
      <formula>COUNT(C116:C120)&lt;&gt;5</formula>
    </cfRule>
  </conditionalFormatting>
  <conditionalFormatting sqref="E57">
    <cfRule type="expression" dxfId="449" priority="29" stopIfTrue="1">
      <formula>COUNT(E52:E56)&lt;&gt;5</formula>
    </cfRule>
  </conditionalFormatting>
  <conditionalFormatting sqref="E65">
    <cfRule type="expression" dxfId="448" priority="1" stopIfTrue="1">
      <formula>COUNT(E60:E64)&lt;&gt;5</formula>
    </cfRule>
  </conditionalFormatting>
  <conditionalFormatting sqref="E73">
    <cfRule type="expression" dxfId="447" priority="25" stopIfTrue="1">
      <formula>COUNT(E68:E72)&lt;&gt;5</formula>
    </cfRule>
  </conditionalFormatting>
  <conditionalFormatting sqref="E81">
    <cfRule type="expression" dxfId="446" priority="23" stopIfTrue="1">
      <formula>COUNT(E76:E80)&lt;&gt;5</formula>
    </cfRule>
  </conditionalFormatting>
  <conditionalFormatting sqref="E89">
    <cfRule type="expression" dxfId="445" priority="21" stopIfTrue="1">
      <formula>COUNT(E84:E88)&lt;&gt;5</formula>
    </cfRule>
  </conditionalFormatting>
  <conditionalFormatting sqref="E97">
    <cfRule type="expression" dxfId="444" priority="19" stopIfTrue="1">
      <formula>COUNT(E92:E96)&lt;&gt;5</formula>
    </cfRule>
  </conditionalFormatting>
  <conditionalFormatting sqref="E105">
    <cfRule type="expression" dxfId="443" priority="17" stopIfTrue="1">
      <formula>COUNT(E100:E104)&lt;&gt;5</formula>
    </cfRule>
  </conditionalFormatting>
  <conditionalFormatting sqref="E113">
    <cfRule type="expression" dxfId="442" priority="15" stopIfTrue="1">
      <formula>COUNT(E108:E112)&lt;&gt;5</formula>
    </cfRule>
  </conditionalFormatting>
  <dataValidations count="1">
    <dataValidation type="list" allowBlank="1" showInputMessage="1" showErrorMessage="1" prompt="Pilih satuan termometer yg dikalibrasi" sqref="C2" xr:uid="{00000000-0002-0000-0100-000000000000}">
      <formula1>"Celcius,Farenheit"</formula1>
    </dataValidation>
  </dataValidations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1" max="24" man="1"/>
  </rowBreaks>
  <colBreaks count="2" manualBreakCount="2">
    <brk id="12" max="122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1043" r:id="rId4">
          <objectPr defaultSize="0" autoPict="0" r:id="rId5">
            <anchor moveWithCells="1" sizeWithCells="1">
              <from>
                <xdr:col>15</xdr:col>
                <xdr:colOff>0</xdr:colOff>
                <xdr:row>41</xdr:row>
                <xdr:rowOff>152400</xdr:rowOff>
              </from>
              <to>
                <xdr:col>16</xdr:col>
                <xdr:colOff>0</xdr:colOff>
                <xdr:row>43</xdr:row>
                <xdr:rowOff>146050</xdr:rowOff>
              </to>
            </anchor>
          </objectPr>
        </oleObject>
      </mc:Choice>
      <mc:Fallback>
        <oleObject progId="Equation.3" shapeId="1043" r:id="rId4"/>
      </mc:Fallback>
    </mc:AlternateContent>
    <mc:AlternateContent xmlns:mc="http://schemas.openxmlformats.org/markup-compatibility/2006">
      <mc:Choice Requires="x14">
        <oleObject progId="Equation.3" shapeId="1044" r:id="rId6">
          <objectPr defaultSize="0" autoPict="0" r:id="rId7">
            <anchor moveWithCells="1" sizeWithCells="1">
              <from>
                <xdr:col>19</xdr:col>
                <xdr:colOff>228600</xdr:colOff>
                <xdr:row>41</xdr:row>
                <xdr:rowOff>50800</xdr:rowOff>
              </from>
              <to>
                <xdr:col>21</xdr:col>
                <xdr:colOff>152400</xdr:colOff>
                <xdr:row>44</xdr:row>
                <xdr:rowOff>31750</xdr:rowOff>
              </to>
            </anchor>
          </objectPr>
        </oleObject>
      </mc:Choice>
      <mc:Fallback>
        <oleObject progId="Equation.3" shapeId="1044" r:id="rId6"/>
      </mc:Fallback>
    </mc:AlternateContent>
    <mc:AlternateContent xmlns:mc="http://schemas.openxmlformats.org/markup-compatibility/2006">
      <mc:Choice Requires="x14">
        <oleObject progId="Equation.3" shapeId="1074" r:id="rId8">
          <objectPr defaultSize="0" autoPict="0" r:id="rId9">
            <anchor moveWithCells="1" sizeWithCells="1">
              <from>
                <xdr:col>17</xdr:col>
                <xdr:colOff>95250</xdr:colOff>
                <xdr:row>28</xdr:row>
                <xdr:rowOff>19050</xdr:rowOff>
              </from>
              <to>
                <xdr:col>17</xdr:col>
                <xdr:colOff>323850</xdr:colOff>
                <xdr:row>29</xdr:row>
                <xdr:rowOff>127000</xdr:rowOff>
              </to>
            </anchor>
          </objectPr>
        </oleObject>
      </mc:Choice>
      <mc:Fallback>
        <oleObject progId="Equation.3" shapeId="1074" r:id="rId8"/>
      </mc:Fallback>
    </mc:AlternateContent>
    <mc:AlternateContent xmlns:mc="http://schemas.openxmlformats.org/markup-compatibility/2006">
      <mc:Choice Requires="x14">
        <oleObject progId="Equation.3" shapeId="1137" r:id="rId10">
          <objectPr defaultSize="0" autoPict="0" r:id="rId9">
            <anchor moveWithCells="1" sizeWithCells="1">
              <from>
                <xdr:col>17</xdr:col>
                <xdr:colOff>95250</xdr:colOff>
                <xdr:row>28</xdr:row>
                <xdr:rowOff>19050</xdr:rowOff>
              </from>
              <to>
                <xdr:col>17</xdr:col>
                <xdr:colOff>323850</xdr:colOff>
                <xdr:row>29</xdr:row>
                <xdr:rowOff>127000</xdr:rowOff>
              </to>
            </anchor>
          </objectPr>
        </oleObject>
      </mc:Choice>
      <mc:Fallback>
        <oleObject progId="Equation.3" shapeId="1137" r:id="rId10"/>
      </mc:Fallback>
    </mc:AlternateContent>
  </oleObjec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000-000000000000}">
          <x14:formula1>
            <xm:f>Database!$AR$3:$AR$4</xm:f>
          </x14:formula1>
          <xm:sqref>E12</xm:sqref>
        </x14:dataValidation>
        <x14:dataValidation type="list" allowBlank="1" showInputMessage="1" showErrorMessage="1" xr:uid="{B9F7C861-2A89-4001-A1A7-A5EB91D35531}">
          <x14:formula1>
            <xm:f>Database!$AD$4:$AD$8</xm:f>
          </x14:formula1>
          <xm:sqref>D28:E29</xm:sqref>
        </x14:dataValidation>
        <x14:dataValidation type="list" allowBlank="1" showInputMessage="1" showErrorMessage="1" xr:uid="{1E457043-4C82-4C0F-B19F-DB8D1D4ADBF2}">
          <x14:formula1>
            <xm:f>Database!$AG$4:$AG$8</xm:f>
          </x14:formula1>
          <xm:sqref>D33:E34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1'!O86</f>
        <v>-1.2540000000000013</v>
      </c>
      <c r="C2" s="37">
        <f>'PERHITUNGAN 1'!N86</f>
        <v>-28.52</v>
      </c>
      <c r="D2" s="75">
        <f>C2^2</f>
        <v>813.3904</v>
      </c>
      <c r="E2" s="37">
        <f>C2^3</f>
        <v>-23197.894207999998</v>
      </c>
      <c r="F2" s="91">
        <f>C2^4</f>
        <v>661603.94281216001</v>
      </c>
      <c r="G2" s="91">
        <f>C2^5</f>
        <v>-18868944.449002802</v>
      </c>
      <c r="H2" s="91">
        <f>C2^6</f>
        <v>538142295.68555999</v>
      </c>
      <c r="I2" s="91">
        <f>C2^7</f>
        <v>-15347818272.952168</v>
      </c>
      <c r="J2" s="91">
        <f>C2^8</f>
        <v>437719777144.59589</v>
      </c>
      <c r="K2" s="91">
        <f>C2^9</f>
        <v>-12483768044163.875</v>
      </c>
      <c r="L2" s="91">
        <f>C2^10</f>
        <v>356037064619553.69</v>
      </c>
      <c r="Q2" s="12"/>
    </row>
    <row r="3" spans="1:24">
      <c r="A3" s="25">
        <v>2</v>
      </c>
      <c r="B3" s="37">
        <f>'PERHITUNGAN 1'!O87</f>
        <v>-0.85099999999999998</v>
      </c>
      <c r="C3" s="37">
        <f>'PERHITUNGAN 1'!N87</f>
        <v>1.05</v>
      </c>
      <c r="D3" s="75">
        <f t="shared" ref="D3:D9" si="0">C3^2</f>
        <v>1.1025</v>
      </c>
      <c r="E3" s="37">
        <f t="shared" ref="E3:E9" si="1">C3^3</f>
        <v>1.1576250000000001</v>
      </c>
      <c r="F3" s="91">
        <f t="shared" ref="F3:F9" si="2">C3^4</f>
        <v>1.21550625</v>
      </c>
      <c r="G3" s="91">
        <f t="shared" ref="G3:G9" si="3">C3^5</f>
        <v>1.2762815625000001</v>
      </c>
      <c r="H3" s="91">
        <f t="shared" ref="H3:H9" si="4">C3^6</f>
        <v>1.340095640625</v>
      </c>
      <c r="I3" s="91">
        <f t="shared" ref="I3:I9" si="5">C3^7</f>
        <v>1.4071004226562502</v>
      </c>
      <c r="J3" s="91">
        <f t="shared" ref="J3:J9" si="6">C3^8</f>
        <v>1.4774554437890626</v>
      </c>
      <c r="K3" s="91">
        <f t="shared" ref="K3:K9" si="7">C3^9</f>
        <v>1.5513282159785158</v>
      </c>
      <c r="L3" s="91">
        <f t="shared" ref="L3:L9" si="8">C3^10</f>
        <v>1.6288946267774416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1'!O88</f>
        <v>-0.34299999999999642</v>
      </c>
      <c r="C4" s="37">
        <f>'PERHITUNGAN 1'!N88</f>
        <v>50.69</v>
      </c>
      <c r="D4" s="75">
        <f t="shared" si="0"/>
        <v>2569.4760999999999</v>
      </c>
      <c r="E4" s="37">
        <f t="shared" si="1"/>
        <v>130246.74350899999</v>
      </c>
      <c r="F4" s="91">
        <f t="shared" si="2"/>
        <v>6602207.4284712095</v>
      </c>
      <c r="G4" s="91">
        <f t="shared" si="3"/>
        <v>334665894.5492056</v>
      </c>
      <c r="H4" s="91">
        <f t="shared" si="4"/>
        <v>16964214194.699232</v>
      </c>
      <c r="I4" s="91">
        <f t="shared" si="5"/>
        <v>859916017529.30408</v>
      </c>
      <c r="J4" s="91">
        <f t="shared" si="6"/>
        <v>43589142928560.422</v>
      </c>
      <c r="K4" s="91">
        <f t="shared" si="7"/>
        <v>2209533655048727.8</v>
      </c>
      <c r="L4" s="91">
        <f t="shared" si="8"/>
        <v>1.1200126097442E+17</v>
      </c>
      <c r="R4" s="414" t="str">
        <f>IF('PERHITUNGAN 1'!$C$2="Celcius","(°C)","(°F)")</f>
        <v>(°C)</v>
      </c>
      <c r="S4" s="415"/>
      <c r="T4" s="5" t="str">
        <f>IF('PERHITUNGAN 1'!$C$2="Celcius","(°C)","(°F)")</f>
        <v>(°C)</v>
      </c>
      <c r="U4" s="14"/>
      <c r="V4" s="1"/>
    </row>
    <row r="5" spans="1:24">
      <c r="A5" s="25">
        <v>4</v>
      </c>
      <c r="B5" s="37">
        <f>'PERHITUNGAN 1'!O89</f>
        <v>-0.6629999999999967</v>
      </c>
      <c r="C5" s="37">
        <f>'PERHITUNGAN 1'!N89</f>
        <v>100.55</v>
      </c>
      <c r="D5" s="75">
        <f t="shared" si="0"/>
        <v>10110.3025</v>
      </c>
      <c r="E5" s="37">
        <f t="shared" si="1"/>
        <v>1016590.9163749999</v>
      </c>
      <c r="F5" s="91">
        <f t="shared" si="2"/>
        <v>102218216.64150624</v>
      </c>
      <c r="G5" s="91">
        <f t="shared" si="3"/>
        <v>10278041683.303452</v>
      </c>
      <c r="H5" s="91">
        <f t="shared" si="4"/>
        <v>1033457091256.1621</v>
      </c>
      <c r="I5" s="91">
        <f t="shared" si="5"/>
        <v>103914110525807.09</v>
      </c>
      <c r="J5" s="91">
        <f t="shared" si="6"/>
        <v>1.0448563813369904E+16</v>
      </c>
      <c r="K5" s="91">
        <f t="shared" si="7"/>
        <v>1.0506030914343438E+18</v>
      </c>
      <c r="L5" s="91">
        <f t="shared" si="8"/>
        <v>1.0563814084372328E+20</v>
      </c>
      <c r="R5" s="412"/>
      <c r="S5" s="413"/>
      <c r="T5" s="21"/>
      <c r="U5" s="32"/>
    </row>
    <row r="6" spans="1:24">
      <c r="A6" s="25">
        <v>5</v>
      </c>
      <c r="B6" s="37">
        <f>'PERHITUNGAN 1'!O90</f>
        <v>-0.82200000000000273</v>
      </c>
      <c r="C6" s="37">
        <f>'PERHITUNGAN 1'!N90</f>
        <v>150.54</v>
      </c>
      <c r="D6" s="75">
        <f t="shared" si="0"/>
        <v>22662.291599999997</v>
      </c>
      <c r="E6" s="37">
        <f t="shared" si="1"/>
        <v>3411581.3774639992</v>
      </c>
      <c r="F6" s="91">
        <f t="shared" si="2"/>
        <v>513579460.56343043</v>
      </c>
      <c r="G6" s="91">
        <f t="shared" si="3"/>
        <v>77314251993.218811</v>
      </c>
      <c r="H6" s="91">
        <f t="shared" si="4"/>
        <v>11638887495059.158</v>
      </c>
      <c r="I6" s="91">
        <f t="shared" si="5"/>
        <v>1752118123506205.8</v>
      </c>
      <c r="J6" s="91">
        <f t="shared" si="6"/>
        <v>2.6376386231262419E+17</v>
      </c>
      <c r="K6" s="91">
        <f t="shared" si="7"/>
        <v>3.9707011832542446E+19</v>
      </c>
      <c r="L6" s="91">
        <f t="shared" si="8"/>
        <v>5.9774935612709394E+21</v>
      </c>
      <c r="Q6" t="s">
        <v>150</v>
      </c>
      <c r="R6" s="408"/>
      <c r="S6" s="409"/>
      <c r="T6" s="23">
        <f>$V$38+($V$39*R6)+($V$40*(R6^2))+($V$41*(R6^3))</f>
        <v>-11.102835137227007</v>
      </c>
      <c r="U6" s="27"/>
      <c r="V6" s="88"/>
    </row>
    <row r="7" spans="1:24">
      <c r="A7" s="25">
        <v>6</v>
      </c>
      <c r="B7" s="37">
        <f>'PERHITUNGAN 1'!O91</f>
        <v>-0.49500000000000455</v>
      </c>
      <c r="C7" s="37">
        <f>'PERHITUNGAN 1'!N91</f>
        <v>199.96</v>
      </c>
      <c r="D7" s="75">
        <f t="shared" si="0"/>
        <v>39984.001600000003</v>
      </c>
      <c r="E7" s="37">
        <f t="shared" si="1"/>
        <v>7995200.9599360013</v>
      </c>
      <c r="F7" s="91">
        <f t="shared" si="2"/>
        <v>1598720383.9488027</v>
      </c>
      <c r="G7" s="91">
        <f t="shared" si="3"/>
        <v>319680127974.40259</v>
      </c>
      <c r="H7" s="91">
        <f t="shared" si="4"/>
        <v>63923238389761.547</v>
      </c>
      <c r="I7" s="91">
        <f t="shared" si="5"/>
        <v>1.278209074841672E+16</v>
      </c>
      <c r="J7" s="91">
        <f t="shared" si="6"/>
        <v>2.5559068660534072E+18</v>
      </c>
      <c r="K7" s="91">
        <f t="shared" si="7"/>
        <v>5.1107913693603935E+20</v>
      </c>
      <c r="L7" s="91">
        <f t="shared" si="8"/>
        <v>1.0219538422173043E+23</v>
      </c>
      <c r="R7" s="408"/>
      <c r="S7" s="409"/>
      <c r="T7" s="23">
        <f t="shared" ref="T7:T15" si="9">$V$38+($V$39*R7)+($V$40*(R7^2))+($V$41*(R7^3))</f>
        <v>-11.102835137227007</v>
      </c>
      <c r="U7" s="27"/>
      <c r="V7" s="88"/>
    </row>
    <row r="8" spans="1:24">
      <c r="A8" s="25">
        <v>7</v>
      </c>
      <c r="B8" s="37">
        <f>'PERHITUNGAN 1'!O92</f>
        <v>-0.25199999999998113</v>
      </c>
      <c r="C8" s="37">
        <f>'PERHITUNGAN 1'!N92</f>
        <v>249.72999999999996</v>
      </c>
      <c r="D8" s="75">
        <f t="shared" si="0"/>
        <v>62365.072899999977</v>
      </c>
      <c r="E8" s="37">
        <f t="shared" si="1"/>
        <v>15574429.655316992</v>
      </c>
      <c r="F8" s="91">
        <f t="shared" si="2"/>
        <v>3889402317.8223114</v>
      </c>
      <c r="G8" s="91">
        <f t="shared" si="3"/>
        <v>971300440829.76563</v>
      </c>
      <c r="H8" s="91">
        <f t="shared" si="4"/>
        <v>242562859088417.34</v>
      </c>
      <c r="I8" s="91">
        <f t="shared" si="5"/>
        <v>6.0575222800150448E+16</v>
      </c>
      <c r="J8" s="91">
        <f t="shared" si="6"/>
        <v>1.5127450389881567E+19</v>
      </c>
      <c r="K8" s="91">
        <f t="shared" si="7"/>
        <v>3.7777781858651231E+21</v>
      </c>
      <c r="L8" s="91">
        <f t="shared" si="8"/>
        <v>9.4342454635609701E+23</v>
      </c>
      <c r="R8" s="408"/>
      <c r="S8" s="409"/>
      <c r="T8" s="23">
        <f t="shared" si="9"/>
        <v>-11.102835137227007</v>
      </c>
      <c r="U8" s="27"/>
      <c r="V8" s="88"/>
    </row>
    <row r="9" spans="1:24">
      <c r="A9" s="25">
        <v>8</v>
      </c>
      <c r="B9" s="37">
        <f>'PERHITUNGAN 1'!O93</f>
        <v>-0.16600000000005366</v>
      </c>
      <c r="C9" s="37">
        <f>'PERHITUNGAN 1'!N93</f>
        <v>259.72000000000003</v>
      </c>
      <c r="D9" s="75">
        <f t="shared" si="0"/>
        <v>67454.478400000007</v>
      </c>
      <c r="E9" s="37">
        <f t="shared" si="1"/>
        <v>17519277.130048003</v>
      </c>
      <c r="F9" s="91">
        <f t="shared" si="2"/>
        <v>4550106656.2160673</v>
      </c>
      <c r="G9" s="91">
        <f t="shared" si="3"/>
        <v>1181753700752.437</v>
      </c>
      <c r="H9" s="91">
        <f t="shared" si="4"/>
        <v>306925071159423</v>
      </c>
      <c r="I9" s="91">
        <f t="shared" si="5"/>
        <v>7.9714579481525344E+16</v>
      </c>
      <c r="J9" s="91">
        <f t="shared" si="6"/>
        <v>2.0703470582941762E+19</v>
      </c>
      <c r="K9" s="91">
        <f t="shared" si="7"/>
        <v>5.3771053798016344E+21</v>
      </c>
      <c r="L9" s="91">
        <f t="shared" si="8"/>
        <v>1.3965418092420806E+24</v>
      </c>
      <c r="R9" s="408"/>
      <c r="S9" s="409"/>
      <c r="T9" s="23">
        <f t="shared" si="9"/>
        <v>-11.102835137227007</v>
      </c>
      <c r="U9" s="27"/>
      <c r="V9" s="88"/>
    </row>
    <row r="10" spans="1:24">
      <c r="A10" s="25">
        <v>9</v>
      </c>
      <c r="B10" s="37"/>
      <c r="C10" s="37"/>
      <c r="D10" s="75"/>
      <c r="E10" s="37"/>
      <c r="F10" s="91"/>
      <c r="G10" s="91"/>
      <c r="H10" s="91"/>
      <c r="I10" s="91"/>
      <c r="J10" s="91"/>
      <c r="K10" s="91"/>
      <c r="L10" s="91"/>
      <c r="R10" s="408"/>
      <c r="S10" s="409"/>
      <c r="T10" s="23">
        <f t="shared" si="9"/>
        <v>-11.102835137227007</v>
      </c>
      <c r="U10" s="27"/>
      <c r="V10" s="88"/>
    </row>
    <row r="11" spans="1:24">
      <c r="A11" s="25">
        <v>10</v>
      </c>
      <c r="B11" s="37"/>
      <c r="C11" s="37"/>
      <c r="D11" s="75"/>
      <c r="E11" s="37"/>
      <c r="F11" s="91"/>
      <c r="G11" s="91"/>
      <c r="H11" s="91"/>
      <c r="I11" s="91"/>
      <c r="J11" s="91"/>
      <c r="K11" s="91"/>
      <c r="L11" s="91"/>
      <c r="R11" s="408"/>
      <c r="S11" s="409"/>
      <c r="T11" s="23">
        <f t="shared" si="9"/>
        <v>-11.102835137227007</v>
      </c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>
        <f t="shared" si="9"/>
        <v>-11.102835137227007</v>
      </c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>
        <f t="shared" si="9"/>
        <v>-11.102835137227007</v>
      </c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>
        <f t="shared" si="9"/>
        <v>-11.102835137227007</v>
      </c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>
        <f t="shared" si="9"/>
        <v>-11.102835137227007</v>
      </c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v>-10</v>
      </c>
      <c r="S19" s="409"/>
      <c r="T19" s="23">
        <f>$S$38+($S$39*R19)+($S$40*(R19^2))+($S$41*(R19^3))+($S$42*(R19^4))+($S$43*(R19^5))+($S$44*(R19^6))+($S$45*(R19^7))+($S$46*(R19^8))+($S$47*(R19^9))+($S$48*(R19^10))</f>
        <v>-0.99443789101856916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v>0</v>
      </c>
      <c r="S20" s="409"/>
      <c r="T20" s="23">
        <f t="shared" ref="T20:T28" si="10">$S$38+($S$39*R20)+($S$40*(R20^2))+($S$41*(R20^3))+($S$42*(R20^4))+($S$43*(R20^5))+($S$44*(R20^6))+($S$45*(R20^7))+($S$46*(R20^8))+($S$47*(R20^9))+($S$48*(R20^10))</f>
        <v>-0.59843178925826357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v>25</v>
      </c>
      <c r="S21" s="409"/>
      <c r="T21" s="23">
        <f t="shared" si="10"/>
        <v>0.19687204449977305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v>50</v>
      </c>
      <c r="S22" s="409"/>
      <c r="T22" s="23">
        <f t="shared" si="10"/>
        <v>0.68576574802224188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v>100</v>
      </c>
      <c r="S23" s="409"/>
      <c r="T23" s="23">
        <f t="shared" si="10"/>
        <v>0.74625393490086744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v>125</v>
      </c>
      <c r="S24" s="409"/>
      <c r="T24" s="23">
        <f t="shared" si="10"/>
        <v>0.40016966260930154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v>150</v>
      </c>
      <c r="S25" s="409"/>
      <c r="T25" s="23">
        <f t="shared" si="10"/>
        <v>-8.7682251213279105E-2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v>200</v>
      </c>
      <c r="S26" s="409"/>
      <c r="T26" s="23">
        <f t="shared" si="10"/>
        <v>-0.96608161478576982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/>
      <c r="S27" s="409"/>
      <c r="T27" s="23">
        <f t="shared" si="10"/>
        <v>-0.59843178925826357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/>
      <c r="S28" s="409"/>
      <c r="T28" s="23">
        <f t="shared" si="10"/>
        <v>-0.59843178925826357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0.9684316754788268</v>
      </c>
      <c r="Q33" s="31" t="s">
        <v>100</v>
      </c>
      <c r="U33" s="70"/>
    </row>
    <row r="34" spans="2:24">
      <c r="B34" t="s">
        <v>76</v>
      </c>
      <c r="C34">
        <v>0.93785991007072766</v>
      </c>
      <c r="X34" s="46"/>
    </row>
    <row r="35" spans="2:24">
      <c r="B35" t="s">
        <v>77</v>
      </c>
      <c r="C35">
        <v>0.85500645683169785</v>
      </c>
      <c r="Q35" t="s">
        <v>99</v>
      </c>
    </row>
    <row r="36" spans="2:24">
      <c r="B36" t="s">
        <v>78</v>
      </c>
      <c r="C36">
        <v>0.27380485446702318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1">C46</f>
        <v>-0.59843178925826357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1"/>
        <v>3.7512896341729697E-2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1"/>
        <v>-2.1514155890588901E-4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4</v>
      </c>
      <c r="D41">
        <v>3.3944517250108803</v>
      </c>
      <c r="E41">
        <v>0.84861293125272008</v>
      </c>
      <c r="F41">
        <v>11.319502970685233</v>
      </c>
      <c r="G41">
        <v>3.7281724271839428E-2</v>
      </c>
      <c r="R41" s="26" t="s">
        <v>112</v>
      </c>
      <c r="S41">
        <f t="shared" si="11"/>
        <v>-6.023057997051615E-7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3</v>
      </c>
      <c r="D42">
        <v>0.22490729498912318</v>
      </c>
      <c r="E42">
        <v>7.4969098329707731E-2</v>
      </c>
      <c r="R42" s="26" t="s">
        <v>137</v>
      </c>
      <c r="S42">
        <f t="shared" si="11"/>
        <v>3.4711747875021298E-9</v>
      </c>
      <c r="U42" s="26"/>
    </row>
    <row r="43" spans="2:24" ht="13.5" thickBot="1">
      <c r="B43" s="67" t="s">
        <v>83</v>
      </c>
      <c r="C43" s="67">
        <v>7</v>
      </c>
      <c r="D43" s="67">
        <v>3.6193590200000036</v>
      </c>
      <c r="E43" s="67"/>
      <c r="F43" s="67"/>
      <c r="G43" s="67"/>
      <c r="R43" s="26" t="s">
        <v>88</v>
      </c>
      <c r="S43">
        <f t="shared" si="11"/>
        <v>0</v>
      </c>
      <c r="U43" s="26"/>
    </row>
    <row r="44" spans="2:24" ht="13.5" thickBot="1">
      <c r="R44" s="26" t="s">
        <v>138</v>
      </c>
      <c r="S44">
        <f t="shared" si="11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1"/>
        <v>0</v>
      </c>
      <c r="U45" s="26"/>
    </row>
    <row r="46" spans="2:24">
      <c r="B46" t="s">
        <v>84</v>
      </c>
      <c r="C46">
        <v>-0.59843178925826357</v>
      </c>
      <c r="D46">
        <v>0.16968809674745153</v>
      </c>
      <c r="E46">
        <v>-3.5266574422654733</v>
      </c>
      <c r="F46">
        <v>3.8731875797307691E-2</v>
      </c>
      <c r="G46">
        <v>-1.1384550458028153</v>
      </c>
      <c r="H46">
        <v>-5.8408532713711936E-2</v>
      </c>
      <c r="I46">
        <v>-1.1384550458028153</v>
      </c>
      <c r="J46">
        <v>-5.8408532713711936E-2</v>
      </c>
      <c r="R46" s="26" t="s">
        <v>140</v>
      </c>
      <c r="S46">
        <f t="shared" si="11"/>
        <v>0</v>
      </c>
      <c r="U46" s="26"/>
    </row>
    <row r="47" spans="2:24">
      <c r="B47" t="s">
        <v>95</v>
      </c>
      <c r="C47">
        <v>3.7512896341729697E-2</v>
      </c>
      <c r="D47">
        <v>1.4436967486685125E-2</v>
      </c>
      <c r="E47">
        <v>2.5983916896901622</v>
      </c>
      <c r="F47">
        <v>8.0487621035509438E-2</v>
      </c>
      <c r="G47">
        <v>-8.4319774957724164E-3</v>
      </c>
      <c r="H47">
        <v>8.3457770179231811E-2</v>
      </c>
      <c r="I47">
        <v>-8.4319774957724164E-3</v>
      </c>
      <c r="J47">
        <v>8.3457770179231811E-2</v>
      </c>
      <c r="R47" s="26" t="s">
        <v>141</v>
      </c>
      <c r="S47">
        <f t="shared" si="11"/>
        <v>0</v>
      </c>
      <c r="U47" s="26"/>
    </row>
    <row r="48" spans="2:24">
      <c r="B48" t="s">
        <v>108</v>
      </c>
      <c r="C48">
        <v>-2.1514155890588901E-4</v>
      </c>
      <c r="D48">
        <v>4.1640944104447998E-4</v>
      </c>
      <c r="E48">
        <v>-0.51665869622516081</v>
      </c>
      <c r="F48">
        <v>0.64106739193026585</v>
      </c>
      <c r="G48">
        <v>-1.5403422460431488E-3</v>
      </c>
      <c r="H48">
        <v>1.1100591282313707E-3</v>
      </c>
      <c r="I48">
        <v>-1.5403422460431488E-3</v>
      </c>
      <c r="J48">
        <v>1.1100591282313707E-3</v>
      </c>
      <c r="R48" s="26" t="s">
        <v>142</v>
      </c>
      <c r="S48">
        <f t="shared" si="11"/>
        <v>0</v>
      </c>
      <c r="U48" s="26"/>
    </row>
    <row r="49" spans="2:21">
      <c r="B49" t="s">
        <v>109</v>
      </c>
      <c r="C49">
        <v>-6.023057997051615E-7</v>
      </c>
      <c r="D49">
        <v>3.6974429911053482E-6</v>
      </c>
      <c r="E49">
        <v>-0.16289792733899666</v>
      </c>
      <c r="F49">
        <v>0.88095344155611999</v>
      </c>
      <c r="G49">
        <v>-1.2369219585745523E-5</v>
      </c>
      <c r="H49">
        <v>1.1164607986335199E-5</v>
      </c>
      <c r="I49">
        <v>-1.2369219585745523E-5</v>
      </c>
      <c r="J49">
        <v>1.1164607986335199E-5</v>
      </c>
      <c r="U49" s="26"/>
    </row>
    <row r="50" spans="2:21" ht="13.5" thickBot="1">
      <c r="B50" s="67" t="s">
        <v>130</v>
      </c>
      <c r="C50" s="67">
        <v>3.4711747875021298E-9</v>
      </c>
      <c r="D50" s="67">
        <v>9.8362743516605933E-9</v>
      </c>
      <c r="E50" s="67">
        <v>0.3528952795949733</v>
      </c>
      <c r="F50" s="67">
        <v>0.74750599686406161</v>
      </c>
      <c r="G50" s="67">
        <v>-2.783224018069704E-8</v>
      </c>
      <c r="H50" s="67">
        <v>3.4774589755701299E-8</v>
      </c>
      <c r="I50" s="67">
        <v>-2.783224018069704E-8</v>
      </c>
      <c r="J50" s="67">
        <v>3.4774589755701299E-8</v>
      </c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56" spans="2:21" ht="13.5" thickBot="1">
      <c r="B56" s="67"/>
      <c r="C56" s="67"/>
      <c r="D56" s="67"/>
      <c r="E56" s="67"/>
      <c r="F56" s="67"/>
      <c r="G56" s="67"/>
      <c r="H56" s="67"/>
      <c r="I56" s="67"/>
      <c r="J56" s="67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  <mergeCell ref="R14:S14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27:S27"/>
    <mergeCell ref="R28:S28"/>
    <mergeCell ref="R29:S29"/>
    <mergeCell ref="R30:S30"/>
    <mergeCell ref="R31:S3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A2AAF-1945-41CA-AB0C-68C215695228}">
  <dimension ref="A1:AH187"/>
  <sheetViews>
    <sheetView topLeftCell="A23" workbookViewId="0">
      <selection activeCell="I107" sqref="I107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0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1'!E5</f>
        <v>Termometer Digital</v>
      </c>
      <c r="F5" s="11"/>
      <c r="G5" s="11" t="s">
        <v>127</v>
      </c>
      <c r="H5" s="11" t="s">
        <v>16</v>
      </c>
      <c r="I5" s="66" t="str">
        <f>'PERHITUNGAN 1'!I5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1'!E6</f>
        <v>Hioki / LR 8431-20</v>
      </c>
      <c r="F6" s="11"/>
      <c r="G6" s="11" t="s">
        <v>128</v>
      </c>
      <c r="H6" s="11" t="s">
        <v>16</v>
      </c>
      <c r="I6" s="129">
        <f>'PERHITUNGAN 1'!I6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1'!E7</f>
        <v>210149173</v>
      </c>
      <c r="F7" s="11"/>
      <c r="G7" s="11" t="s">
        <v>44</v>
      </c>
      <c r="H7" s="11" t="s">
        <v>16</v>
      </c>
      <c r="I7" s="31">
        <v>2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19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ref="T20:T25" si="1">P20/R20</f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1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1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1'!D24</f>
        <v>22</v>
      </c>
      <c r="E23" s="244">
        <f>'PERHITUNGAN 1'!E24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1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1'!D25</f>
        <v>22</v>
      </c>
      <c r="E24" s="244">
        <f>'PERHITUNGAN 1'!E25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1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1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1'!D28</f>
        <v>20</v>
      </c>
      <c r="E27" s="244">
        <f>'PERHITUNGAN 1'!E28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1'!D29</f>
        <v>20</v>
      </c>
      <c r="E28" s="244">
        <f>'PERHITUNGAN 1'!E29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1'!D33</f>
        <v>55</v>
      </c>
      <c r="E32" s="244">
        <f>'PERHITUNGAN 1'!E33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1'!D34</f>
        <v>55</v>
      </c>
      <c r="E33" s="244">
        <f>'PERHITUNGAN 1'!E34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A34" s="49"/>
      <c r="B34" s="49"/>
      <c r="C34" s="49"/>
      <c r="D34" s="49"/>
      <c r="E34" s="49"/>
      <c r="F34" s="49"/>
      <c r="G34" s="49"/>
      <c r="H34" s="49"/>
      <c r="I34" s="49"/>
      <c r="J34" s="240"/>
      <c r="K34" s="240"/>
      <c r="L34" s="240"/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-29.782</v>
      </c>
      <c r="P36" s="380">
        <f>F56</f>
        <v>0.19800000000000001</v>
      </c>
      <c r="Q36" s="380">
        <f>F64</f>
        <v>50.35</v>
      </c>
      <c r="R36" s="380">
        <f>F72</f>
        <v>99.888000000000005</v>
      </c>
      <c r="S36" s="380">
        <f>F80</f>
        <v>149.71799999999999</v>
      </c>
      <c r="T36" s="380">
        <f>F88</f>
        <v>199.46600000000001</v>
      </c>
      <c r="U36" s="380">
        <f>F96</f>
        <v>249.47899999999998</v>
      </c>
      <c r="V36" s="380">
        <f>F104</f>
        <v>259.55500000000001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2'!$E$11="Burn Engr",IF(O36&lt;=$AA$38,$AB$38,$AB$39),IF(O36&lt;=$AC$38,$AD$38,IF(O36&lt;=$AC$39,$AD$39,$AD$40)))</f>
        <v>0.02</v>
      </c>
      <c r="P38" s="54">
        <f>IF('PERHITUNGAN 2'!$E$11="Burn Engr",IF(P36&lt;=$AA$38,$AB$38,$AB$39),IF(P36&lt;=$AC$38,$AD$38,IF(P36&lt;=$AC$39,$AD$39,$AD$40)))</f>
        <v>7.0000000000000007E-2</v>
      </c>
      <c r="Q38" s="54">
        <f>IF('PERHITUNGAN 2'!$E$11="Burn Engr",IF(Q36&lt;=$AA$38,$AB$38,$AB$39),IF(Q36&lt;=$AC$38,$AD$38,IF(Q36&lt;=$AC$39,$AD$39,$AD$40)))</f>
        <v>7.0000000000000007E-2</v>
      </c>
      <c r="R38" s="54">
        <f>IF('PERHITUNGAN 2'!$E$11="Burn Engr",IF(R36&lt;=$AA$38,$AB$38,$AB$39),IF(R36&lt;=$AC$38,$AD$38,IF(R36&lt;=$AC$39,$AD$39,$AD$40)))</f>
        <v>7.0000000000000007E-2</v>
      </c>
      <c r="S38" s="54">
        <f>IF('PERHITUNGAN 2'!$E$11="Burn Engr",IF(S36&lt;=$AA$38,$AB$38,$AB$39),IF(S36&lt;=$AC$38,$AD$38,IF(S36&lt;=$AC$39,$AD$39,$AD$40)))</f>
        <v>7.0000000000000007E-2</v>
      </c>
      <c r="T38" s="54">
        <f>IF('PERHITUNGAN 2'!$E$11="Burn Engr",IF(T36&lt;=$AA$38,$AB$38,$AB$39),IF(T36&lt;=$AC$38,$AD$38,IF(T36&lt;=$AC$39,$AD$39,$AD$40)))</f>
        <v>7.0000000000000007E-2</v>
      </c>
      <c r="U38" s="54">
        <f>IF('PERHITUNGAN 2'!$E$11="Burn Engr",IF(U36&lt;=$AA$38,$AB$38,$AB$39),IF(U36&lt;=$AC$38,$AD$38,IF(U36&lt;=$AC$39,$AD$39,$AD$40)))</f>
        <v>7.0000000000000007E-2</v>
      </c>
      <c r="V38" s="54">
        <f>IF('PERHITUNGAN 2'!$E$11="Burn Engr",IF(V36&lt;=$AA$38,$AB$38,$AB$39),IF(V36&lt;=$AC$38,$AD$38,IF(V36&lt;=$AC$39,$AD$39,$AD$40)))</f>
        <v>7.0000000000000007E-2</v>
      </c>
      <c r="W38" s="54">
        <f>IF('PERHITUNGAN 2'!$E$11="Burn Engr",IF(W36&lt;=$AA$38,$AB$38,$AB$39),IF(W36&lt;=$AC$38,$AD$38,IF(W36&lt;=$AC$39,$AD$39,$AD$40)))</f>
        <v>0.02</v>
      </c>
      <c r="X38" s="54">
        <f>IF('PERHITUNGAN 2'!$E$11="Burn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0.01</v>
      </c>
      <c r="P40" s="37">
        <f t="shared" ref="P40:X40" si="2">P38/P39</f>
        <v>3.5000000000000003E-2</v>
      </c>
      <c r="Q40" s="37">
        <f t="shared" si="2"/>
        <v>3.5000000000000003E-2</v>
      </c>
      <c r="R40" s="37">
        <f>R38/R39</f>
        <v>3.5000000000000003E-2</v>
      </c>
      <c r="S40" s="37">
        <f t="shared" si="2"/>
        <v>3.5000000000000003E-2</v>
      </c>
      <c r="T40" s="37">
        <f t="shared" si="2"/>
        <v>3.5000000000000003E-2</v>
      </c>
      <c r="U40" s="37">
        <f t="shared" si="2"/>
        <v>3.5000000000000003E-2</v>
      </c>
      <c r="V40" s="37">
        <f t="shared" si="2"/>
        <v>3.5000000000000003E-2</v>
      </c>
      <c r="W40" s="37">
        <f t="shared" si="2"/>
        <v>0.01</v>
      </c>
      <c r="X40" s="37">
        <f t="shared" si="2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-30</v>
      </c>
      <c r="C43" s="373">
        <v>-28.5</v>
      </c>
      <c r="D43" s="374"/>
      <c r="E43" s="90">
        <v>-29.782</v>
      </c>
      <c r="F43" s="37">
        <f>IF('PERHITUNGAN 2'!$E$11="Burn Engr",'PERHITUNGAN 2'!E43,E43+('regresi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-29.782</v>
      </c>
      <c r="G43" s="90">
        <f>F43-C43</f>
        <v>-1.282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-28.5</v>
      </c>
      <c r="D44" s="374"/>
      <c r="E44" s="90">
        <v>-29.782</v>
      </c>
      <c r="F44" s="37">
        <f>IF('PERHITUNGAN 2'!$E$11="Burn Engr",'PERHITUNGAN 2'!E44,E44+('regresi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-29.782</v>
      </c>
      <c r="G44" s="90">
        <f>F44-C44</f>
        <v>-1.282</v>
      </c>
      <c r="H44" s="63"/>
      <c r="I44" s="63"/>
      <c r="AB44" s="1"/>
    </row>
    <row r="45" spans="1:30" ht="13.5" customHeight="1">
      <c r="A45" s="105"/>
      <c r="C45" s="373">
        <v>-28.5</v>
      </c>
      <c r="D45" s="374"/>
      <c r="E45" s="90">
        <v>-29.782</v>
      </c>
      <c r="F45" s="37">
        <f>IF('PERHITUNGAN 2'!$E$11="Burn Engr",'PERHITUNGAN 2'!E45,E45+('regresi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-29.782</v>
      </c>
      <c r="G45" s="90">
        <f>F45-C45</f>
        <v>-1.282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-28.5</v>
      </c>
      <c r="D46" s="374"/>
      <c r="E46" s="90">
        <v>-29.782</v>
      </c>
      <c r="F46" s="37">
        <f>IF('PERHITUNGAN 2'!$E$11="Burn Engr",'PERHITUNGAN 2'!E46,E46+('regresi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-29.782</v>
      </c>
      <c r="G46" s="90">
        <f>F46-C46</f>
        <v>-1.282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-28.5</v>
      </c>
      <c r="D47" s="374"/>
      <c r="E47" s="90">
        <v>-29.782</v>
      </c>
      <c r="F47" s="37">
        <f>IF('PERHITUNGAN 2'!$E$11="Burn Engr",'PERHITUNGAN 2'!E47,E47+('regresi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-29.782</v>
      </c>
      <c r="G47" s="90">
        <f>F47-C47</f>
        <v>-1.282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3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-28.5</v>
      </c>
      <c r="D48" s="357"/>
      <c r="E48" s="95">
        <f>AVERAGE(E43:E47)</f>
        <v>-29.782</v>
      </c>
      <c r="F48" s="95">
        <f>AVERAGE(F43:F47)</f>
        <v>-29.782</v>
      </c>
      <c r="G48" s="95">
        <f>SUM(G43:G47)/5</f>
        <v>-1.282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3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0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3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0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3"/>
        <v>0.35</v>
      </c>
      <c r="T50" s="107"/>
    </row>
    <row r="51" spans="1:28" ht="15.5">
      <c r="A51" s="105">
        <v>2</v>
      </c>
      <c r="B51" s="194">
        <v>0</v>
      </c>
      <c r="C51" s="373">
        <v>1.04</v>
      </c>
      <c r="D51" s="374"/>
      <c r="E51" s="90">
        <v>0.19800000000000001</v>
      </c>
      <c r="F51" s="37">
        <f>IF('PERHITUNGAN 2'!$E$11="Burn Engr",'PERHITUNGAN 2'!E51,E51+('regresi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0.19800000000000001</v>
      </c>
      <c r="G51" s="90">
        <f>F51-C51</f>
        <v>-0.84200000000000008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3"/>
        <v>0.5</v>
      </c>
      <c r="T51" s="107"/>
    </row>
    <row r="52" spans="1:28" ht="15.5">
      <c r="A52" s="10"/>
      <c r="C52" s="373">
        <v>1.04</v>
      </c>
      <c r="D52" s="374"/>
      <c r="E52" s="90">
        <v>0.19800000000000001</v>
      </c>
      <c r="F52" s="37">
        <f>IF('PERHITUNGAN 2'!$E$11="Burn Engr",'PERHITUNGAN 2'!E52,E52+('regresi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0.19800000000000001</v>
      </c>
      <c r="G52" s="90">
        <f>F52-C52</f>
        <v>-0.84200000000000008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3"/>
        <v>0.5</v>
      </c>
      <c r="T52" s="107"/>
    </row>
    <row r="53" spans="1:28" ht="15.5">
      <c r="A53" s="10"/>
      <c r="C53" s="373">
        <v>1.04</v>
      </c>
      <c r="D53" s="374"/>
      <c r="E53" s="90">
        <v>0.19800000000000001</v>
      </c>
      <c r="F53" s="37">
        <f>IF('PERHITUNGAN 2'!$E$11="Burn Engr",'PERHITUNGAN 2'!E53,E53+('regresi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0.19800000000000001</v>
      </c>
      <c r="G53" s="90">
        <f>F53-C53</f>
        <v>-0.84200000000000008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1.04</v>
      </c>
      <c r="D54" s="374"/>
      <c r="E54" s="90">
        <v>0.19800000000000001</v>
      </c>
      <c r="F54" s="37">
        <f>IF('PERHITUNGAN 2'!$E$11="Burn Engr",'PERHITUNGAN 2'!E54,E54+('regresi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0.19800000000000001</v>
      </c>
      <c r="G54" s="90">
        <f>F54-C54</f>
        <v>-0.84200000000000008</v>
      </c>
      <c r="H54" s="63"/>
      <c r="I54" s="63"/>
      <c r="AB54" s="1"/>
    </row>
    <row r="55" spans="1:28" ht="13.5" customHeight="1">
      <c r="A55" s="10"/>
      <c r="C55" s="373">
        <v>1.04</v>
      </c>
      <c r="D55" s="374"/>
      <c r="E55" s="90">
        <v>0.19800000000000001</v>
      </c>
      <c r="F55" s="37">
        <f>IF('PERHITUNGAN 2'!$E$11="Burn Engr",'PERHITUNGAN 2'!E55,E55+('regresi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0.19800000000000001</v>
      </c>
      <c r="G55" s="90">
        <f>F55-C55</f>
        <v>-0.84200000000000008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1.04</v>
      </c>
      <c r="D56" s="334"/>
      <c r="E56" s="95">
        <f>AVERAGE(E51:E55)</f>
        <v>0.19800000000000001</v>
      </c>
      <c r="F56" s="95">
        <f t="shared" ref="F56" si="4">AVERAGE(F51:F55)</f>
        <v>0.19800000000000001</v>
      </c>
      <c r="G56" s="95">
        <f>SUM(G51:G55)/5</f>
        <v>-0.84200000000000019</v>
      </c>
      <c r="H56" s="63"/>
      <c r="I56" s="63"/>
      <c r="N56" s="390"/>
      <c r="O56" s="115">
        <f>C48</f>
        <v>-28.5</v>
      </c>
      <c r="P56" s="115">
        <f>C56</f>
        <v>1.04</v>
      </c>
      <c r="Q56" s="115">
        <f>C64</f>
        <v>50.67</v>
      </c>
      <c r="R56" s="115">
        <f>C72</f>
        <v>100.49</v>
      </c>
      <c r="S56" s="115">
        <f>C80</f>
        <v>150.54</v>
      </c>
      <c r="T56" s="115">
        <f>C88</f>
        <v>199.6</v>
      </c>
      <c r="U56" s="115">
        <f>C96</f>
        <v>249.31</v>
      </c>
      <c r="V56" s="115">
        <f>C104</f>
        <v>259.47000000000003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1.2412670766236366E-16</v>
      </c>
      <c r="H57" s="44"/>
      <c r="I57" s="63"/>
      <c r="N57" s="25" t="s">
        <v>152</v>
      </c>
      <c r="O57" s="112">
        <f>$G$49/5^0.5</f>
        <v>0</v>
      </c>
      <c r="P57" s="112">
        <f>$G$57/5^0.5</f>
        <v>5.5511151231257827E-17</v>
      </c>
      <c r="Q57" s="112">
        <f>$G$65/5^0.5</f>
        <v>0</v>
      </c>
      <c r="R57" s="112">
        <f>$G$73/5^0.5</f>
        <v>0</v>
      </c>
      <c r="S57" s="112">
        <f>$G$81/5^0.5</f>
        <v>0</v>
      </c>
      <c r="T57" s="112">
        <f>$G$89/5^0.5</f>
        <v>0</v>
      </c>
      <c r="U57" s="112">
        <f>$G$97/5^0.5</f>
        <v>0</v>
      </c>
      <c r="V57" s="112">
        <f>$G$105/5^0.5</f>
        <v>0</v>
      </c>
      <c r="W57" s="112">
        <f>$G$113/5^0.5</f>
        <v>0</v>
      </c>
      <c r="X57" s="112">
        <f>$G$121/5^0.5</f>
        <v>0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5.5511151231257827E-17</v>
      </c>
      <c r="H58" s="44"/>
      <c r="I58" s="63"/>
      <c r="N58" s="25" t="s">
        <v>153</v>
      </c>
      <c r="O58" s="113">
        <f>IF('DRAFT-SERTIF'!$O$27="Ya",'REGRESI 2'!$C$36,0)</f>
        <v>0.42529472584436817</v>
      </c>
      <c r="P58" s="113">
        <f>IF('DRAFT-SERTIF'!$O$27="Ya",'REGRESI 2'!$C$36,0)</f>
        <v>0.42529472584436817</v>
      </c>
      <c r="Q58" s="113">
        <f>IF('DRAFT-SERTIF'!$O$27="Ya",'REGRESI 2'!$C$36,0)</f>
        <v>0.42529472584436817</v>
      </c>
      <c r="R58" s="113">
        <f>IF('DRAFT-SERTIF'!$O$27="Ya",'REGRESI 2'!$C$36,0)</f>
        <v>0.42529472584436817</v>
      </c>
      <c r="S58" s="113">
        <f>IF('DRAFT-SERTIF'!$O$27="Ya",'REGRESI 2'!$C$36,0)</f>
        <v>0.42529472584436817</v>
      </c>
      <c r="T58" s="113">
        <f>IF('DRAFT-SERTIF'!$O$27="Ya",'REGRESI 2'!$C$36,0)</f>
        <v>0.42529472584436817</v>
      </c>
      <c r="U58" s="113">
        <f>IF('DRAFT-SERTIF'!$O$27="Ya",'REGRESI 2'!$C$36,0)</f>
        <v>0.42529472584436817</v>
      </c>
      <c r="V58" s="113">
        <f>IF('DRAFT-SERTIF'!$O$27="Ya",'REGRESI 2'!$C$36,0)</f>
        <v>0.42529472584436817</v>
      </c>
      <c r="W58" s="113">
        <f>IF('DRAFT-SERTIF'!$O$27="Ya",'REGRESI 2'!$C$36,0)</f>
        <v>0.42529472584436817</v>
      </c>
      <c r="X58" s="113">
        <f>IF('DRAFT-SERTIF'!$O$27="Ya",'REGRESI 2'!$C$36,0)</f>
        <v>0.42529472584436817</v>
      </c>
      <c r="AB58" s="1"/>
    </row>
    <row r="59" spans="1:28" ht="13.5" customHeight="1">
      <c r="A59" s="105">
        <v>3</v>
      </c>
      <c r="B59" s="196">
        <v>50</v>
      </c>
      <c r="C59" s="327">
        <v>50.67</v>
      </c>
      <c r="D59" s="327"/>
      <c r="E59" s="15">
        <v>50.35</v>
      </c>
      <c r="F59" s="37">
        <f>IF('PERHITUNGAN 2'!$E$11="Burn Engr",'PERHITUNGAN 2'!E59,E59+('regresi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50.35</v>
      </c>
      <c r="G59" s="90">
        <f>F59-C59</f>
        <v>-0.32000000000000028</v>
      </c>
      <c r="H59" s="63"/>
      <c r="I59" s="63"/>
      <c r="N59" s="25" t="s">
        <v>154</v>
      </c>
      <c r="O59" s="91">
        <f t="shared" ref="O59:X59" si="5">O40</f>
        <v>0.01</v>
      </c>
      <c r="P59" s="91">
        <f t="shared" si="5"/>
        <v>3.5000000000000003E-2</v>
      </c>
      <c r="Q59" s="91">
        <f t="shared" si="5"/>
        <v>3.5000000000000003E-2</v>
      </c>
      <c r="R59" s="91">
        <f t="shared" si="5"/>
        <v>3.5000000000000003E-2</v>
      </c>
      <c r="S59" s="91">
        <f t="shared" si="5"/>
        <v>3.5000000000000003E-2</v>
      </c>
      <c r="T59" s="91">
        <f t="shared" si="5"/>
        <v>3.5000000000000003E-2</v>
      </c>
      <c r="U59" s="91">
        <f t="shared" si="5"/>
        <v>3.5000000000000003E-2</v>
      </c>
      <c r="V59" s="91">
        <f t="shared" si="5"/>
        <v>3.5000000000000003E-2</v>
      </c>
      <c r="W59" s="91">
        <f t="shared" si="5"/>
        <v>0.01</v>
      </c>
      <c r="X59" s="91">
        <f t="shared" si="5"/>
        <v>0.01</v>
      </c>
    </row>
    <row r="60" spans="1:28">
      <c r="A60" s="10"/>
      <c r="C60" s="327">
        <v>50.67</v>
      </c>
      <c r="D60" s="327"/>
      <c r="E60" s="15">
        <v>50.35</v>
      </c>
      <c r="F60" s="37">
        <f>IF('PERHITUNGAN 2'!$E$11="Burn Engr",'PERHITUNGAN 2'!E60,E60+('regresi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50.35</v>
      </c>
      <c r="G60" s="90">
        <f>F60-C60</f>
        <v>-0.32000000000000028</v>
      </c>
      <c r="H60" s="63"/>
      <c r="I60" s="63"/>
      <c r="N60" s="133" t="s">
        <v>155</v>
      </c>
      <c r="O60" s="134">
        <f>'PERHITUNGAN 1'!O61</f>
        <v>1.5000000000000003E-2</v>
      </c>
      <c r="P60" s="134">
        <f>'PERHITUNGAN 1'!P61</f>
        <v>0.01</v>
      </c>
      <c r="Q60" s="134">
        <f>'PERHITUNGAN 1'!Q61</f>
        <v>5.0000000000000001E-3</v>
      </c>
      <c r="R60" s="134">
        <f>'PERHITUNGAN 1'!R61</f>
        <v>1.4999999999999999E-2</v>
      </c>
      <c r="S60" s="134">
        <f>'PERHITUNGAN 1'!S61</f>
        <v>5.0000000000000001E-3</v>
      </c>
      <c r="T60" s="134">
        <f>'PERHITUNGAN 1'!T61</f>
        <v>0.05</v>
      </c>
      <c r="U60" s="134">
        <f>'PERHITUNGAN 1'!U61</f>
        <v>0.05</v>
      </c>
      <c r="V60" s="134">
        <f>'PERHITUNGAN 1'!V61</f>
        <v>1.5000000000000003E-2</v>
      </c>
      <c r="W60" s="134">
        <f>'PERHITUNGAN 1'!W61</f>
        <v>1.4999999999999999E-2</v>
      </c>
      <c r="X60" s="134">
        <f>'PERHITUNGAN 1'!X61</f>
        <v>1.4999999999999999E-2</v>
      </c>
    </row>
    <row r="61" spans="1:28">
      <c r="A61" s="10"/>
      <c r="C61" s="327">
        <v>50.67</v>
      </c>
      <c r="D61" s="327"/>
      <c r="E61" s="15">
        <v>50.35</v>
      </c>
      <c r="F61" s="37">
        <f>IF('PERHITUNGAN 2'!$E$11="Burn Engr",'PERHITUNGAN 2'!E61,E61+('regresi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50.35</v>
      </c>
      <c r="G61" s="90">
        <f>F61-C61</f>
        <v>-0.32000000000000028</v>
      </c>
      <c r="H61" s="63"/>
      <c r="I61" s="63"/>
      <c r="N61" s="25" t="s">
        <v>156</v>
      </c>
      <c r="O61" s="114">
        <f>(0.1*O38)/SQRT(3)</f>
        <v>1.1547005383792516E-3</v>
      </c>
      <c r="P61" s="114">
        <f t="shared" ref="P61:X61" si="6">(0.1*P38)/SQRT(3)</f>
        <v>4.041451884327381E-3</v>
      </c>
      <c r="Q61" s="114">
        <f t="shared" si="6"/>
        <v>4.041451884327381E-3</v>
      </c>
      <c r="R61" s="114">
        <f t="shared" si="6"/>
        <v>4.041451884327381E-3</v>
      </c>
      <c r="S61" s="114">
        <f t="shared" si="6"/>
        <v>4.041451884327381E-3</v>
      </c>
      <c r="T61" s="114">
        <f t="shared" si="6"/>
        <v>4.041451884327381E-3</v>
      </c>
      <c r="U61" s="114">
        <f t="shared" si="6"/>
        <v>4.041451884327381E-3</v>
      </c>
      <c r="V61" s="114">
        <f t="shared" si="6"/>
        <v>4.041451884327381E-3</v>
      </c>
      <c r="W61" s="114">
        <f t="shared" si="6"/>
        <v>1.1547005383792516E-3</v>
      </c>
      <c r="X61" s="114">
        <f t="shared" si="6"/>
        <v>1.1547005383792516E-3</v>
      </c>
    </row>
    <row r="62" spans="1:28">
      <c r="A62" s="10"/>
      <c r="C62" s="327">
        <v>50.67</v>
      </c>
      <c r="D62" s="327"/>
      <c r="E62" s="15">
        <v>50.35</v>
      </c>
      <c r="F62" s="37">
        <f>IF('PERHITUNGAN 2'!$E$11="Burn Engr",'PERHITUNGAN 2'!E62,E62+('regresi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50.35</v>
      </c>
      <c r="G62" s="90">
        <f>F62-C62</f>
        <v>-0.32000000000000028</v>
      </c>
      <c r="H62" s="63"/>
      <c r="I62" s="63"/>
      <c r="N62" s="25" t="s">
        <v>157</v>
      </c>
      <c r="O62" s="114">
        <f t="shared" ref="O62:X62" si="7">$T$28</f>
        <v>2.886751345948129E-3</v>
      </c>
      <c r="P62" s="114">
        <f t="shared" si="7"/>
        <v>2.886751345948129E-3</v>
      </c>
      <c r="Q62" s="114">
        <f t="shared" si="7"/>
        <v>2.886751345948129E-3</v>
      </c>
      <c r="R62" s="114">
        <f t="shared" si="7"/>
        <v>2.886751345948129E-3</v>
      </c>
      <c r="S62" s="114">
        <f t="shared" si="7"/>
        <v>2.886751345948129E-3</v>
      </c>
      <c r="T62" s="114">
        <f t="shared" si="7"/>
        <v>2.886751345948129E-3</v>
      </c>
      <c r="U62" s="114">
        <f t="shared" si="7"/>
        <v>2.886751345948129E-3</v>
      </c>
      <c r="V62" s="114">
        <f t="shared" si="7"/>
        <v>2.886751345948129E-3</v>
      </c>
      <c r="W62" s="114">
        <f t="shared" si="7"/>
        <v>2.886751345948129E-3</v>
      </c>
      <c r="X62" s="114">
        <f t="shared" si="7"/>
        <v>2.886751345948129E-3</v>
      </c>
    </row>
    <row r="63" spans="1:28">
      <c r="A63" s="10"/>
      <c r="C63" s="327">
        <v>50.67</v>
      </c>
      <c r="D63" s="327"/>
      <c r="E63" s="15">
        <v>50.35</v>
      </c>
      <c r="F63" s="37">
        <f>IF('PERHITUNGAN 2'!$E$11="Burn Engr",'PERHITUNGAN 2'!E63,E63+('regresi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50.35</v>
      </c>
      <c r="G63" s="90">
        <f>F63-C63</f>
        <v>-0.32000000000000028</v>
      </c>
      <c r="H63" s="63"/>
      <c r="I63" s="63"/>
      <c r="N63" s="25" t="s">
        <v>158</v>
      </c>
      <c r="O63" s="114">
        <f t="shared" ref="O63:X63" si="8">$T$26</f>
        <v>2.886751345948129E-4</v>
      </c>
      <c r="P63" s="114">
        <f t="shared" si="8"/>
        <v>2.886751345948129E-4</v>
      </c>
      <c r="Q63" s="114">
        <f t="shared" si="8"/>
        <v>2.886751345948129E-4</v>
      </c>
      <c r="R63" s="114">
        <f t="shared" si="8"/>
        <v>2.886751345948129E-4</v>
      </c>
      <c r="S63" s="114">
        <f t="shared" si="8"/>
        <v>2.886751345948129E-4</v>
      </c>
      <c r="T63" s="114">
        <f t="shared" si="8"/>
        <v>2.886751345948129E-4</v>
      </c>
      <c r="U63" s="114">
        <f t="shared" si="8"/>
        <v>2.886751345948129E-4</v>
      </c>
      <c r="V63" s="114">
        <f t="shared" si="8"/>
        <v>2.886751345948129E-4</v>
      </c>
      <c r="W63" s="114">
        <f t="shared" si="8"/>
        <v>2.886751345948129E-4</v>
      </c>
      <c r="X63" s="114">
        <f t="shared" si="8"/>
        <v>2.886751345948129E-4</v>
      </c>
    </row>
    <row r="64" spans="1:28">
      <c r="A64" s="10"/>
      <c r="B64" s="8" t="s">
        <v>31</v>
      </c>
      <c r="C64" s="333">
        <f>AVERAGE(C59:D63)</f>
        <v>50.67</v>
      </c>
      <c r="D64" s="334"/>
      <c r="E64" s="95">
        <f>AVERAGE(E59:E63)</f>
        <v>50.35</v>
      </c>
      <c r="F64" s="95">
        <f t="shared" ref="F64" si="9">AVERAGE(F59:F63)</f>
        <v>50.35</v>
      </c>
      <c r="G64" s="95">
        <f>SUM(G59:G63)/5</f>
        <v>-0.32000000000000028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10">10^10</f>
        <v>10000000000</v>
      </c>
      <c r="Q66" s="53">
        <f t="shared" si="10"/>
        <v>10000000000</v>
      </c>
      <c r="R66" s="53">
        <f t="shared" si="10"/>
        <v>10000000000</v>
      </c>
      <c r="S66" s="53">
        <f t="shared" si="10"/>
        <v>10000000000</v>
      </c>
      <c r="T66" s="53">
        <f t="shared" si="10"/>
        <v>10000000000</v>
      </c>
      <c r="U66" s="53">
        <f t="shared" si="10"/>
        <v>10000000000</v>
      </c>
      <c r="V66" s="53">
        <f t="shared" si="10"/>
        <v>10000000000</v>
      </c>
      <c r="W66" s="53">
        <f t="shared" si="10"/>
        <v>10000000000</v>
      </c>
      <c r="X66" s="53">
        <f t="shared" si="10"/>
        <v>10000000000</v>
      </c>
    </row>
    <row r="67" spans="1:28">
      <c r="A67" s="105">
        <v>4</v>
      </c>
      <c r="B67" s="196">
        <v>100</v>
      </c>
      <c r="C67" s="327">
        <v>100.49</v>
      </c>
      <c r="D67" s="327"/>
      <c r="E67" s="90">
        <v>99.888000000000005</v>
      </c>
      <c r="F67" s="37">
        <f>IF('PERHITUNGAN 2'!$E$11="Burn Engr",'PERHITUNGAN 2'!E67,E67+('regresi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99.888000000000005</v>
      </c>
      <c r="G67" s="90">
        <f>F67-C67</f>
        <v>-0.60199999999998965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100.49</v>
      </c>
      <c r="D68" s="327"/>
      <c r="E68" s="90">
        <v>99.888000000000005</v>
      </c>
      <c r="F68" s="37">
        <f>IF('PERHITUNGAN 2'!$E$11="Burn Engr",'PERHITUNGAN 2'!E68,E68+('regresi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99.888000000000005</v>
      </c>
      <c r="G68" s="90">
        <f>F68-C68</f>
        <v>-0.60199999999998965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100.49</v>
      </c>
      <c r="D69" s="327"/>
      <c r="E69" s="90">
        <v>99.888000000000005</v>
      </c>
      <c r="F69" s="37">
        <f>IF('PERHITUNGAN 2'!$E$11="Burn Engr",'PERHITUNGAN 2'!E69,E69+('regresi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99.888000000000005</v>
      </c>
      <c r="G69" s="90">
        <f>F69-C69</f>
        <v>-0.60199999999998965</v>
      </c>
      <c r="H69" s="63"/>
      <c r="I69" s="63"/>
      <c r="N69" s="25" t="s">
        <v>163</v>
      </c>
      <c r="O69" s="53">
        <f t="shared" ref="O69:X71" si="11">10^10</f>
        <v>10000000000</v>
      </c>
      <c r="P69" s="53">
        <f t="shared" si="11"/>
        <v>10000000000</v>
      </c>
      <c r="Q69" s="53">
        <f t="shared" si="11"/>
        <v>10000000000</v>
      </c>
      <c r="R69" s="53">
        <f t="shared" si="11"/>
        <v>10000000000</v>
      </c>
      <c r="S69" s="53">
        <f t="shared" si="11"/>
        <v>10000000000</v>
      </c>
      <c r="T69" s="53">
        <f t="shared" si="11"/>
        <v>10000000000</v>
      </c>
      <c r="U69" s="53">
        <f t="shared" si="11"/>
        <v>10000000000</v>
      </c>
      <c r="V69" s="53">
        <f t="shared" si="11"/>
        <v>10000000000</v>
      </c>
      <c r="W69" s="53">
        <f t="shared" si="11"/>
        <v>10000000000</v>
      </c>
      <c r="X69" s="53">
        <f t="shared" si="11"/>
        <v>10000000000</v>
      </c>
      <c r="AB69" s="1"/>
    </row>
    <row r="70" spans="1:28">
      <c r="A70" s="10"/>
      <c r="C70" s="327">
        <v>100.49</v>
      </c>
      <c r="D70" s="327"/>
      <c r="E70" s="90">
        <v>99.888000000000005</v>
      </c>
      <c r="F70" s="37">
        <f>IF('PERHITUNGAN 2'!$E$11="Burn Engr",'PERHITUNGAN 2'!E70,E70+('regresi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99.888000000000005</v>
      </c>
      <c r="G70" s="90">
        <f>F70-C70</f>
        <v>-0.60199999999998965</v>
      </c>
      <c r="H70" s="63"/>
      <c r="I70" s="63"/>
      <c r="N70" s="25" t="s">
        <v>164</v>
      </c>
      <c r="O70" s="53">
        <f t="shared" si="11"/>
        <v>10000000000</v>
      </c>
      <c r="P70" s="53">
        <f t="shared" si="11"/>
        <v>10000000000</v>
      </c>
      <c r="Q70" s="53">
        <f t="shared" si="11"/>
        <v>10000000000</v>
      </c>
      <c r="R70" s="53">
        <f t="shared" si="11"/>
        <v>10000000000</v>
      </c>
      <c r="S70" s="53">
        <f t="shared" si="11"/>
        <v>10000000000</v>
      </c>
      <c r="T70" s="53">
        <f t="shared" si="11"/>
        <v>10000000000</v>
      </c>
      <c r="U70" s="53">
        <f t="shared" si="11"/>
        <v>10000000000</v>
      </c>
      <c r="V70" s="53">
        <f t="shared" si="11"/>
        <v>10000000000</v>
      </c>
      <c r="W70" s="53">
        <f t="shared" si="11"/>
        <v>10000000000</v>
      </c>
      <c r="X70" s="53">
        <f t="shared" si="11"/>
        <v>10000000000</v>
      </c>
      <c r="AB70" s="1"/>
    </row>
    <row r="71" spans="1:28">
      <c r="A71" s="10"/>
      <c r="C71" s="327">
        <v>100.49</v>
      </c>
      <c r="D71" s="327"/>
      <c r="E71" s="90">
        <v>99.888000000000005</v>
      </c>
      <c r="F71" s="37">
        <f>IF('PERHITUNGAN 2'!$E$11="Burn Engr",'PERHITUNGAN 2'!E71,E71+('regresi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99.888000000000005</v>
      </c>
      <c r="G71" s="90">
        <f>F71-C71</f>
        <v>-0.60199999999998965</v>
      </c>
      <c r="H71" s="63"/>
      <c r="I71" s="63"/>
      <c r="N71" s="25" t="s">
        <v>165</v>
      </c>
      <c r="O71" s="53">
        <f t="shared" si="11"/>
        <v>10000000000</v>
      </c>
      <c r="P71" s="53">
        <f t="shared" si="11"/>
        <v>10000000000</v>
      </c>
      <c r="Q71" s="53">
        <f t="shared" si="11"/>
        <v>10000000000</v>
      </c>
      <c r="R71" s="53">
        <f t="shared" si="11"/>
        <v>10000000000</v>
      </c>
      <c r="S71" s="53">
        <f t="shared" si="11"/>
        <v>10000000000</v>
      </c>
      <c r="T71" s="53">
        <f t="shared" si="11"/>
        <v>10000000000</v>
      </c>
      <c r="U71" s="53">
        <f t="shared" si="11"/>
        <v>10000000000</v>
      </c>
      <c r="V71" s="53">
        <f t="shared" si="11"/>
        <v>10000000000</v>
      </c>
      <c r="W71" s="53">
        <f t="shared" si="11"/>
        <v>10000000000</v>
      </c>
      <c r="X71" s="53">
        <f t="shared" si="11"/>
        <v>10000000000</v>
      </c>
      <c r="AB71" s="1"/>
    </row>
    <row r="72" spans="1:28">
      <c r="A72" s="10"/>
      <c r="B72" s="8" t="s">
        <v>31</v>
      </c>
      <c r="C72" s="333">
        <f>AVERAGE(C67:D71)</f>
        <v>100.49</v>
      </c>
      <c r="D72" s="334"/>
      <c r="E72" s="95">
        <f>AVERAGE(E67:E71)</f>
        <v>99.888000000000005</v>
      </c>
      <c r="F72" s="95">
        <f t="shared" ref="F72" si="12">AVERAGE(F67:F71)</f>
        <v>99.888000000000005</v>
      </c>
      <c r="G72" s="95">
        <f>SUM(G67:G71)/5</f>
        <v>-0.60199999999998965</v>
      </c>
      <c r="H72" s="63"/>
      <c r="I72" s="63"/>
      <c r="N72" s="111" t="s">
        <v>168</v>
      </c>
      <c r="O72" s="118">
        <f>SQRT((O57^2)+(O58^2)+(O59^2)+(O60^2)+(O61^2)+(O62^2)+(O63^2))</f>
        <v>0.42568809453758077</v>
      </c>
      <c r="P72" s="118">
        <f t="shared" ref="P72:X72" si="13">SQRT((P57^2)+(P58^2)+(P59^2)+(P60^2)+(P61^2)+(P62^2)+(P63^2))</f>
        <v>0.42687861720989995</v>
      </c>
      <c r="Q72" s="118">
        <f t="shared" si="13"/>
        <v>0.42679076118284975</v>
      </c>
      <c r="R72" s="118">
        <f t="shared" si="13"/>
        <v>0.42702500375392111</v>
      </c>
      <c r="S72" s="118">
        <f t="shared" si="13"/>
        <v>0.42679076118284975</v>
      </c>
      <c r="T72" s="118">
        <f t="shared" si="13"/>
        <v>0.4296805253104175</v>
      </c>
      <c r="U72" s="118">
        <f t="shared" si="13"/>
        <v>0.4296805253104175</v>
      </c>
      <c r="V72" s="118">
        <f t="shared" si="13"/>
        <v>0.42702500375392111</v>
      </c>
      <c r="W72" s="118">
        <f t="shared" si="13"/>
        <v>0.42568809453758077</v>
      </c>
      <c r="X72" s="118">
        <f t="shared" si="13"/>
        <v>0.42568809453758077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32393777.719209027</v>
      </c>
      <c r="P73" s="120">
        <f t="shared" ref="P73:X73" si="14">(P72^4)/((P57^4/P65)+(P58^4/P66)+(P59^4/P67)+(P60^4/P68)+(P61^4/P69)+(P62^4/P70)+(P63^4/P71))</f>
        <v>1318729.6076174947</v>
      </c>
      <c r="Q73" s="120">
        <f t="shared" si="14"/>
        <v>1325871.6542002941</v>
      </c>
      <c r="R73" s="120">
        <f t="shared" si="14"/>
        <v>1285960.7824018642</v>
      </c>
      <c r="S73" s="120">
        <f t="shared" si="14"/>
        <v>1325871.6542002941</v>
      </c>
      <c r="T73" s="120">
        <f t="shared" si="14"/>
        <v>263867.68557214626</v>
      </c>
      <c r="U73" s="120">
        <f t="shared" si="14"/>
        <v>263867.68557214626</v>
      </c>
      <c r="V73" s="120">
        <f t="shared" si="14"/>
        <v>1285960.7824018642</v>
      </c>
      <c r="W73" s="120">
        <f t="shared" si="14"/>
        <v>32393777.719209041</v>
      </c>
      <c r="X73" s="120">
        <f t="shared" si="14"/>
        <v>32393777.719209041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1.9599640584899687</v>
      </c>
      <c r="P74" s="123">
        <f t="shared" ref="P74:X74" si="15">_xlfn.T.INV.2T(0.05,P73)</f>
        <v>1.9599657834617177</v>
      </c>
      <c r="Q74" s="123">
        <f t="shared" si="15"/>
        <v>1.9599657737805904</v>
      </c>
      <c r="R74" s="123">
        <f t="shared" si="15"/>
        <v>1.9599658293227769</v>
      </c>
      <c r="S74" s="123">
        <f t="shared" si="15"/>
        <v>1.9599657737805904</v>
      </c>
      <c r="T74" s="123">
        <f t="shared" si="15"/>
        <v>1.9599729749762345</v>
      </c>
      <c r="U74" s="123">
        <f t="shared" si="15"/>
        <v>1.9599729749762345</v>
      </c>
      <c r="V74" s="123">
        <f t="shared" si="15"/>
        <v>1.9599658293227769</v>
      </c>
      <c r="W74" s="123">
        <f t="shared" si="15"/>
        <v>1.9599640584899687</v>
      </c>
      <c r="X74" s="123">
        <f t="shared" si="15"/>
        <v>1.9599640584899687</v>
      </c>
      <c r="Z74" s="124"/>
      <c r="AB74" s="1"/>
    </row>
    <row r="75" spans="1:28">
      <c r="A75" s="105">
        <v>5</v>
      </c>
      <c r="B75" s="196">
        <v>150</v>
      </c>
      <c r="C75" s="327">
        <v>150.54</v>
      </c>
      <c r="D75" s="327"/>
      <c r="E75" s="90">
        <v>149.71799999999999</v>
      </c>
      <c r="F75" s="37">
        <f>IF('PERHITUNGAN 2'!$E$11="Burn Engr",'PERHITUNGAN 2'!E75,E75+('regresi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149.71799999999999</v>
      </c>
      <c r="G75" s="90">
        <f>F75-C75</f>
        <v>-0.82200000000000273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150.54</v>
      </c>
      <c r="D76" s="327"/>
      <c r="E76" s="90">
        <v>149.71799999999999</v>
      </c>
      <c r="F76" s="37">
        <f>IF('PERHITUNGAN 2'!$E$11="Burn Engr",'PERHITUNGAN 2'!E76,E76+('regresi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149.71799999999999</v>
      </c>
      <c r="G76" s="90">
        <f>F76-C76</f>
        <v>-0.82200000000000273</v>
      </c>
      <c r="H76" s="63"/>
      <c r="I76" s="63"/>
      <c r="N76" s="111" t="s">
        <v>166</v>
      </c>
      <c r="O76" s="121">
        <f t="shared" ref="O76:X76" si="16">O72*O74</f>
        <v>0.83433336542073833</v>
      </c>
      <c r="P76" s="121">
        <f t="shared" si="16"/>
        <v>0.83666748342285624</v>
      </c>
      <c r="Q76" s="121">
        <f t="shared" si="16"/>
        <v>0.83649528448415134</v>
      </c>
      <c r="R76" s="121">
        <f t="shared" si="16"/>
        <v>0.83695441562411588</v>
      </c>
      <c r="S76" s="121">
        <f t="shared" si="16"/>
        <v>0.83649528448415134</v>
      </c>
      <c r="T76" s="121">
        <f t="shared" si="16"/>
        <v>0.84216221748201026</v>
      </c>
      <c r="U76" s="121">
        <f t="shared" si="16"/>
        <v>0.84216221748201026</v>
      </c>
      <c r="V76" s="121">
        <f t="shared" si="16"/>
        <v>0.83695441562411588</v>
      </c>
      <c r="W76" s="121">
        <f t="shared" si="16"/>
        <v>0.83433336542073833</v>
      </c>
      <c r="X76" s="121">
        <f t="shared" si="16"/>
        <v>0.83433336542073833</v>
      </c>
      <c r="AB76" s="1"/>
    </row>
    <row r="77" spans="1:28">
      <c r="A77" s="10"/>
      <c r="C77" s="327">
        <v>150.54</v>
      </c>
      <c r="D77" s="327"/>
      <c r="E77" s="90">
        <v>149.71799999999999</v>
      </c>
      <c r="F77" s="37">
        <f>IF('PERHITUNGAN 2'!$E$11="Burn Engr",'PERHITUNGAN 2'!E77,E77+('regresi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149.71799999999999</v>
      </c>
      <c r="G77" s="90">
        <f>F77-C77</f>
        <v>-0.82200000000000273</v>
      </c>
      <c r="H77" s="63"/>
      <c r="I77" s="63"/>
      <c r="AB77" s="1"/>
    </row>
    <row r="78" spans="1:28">
      <c r="A78" s="10"/>
      <c r="C78" s="327">
        <v>150.54</v>
      </c>
      <c r="D78" s="327"/>
      <c r="E78" s="90">
        <v>149.71799999999999</v>
      </c>
      <c r="F78" s="37">
        <f>IF('PERHITUNGAN 2'!$E$11="Burn Engr",'PERHITUNGAN 2'!E78,E78+('regresi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149.71799999999999</v>
      </c>
      <c r="G78" s="90">
        <f>F78-C78</f>
        <v>-0.82200000000000273</v>
      </c>
      <c r="H78" s="26"/>
      <c r="I78" s="26"/>
      <c r="AB78" s="1"/>
    </row>
    <row r="79" spans="1:28">
      <c r="A79" s="10"/>
      <c r="C79" s="327">
        <v>150.54</v>
      </c>
      <c r="D79" s="327"/>
      <c r="E79" s="90">
        <v>149.71799999999999</v>
      </c>
      <c r="F79" s="37">
        <f>IF('PERHITUNGAN 2'!$E$11="Burn Engr",'PERHITUNGAN 2'!E79,E79+('regresi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149.71799999999999</v>
      </c>
      <c r="G79" s="90">
        <f>F79-C79</f>
        <v>-0.82200000000000273</v>
      </c>
      <c r="AB79" s="1"/>
    </row>
    <row r="80" spans="1:28">
      <c r="A80" s="10"/>
      <c r="B80" s="8" t="s">
        <v>31</v>
      </c>
      <c r="C80" s="333">
        <f>AVERAGE(C75:D79)</f>
        <v>150.54</v>
      </c>
      <c r="D80" s="334"/>
      <c r="E80" s="95">
        <f>AVERAGE(E75:E79)</f>
        <v>149.71799999999999</v>
      </c>
      <c r="F80" s="95">
        <f t="shared" ref="F80" si="17">AVERAGE(F75:F79)</f>
        <v>149.71799999999999</v>
      </c>
      <c r="G80" s="95">
        <f>SUM(G75:G79)/5</f>
        <v>-0.82200000000000273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200</v>
      </c>
      <c r="C83" s="327">
        <v>199.6</v>
      </c>
      <c r="D83" s="327"/>
      <c r="E83" s="90">
        <v>199.46600000000001</v>
      </c>
      <c r="F83" s="37">
        <f>IF('PERHITUNGAN 2'!$E$11="Burn Engr",'PERHITUNGAN 2'!E83,E83+('regresi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199.46600000000001</v>
      </c>
      <c r="G83" s="40">
        <f>F83-C83</f>
        <v>-0.13399999999998613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199.6</v>
      </c>
      <c r="D84" s="327"/>
      <c r="E84" s="90">
        <v>199.46600000000001</v>
      </c>
      <c r="F84" s="37">
        <f>IF('PERHITUNGAN 2'!$E$11="Burn Engr",'PERHITUNGAN 2'!E84,E84+('regresi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199.46600000000001</v>
      </c>
      <c r="G84" s="40">
        <f>F84-C84</f>
        <v>-0.13399999999998613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199.6</v>
      </c>
      <c r="D85" s="327"/>
      <c r="E85" s="90">
        <v>199.46600000000001</v>
      </c>
      <c r="F85" s="37">
        <f>IF('PERHITUNGAN 2'!$E$11="Burn Engr",'PERHITUNGAN 2'!E85,E85+('regresi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199.46600000000001</v>
      </c>
      <c r="G85" s="40">
        <f>F85-C85</f>
        <v>-0.13399999999998613</v>
      </c>
      <c r="H85" s="26"/>
      <c r="I85" s="26"/>
      <c r="N85" s="93">
        <f>O56</f>
        <v>-28.5</v>
      </c>
      <c r="O85" s="403">
        <f>G48</f>
        <v>-1.282</v>
      </c>
      <c r="P85" s="404"/>
      <c r="Q85" s="387">
        <f t="shared" ref="Q85:Q94" si="18">N85+O85</f>
        <v>-29.782</v>
      </c>
      <c r="R85" s="405"/>
      <c r="S85" s="138" t="s">
        <v>35</v>
      </c>
      <c r="T85" s="94">
        <f>IF(N85&lt;$AA$98,MAX($O$97,O76),IF(N85&lt;$AA$99,MAX($O$98,O76),IF(N85&lt;300,MAX(0.707,O76),MAX($O$99,O76))))</f>
        <v>0.83433336542073833</v>
      </c>
      <c r="AB85" s="1"/>
    </row>
    <row r="86" spans="1:28">
      <c r="A86" s="10"/>
      <c r="C86" s="327">
        <v>199.6</v>
      </c>
      <c r="D86" s="327"/>
      <c r="E86" s="90">
        <v>199.46600000000001</v>
      </c>
      <c r="F86" s="37">
        <f>IF('PERHITUNGAN 2'!$E$11="Burn Engr",'PERHITUNGAN 2'!E86,E86+('regresi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199.46600000000001</v>
      </c>
      <c r="G86" s="40">
        <f>F86-C86</f>
        <v>-0.13399999999998613</v>
      </c>
      <c r="H86" s="63"/>
      <c r="I86" s="63"/>
      <c r="N86" s="93">
        <f>P56</f>
        <v>1.04</v>
      </c>
      <c r="O86" s="403">
        <f>G56</f>
        <v>-0.84200000000000019</v>
      </c>
      <c r="P86" s="404"/>
      <c r="Q86" s="406">
        <f t="shared" si="18"/>
        <v>0.19799999999999984</v>
      </c>
      <c r="R86" s="407"/>
      <c r="S86" s="138" t="s">
        <v>35</v>
      </c>
      <c r="T86" s="94">
        <f>IF(N86&lt;$AA$97,MAX($O$97,P76),IF(N86&lt;$AA$98,MAX($O$98,P76),MAX($O$99,P76)))</f>
        <v>0.83666748342285624</v>
      </c>
      <c r="AB86" s="1"/>
    </row>
    <row r="87" spans="1:28">
      <c r="A87" s="10"/>
      <c r="C87" s="327">
        <v>199.6</v>
      </c>
      <c r="D87" s="327"/>
      <c r="E87" s="90">
        <v>199.46600000000001</v>
      </c>
      <c r="F87" s="37">
        <f>IF('PERHITUNGAN 2'!$E$11="Burn Engr",'PERHITUNGAN 2'!E87,E87+('regresi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199.46600000000001</v>
      </c>
      <c r="G87" s="41">
        <f>F87-C87</f>
        <v>-0.13399999999998613</v>
      </c>
      <c r="H87" s="63"/>
      <c r="I87" s="63"/>
      <c r="N87" s="93">
        <f>Q56</f>
        <v>50.67</v>
      </c>
      <c r="O87" s="403">
        <f>G64</f>
        <v>-0.32000000000000028</v>
      </c>
      <c r="P87" s="404"/>
      <c r="Q87" s="406">
        <f t="shared" si="18"/>
        <v>50.35</v>
      </c>
      <c r="R87" s="407"/>
      <c r="S87" s="138" t="s">
        <v>35</v>
      </c>
      <c r="T87" s="94">
        <f>IF(N87&lt;$AA$97,MAX($O$97,Q76),IF(N87&lt;$AA$98,MAX($O$98,Q76),MAX($O$99,Q76)))</f>
        <v>0.83649528448415134</v>
      </c>
      <c r="AB87" s="1"/>
    </row>
    <row r="88" spans="1:28">
      <c r="A88" s="10"/>
      <c r="B88" s="8" t="s">
        <v>31</v>
      </c>
      <c r="C88" s="333">
        <f>AVERAGE(C83:D87)</f>
        <v>199.6</v>
      </c>
      <c r="D88" s="334"/>
      <c r="E88" s="95">
        <f>AVERAGE(E83:E87)</f>
        <v>199.46600000000001</v>
      </c>
      <c r="F88" s="95">
        <f t="shared" ref="F88" si="19">AVERAGE(F83:F87)</f>
        <v>199.46600000000001</v>
      </c>
      <c r="G88" s="95">
        <f>SUM(G83:G87)/5</f>
        <v>-0.13399999999998613</v>
      </c>
      <c r="H88" s="63"/>
      <c r="I88" s="63"/>
      <c r="N88" s="93">
        <f>R56</f>
        <v>100.49</v>
      </c>
      <c r="O88" s="403">
        <f>G72</f>
        <v>-0.60199999999998965</v>
      </c>
      <c r="P88" s="404"/>
      <c r="Q88" s="406">
        <f t="shared" si="18"/>
        <v>99.888000000000005</v>
      </c>
      <c r="R88" s="407"/>
      <c r="S88" s="138" t="s">
        <v>35</v>
      </c>
      <c r="T88" s="94">
        <f>IF(N88&lt;$AA$97,MAX($O$97,R76),IF(N88&lt;$AA$98,MAX($O$98,R76),MAX($O$99,R76)))</f>
        <v>0.83695441562411588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150.54</v>
      </c>
      <c r="O89" s="403">
        <f>G80</f>
        <v>-0.82200000000000273</v>
      </c>
      <c r="P89" s="404"/>
      <c r="Q89" s="406">
        <f t="shared" si="18"/>
        <v>149.71799999999999</v>
      </c>
      <c r="R89" s="407"/>
      <c r="S89" s="138" t="s">
        <v>35</v>
      </c>
      <c r="T89" s="94">
        <f>IF(N89&lt;$AA$97,MAX($O$97,S76),IF(N89&lt;$AA$98,MAX($O$98,S76),MAX($O$99,S76)))</f>
        <v>0.83649528448415134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199.6</v>
      </c>
      <c r="O90" s="403">
        <f>G88</f>
        <v>-0.13399999999998613</v>
      </c>
      <c r="P90" s="404"/>
      <c r="Q90" s="406">
        <f t="shared" si="18"/>
        <v>199.46600000000001</v>
      </c>
      <c r="R90" s="407"/>
      <c r="S90" s="138" t="s">
        <v>35</v>
      </c>
      <c r="T90" s="94">
        <f>IF(N90&lt;$AA$97,MAX($O$97,T76),IF(N90&lt;$AA$98,MAX($O$98,T76),MAX($O$99,T76)))</f>
        <v>0.84216221748201026</v>
      </c>
      <c r="AB90" s="1"/>
    </row>
    <row r="91" spans="1:28">
      <c r="A91" s="105">
        <v>7</v>
      </c>
      <c r="B91" s="196">
        <v>250</v>
      </c>
      <c r="C91" s="327">
        <v>249.31</v>
      </c>
      <c r="D91" s="327"/>
      <c r="E91" s="90">
        <v>249.47900000000001</v>
      </c>
      <c r="F91" s="37">
        <f>IF('PERHITUNGAN 2'!$E$11="Burn Engr",'PERHITUNGAN 2'!E91,E91+('regresi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249.47900000000001</v>
      </c>
      <c r="G91" s="40">
        <f>F91-C91</f>
        <v>0.16900000000001114</v>
      </c>
      <c r="H91" s="63"/>
      <c r="I91" s="63"/>
      <c r="N91" s="93">
        <f>U56</f>
        <v>249.31</v>
      </c>
      <c r="O91" s="403">
        <f>G96</f>
        <v>0.16900000000001114</v>
      </c>
      <c r="P91" s="404"/>
      <c r="Q91" s="406">
        <f t="shared" si="18"/>
        <v>249.47900000000001</v>
      </c>
      <c r="R91" s="407"/>
      <c r="S91" s="138" t="s">
        <v>35</v>
      </c>
      <c r="T91" s="94">
        <f>IF(N91&lt;$AA$97,MAX($O$97,U76),IF(N91&lt;$AA$98,MAX($O$98,U76),MAX($O$99,U76)))</f>
        <v>0.84216221748201026</v>
      </c>
      <c r="AB91" s="1"/>
    </row>
    <row r="92" spans="1:28">
      <c r="A92" s="10"/>
      <c r="C92" s="327">
        <v>249.31</v>
      </c>
      <c r="D92" s="327"/>
      <c r="E92" s="90">
        <v>249.47900000000001</v>
      </c>
      <c r="F92" s="37">
        <f>IF('PERHITUNGAN 2'!$E$11="Burn Engr",'PERHITUNGAN 2'!E92,E92+('regresi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249.47900000000001</v>
      </c>
      <c r="G92" s="40">
        <f>F92-C92</f>
        <v>0.16900000000001114</v>
      </c>
      <c r="H92" s="44"/>
      <c r="I92" s="63"/>
      <c r="N92" s="93">
        <f>V56</f>
        <v>259.47000000000003</v>
      </c>
      <c r="O92" s="403">
        <f>G104</f>
        <v>8.4999999999979536E-2</v>
      </c>
      <c r="P92" s="404"/>
      <c r="Q92" s="406">
        <f t="shared" si="18"/>
        <v>259.55500000000001</v>
      </c>
      <c r="R92" s="407"/>
      <c r="S92" s="138" t="s">
        <v>35</v>
      </c>
      <c r="T92" s="94">
        <f>IF(N92&lt;$AA$97,MAX($O$97,V76),IF(N92&lt;$AA$98,MAX($O$98,V76),MAX($O$99,V76)))</f>
        <v>1.8</v>
      </c>
      <c r="AB92" s="1"/>
    </row>
    <row r="93" spans="1:28">
      <c r="A93" s="10"/>
      <c r="C93" s="327">
        <v>249.31</v>
      </c>
      <c r="D93" s="327"/>
      <c r="E93" s="90">
        <v>249.47900000000001</v>
      </c>
      <c r="F93" s="37">
        <f>IF('PERHITUNGAN 2'!$E$11="Burn Engr",'PERHITUNGAN 2'!E93,E93+('regresi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249.47900000000001</v>
      </c>
      <c r="G93" s="40">
        <f>F93-C93</f>
        <v>0.16900000000001114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8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249.31</v>
      </c>
      <c r="D94" s="327"/>
      <c r="E94" s="90">
        <v>249.47900000000001</v>
      </c>
      <c r="F94" s="37">
        <f>IF('PERHITUNGAN 2'!$E$11="Burn Engr",'PERHITUNGAN 2'!E94,E94+('regresi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249.47900000000001</v>
      </c>
      <c r="G94" s="40">
        <f>F94-C94</f>
        <v>0.16900000000001114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8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249.31</v>
      </c>
      <c r="D95" s="327"/>
      <c r="E95" s="90">
        <v>249.47900000000001</v>
      </c>
      <c r="F95" s="37">
        <f>IF('PERHITUNGAN 2'!$E$11="Burn Engr",'PERHITUNGAN 2'!E95,E95+('regresi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249.47900000000001</v>
      </c>
      <c r="G95" s="41">
        <f>F95-C95</f>
        <v>0.16900000000001114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249.31</v>
      </c>
      <c r="D96" s="334"/>
      <c r="E96" s="95">
        <f>AVERAGE(E91:E95)</f>
        <v>249.47899999999998</v>
      </c>
      <c r="F96" s="95">
        <f t="shared" ref="F96" si="20">AVERAGE(F91:F95)</f>
        <v>249.47899999999998</v>
      </c>
      <c r="G96" s="95">
        <f>SUM(G91:G95)/5</f>
        <v>0.16900000000001114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0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0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>
        <v>260</v>
      </c>
      <c r="C99" s="327">
        <v>259.47000000000003</v>
      </c>
      <c r="D99" s="327"/>
      <c r="E99" s="90">
        <v>259.55500000000001</v>
      </c>
      <c r="F99" s="37">
        <f>IF('PERHITUNGAN 2'!$E$11="Burn Engr",'PERHITUNGAN 2'!E99,E99+('regresi PRT'!$P$40+('regresi PRT'!$P$41*E99)+('regresi PRT'!$P$42*(E99^2))+('regresi PRT'!$P$43*(E99^3))+('regresi PRT'!$P$44*(E99^4))+('regresi PRT'!$P$45*(E99^5))+('regresi PRT'!$P$46*(E99^6))+('regresi PRT'!$P$47*(E99^7))+('regresi PRT'!$P$48*(E99^8))+('regresi PRT'!$P$49*(E99^9))+('regresi PRT'!$P$50*(E99^10))))</f>
        <v>259.55500000000001</v>
      </c>
      <c r="G99" s="40">
        <f>F99-C99</f>
        <v>8.4999999999979536E-2</v>
      </c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>
        <v>259.47000000000003</v>
      </c>
      <c r="D100" s="327"/>
      <c r="E100" s="90">
        <v>259.55500000000001</v>
      </c>
      <c r="F100" s="37">
        <f>IF('PERHITUNGAN 2'!$E$11="Burn Engr",'PERHITUNGAN 2'!E100,E100+('regresi PRT'!$P$40+('regresi PRT'!$P$41*E100)+('regresi PRT'!$P$42*(E100^2))+('regresi PRT'!$P$43*(E100^3))+('regresi PRT'!$P$44*(E100^4))+('regresi PRT'!$P$45*(E100^5))+('regresi PRT'!$P$46*(E100^6))+('regresi PRT'!$P$47*(E100^7))+('regresi PRT'!$P$48*(E100^8))+('regresi PRT'!$P$49*(E100^9))+('regresi PRT'!$P$50*(E100^10))))</f>
        <v>259.55500000000001</v>
      </c>
      <c r="G100" s="40">
        <f>F100-C100</f>
        <v>8.4999999999979536E-2</v>
      </c>
      <c r="H100" s="44"/>
      <c r="I100" s="44"/>
      <c r="M100" s="1"/>
    </row>
    <row r="101" spans="1:27">
      <c r="A101" s="10"/>
      <c r="C101" s="327">
        <v>259.47000000000003</v>
      </c>
      <c r="D101" s="327"/>
      <c r="E101" s="90">
        <v>259.55500000000001</v>
      </c>
      <c r="F101" s="37">
        <f>IF('PERHITUNGAN 2'!$E$11="Burn Engr",'PERHITUNGAN 2'!E101,E101+('regresi PRT'!$P$40+('regresi PRT'!$P$41*E101)+('regresi PRT'!$P$42*(E101^2))+('regresi PRT'!$P$43*(E101^3))+('regresi PRT'!$P$44*(E101^4))+('regresi PRT'!$P$45*(E101^5))+('regresi PRT'!$P$46*(E101^6))+('regresi PRT'!$P$47*(E101^7))+('regresi PRT'!$P$48*(E101^8))+('regresi PRT'!$P$49*(E101^9))+('regresi PRT'!$P$50*(E101^10))))</f>
        <v>259.55500000000001</v>
      </c>
      <c r="G101" s="40">
        <f>F101-C101</f>
        <v>8.4999999999979536E-2</v>
      </c>
      <c r="H101" s="44"/>
      <c r="I101" s="44"/>
    </row>
    <row r="102" spans="1:27">
      <c r="A102" s="10"/>
      <c r="C102" s="327">
        <v>259.47000000000003</v>
      </c>
      <c r="D102" s="327"/>
      <c r="E102" s="90">
        <v>259.55500000000001</v>
      </c>
      <c r="F102" s="37">
        <f>IF('PERHITUNGAN 2'!$E$11="Burn Engr",'PERHITUNGAN 2'!E102,E102+('regresi PRT'!$P$40+('regresi PRT'!$P$41*E102)+('regresi PRT'!$P$42*(E102^2))+('regresi PRT'!$P$43*(E102^3))+('regresi PRT'!$P$44*(E102^4))+('regresi PRT'!$P$45*(E102^5))+('regresi PRT'!$P$46*(E102^6))+('regresi PRT'!$P$47*(E102^7))+('regresi PRT'!$P$48*(E102^8))+('regresi PRT'!$P$49*(E102^9))+('regresi PRT'!$P$50*(E102^10))))</f>
        <v>259.55500000000001</v>
      </c>
      <c r="G102" s="40">
        <f>F102-C102</f>
        <v>8.4999999999979536E-2</v>
      </c>
      <c r="H102" s="63"/>
      <c r="I102" s="63"/>
    </row>
    <row r="103" spans="1:27">
      <c r="A103" s="10"/>
      <c r="C103" s="327">
        <v>259.47000000000003</v>
      </c>
      <c r="D103" s="327"/>
      <c r="E103" s="90">
        <v>259.55500000000001</v>
      </c>
      <c r="F103" s="37">
        <f>IF('PERHITUNGAN 2'!$E$11="Burn Engr",'PERHITUNGAN 2'!E103,E103+('regresi PRT'!$P$40+('regresi PRT'!$P$41*E103)+('regresi PRT'!$P$42*(E103^2))+('regresi PRT'!$P$43*(E103^3))+('regresi PRT'!$P$44*(E103^4))+('regresi PRT'!$P$45*(E103^5))+('regresi PRT'!$P$46*(E103^6))+('regresi PRT'!$P$47*(E103^7))+('regresi PRT'!$P$48*(E103^8))+('regresi PRT'!$P$49*(E103^9))+('regresi PRT'!$P$50*(E103^10))))</f>
        <v>259.55500000000001</v>
      </c>
      <c r="G103" s="41">
        <f>F103-C103</f>
        <v>8.4999999999979536E-2</v>
      </c>
      <c r="H103" s="63"/>
      <c r="I103" s="63"/>
      <c r="N103" s="74"/>
      <c r="O103" s="129"/>
    </row>
    <row r="104" spans="1:27">
      <c r="A104" s="10"/>
      <c r="B104" s="8" t="s">
        <v>31</v>
      </c>
      <c r="C104" s="333">
        <f>AVERAGE(C99:D103)</f>
        <v>259.47000000000003</v>
      </c>
      <c r="D104" s="334"/>
      <c r="E104" s="95">
        <f>AVERAGE(E99:E103)</f>
        <v>259.55500000000001</v>
      </c>
      <c r="F104" s="95">
        <f>SUM(F99:F103)/5</f>
        <v>259.55500000000001</v>
      </c>
      <c r="G104" s="95">
        <f>SUM(G99:G103)/5</f>
        <v>8.4999999999979536E-2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>
        <f>_xlfn.STDEV.S(G99:G103)</f>
        <v>0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>
        <f>G105/SQRT(5)</f>
        <v>0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>
        <f>IF('PERHITUNGAN 2'!$E$11="Burn Engr",'PERHITUNGAN 2'!E107,E107+('regresi PRT'!$P$40+('regresi PRT'!$P$41*E107)+('regresi PRT'!$P$42*(E107^2))+('regresi PRT'!$P$43*(E107^3))+('regresi PRT'!$P$44*(E107^4))+('regresi PRT'!$P$45*(E107^5))+('regresi PRT'!$P$46*(E107^6))+('regresi PRT'!$P$47*(E107^7))+('regresi PRT'!$P$48*(E107^8))+('regresi PRT'!$P$49*(E107^9))+('regresi PRT'!$P$50*(E107^10))))</f>
        <v>0</v>
      </c>
      <c r="G107" s="40">
        <f>F107-C107</f>
        <v>0</v>
      </c>
      <c r="H107" s="63"/>
      <c r="I107" s="63"/>
      <c r="M107" s="1"/>
    </row>
    <row r="108" spans="1:27">
      <c r="A108" s="10"/>
      <c r="C108" s="327"/>
      <c r="D108" s="327"/>
      <c r="E108" s="90"/>
      <c r="F108" s="37">
        <f>IF('PERHITUNGAN 2'!$E$11="Burn Engr",'PERHITUNGAN 2'!E108,E108+('regresi PRT'!$P$40+('regresi PRT'!$P$41*E108)+('regresi PRT'!$P$42*(E108^2))+('regresi PRT'!$P$43*(E108^3))+('regresi PRT'!$P$44*(E108^4))+('regresi PRT'!$P$45*(E108^5))+('regresi PRT'!$P$46*(E108^6))+('regresi PRT'!$P$47*(E108^7))+('regresi PRT'!$P$48*(E108^8))+('regresi PRT'!$P$49*(E108^9))+('regresi PRT'!$P$50*(E108^10))))</f>
        <v>0</v>
      </c>
      <c r="G108" s="40">
        <f>F108-C108</f>
        <v>0</v>
      </c>
      <c r="H108" s="44"/>
      <c r="I108" s="44"/>
      <c r="M108" s="1"/>
    </row>
    <row r="109" spans="1:27">
      <c r="A109" s="10"/>
      <c r="C109" s="327"/>
      <c r="D109" s="327"/>
      <c r="E109" s="90"/>
      <c r="F109" s="37">
        <f>IF('PERHITUNGAN 2'!$E$11="Burn Engr",'PERHITUNGAN 2'!E109,E109+('regresi PRT'!$P$40+('regresi PRT'!$P$41*E109)+('regresi PRT'!$P$42*(E109^2))+('regresi PRT'!$P$43*(E109^3))+('regresi PRT'!$P$44*(E109^4))+('regresi PRT'!$P$45*(E109^5))+('regresi PRT'!$P$46*(E109^6))+('regresi PRT'!$P$47*(E109^7))+('regresi PRT'!$P$48*(E109^8))+('regresi PRT'!$P$49*(E109^9))+('regresi PRT'!$P$50*(E109^10))))</f>
        <v>0</v>
      </c>
      <c r="G109" s="40">
        <f>F109-C109</f>
        <v>0</v>
      </c>
      <c r="H109" s="44"/>
      <c r="I109" s="44"/>
    </row>
    <row r="110" spans="1:27">
      <c r="A110" s="10"/>
      <c r="C110" s="327"/>
      <c r="D110" s="327"/>
      <c r="E110" s="90"/>
      <c r="F110" s="37">
        <f>IF('PERHITUNGAN 2'!$E$11="Burn Engr",'PERHITUNGAN 2'!E110,E110+('regresi PRT'!$P$40+('regresi PRT'!$P$41*E110)+('regresi PRT'!$P$42*(E110^2))+('regresi PRT'!$P$43*(E110^3))+('regresi PRT'!$P$44*(E110^4))+('regresi PRT'!$P$45*(E110^5))+('regresi PRT'!$P$46*(E110^6))+('regresi PRT'!$P$47*(E110^7))+('regresi PRT'!$P$48*(E110^8))+('regresi PRT'!$P$49*(E110^9))+('regresi PRT'!$P$50*(E110^10))))</f>
        <v>0</v>
      </c>
      <c r="G110" s="40">
        <f>F110-C110</f>
        <v>0</v>
      </c>
      <c r="H110" s="63"/>
      <c r="I110" s="63"/>
    </row>
    <row r="111" spans="1:27">
      <c r="A111" s="10"/>
      <c r="C111" s="327"/>
      <c r="D111" s="327"/>
      <c r="E111" s="90"/>
      <c r="F111" s="37">
        <f>IF('PERHITUNGAN 2'!$E$11="Burn Engr",'PERHITUNGAN 2'!E111,E111+('regresi PRT'!$P$40+('regresi PRT'!$P$41*E111)+('regresi PRT'!$P$42*(E111^2))+('regresi PRT'!$P$43*(E111^3))+('regresi PRT'!$P$44*(E111^4))+('regresi PRT'!$P$45*(E111^5))+('regresi PRT'!$P$46*(E111^6))+('regresi PRT'!$P$47*(E111^7))+('regresi PRT'!$P$48*(E111^8))+('regresi PRT'!$P$49*(E111^9))+('regresi PRT'!$P$50*(E111^10))))</f>
        <v>0</v>
      </c>
      <c r="G111" s="41">
        <f>F111-C111</f>
        <v>0</v>
      </c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>
        <f>_xlfn.STDEV.S(G107:G111)</f>
        <v>0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>
        <f>G113/SQRT(5)</f>
        <v>0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>
        <f>IF('PERHITUNGAN 2'!$E$11="Burn Engr",'PERHITUNGAN 2'!E115,E115+('regresi PRT'!$P$40+('regresi PRT'!$P$41*E115)+('regresi PRT'!$P$42*(E115^2))+('regresi PRT'!$P$43*(E115^3))+('regresi PRT'!$P$44*(E115^4))+('regresi PRT'!$P$45*(E115^5))+('regresi PRT'!$P$46*(E115^6))+('regresi PRT'!$P$47*(E115^7))+('regresi PRT'!$P$48*(E115^8))+('regresi PRT'!$P$49*(E115^9))+('regresi PRT'!$P$50*(E115^10))))</f>
        <v>0</v>
      </c>
      <c r="G115" s="40">
        <f>F115-C115</f>
        <v>0</v>
      </c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>
        <f>IF('PERHITUNGAN 2'!$E$11="Burn Engr",'PERHITUNGAN 2'!E116,E116+('regresi PRT'!$P$40+('regresi PRT'!$P$41*E116)+('regresi PRT'!$P$42*(E116^2))+('regresi PRT'!$P$43*(E116^3))+('regresi PRT'!$P$44*(E116^4))+('regresi PRT'!$P$45*(E116^5))+('regresi PRT'!$P$46*(E116^6))+('regresi PRT'!$P$47*(E116^7))+('regresi PRT'!$P$48*(E116^8))+('regresi PRT'!$P$49*(E116^9))+('regresi PRT'!$P$50*(E116^10))))</f>
        <v>0</v>
      </c>
      <c r="G116" s="40">
        <f>F116-C116</f>
        <v>0</v>
      </c>
      <c r="H116" s="44"/>
      <c r="I116" s="44"/>
      <c r="U116" s="49"/>
    </row>
    <row r="117" spans="1:21">
      <c r="A117" s="10"/>
      <c r="C117" s="224"/>
      <c r="D117" s="225"/>
      <c r="E117" s="90"/>
      <c r="F117" s="37">
        <f>IF('PERHITUNGAN 2'!$E$11="Burn Engr",'PERHITUNGAN 2'!E117,E117+('regresi PRT'!$P$40+('regresi PRT'!$P$41*E117)+('regresi PRT'!$P$42*(E117^2))+('regresi PRT'!$P$43*(E117^3))+('regresi PRT'!$P$44*(E117^4))+('regresi PRT'!$P$45*(E117^5))+('regresi PRT'!$P$46*(E117^6))+('regresi PRT'!$P$47*(E117^7))+('regresi PRT'!$P$48*(E117^8))+('regresi PRT'!$P$49*(E117^9))+('regresi PRT'!$P$50*(E117^10))))</f>
        <v>0</v>
      </c>
      <c r="G117" s="40">
        <f>F117-C117</f>
        <v>0</v>
      </c>
      <c r="H117" s="44"/>
      <c r="I117" s="44"/>
      <c r="U117" s="49"/>
    </row>
    <row r="118" spans="1:21">
      <c r="A118" s="10"/>
      <c r="C118" s="224"/>
      <c r="D118" s="225"/>
      <c r="E118" s="90"/>
      <c r="F118" s="37">
        <f>IF('PERHITUNGAN 2'!$E$11="Burn Engr",'PERHITUNGAN 2'!E118,E118+('regresi PRT'!$P$40+('regresi PRT'!$P$41*E118)+('regresi PRT'!$P$42*(E118^2))+('regresi PRT'!$P$43*(E118^3))+('regresi PRT'!$P$44*(E118^4))+('regresi PRT'!$P$45*(E118^5))+('regresi PRT'!$P$46*(E118^6))+('regresi PRT'!$P$47*(E118^7))+('regresi PRT'!$P$48*(E118^8))+('regresi PRT'!$P$49*(E118^9))+('regresi PRT'!$P$50*(E118^10))))</f>
        <v>0</v>
      </c>
      <c r="G118" s="40">
        <f>F118-C118</f>
        <v>0</v>
      </c>
      <c r="H118" s="63"/>
      <c r="I118" s="63"/>
    </row>
    <row r="119" spans="1:21">
      <c r="A119" s="10"/>
      <c r="C119" s="233"/>
      <c r="D119" s="234"/>
      <c r="E119" s="90"/>
      <c r="F119" s="37">
        <f>IF('PERHITUNGAN 2'!$E$11="Burn Engr",'PERHITUNGAN 2'!E119,E119+('regresi PRT'!$P$40+('regresi PRT'!$P$41*E119)+('regresi PRT'!$P$42*(E119^2))+('regresi PRT'!$P$43*(E119^3))+('regresi PRT'!$P$44*(E119^4))+('regresi PRT'!$P$45*(E119^5))+('regresi PRT'!$P$46*(E119^6))+('regresi PRT'!$P$47*(E119^7))+('regresi PRT'!$P$48*(E119^8))+('regresi PRT'!$P$49*(E119^9))+('regresi PRT'!$P$50*(E119^10))))</f>
        <v>0</v>
      </c>
      <c r="G119" s="41">
        <f>F119-C119</f>
        <v>0</v>
      </c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>
        <f>_xlfn.STDEV.S(G115:G119)</f>
        <v>0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>
        <f>G121/SQRT(5)</f>
        <v>0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26"/>
      <c r="D125" s="26"/>
      <c r="H125" s="44"/>
      <c r="I125" s="44"/>
    </row>
    <row r="126" spans="1:21">
      <c r="C126" s="26"/>
      <c r="D126" s="26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0">
    <mergeCell ref="J26:K26"/>
    <mergeCell ref="J31:K31"/>
    <mergeCell ref="C51:D51"/>
    <mergeCell ref="C52:D52"/>
    <mergeCell ref="C53:D53"/>
    <mergeCell ref="C56:D56"/>
    <mergeCell ref="C185:D185"/>
    <mergeCell ref="E18:F18"/>
    <mergeCell ref="C177:D177"/>
    <mergeCell ref="C180:D180"/>
    <mergeCell ref="C181:D181"/>
    <mergeCell ref="C182:D182"/>
    <mergeCell ref="C183:D183"/>
    <mergeCell ref="C184:D184"/>
    <mergeCell ref="C169:D169"/>
    <mergeCell ref="C172:D172"/>
    <mergeCell ref="C173:D173"/>
    <mergeCell ref="C174:D174"/>
    <mergeCell ref="C175:D175"/>
    <mergeCell ref="C176:D176"/>
    <mergeCell ref="C161:D161"/>
    <mergeCell ref="C164:D164"/>
    <mergeCell ref="C165:D165"/>
    <mergeCell ref="C166:D166"/>
    <mergeCell ref="C167:D167"/>
    <mergeCell ref="C168:D168"/>
    <mergeCell ref="C151:D151"/>
    <mergeCell ref="C156:D156"/>
    <mergeCell ref="C157:D157"/>
    <mergeCell ref="C158:D158"/>
    <mergeCell ref="C159:D159"/>
    <mergeCell ref="C160:D160"/>
    <mergeCell ref="C143:D143"/>
    <mergeCell ref="C146:D146"/>
    <mergeCell ref="C147:D147"/>
    <mergeCell ref="C148:D148"/>
    <mergeCell ref="C149:D149"/>
    <mergeCell ref="C150:D150"/>
    <mergeCell ref="C127:D127"/>
    <mergeCell ref="C138:D138"/>
    <mergeCell ref="C139:D139"/>
    <mergeCell ref="C140:D140"/>
    <mergeCell ref="C141:D141"/>
    <mergeCell ref="C142:D142"/>
    <mergeCell ref="C111:D111"/>
    <mergeCell ref="C112:D112"/>
    <mergeCell ref="C107:D107"/>
    <mergeCell ref="C108:D108"/>
    <mergeCell ref="C109:D109"/>
    <mergeCell ref="C110:D110"/>
    <mergeCell ref="C99:D99"/>
    <mergeCell ref="C100:D100"/>
    <mergeCell ref="C101:D101"/>
    <mergeCell ref="C102:D102"/>
    <mergeCell ref="C103:D103"/>
    <mergeCell ref="C104:D104"/>
    <mergeCell ref="C95:D95"/>
    <mergeCell ref="C96:D96"/>
    <mergeCell ref="N96:O96"/>
    <mergeCell ref="Z96:AA96"/>
    <mergeCell ref="C93:D93"/>
    <mergeCell ref="O93:P93"/>
    <mergeCell ref="Q93:R93"/>
    <mergeCell ref="C94:D94"/>
    <mergeCell ref="O94:P94"/>
    <mergeCell ref="Q94:R94"/>
    <mergeCell ref="C91:D91"/>
    <mergeCell ref="O91:P91"/>
    <mergeCell ref="Q91:R91"/>
    <mergeCell ref="C92:D92"/>
    <mergeCell ref="O92:P92"/>
    <mergeCell ref="Q92:R92"/>
    <mergeCell ref="O89:P89"/>
    <mergeCell ref="Q89:R89"/>
    <mergeCell ref="O90:P90"/>
    <mergeCell ref="Q90:R90"/>
    <mergeCell ref="C87:D87"/>
    <mergeCell ref="O87:P87"/>
    <mergeCell ref="Q87:R87"/>
    <mergeCell ref="C88:D88"/>
    <mergeCell ref="O88:P88"/>
    <mergeCell ref="Q88:R88"/>
    <mergeCell ref="C85:D85"/>
    <mergeCell ref="O85:P85"/>
    <mergeCell ref="Q85:R85"/>
    <mergeCell ref="C86:D86"/>
    <mergeCell ref="O86:P86"/>
    <mergeCell ref="Q86:R86"/>
    <mergeCell ref="C83:D83"/>
    <mergeCell ref="N83:N84"/>
    <mergeCell ref="O83:P84"/>
    <mergeCell ref="Q83:R84"/>
    <mergeCell ref="S83:T83"/>
    <mergeCell ref="C84:D84"/>
    <mergeCell ref="S84:T84"/>
    <mergeCell ref="C76:D76"/>
    <mergeCell ref="C77:D77"/>
    <mergeCell ref="C78:D78"/>
    <mergeCell ref="C79:D79"/>
    <mergeCell ref="C80:D80"/>
    <mergeCell ref="C70:D70"/>
    <mergeCell ref="C71:D71"/>
    <mergeCell ref="C72:D72"/>
    <mergeCell ref="C75:D75"/>
    <mergeCell ref="C64:D64"/>
    <mergeCell ref="C67:D67"/>
    <mergeCell ref="C68:D68"/>
    <mergeCell ref="C69:D69"/>
    <mergeCell ref="C59:D59"/>
    <mergeCell ref="C60:D60"/>
    <mergeCell ref="C61:D61"/>
    <mergeCell ref="C62:D62"/>
    <mergeCell ref="C63:D63"/>
    <mergeCell ref="C48:D48"/>
    <mergeCell ref="N36:N37"/>
    <mergeCell ref="O36:O37"/>
    <mergeCell ref="P36:P37"/>
    <mergeCell ref="Q36:Q37"/>
    <mergeCell ref="R36:R37"/>
    <mergeCell ref="C43:D43"/>
    <mergeCell ref="C54:D54"/>
    <mergeCell ref="C55:D55"/>
    <mergeCell ref="N55:N56"/>
    <mergeCell ref="O55:X55"/>
    <mergeCell ref="C44:D44"/>
    <mergeCell ref="C45:D45"/>
    <mergeCell ref="N45:S45"/>
    <mergeCell ref="T45:Y45"/>
    <mergeCell ref="C46:D46"/>
    <mergeCell ref="C47:D47"/>
    <mergeCell ref="C50:D50"/>
    <mergeCell ref="C49:D49"/>
    <mergeCell ref="AB32:AC32"/>
    <mergeCell ref="T28:T29"/>
    <mergeCell ref="U28:U29"/>
    <mergeCell ref="AB28:AC28"/>
    <mergeCell ref="C41:D41"/>
    <mergeCell ref="C42:D42"/>
    <mergeCell ref="AB30:AC30"/>
    <mergeCell ref="C40:D40"/>
    <mergeCell ref="N28:N29"/>
    <mergeCell ref="O28:O29"/>
    <mergeCell ref="P28:P29"/>
    <mergeCell ref="Q28:Q29"/>
    <mergeCell ref="S28:S29"/>
    <mergeCell ref="S36:S37"/>
    <mergeCell ref="T36:T37"/>
    <mergeCell ref="U36:U37"/>
    <mergeCell ref="V36:V37"/>
    <mergeCell ref="W36:W37"/>
    <mergeCell ref="X36:X37"/>
    <mergeCell ref="E16:F16"/>
    <mergeCell ref="N16:N20"/>
    <mergeCell ref="E17:F17"/>
    <mergeCell ref="AB18:AC18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  <mergeCell ref="F21:G21"/>
  </mergeCells>
  <conditionalFormatting sqref="C56">
    <cfRule type="expression" dxfId="441" priority="18" stopIfTrue="1">
      <formula>COUNT(C51:C55)&lt;&gt;5</formula>
    </cfRule>
  </conditionalFormatting>
  <conditionalFormatting sqref="C64">
    <cfRule type="expression" dxfId="440" priority="2" stopIfTrue="1">
      <formula>COUNT(C59:C63)&lt;&gt;5</formula>
    </cfRule>
  </conditionalFormatting>
  <conditionalFormatting sqref="C72">
    <cfRule type="expression" dxfId="439" priority="8" stopIfTrue="1">
      <formula>COUNT(C67:C71)&lt;&gt;5</formula>
    </cfRule>
  </conditionalFormatting>
  <conditionalFormatting sqref="C80">
    <cfRule type="expression" dxfId="438" priority="7" stopIfTrue="1">
      <formula>COUNT(C75:C79)&lt;&gt;5</formula>
    </cfRule>
  </conditionalFormatting>
  <conditionalFormatting sqref="C88">
    <cfRule type="expression" dxfId="437" priority="6" stopIfTrue="1">
      <formula>COUNT(C83:C87)&lt;&gt;5</formula>
    </cfRule>
  </conditionalFormatting>
  <conditionalFormatting sqref="C96">
    <cfRule type="expression" dxfId="436" priority="5" stopIfTrue="1">
      <formula>COUNT(C91:C95)&lt;&gt;5</formula>
    </cfRule>
  </conditionalFormatting>
  <conditionalFormatting sqref="C104">
    <cfRule type="expression" dxfId="435" priority="4" stopIfTrue="1">
      <formula>COUNT(C99:C103)&lt;&gt;5</formula>
    </cfRule>
  </conditionalFormatting>
  <conditionalFormatting sqref="C112">
    <cfRule type="expression" dxfId="434" priority="3" stopIfTrue="1">
      <formula>COUNT(C107:C111)&lt;&gt;5</formula>
    </cfRule>
  </conditionalFormatting>
  <conditionalFormatting sqref="C48:E48">
    <cfRule type="expression" dxfId="433" priority="19" stopIfTrue="1">
      <formula>COUNT(C43:C47)&lt;&gt;5</formula>
    </cfRule>
  </conditionalFormatting>
  <conditionalFormatting sqref="C120:E120">
    <cfRule type="expression" dxfId="432" priority="9" stopIfTrue="1">
      <formula>COUNT(C115:C119)&lt;&gt;5</formula>
    </cfRule>
  </conditionalFormatting>
  <conditionalFormatting sqref="E56">
    <cfRule type="expression" dxfId="431" priority="17" stopIfTrue="1">
      <formula>COUNT(E51:E55)&lt;&gt;5</formula>
    </cfRule>
  </conditionalFormatting>
  <conditionalFormatting sqref="E64">
    <cfRule type="expression" dxfId="430" priority="1" stopIfTrue="1">
      <formula>COUNT(E59:E63)&lt;&gt;5</formula>
    </cfRule>
  </conditionalFormatting>
  <conditionalFormatting sqref="E72">
    <cfRule type="expression" dxfId="429" priority="16" stopIfTrue="1">
      <formula>COUNT(E67:E71)&lt;&gt;5</formula>
    </cfRule>
  </conditionalFormatting>
  <conditionalFormatting sqref="E80">
    <cfRule type="expression" dxfId="428" priority="15" stopIfTrue="1">
      <formula>COUNT(E75:E79)&lt;&gt;5</formula>
    </cfRule>
  </conditionalFormatting>
  <conditionalFormatting sqref="E88">
    <cfRule type="expression" dxfId="427" priority="14" stopIfTrue="1">
      <formula>COUNT(E83:E87)&lt;&gt;5</formula>
    </cfRule>
  </conditionalFormatting>
  <conditionalFormatting sqref="E96">
    <cfRule type="expression" dxfId="426" priority="13" stopIfTrue="1">
      <formula>COUNT(E91:E95)&lt;&gt;5</formula>
    </cfRule>
  </conditionalFormatting>
  <conditionalFormatting sqref="E104">
    <cfRule type="expression" dxfId="425" priority="12" stopIfTrue="1">
      <formula>COUNT(E99:E103)&lt;&gt;5</formula>
    </cfRule>
  </conditionalFormatting>
  <conditionalFormatting sqref="E112">
    <cfRule type="expression" dxfId="424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16385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16385" r:id="rId4"/>
      </mc:Fallback>
    </mc:AlternateContent>
    <mc:AlternateContent xmlns:mc="http://schemas.openxmlformats.org/markup-compatibility/2006">
      <mc:Choice Requires="x14">
        <oleObject progId="Equation.3" shapeId="16386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16386" r:id="rId6"/>
      </mc:Fallback>
    </mc:AlternateContent>
    <mc:AlternateContent xmlns:mc="http://schemas.openxmlformats.org/markup-compatibility/2006">
      <mc:Choice Requires="x14">
        <oleObject progId="Equation.3" shapeId="16387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16387" r:id="rId8"/>
      </mc:Fallback>
    </mc:AlternateContent>
    <mc:AlternateContent xmlns:mc="http://schemas.openxmlformats.org/markup-compatibility/2006">
      <mc:Choice Requires="x14">
        <oleObject progId="Equation.3" shapeId="16388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16388" r:id="rId10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2'!O85</f>
        <v>-1.282</v>
      </c>
      <c r="C2" s="37">
        <f>'PERHITUNGAN 2'!N85</f>
        <v>-28.5</v>
      </c>
      <c r="D2" s="75">
        <f>C2^2</f>
        <v>812.25</v>
      </c>
      <c r="E2" s="37">
        <f>C2^3</f>
        <v>-23149.125</v>
      </c>
      <c r="F2" s="91">
        <f>C2^4</f>
        <v>659750.0625</v>
      </c>
      <c r="G2" s="91">
        <f>C2^5</f>
        <v>-18802876.78125</v>
      </c>
      <c r="H2" s="91">
        <f>C2^6</f>
        <v>535881988.265625</v>
      </c>
      <c r="I2" s="91">
        <f>C2^7</f>
        <v>-15272636665.570313</v>
      </c>
      <c r="J2" s="91">
        <f>C2^8</f>
        <v>435270144968.75391</v>
      </c>
      <c r="K2" s="91">
        <f>C2^9</f>
        <v>-12405199131609.486</v>
      </c>
      <c r="L2" s="91">
        <f>C2^10</f>
        <v>353548175250870.38</v>
      </c>
      <c r="Q2" s="12"/>
    </row>
    <row r="3" spans="1:24">
      <c r="A3" s="25">
        <v>2</v>
      </c>
      <c r="B3" s="37">
        <f>'PERHITUNGAN 2'!O86</f>
        <v>-0.84200000000000019</v>
      </c>
      <c r="C3" s="37">
        <f>'PERHITUNGAN 2'!N86</f>
        <v>1.04</v>
      </c>
      <c r="D3" s="75">
        <f t="shared" ref="D3:D9" si="0">C3^2</f>
        <v>1.0816000000000001</v>
      </c>
      <c r="E3" s="37">
        <f t="shared" ref="E3:E9" si="1">C3^3</f>
        <v>1.1248640000000001</v>
      </c>
      <c r="F3" s="91">
        <f t="shared" ref="F3:F9" si="2">C3^4</f>
        <v>1.1698585600000002</v>
      </c>
      <c r="G3" s="91">
        <f t="shared" ref="G3:G9" si="3">C3^5</f>
        <v>1.2166529024000003</v>
      </c>
      <c r="H3" s="91">
        <f t="shared" ref="H3:H9" si="4">C3^6</f>
        <v>1.2653190184960004</v>
      </c>
      <c r="I3" s="91">
        <f t="shared" ref="I3:I9" si="5">C3^7</f>
        <v>1.3159317792358403</v>
      </c>
      <c r="J3" s="91">
        <f t="shared" ref="J3:J9" si="6">C3^8</f>
        <v>1.3685690504052741</v>
      </c>
      <c r="K3" s="91">
        <f t="shared" ref="K3:K9" si="7">C3^9</f>
        <v>1.4233118124214852</v>
      </c>
      <c r="L3" s="91">
        <f t="shared" ref="L3:L9" si="8">C3^10</f>
        <v>1.4802442849183446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2'!O87</f>
        <v>-0.32000000000000028</v>
      </c>
      <c r="C4" s="37">
        <f>'PERHITUNGAN 2'!N87</f>
        <v>50.67</v>
      </c>
      <c r="D4" s="75">
        <f t="shared" si="0"/>
        <v>2567.4489000000003</v>
      </c>
      <c r="E4" s="37">
        <f t="shared" si="1"/>
        <v>130092.63576300003</v>
      </c>
      <c r="F4" s="91">
        <f t="shared" si="2"/>
        <v>6591793.8541112114</v>
      </c>
      <c r="G4" s="91">
        <f t="shared" si="3"/>
        <v>334006194.58781511</v>
      </c>
      <c r="H4" s="91">
        <f t="shared" si="4"/>
        <v>16924093879.764593</v>
      </c>
      <c r="I4" s="91">
        <f t="shared" si="5"/>
        <v>857543836887.672</v>
      </c>
      <c r="J4" s="91">
        <f t="shared" si="6"/>
        <v>43451746215098.336</v>
      </c>
      <c r="K4" s="91">
        <f t="shared" si="7"/>
        <v>2201699980719032.8</v>
      </c>
      <c r="L4" s="91">
        <f t="shared" si="8"/>
        <v>1.1156013802303339E+17</v>
      </c>
      <c r="R4" s="414" t="str">
        <f>IF('PERHITUNGAN 1'!$C$2="Celcius","(°C)","(°F)")</f>
        <v>(°C)</v>
      </c>
      <c r="S4" s="415"/>
      <c r="T4" s="5" t="str">
        <f>IF('PERHITUNGAN 1'!$C$2="Celcius","(°C)","(°F)")</f>
        <v>(°C)</v>
      </c>
      <c r="U4" s="14"/>
      <c r="V4" s="1"/>
    </row>
    <row r="5" spans="1:24">
      <c r="A5" s="25">
        <v>4</v>
      </c>
      <c r="B5" s="37">
        <f>'PERHITUNGAN 2'!O88</f>
        <v>-0.60199999999998965</v>
      </c>
      <c r="C5" s="37">
        <f>'PERHITUNGAN 2'!N88</f>
        <v>100.49</v>
      </c>
      <c r="D5" s="75">
        <f t="shared" si="0"/>
        <v>10098.240099999999</v>
      </c>
      <c r="E5" s="37">
        <f t="shared" si="1"/>
        <v>1014772.1476489998</v>
      </c>
      <c r="F5" s="91">
        <f t="shared" si="2"/>
        <v>101974453.117248</v>
      </c>
      <c r="G5" s="91">
        <f t="shared" si="3"/>
        <v>10247412793.752251</v>
      </c>
      <c r="H5" s="91">
        <f t="shared" si="4"/>
        <v>1029762511644.1637</v>
      </c>
      <c r="I5" s="91">
        <f t="shared" si="5"/>
        <v>103480834795122</v>
      </c>
      <c r="J5" s="91">
        <f t="shared" si="6"/>
        <v>1.039878908856181E+16</v>
      </c>
      <c r="K5" s="91">
        <f t="shared" si="7"/>
        <v>1.0449743155095762E+18</v>
      </c>
      <c r="L5" s="91">
        <f t="shared" si="8"/>
        <v>1.0500946896555731E+20</v>
      </c>
      <c r="R5" s="412"/>
      <c r="S5" s="413"/>
      <c r="T5" s="21"/>
      <c r="U5" s="32"/>
    </row>
    <row r="6" spans="1:24">
      <c r="A6" s="25">
        <v>5</v>
      </c>
      <c r="B6" s="37">
        <f>'PERHITUNGAN 2'!O89</f>
        <v>-0.82200000000000273</v>
      </c>
      <c r="C6" s="37">
        <f>'PERHITUNGAN 2'!N89</f>
        <v>150.54</v>
      </c>
      <c r="D6" s="75">
        <f t="shared" si="0"/>
        <v>22662.291599999997</v>
      </c>
      <c r="E6" s="37">
        <f t="shared" si="1"/>
        <v>3411581.3774639992</v>
      </c>
      <c r="F6" s="91">
        <f t="shared" si="2"/>
        <v>513579460.56343043</v>
      </c>
      <c r="G6" s="91">
        <f t="shared" si="3"/>
        <v>77314251993.218811</v>
      </c>
      <c r="H6" s="91">
        <f t="shared" si="4"/>
        <v>11638887495059.158</v>
      </c>
      <c r="I6" s="91">
        <f t="shared" si="5"/>
        <v>1752118123506205.8</v>
      </c>
      <c r="J6" s="91">
        <f t="shared" si="6"/>
        <v>2.6376386231262419E+17</v>
      </c>
      <c r="K6" s="91">
        <f t="shared" si="7"/>
        <v>3.9707011832542446E+19</v>
      </c>
      <c r="L6" s="91">
        <f t="shared" si="8"/>
        <v>5.9774935612709394E+21</v>
      </c>
      <c r="Q6" t="s">
        <v>150</v>
      </c>
      <c r="R6" s="408">
        <f>'REGRESI 1'!R6</f>
        <v>0</v>
      </c>
      <c r="S6" s="409"/>
      <c r="T6" s="23">
        <f>$V$38+($V$39*R6)+($V$40*(R6^2))+($V$41*(R6^3))</f>
        <v>-11.102835137227007</v>
      </c>
      <c r="U6" s="27"/>
      <c r="V6" s="88"/>
    </row>
    <row r="7" spans="1:24">
      <c r="A7" s="25">
        <v>6</v>
      </c>
      <c r="B7" s="37">
        <f>'PERHITUNGAN 2'!O90</f>
        <v>-0.13399999999998613</v>
      </c>
      <c r="C7" s="37">
        <f>'PERHITUNGAN 2'!N90</f>
        <v>199.6</v>
      </c>
      <c r="D7" s="75">
        <f t="shared" si="0"/>
        <v>39840.159999999996</v>
      </c>
      <c r="E7" s="37">
        <f t="shared" si="1"/>
        <v>7952095.9359999988</v>
      </c>
      <c r="F7" s="91">
        <f t="shared" si="2"/>
        <v>1587238348.8255997</v>
      </c>
      <c r="G7" s="91">
        <f t="shared" si="3"/>
        <v>316812774425.58966</v>
      </c>
      <c r="H7" s="91">
        <f t="shared" si="4"/>
        <v>63235829775347.695</v>
      </c>
      <c r="I7" s="91">
        <f t="shared" si="5"/>
        <v>1.26218716231594E+16</v>
      </c>
      <c r="J7" s="91">
        <f t="shared" si="6"/>
        <v>2.5193255759826161E+18</v>
      </c>
      <c r="K7" s="91">
        <f t="shared" si="7"/>
        <v>5.0285738496613017E+20</v>
      </c>
      <c r="L7" s="91">
        <f t="shared" si="8"/>
        <v>1.0037033403923958E+23</v>
      </c>
      <c r="R7" s="408">
        <f>'REGRESI 1'!R7</f>
        <v>0</v>
      </c>
      <c r="S7" s="409"/>
      <c r="T7" s="23">
        <f t="shared" ref="T7:T15" si="9">$V$38+($V$39*R7)+($V$40*(R7^2))+($V$41*(R7^3))</f>
        <v>-11.102835137227007</v>
      </c>
      <c r="U7" s="27"/>
      <c r="V7" s="88"/>
    </row>
    <row r="8" spans="1:24">
      <c r="A8" s="25">
        <v>7</v>
      </c>
      <c r="B8" s="37">
        <f>'PERHITUNGAN 2'!O91</f>
        <v>0.16900000000001114</v>
      </c>
      <c r="C8" s="37">
        <f>'PERHITUNGAN 2'!N91</f>
        <v>249.31</v>
      </c>
      <c r="D8" s="75">
        <f t="shared" si="0"/>
        <v>62155.4761</v>
      </c>
      <c r="E8" s="37">
        <f t="shared" si="1"/>
        <v>15495981.746491</v>
      </c>
      <c r="F8" s="91">
        <f t="shared" si="2"/>
        <v>3863303209.2176714</v>
      </c>
      <c r="G8" s="91">
        <f t="shared" si="3"/>
        <v>963160123090.05762</v>
      </c>
      <c r="H8" s="91">
        <f t="shared" si="4"/>
        <v>240125450287582.28</v>
      </c>
      <c r="I8" s="91">
        <f t="shared" si="5"/>
        <v>5.9865676011197136E+16</v>
      </c>
      <c r="J8" s="91">
        <f t="shared" si="6"/>
        <v>1.4925111686351559E+19</v>
      </c>
      <c r="K8" s="91">
        <f t="shared" si="7"/>
        <v>3.7209795945243072E+21</v>
      </c>
      <c r="L8" s="91">
        <f t="shared" si="8"/>
        <v>9.2767742271085494E+23</v>
      </c>
      <c r="R8" s="408">
        <f>'REGRESI 1'!R8</f>
        <v>0</v>
      </c>
      <c r="S8" s="409"/>
      <c r="T8" s="23">
        <f t="shared" si="9"/>
        <v>-11.102835137227007</v>
      </c>
      <c r="U8" s="27"/>
      <c r="V8" s="88"/>
    </row>
    <row r="9" spans="1:24">
      <c r="A9" s="25">
        <v>8</v>
      </c>
      <c r="B9" s="37">
        <f>'PERHITUNGAN 2'!O92</f>
        <v>8.4999999999979536E-2</v>
      </c>
      <c r="C9" s="37">
        <f>'PERHITUNGAN 2'!N92</f>
        <v>259.47000000000003</v>
      </c>
      <c r="D9" s="75">
        <f t="shared" si="0"/>
        <v>67324.680900000021</v>
      </c>
      <c r="E9" s="37">
        <f t="shared" si="1"/>
        <v>17468734.953123007</v>
      </c>
      <c r="F9" s="91">
        <f t="shared" si="2"/>
        <v>4532612658.286828</v>
      </c>
      <c r="G9" s="91">
        <f t="shared" si="3"/>
        <v>1176077006445.6833</v>
      </c>
      <c r="H9" s="91">
        <f t="shared" si="4"/>
        <v>305156700862461.56</v>
      </c>
      <c r="I9" s="91">
        <f t="shared" si="5"/>
        <v>7.9179009172782896E+16</v>
      </c>
      <c r="J9" s="91">
        <f t="shared" si="6"/>
        <v>2.0544577510061986E+19</v>
      </c>
      <c r="K9" s="91">
        <f t="shared" si="7"/>
        <v>5.3307015265357838E+21</v>
      </c>
      <c r="L9" s="91">
        <f t="shared" si="8"/>
        <v>1.3831571250902402E+24</v>
      </c>
      <c r="R9" s="408">
        <f>'REGRESI 1'!R9</f>
        <v>0</v>
      </c>
      <c r="S9" s="409"/>
      <c r="T9" s="23">
        <f t="shared" si="9"/>
        <v>-11.102835137227007</v>
      </c>
      <c r="U9" s="27"/>
      <c r="V9" s="88"/>
    </row>
    <row r="10" spans="1:24">
      <c r="A10" s="25">
        <v>9</v>
      </c>
      <c r="B10" s="37"/>
      <c r="C10" s="37"/>
      <c r="D10" s="75"/>
      <c r="E10" s="37"/>
      <c r="F10" s="91"/>
      <c r="G10" s="91"/>
      <c r="H10" s="91"/>
      <c r="I10" s="91"/>
      <c r="J10" s="91"/>
      <c r="K10" s="91"/>
      <c r="L10" s="91"/>
      <c r="R10" s="408">
        <f>'REGRESI 1'!R10</f>
        <v>0</v>
      </c>
      <c r="S10" s="409"/>
      <c r="T10" s="23">
        <f t="shared" si="9"/>
        <v>-11.102835137227007</v>
      </c>
      <c r="U10" s="27"/>
      <c r="V10" s="88"/>
    </row>
    <row r="11" spans="1:24">
      <c r="A11" s="25">
        <v>10</v>
      </c>
      <c r="B11" s="37"/>
      <c r="C11" s="37"/>
      <c r="D11" s="75"/>
      <c r="E11" s="37"/>
      <c r="F11" s="91"/>
      <c r="G11" s="91"/>
      <c r="H11" s="91"/>
      <c r="I11" s="91"/>
      <c r="J11" s="91"/>
      <c r="K11" s="91"/>
      <c r="L11" s="91"/>
      <c r="R11" s="408">
        <f>'REGRESI 1'!R11</f>
        <v>0</v>
      </c>
      <c r="S11" s="409"/>
      <c r="T11" s="23">
        <f t="shared" si="9"/>
        <v>-11.102835137227007</v>
      </c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>
        <f>'REGRESI 1'!R12</f>
        <v>0</v>
      </c>
      <c r="S12" s="409"/>
      <c r="T12" s="23">
        <f t="shared" si="9"/>
        <v>-11.102835137227007</v>
      </c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>
        <f>'REGRESI 1'!R13</f>
        <v>0</v>
      </c>
      <c r="S13" s="409"/>
      <c r="T13" s="23">
        <f t="shared" si="9"/>
        <v>-11.102835137227007</v>
      </c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>
        <f>'REGRESI 1'!R14</f>
        <v>0</v>
      </c>
      <c r="S14" s="409"/>
      <c r="T14" s="23">
        <f t="shared" si="9"/>
        <v>-11.102835137227007</v>
      </c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>
        <f>'REGRESI 1'!R15</f>
        <v>0</v>
      </c>
      <c r="S15" s="409"/>
      <c r="T15" s="23">
        <f t="shared" si="9"/>
        <v>-11.102835137227007</v>
      </c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f>'REGRESI 1'!R19:S19</f>
        <v>-10</v>
      </c>
      <c r="S19" s="409"/>
      <c r="T19" s="23">
        <f>$S$38+($S$39*R19)+($S$40*(R19^2))+($S$41*(R19^3))+($S$42*(R19^4))+($S$43*(R19^5))+($S$44*(R19^6))+($S$45*(R19^7))+($S$46*(R19^8))+($S$47*(R19^9))+($S$48*(R19^10))</f>
        <v>-1.1511295367085024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1'!R20:S20</f>
        <v>0</v>
      </c>
      <c r="S20" s="409"/>
      <c r="T20" s="23">
        <f t="shared" ref="T20:T28" si="10">$S$38+($S$39*R20)+($S$40*(R20^2))+($S$41*(R20^3))+($S$42*(R20^4))+($S$43*(R20^5))+($S$44*(R20^6))+($S$45*(R20^7))+($S$46*(R20^8))+($S$47*(R20^9))+($S$48*(R20^10))</f>
        <v>-0.60904746521474751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1'!R21:S21</f>
        <v>25</v>
      </c>
      <c r="S21" s="409"/>
      <c r="T21" s="23">
        <f t="shared" si="10"/>
        <v>0.33329727626969996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1'!R22:S22</f>
        <v>50</v>
      </c>
      <c r="S22" s="409"/>
      <c r="T22" s="23">
        <f t="shared" si="10"/>
        <v>0.77776103402492081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1'!R23:S23</f>
        <v>100</v>
      </c>
      <c r="S23" s="409"/>
      <c r="T23" s="23">
        <f t="shared" si="10"/>
        <v>0.63264380291540445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1'!R24:S24</f>
        <v>125</v>
      </c>
      <c r="S24" s="409"/>
      <c r="T24" s="23">
        <f t="shared" si="10"/>
        <v>0.27286191633452717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1'!R25:S25</f>
        <v>150</v>
      </c>
      <c r="S25" s="409"/>
      <c r="T25" s="23">
        <f t="shared" si="10"/>
        <v>-0.12520274940785736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1'!R26:S26</f>
        <v>200</v>
      </c>
      <c r="S26" s="409"/>
      <c r="T26" s="23">
        <f t="shared" si="10"/>
        <v>-0.57658221380941477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1'!R27:S27</f>
        <v>0</v>
      </c>
      <c r="S27" s="409"/>
      <c r="T27" s="23">
        <f t="shared" si="10"/>
        <v>-0.60904746521474751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1'!R28:S28</f>
        <v>0</v>
      </c>
      <c r="S28" s="409"/>
      <c r="T28" s="23">
        <f t="shared" si="10"/>
        <v>-0.60904746521474751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0.89876264428638253</v>
      </c>
      <c r="Q33" s="31" t="s">
        <v>100</v>
      </c>
      <c r="U33" s="70"/>
    </row>
    <row r="34" spans="2:24">
      <c r="B34" t="s">
        <v>76</v>
      </c>
      <c r="C34">
        <v>0.80777429076465057</v>
      </c>
      <c r="X34" s="46"/>
    </row>
    <row r="35" spans="2:24">
      <c r="B35" t="s">
        <v>77</v>
      </c>
      <c r="C35">
        <v>0.66360500883813844</v>
      </c>
      <c r="Q35" t="s">
        <v>99</v>
      </c>
    </row>
    <row r="36" spans="2:24">
      <c r="B36" t="s">
        <v>78</v>
      </c>
      <c r="C36">
        <v>0.42529472584436817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1">C46</f>
        <v>-0.60904746521474751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1"/>
        <v>4.9183403349188165E-2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1"/>
        <v>-4.9022442789692551E-4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3.0403147046758288</v>
      </c>
      <c r="E41">
        <v>1.0134382348919428</v>
      </c>
      <c r="F41">
        <v>5.6029570236494655</v>
      </c>
      <c r="G41">
        <v>6.4669607007538488E-2</v>
      </c>
      <c r="R41" s="26" t="s">
        <v>112</v>
      </c>
      <c r="S41">
        <f t="shared" si="11"/>
        <v>1.2255952121805899E-6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0.72350241532414505</v>
      </c>
      <c r="E42">
        <v>0.18087560383103626</v>
      </c>
      <c r="R42" s="26" t="s">
        <v>137</v>
      </c>
      <c r="S42">
        <f t="shared" si="11"/>
        <v>0</v>
      </c>
      <c r="U42" s="26"/>
    </row>
    <row r="43" spans="2:24" ht="13.5" thickBot="1">
      <c r="B43" s="67" t="s">
        <v>83</v>
      </c>
      <c r="C43" s="67">
        <v>7</v>
      </c>
      <c r="D43" s="67">
        <v>3.7638171199999739</v>
      </c>
      <c r="E43" s="67"/>
      <c r="F43" s="67"/>
      <c r="G43" s="67"/>
      <c r="R43" s="26" t="s">
        <v>88</v>
      </c>
      <c r="S43">
        <f t="shared" si="11"/>
        <v>0</v>
      </c>
      <c r="U43" s="26"/>
    </row>
    <row r="44" spans="2:24" ht="13.5" thickBot="1">
      <c r="R44" s="26" t="s">
        <v>138</v>
      </c>
      <c r="S44">
        <f t="shared" si="11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1"/>
        <v>0</v>
      </c>
      <c r="U45" s="26"/>
    </row>
    <row r="46" spans="2:24">
      <c r="B46" t="s">
        <v>84</v>
      </c>
      <c r="C46">
        <v>-0.60904746521474751</v>
      </c>
      <c r="D46">
        <v>0.25635489721167054</v>
      </c>
      <c r="E46">
        <v>-2.3757980512143719</v>
      </c>
      <c r="F46">
        <v>7.633748225846633E-2</v>
      </c>
      <c r="G46">
        <v>-1.3208027647715737</v>
      </c>
      <c r="H46">
        <v>0.10270783434207864</v>
      </c>
      <c r="I46">
        <v>-1.3208027647715737</v>
      </c>
      <c r="J46">
        <v>0.10270783434207864</v>
      </c>
      <c r="R46" s="26" t="s">
        <v>140</v>
      </c>
      <c r="S46">
        <f t="shared" si="11"/>
        <v>0</v>
      </c>
      <c r="U46" s="26"/>
    </row>
    <row r="47" spans="2:24">
      <c r="B47" t="s">
        <v>95</v>
      </c>
      <c r="C47">
        <v>4.9183403349188165E-2</v>
      </c>
      <c r="D47">
        <v>1.4741539114762357E-2</v>
      </c>
      <c r="E47">
        <v>3.3363818368148075</v>
      </c>
      <c r="F47">
        <v>2.8933077307985725E-2</v>
      </c>
      <c r="G47">
        <v>8.2543292309244023E-3</v>
      </c>
      <c r="H47">
        <v>9.0112477467451935E-2</v>
      </c>
      <c r="I47">
        <v>8.2543292309244023E-3</v>
      </c>
      <c r="J47">
        <v>9.0112477467451935E-2</v>
      </c>
      <c r="R47" s="26" t="s">
        <v>141</v>
      </c>
      <c r="S47">
        <f t="shared" si="11"/>
        <v>0</v>
      </c>
      <c r="U47" s="26"/>
    </row>
    <row r="48" spans="2:24">
      <c r="B48" t="s">
        <v>108</v>
      </c>
      <c r="C48">
        <v>-4.9022442789692551E-4</v>
      </c>
      <c r="D48">
        <v>1.9521242542383071E-4</v>
      </c>
      <c r="E48">
        <v>-2.5112357824179821</v>
      </c>
      <c r="F48">
        <v>6.5970323339548817E-2</v>
      </c>
      <c r="G48">
        <v>-1.0322210109387096E-3</v>
      </c>
      <c r="H48">
        <v>5.1772155144858608E-5</v>
      </c>
      <c r="I48">
        <v>-1.0322210109387096E-3</v>
      </c>
      <c r="J48">
        <v>5.1772155144858608E-5</v>
      </c>
      <c r="R48" s="26" t="s">
        <v>142</v>
      </c>
      <c r="S48">
        <f t="shared" si="11"/>
        <v>0</v>
      </c>
      <c r="U48" s="26"/>
    </row>
    <row r="49" spans="2:21" ht="13.5" thickBot="1">
      <c r="B49" s="67" t="s">
        <v>109</v>
      </c>
      <c r="C49" s="67">
        <v>1.2255952121805899E-6</v>
      </c>
      <c r="D49" s="67">
        <v>6.553450138686251E-7</v>
      </c>
      <c r="E49" s="67">
        <v>1.8701526466886051</v>
      </c>
      <c r="F49" s="67">
        <v>0.13480730553844039</v>
      </c>
      <c r="G49" s="67">
        <v>-5.9393424379073423E-7</v>
      </c>
      <c r="H49" s="67">
        <v>3.0451246681519141E-6</v>
      </c>
      <c r="I49" s="67">
        <v>-5.9393424379073423E-7</v>
      </c>
      <c r="J49" s="67">
        <v>3.0451246681519141E-6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56" spans="2:21" ht="13.5" thickBot="1">
      <c r="B56" s="67"/>
      <c r="C56" s="67"/>
      <c r="D56" s="67"/>
      <c r="E56" s="67"/>
      <c r="F56" s="67"/>
      <c r="G56" s="67"/>
      <c r="H56" s="67"/>
      <c r="I56" s="67"/>
      <c r="J56" s="67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27:S27"/>
    <mergeCell ref="R28:S28"/>
    <mergeCell ref="R29:S29"/>
    <mergeCell ref="R30:S30"/>
    <mergeCell ref="R31:S31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DE314-47BD-462D-883F-004D5F6C4003}">
  <dimension ref="A1:AH187"/>
  <sheetViews>
    <sheetView workbookViewId="0">
      <selection activeCell="J52" sqref="J52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1'!E5</f>
        <v>Termometer Digital</v>
      </c>
      <c r="F5" s="11"/>
      <c r="G5" s="11" t="s">
        <v>127</v>
      </c>
      <c r="H5" s="11" t="s">
        <v>16</v>
      </c>
      <c r="I5" s="66" t="str">
        <f>'PERHITUNGAN 1'!I5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1'!E6</f>
        <v>Hioki / LR 8431-20</v>
      </c>
      <c r="F6" s="11"/>
      <c r="G6" s="11" t="s">
        <v>128</v>
      </c>
      <c r="H6" s="11" t="s">
        <v>16</v>
      </c>
      <c r="I6" s="129">
        <f>'PERHITUNGAN 1'!I6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1'!E7</f>
        <v>210149173</v>
      </c>
      <c r="F7" s="11"/>
      <c r="G7" s="11" t="s">
        <v>44</v>
      </c>
      <c r="H7" s="11" t="s">
        <v>16</v>
      </c>
      <c r="I7" s="31">
        <v>3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19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ref="T20:T25" si="1">P20/R20</f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1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1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1'!D24</f>
        <v>22</v>
      </c>
      <c r="E23" s="244">
        <f>'PERHITUNGAN 1'!E24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1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1'!D25</f>
        <v>22</v>
      </c>
      <c r="E24" s="244">
        <f>'PERHITUNGAN 1'!E25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1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1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1'!D28</f>
        <v>20</v>
      </c>
      <c r="E27" s="244">
        <f>'PERHITUNGAN 1'!E28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1'!D29</f>
        <v>20</v>
      </c>
      <c r="E28" s="244">
        <f>'PERHITUNGAN 1'!E29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1'!D33</f>
        <v>55</v>
      </c>
      <c r="E32" s="244">
        <f>'PERHITUNGAN 1'!E33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1'!D34</f>
        <v>55</v>
      </c>
      <c r="E33" s="244">
        <f>'PERHITUNGAN 1'!E34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-29.78</v>
      </c>
      <c r="P36" s="380">
        <f>F56</f>
        <v>0.19800000000000001</v>
      </c>
      <c r="Q36" s="380">
        <f>F64</f>
        <v>50.345999999999997</v>
      </c>
      <c r="R36" s="380">
        <f>F72</f>
        <v>99.888000000000005</v>
      </c>
      <c r="S36" s="380">
        <f>F80</f>
        <v>149.71899999999999</v>
      </c>
      <c r="T36" s="380">
        <f>F88</f>
        <v>199.465</v>
      </c>
      <c r="U36" s="380">
        <f>F96</f>
        <v>249.47800000000001</v>
      </c>
      <c r="V36" s="380">
        <f>F104</f>
        <v>259.55399999999997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3'!$E$11="Burn Engr",IF(O36&lt;=$AA$38,$AB$38,$AB$39),IF(O36&lt;=$AC$38,$AD$38,IF(O36&lt;=$AC$39,$AD$39,$AD$40)))</f>
        <v>0.02</v>
      </c>
      <c r="P38" s="54">
        <f>IF('PERHITUNGAN 3'!$E$11="Burn Engr",IF(P36&lt;=$AA$38,$AB$38,$AB$39),IF(P36&lt;=$AC$38,$AD$38,IF(P36&lt;=$AC$39,$AD$39,$AD$40)))</f>
        <v>7.0000000000000007E-2</v>
      </c>
      <c r="Q38" s="54">
        <f>IF('PERHITUNGAN 3'!$E$11="Burn Engr",IF(Q36&lt;=$AA$38,$AB$38,$AB$39),IF(Q36&lt;=$AC$38,$AD$38,IF(Q36&lt;=$AC$39,$AD$39,$AD$40)))</f>
        <v>7.0000000000000007E-2</v>
      </c>
      <c r="R38" s="54">
        <f>IF('PERHITUNGAN 3'!$E$11="Burn Engr",IF(R36&lt;=$AA$38,$AB$38,$AB$39),IF(R36&lt;=$AC$38,$AD$38,IF(R36&lt;=$AC$39,$AD$39,$AD$40)))</f>
        <v>7.0000000000000007E-2</v>
      </c>
      <c r="S38" s="54">
        <f>IF('PERHITUNGAN 3'!$E$11="Burn Engr",IF(S36&lt;=$AA$38,$AB$38,$AB$39),IF(S36&lt;=$AC$38,$AD$38,IF(S36&lt;=$AC$39,$AD$39,$AD$40)))</f>
        <v>7.0000000000000007E-2</v>
      </c>
      <c r="T38" s="54">
        <f>IF('PERHITUNGAN 3'!$E$11="Burn Engr",IF(T36&lt;=$AA$38,$AB$38,$AB$39),IF(T36&lt;=$AC$38,$AD$38,IF(T36&lt;=$AC$39,$AD$39,$AD$40)))</f>
        <v>7.0000000000000007E-2</v>
      </c>
      <c r="U38" s="54">
        <f>IF('PERHITUNGAN 3'!$E$11="Burn Engr",IF(U36&lt;=$AA$38,$AB$38,$AB$39),IF(U36&lt;=$AC$38,$AD$38,IF(U36&lt;=$AC$39,$AD$39,$AD$40)))</f>
        <v>7.0000000000000007E-2</v>
      </c>
      <c r="V38" s="54">
        <f>IF('PERHITUNGAN 3'!$E$11="Burn Engr",IF(V36&lt;=$AA$38,$AB$38,$AB$39),IF(V36&lt;=$AC$38,$AD$38,IF(V36&lt;=$AC$39,$AD$39,$AD$40)))</f>
        <v>7.0000000000000007E-2</v>
      </c>
      <c r="W38" s="54">
        <f>IF('PERHITUNGAN 3'!$E$11="Burn Engr",IF(W36&lt;=$AA$38,$AB$38,$AB$39),IF(W36&lt;=$AC$38,$AD$38,IF(W36&lt;=$AC$39,$AD$39,$AD$40)))</f>
        <v>0.02</v>
      </c>
      <c r="X38" s="54">
        <f>IF('PERHITUNGAN 3'!$E$11="Burn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0.01</v>
      </c>
      <c r="P40" s="37">
        <f t="shared" ref="P40:X40" si="2">P38/P39</f>
        <v>3.5000000000000003E-2</v>
      </c>
      <c r="Q40" s="37">
        <f t="shared" si="2"/>
        <v>3.5000000000000003E-2</v>
      </c>
      <c r="R40" s="37">
        <f>R38/R39</f>
        <v>3.5000000000000003E-2</v>
      </c>
      <c r="S40" s="37">
        <f t="shared" si="2"/>
        <v>3.5000000000000003E-2</v>
      </c>
      <c r="T40" s="37">
        <f t="shared" si="2"/>
        <v>3.5000000000000003E-2</v>
      </c>
      <c r="U40" s="37">
        <f t="shared" si="2"/>
        <v>3.5000000000000003E-2</v>
      </c>
      <c r="V40" s="37">
        <f t="shared" si="2"/>
        <v>3.5000000000000003E-2</v>
      </c>
      <c r="W40" s="37">
        <f t="shared" si="2"/>
        <v>0.01</v>
      </c>
      <c r="X40" s="37">
        <f t="shared" si="2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-30</v>
      </c>
      <c r="C43" s="373">
        <v>-28.66</v>
      </c>
      <c r="D43" s="374"/>
      <c r="E43" s="90">
        <v>-29.78</v>
      </c>
      <c r="F43" s="37">
        <f>IF('PERHITUNGAN 3'!$E$11="Burn Engr",'PERHITUNGAN 3'!E43,E43+('regresi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-29.78</v>
      </c>
      <c r="G43" s="90">
        <f>F43-C43</f>
        <v>-1.120000000000001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-28.66</v>
      </c>
      <c r="D44" s="374"/>
      <c r="E44" s="90">
        <v>-29.78</v>
      </c>
      <c r="F44" s="37">
        <f>IF('PERHITUNGAN 3'!$E$11="Burn Engr",'PERHITUNGAN 3'!E44,E44+('regresi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-29.78</v>
      </c>
      <c r="G44" s="90">
        <f>F44-C44</f>
        <v>-1.120000000000001</v>
      </c>
      <c r="H44" s="63"/>
      <c r="I44" s="63"/>
      <c r="AB44" s="1"/>
    </row>
    <row r="45" spans="1:30" ht="13.5" customHeight="1">
      <c r="A45" s="105"/>
      <c r="C45" s="373">
        <v>-28.66</v>
      </c>
      <c r="D45" s="374"/>
      <c r="E45" s="90">
        <v>-29.78</v>
      </c>
      <c r="F45" s="37">
        <f>IF('PERHITUNGAN 3'!$E$11="Burn Engr",'PERHITUNGAN 3'!E45,E45+('regresi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-29.78</v>
      </c>
      <c r="G45" s="90">
        <f>F45-C45</f>
        <v>-1.120000000000001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-28.66</v>
      </c>
      <c r="D46" s="374"/>
      <c r="E46" s="90">
        <v>-29.78</v>
      </c>
      <c r="F46" s="37">
        <f>IF('PERHITUNGAN 3'!$E$11="Burn Engr",'PERHITUNGAN 3'!E46,E46+('regresi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-29.78</v>
      </c>
      <c r="G46" s="90">
        <f>F46-C46</f>
        <v>-1.120000000000001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-28.66</v>
      </c>
      <c r="D47" s="374"/>
      <c r="E47" s="90">
        <v>-29.78</v>
      </c>
      <c r="F47" s="37">
        <f>IF('PERHITUNGAN 3'!$E$11="Burn Engr",'PERHITUNGAN 3'!E47,E47+('regresi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-29.78</v>
      </c>
      <c r="G47" s="90">
        <f>F47-C47</f>
        <v>-1.120000000000001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3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-28.660000000000004</v>
      </c>
      <c r="D48" s="357"/>
      <c r="E48" s="95">
        <f>AVERAGE(E43:E47)</f>
        <v>-29.78</v>
      </c>
      <c r="F48" s="95">
        <f>AVERAGE(F43:F47)</f>
        <v>-29.78</v>
      </c>
      <c r="G48" s="95">
        <f>SUM(G43:G47)/5</f>
        <v>-1.120000000000001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3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0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3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0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3"/>
        <v>0.35</v>
      </c>
      <c r="T50" s="107"/>
    </row>
    <row r="51" spans="1:28" ht="15.5">
      <c r="A51" s="105">
        <v>2</v>
      </c>
      <c r="B51" s="194">
        <v>0</v>
      </c>
      <c r="C51" s="373">
        <v>1.18</v>
      </c>
      <c r="D51" s="374"/>
      <c r="E51" s="90">
        <v>0.19800000000000001</v>
      </c>
      <c r="F51" s="37">
        <f>IF('PERHITUNGAN 3'!$E$11="Burn Engr",'PERHITUNGAN 3'!E51,E51+('regresi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0.19800000000000001</v>
      </c>
      <c r="G51" s="90">
        <f>F51-C51</f>
        <v>-0.98199999999999998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3"/>
        <v>0.5</v>
      </c>
      <c r="T51" s="107"/>
    </row>
    <row r="52" spans="1:28" ht="15.5">
      <c r="A52" s="10"/>
      <c r="C52" s="373">
        <v>1.18</v>
      </c>
      <c r="D52" s="374"/>
      <c r="E52" s="90">
        <v>0.19800000000000001</v>
      </c>
      <c r="F52" s="37">
        <f>IF('PERHITUNGAN 3'!$E$11="Burn Engr",'PERHITUNGAN 3'!E52,E52+('regresi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0.19800000000000001</v>
      </c>
      <c r="G52" s="90">
        <f>F52-C52</f>
        <v>-0.98199999999999998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3"/>
        <v>0.5</v>
      </c>
      <c r="T52" s="107"/>
    </row>
    <row r="53" spans="1:28" ht="15.5">
      <c r="A53" s="10"/>
      <c r="C53" s="373">
        <v>1.18</v>
      </c>
      <c r="D53" s="374"/>
      <c r="E53" s="90">
        <v>0.19800000000000001</v>
      </c>
      <c r="F53" s="37">
        <f>IF('PERHITUNGAN 3'!$E$11="Burn Engr",'PERHITUNGAN 3'!E53,E53+('regresi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0.19800000000000001</v>
      </c>
      <c r="G53" s="90">
        <f>F53-C53</f>
        <v>-0.98199999999999998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1.18</v>
      </c>
      <c r="D54" s="374"/>
      <c r="E54" s="90">
        <v>0.19800000000000001</v>
      </c>
      <c r="F54" s="37">
        <f>IF('PERHITUNGAN 3'!$E$11="Burn Engr",'PERHITUNGAN 3'!E54,E54+('regresi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0.19800000000000001</v>
      </c>
      <c r="G54" s="90">
        <f>F54-C54</f>
        <v>-0.98199999999999998</v>
      </c>
      <c r="H54" s="63"/>
      <c r="I54" s="63"/>
      <c r="AB54" s="1"/>
    </row>
    <row r="55" spans="1:28" ht="13.5" customHeight="1">
      <c r="A55" s="10"/>
      <c r="C55" s="373">
        <v>1.18</v>
      </c>
      <c r="D55" s="374"/>
      <c r="E55" s="90">
        <v>0.19800000000000001</v>
      </c>
      <c r="F55" s="37">
        <f>IF('PERHITUNGAN 3'!$E$11="Burn Engr",'PERHITUNGAN 3'!E55,E55+('regresi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0.19800000000000001</v>
      </c>
      <c r="G55" s="90">
        <f>F55-C55</f>
        <v>-0.98199999999999998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1.18</v>
      </c>
      <c r="D56" s="334"/>
      <c r="E56" s="95">
        <f>AVERAGE(E51:E55)</f>
        <v>0.19800000000000001</v>
      </c>
      <c r="F56" s="95">
        <f t="shared" ref="F56" si="4">AVERAGE(F51:F55)</f>
        <v>0.19800000000000001</v>
      </c>
      <c r="G56" s="95">
        <f>SUM(G51:G55)/5</f>
        <v>-0.98199999999999998</v>
      </c>
      <c r="H56" s="63"/>
      <c r="I56" s="63"/>
      <c r="N56" s="390"/>
      <c r="O56" s="115">
        <f>C48</f>
        <v>-28.660000000000004</v>
      </c>
      <c r="P56" s="115">
        <f>C56</f>
        <v>1.18</v>
      </c>
      <c r="Q56" s="115">
        <f>C64</f>
        <v>50.69</v>
      </c>
      <c r="R56" s="115">
        <f>C72</f>
        <v>100.55</v>
      </c>
      <c r="S56" s="115">
        <f>C80</f>
        <v>150.56</v>
      </c>
      <c r="T56" s="115">
        <f>C88</f>
        <v>199.85</v>
      </c>
      <c r="U56" s="115">
        <f>C96</f>
        <v>249.70999999999998</v>
      </c>
      <c r="V56" s="115">
        <f>C104</f>
        <v>259.75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0</v>
      </c>
      <c r="H57" s="44"/>
      <c r="I57" s="63"/>
      <c r="N57" s="25" t="s">
        <v>152</v>
      </c>
      <c r="O57" s="112">
        <f>$G$49/5^0.5</f>
        <v>0</v>
      </c>
      <c r="P57" s="112">
        <f>$G$57/5^0.5</f>
        <v>0</v>
      </c>
      <c r="Q57" s="112">
        <f>$G$65/5^0.5</f>
        <v>0</v>
      </c>
      <c r="R57" s="112">
        <f>$G$73/5^0.5</f>
        <v>0</v>
      </c>
      <c r="S57" s="112">
        <f>$G$81/5^0.5</f>
        <v>0</v>
      </c>
      <c r="T57" s="112">
        <f>$G$89/5^0.5</f>
        <v>0</v>
      </c>
      <c r="U57" s="112">
        <f>$G$97/5^0.5</f>
        <v>0</v>
      </c>
      <c r="V57" s="112">
        <f>$G$105/5^0.5</f>
        <v>0</v>
      </c>
      <c r="W57" s="112">
        <f>$G$113/5^0.5</f>
        <v>0</v>
      </c>
      <c r="X57" s="112">
        <f>$G$121/5^0.5</f>
        <v>0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0</v>
      </c>
      <c r="H58" s="44"/>
      <c r="I58" s="63"/>
      <c r="N58" s="25" t="s">
        <v>153</v>
      </c>
      <c r="O58" s="113">
        <f>IF('DRAFT-SERTIF'!$O$27="Ya",'REGRESI 3'!$C$36,0)</f>
        <v>0.37904005936319612</v>
      </c>
      <c r="P58" s="113">
        <f>IF('DRAFT-SERTIF'!$O$27="Ya",'REGRESI 3'!$C$36,0)</f>
        <v>0.37904005936319612</v>
      </c>
      <c r="Q58" s="113">
        <f>IF('DRAFT-SERTIF'!$O$27="Ya",'REGRESI 3'!$C$36,0)</f>
        <v>0.37904005936319612</v>
      </c>
      <c r="R58" s="113">
        <f>IF('DRAFT-SERTIF'!$O$27="Ya",'REGRESI 3'!$C$36,0)</f>
        <v>0.37904005936319612</v>
      </c>
      <c r="S58" s="113">
        <f>IF('DRAFT-SERTIF'!$O$27="Ya",'REGRESI 3'!$C$36,0)</f>
        <v>0.37904005936319612</v>
      </c>
      <c r="T58" s="113">
        <f>IF('DRAFT-SERTIF'!$O$27="Ya",'REGRESI 3'!$C$36,0)</f>
        <v>0.37904005936319612</v>
      </c>
      <c r="U58" s="113">
        <f>IF('DRAFT-SERTIF'!$O$27="Ya",'REGRESI 3'!$C$36,0)</f>
        <v>0.37904005936319612</v>
      </c>
      <c r="V58" s="113">
        <f>IF('DRAFT-SERTIF'!$O$27="Ya",'REGRESI 3'!$C$36,0)</f>
        <v>0.37904005936319612</v>
      </c>
      <c r="W58" s="113">
        <f>IF('DRAFT-SERTIF'!$O$27="Ya",'REGRESI 3'!$C$36,0)</f>
        <v>0.37904005936319612</v>
      </c>
      <c r="X58" s="113">
        <f>IF('DRAFT-SERTIF'!$O$27="Ya",'REGRESI 3'!$C$36,0)</f>
        <v>0.37904005936319612</v>
      </c>
      <c r="AB58" s="1"/>
    </row>
    <row r="59" spans="1:28" ht="13.5" customHeight="1">
      <c r="A59" s="105">
        <v>3</v>
      </c>
      <c r="B59" s="196">
        <v>50</v>
      </c>
      <c r="C59" s="327">
        <v>50.69</v>
      </c>
      <c r="D59" s="327"/>
      <c r="E59" s="15">
        <v>50.345999999999997</v>
      </c>
      <c r="F59" s="37">
        <f>IF('PERHITUNGAN 3'!$E$11="Burn Engr",'PERHITUNGAN 3'!E59,E59+('regresi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50.345999999999997</v>
      </c>
      <c r="G59" s="90">
        <f>F59-C59</f>
        <v>-0.34400000000000119</v>
      </c>
      <c r="H59" s="63"/>
      <c r="I59" s="63"/>
      <c r="N59" s="25" t="s">
        <v>154</v>
      </c>
      <c r="O59" s="91">
        <f t="shared" ref="O59:X59" si="5">O40</f>
        <v>0.01</v>
      </c>
      <c r="P59" s="91">
        <f t="shared" si="5"/>
        <v>3.5000000000000003E-2</v>
      </c>
      <c r="Q59" s="91">
        <f t="shared" si="5"/>
        <v>3.5000000000000003E-2</v>
      </c>
      <c r="R59" s="91">
        <f t="shared" si="5"/>
        <v>3.5000000000000003E-2</v>
      </c>
      <c r="S59" s="91">
        <f t="shared" si="5"/>
        <v>3.5000000000000003E-2</v>
      </c>
      <c r="T59" s="91">
        <f t="shared" si="5"/>
        <v>3.5000000000000003E-2</v>
      </c>
      <c r="U59" s="91">
        <f t="shared" si="5"/>
        <v>3.5000000000000003E-2</v>
      </c>
      <c r="V59" s="91">
        <f t="shared" si="5"/>
        <v>3.5000000000000003E-2</v>
      </c>
      <c r="W59" s="91">
        <f t="shared" si="5"/>
        <v>0.01</v>
      </c>
      <c r="X59" s="91">
        <f t="shared" si="5"/>
        <v>0.01</v>
      </c>
    </row>
    <row r="60" spans="1:28">
      <c r="A60" s="10"/>
      <c r="C60" s="327">
        <v>50.69</v>
      </c>
      <c r="D60" s="327"/>
      <c r="E60" s="15">
        <v>50.345999999999997</v>
      </c>
      <c r="F60" s="37">
        <f>IF('PERHITUNGAN 3'!$E$11="Burn Engr",'PERHITUNGAN 3'!E60,E60+('regresi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50.345999999999997</v>
      </c>
      <c r="G60" s="90">
        <f>F60-C60</f>
        <v>-0.34400000000000119</v>
      </c>
      <c r="H60" s="63"/>
      <c r="I60" s="63"/>
      <c r="N60" s="133" t="s">
        <v>155</v>
      </c>
      <c r="O60" s="134">
        <f>'PERHITUNGAN 1'!O61</f>
        <v>1.5000000000000003E-2</v>
      </c>
      <c r="P60" s="134">
        <f>'PERHITUNGAN 1'!P61</f>
        <v>0.01</v>
      </c>
      <c r="Q60" s="134">
        <f>'PERHITUNGAN 1'!Q61</f>
        <v>5.0000000000000001E-3</v>
      </c>
      <c r="R60" s="134">
        <f>'PERHITUNGAN 1'!R61</f>
        <v>1.4999999999999999E-2</v>
      </c>
      <c r="S60" s="134">
        <f>'PERHITUNGAN 1'!S61</f>
        <v>5.0000000000000001E-3</v>
      </c>
      <c r="T60" s="134">
        <f>'PERHITUNGAN 1'!T61</f>
        <v>0.05</v>
      </c>
      <c r="U60" s="134">
        <f>'PERHITUNGAN 1'!U61</f>
        <v>0.05</v>
      </c>
      <c r="V60" s="134">
        <f>'PERHITUNGAN 1'!V61</f>
        <v>1.5000000000000003E-2</v>
      </c>
      <c r="W60" s="134">
        <f>'PERHITUNGAN 1'!W61</f>
        <v>1.4999999999999999E-2</v>
      </c>
      <c r="X60" s="134">
        <f>'PERHITUNGAN 1'!X61</f>
        <v>1.4999999999999999E-2</v>
      </c>
    </row>
    <row r="61" spans="1:28">
      <c r="A61" s="10"/>
      <c r="C61" s="327">
        <v>50.69</v>
      </c>
      <c r="D61" s="327"/>
      <c r="E61" s="15">
        <v>50.345999999999997</v>
      </c>
      <c r="F61" s="37">
        <f>IF('PERHITUNGAN 3'!$E$11="Burn Engr",'PERHITUNGAN 3'!E61,E61+('regresi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50.345999999999997</v>
      </c>
      <c r="G61" s="90">
        <f>F61-C61</f>
        <v>-0.34400000000000119</v>
      </c>
      <c r="H61" s="63"/>
      <c r="I61" s="63"/>
      <c r="N61" s="25" t="s">
        <v>156</v>
      </c>
      <c r="O61" s="114">
        <f>(0.1*O38)/SQRT(3)</f>
        <v>1.1547005383792516E-3</v>
      </c>
      <c r="P61" s="114">
        <f t="shared" ref="P61:X61" si="6">(0.1*P38)/SQRT(3)</f>
        <v>4.041451884327381E-3</v>
      </c>
      <c r="Q61" s="114">
        <f t="shared" si="6"/>
        <v>4.041451884327381E-3</v>
      </c>
      <c r="R61" s="114">
        <f t="shared" si="6"/>
        <v>4.041451884327381E-3</v>
      </c>
      <c r="S61" s="114">
        <f t="shared" si="6"/>
        <v>4.041451884327381E-3</v>
      </c>
      <c r="T61" s="114">
        <f t="shared" si="6"/>
        <v>4.041451884327381E-3</v>
      </c>
      <c r="U61" s="114">
        <f t="shared" si="6"/>
        <v>4.041451884327381E-3</v>
      </c>
      <c r="V61" s="114">
        <f t="shared" si="6"/>
        <v>4.041451884327381E-3</v>
      </c>
      <c r="W61" s="114">
        <f t="shared" si="6"/>
        <v>1.1547005383792516E-3</v>
      </c>
      <c r="X61" s="114">
        <f t="shared" si="6"/>
        <v>1.1547005383792516E-3</v>
      </c>
    </row>
    <row r="62" spans="1:28">
      <c r="A62" s="10"/>
      <c r="C62" s="327">
        <v>50.69</v>
      </c>
      <c r="D62" s="327"/>
      <c r="E62" s="15">
        <v>50.345999999999997</v>
      </c>
      <c r="F62" s="37">
        <f>IF('PERHITUNGAN 3'!$E$11="Burn Engr",'PERHITUNGAN 3'!E62,E62+('regresi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50.345999999999997</v>
      </c>
      <c r="G62" s="90">
        <f>F62-C62</f>
        <v>-0.34400000000000119</v>
      </c>
      <c r="H62" s="63"/>
      <c r="I62" s="63"/>
      <c r="N62" s="25" t="s">
        <v>157</v>
      </c>
      <c r="O62" s="114">
        <f t="shared" ref="O62:X62" si="7">$T$28</f>
        <v>2.886751345948129E-3</v>
      </c>
      <c r="P62" s="114">
        <f t="shared" si="7"/>
        <v>2.886751345948129E-3</v>
      </c>
      <c r="Q62" s="114">
        <f t="shared" si="7"/>
        <v>2.886751345948129E-3</v>
      </c>
      <c r="R62" s="114">
        <f t="shared" si="7"/>
        <v>2.886751345948129E-3</v>
      </c>
      <c r="S62" s="114">
        <f t="shared" si="7"/>
        <v>2.886751345948129E-3</v>
      </c>
      <c r="T62" s="114">
        <f t="shared" si="7"/>
        <v>2.886751345948129E-3</v>
      </c>
      <c r="U62" s="114">
        <f t="shared" si="7"/>
        <v>2.886751345948129E-3</v>
      </c>
      <c r="V62" s="114">
        <f t="shared" si="7"/>
        <v>2.886751345948129E-3</v>
      </c>
      <c r="W62" s="114">
        <f t="shared" si="7"/>
        <v>2.886751345948129E-3</v>
      </c>
      <c r="X62" s="114">
        <f t="shared" si="7"/>
        <v>2.886751345948129E-3</v>
      </c>
    </row>
    <row r="63" spans="1:28">
      <c r="A63" s="10"/>
      <c r="C63" s="327">
        <v>50.69</v>
      </c>
      <c r="D63" s="327"/>
      <c r="E63" s="15">
        <v>50.345999999999997</v>
      </c>
      <c r="F63" s="37">
        <f>IF('PERHITUNGAN 3'!$E$11="Burn Engr",'PERHITUNGAN 3'!E63,E63+('regresi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50.345999999999997</v>
      </c>
      <c r="G63" s="90">
        <f>F63-C63</f>
        <v>-0.34400000000000119</v>
      </c>
      <c r="H63" s="63"/>
      <c r="I63" s="63"/>
      <c r="N63" s="25" t="s">
        <v>158</v>
      </c>
      <c r="O63" s="114">
        <f t="shared" ref="O63:X63" si="8">$T$26</f>
        <v>2.886751345948129E-4</v>
      </c>
      <c r="P63" s="114">
        <f t="shared" si="8"/>
        <v>2.886751345948129E-4</v>
      </c>
      <c r="Q63" s="114">
        <f t="shared" si="8"/>
        <v>2.886751345948129E-4</v>
      </c>
      <c r="R63" s="114">
        <f t="shared" si="8"/>
        <v>2.886751345948129E-4</v>
      </c>
      <c r="S63" s="114">
        <f t="shared" si="8"/>
        <v>2.886751345948129E-4</v>
      </c>
      <c r="T63" s="114">
        <f t="shared" si="8"/>
        <v>2.886751345948129E-4</v>
      </c>
      <c r="U63" s="114">
        <f t="shared" si="8"/>
        <v>2.886751345948129E-4</v>
      </c>
      <c r="V63" s="114">
        <f t="shared" si="8"/>
        <v>2.886751345948129E-4</v>
      </c>
      <c r="W63" s="114">
        <f t="shared" si="8"/>
        <v>2.886751345948129E-4</v>
      </c>
      <c r="X63" s="114">
        <f t="shared" si="8"/>
        <v>2.886751345948129E-4</v>
      </c>
    </row>
    <row r="64" spans="1:28">
      <c r="A64" s="10"/>
      <c r="B64" s="8" t="s">
        <v>31</v>
      </c>
      <c r="C64" s="333">
        <f>AVERAGE(C59:D63)</f>
        <v>50.69</v>
      </c>
      <c r="D64" s="334"/>
      <c r="E64" s="95">
        <f>AVERAGE(E59:E63)</f>
        <v>50.345999999999997</v>
      </c>
      <c r="F64" s="95">
        <f t="shared" ref="F64" si="9">AVERAGE(F59:F63)</f>
        <v>50.345999999999997</v>
      </c>
      <c r="G64" s="95">
        <f>SUM(G59:G63)/5</f>
        <v>-0.34400000000000119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10">10^10</f>
        <v>10000000000</v>
      </c>
      <c r="Q66" s="53">
        <f t="shared" si="10"/>
        <v>10000000000</v>
      </c>
      <c r="R66" s="53">
        <f t="shared" si="10"/>
        <v>10000000000</v>
      </c>
      <c r="S66" s="53">
        <f t="shared" si="10"/>
        <v>10000000000</v>
      </c>
      <c r="T66" s="53">
        <f t="shared" si="10"/>
        <v>10000000000</v>
      </c>
      <c r="U66" s="53">
        <f t="shared" si="10"/>
        <v>10000000000</v>
      </c>
      <c r="V66" s="53">
        <f t="shared" si="10"/>
        <v>10000000000</v>
      </c>
      <c r="W66" s="53">
        <f t="shared" si="10"/>
        <v>10000000000</v>
      </c>
      <c r="X66" s="53">
        <f t="shared" si="10"/>
        <v>10000000000</v>
      </c>
    </row>
    <row r="67" spans="1:28">
      <c r="A67" s="105">
        <v>4</v>
      </c>
      <c r="B67" s="196">
        <v>100</v>
      </c>
      <c r="C67" s="327">
        <v>100.55</v>
      </c>
      <c r="D67" s="327"/>
      <c r="E67" s="90">
        <v>99.888000000000005</v>
      </c>
      <c r="F67" s="37">
        <f>IF('PERHITUNGAN 3'!$E$11="Burn Engr",'PERHITUNGAN 3'!E67,E67+('regresi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99.888000000000005</v>
      </c>
      <c r="G67" s="90">
        <f>F67-C67</f>
        <v>-0.66199999999999193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100.55</v>
      </c>
      <c r="D68" s="327"/>
      <c r="E68" s="90">
        <v>99.888000000000005</v>
      </c>
      <c r="F68" s="37">
        <f>IF('PERHITUNGAN 3'!$E$11="Burn Engr",'PERHITUNGAN 3'!E68,E68+('regresi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99.888000000000005</v>
      </c>
      <c r="G68" s="90">
        <f>F68-C68</f>
        <v>-0.66199999999999193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100.55</v>
      </c>
      <c r="D69" s="327"/>
      <c r="E69" s="90">
        <v>99.888000000000005</v>
      </c>
      <c r="F69" s="37">
        <f>IF('PERHITUNGAN 3'!$E$11="Burn Engr",'PERHITUNGAN 3'!E69,E69+('regresi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99.888000000000005</v>
      </c>
      <c r="G69" s="90">
        <f>F69-C69</f>
        <v>-0.66199999999999193</v>
      </c>
      <c r="H69" s="63"/>
      <c r="I69" s="63"/>
      <c r="N69" s="25" t="s">
        <v>163</v>
      </c>
      <c r="O69" s="53">
        <f t="shared" ref="O69:X71" si="11">10^10</f>
        <v>10000000000</v>
      </c>
      <c r="P69" s="53">
        <f t="shared" si="11"/>
        <v>10000000000</v>
      </c>
      <c r="Q69" s="53">
        <f t="shared" si="11"/>
        <v>10000000000</v>
      </c>
      <c r="R69" s="53">
        <f t="shared" si="11"/>
        <v>10000000000</v>
      </c>
      <c r="S69" s="53">
        <f t="shared" si="11"/>
        <v>10000000000</v>
      </c>
      <c r="T69" s="53">
        <f t="shared" si="11"/>
        <v>10000000000</v>
      </c>
      <c r="U69" s="53">
        <f t="shared" si="11"/>
        <v>10000000000</v>
      </c>
      <c r="V69" s="53">
        <f t="shared" si="11"/>
        <v>10000000000</v>
      </c>
      <c r="W69" s="53">
        <f t="shared" si="11"/>
        <v>10000000000</v>
      </c>
      <c r="X69" s="53">
        <f t="shared" si="11"/>
        <v>10000000000</v>
      </c>
      <c r="AB69" s="1"/>
    </row>
    <row r="70" spans="1:28">
      <c r="A70" s="10"/>
      <c r="C70" s="327">
        <v>100.55</v>
      </c>
      <c r="D70" s="327"/>
      <c r="E70" s="90">
        <v>99.888000000000005</v>
      </c>
      <c r="F70" s="37">
        <f>IF('PERHITUNGAN 3'!$E$11="Burn Engr",'PERHITUNGAN 3'!E70,E70+('regresi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99.888000000000005</v>
      </c>
      <c r="G70" s="90">
        <f>F70-C70</f>
        <v>-0.66199999999999193</v>
      </c>
      <c r="H70" s="63"/>
      <c r="I70" s="63"/>
      <c r="N70" s="25" t="s">
        <v>164</v>
      </c>
      <c r="O70" s="53">
        <f t="shared" si="11"/>
        <v>10000000000</v>
      </c>
      <c r="P70" s="53">
        <f t="shared" si="11"/>
        <v>10000000000</v>
      </c>
      <c r="Q70" s="53">
        <f t="shared" si="11"/>
        <v>10000000000</v>
      </c>
      <c r="R70" s="53">
        <f t="shared" si="11"/>
        <v>10000000000</v>
      </c>
      <c r="S70" s="53">
        <f t="shared" si="11"/>
        <v>10000000000</v>
      </c>
      <c r="T70" s="53">
        <f t="shared" si="11"/>
        <v>10000000000</v>
      </c>
      <c r="U70" s="53">
        <f t="shared" si="11"/>
        <v>10000000000</v>
      </c>
      <c r="V70" s="53">
        <f t="shared" si="11"/>
        <v>10000000000</v>
      </c>
      <c r="W70" s="53">
        <f t="shared" si="11"/>
        <v>10000000000</v>
      </c>
      <c r="X70" s="53">
        <f t="shared" si="11"/>
        <v>10000000000</v>
      </c>
      <c r="AB70" s="1"/>
    </row>
    <row r="71" spans="1:28">
      <c r="A71" s="10"/>
      <c r="C71" s="327">
        <v>100.55</v>
      </c>
      <c r="D71" s="327"/>
      <c r="E71" s="90">
        <v>99.888000000000005</v>
      </c>
      <c r="F71" s="37">
        <f>IF('PERHITUNGAN 3'!$E$11="Burn Engr",'PERHITUNGAN 3'!E71,E71+('regresi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99.888000000000005</v>
      </c>
      <c r="G71" s="90">
        <f>F71-C71</f>
        <v>-0.66199999999999193</v>
      </c>
      <c r="H71" s="63"/>
      <c r="I71" s="63"/>
      <c r="N71" s="25" t="s">
        <v>165</v>
      </c>
      <c r="O71" s="53">
        <f t="shared" si="11"/>
        <v>10000000000</v>
      </c>
      <c r="P71" s="53">
        <f t="shared" si="11"/>
        <v>10000000000</v>
      </c>
      <c r="Q71" s="53">
        <f t="shared" si="11"/>
        <v>10000000000</v>
      </c>
      <c r="R71" s="53">
        <f t="shared" si="11"/>
        <v>10000000000</v>
      </c>
      <c r="S71" s="53">
        <f t="shared" si="11"/>
        <v>10000000000</v>
      </c>
      <c r="T71" s="53">
        <f t="shared" si="11"/>
        <v>10000000000</v>
      </c>
      <c r="U71" s="53">
        <f t="shared" si="11"/>
        <v>10000000000</v>
      </c>
      <c r="V71" s="53">
        <f t="shared" si="11"/>
        <v>10000000000</v>
      </c>
      <c r="W71" s="53">
        <f t="shared" si="11"/>
        <v>10000000000</v>
      </c>
      <c r="X71" s="53">
        <f t="shared" si="11"/>
        <v>10000000000</v>
      </c>
      <c r="AB71" s="1"/>
    </row>
    <row r="72" spans="1:28">
      <c r="A72" s="10"/>
      <c r="B72" s="8" t="s">
        <v>31</v>
      </c>
      <c r="C72" s="333">
        <f>AVERAGE(C67:D71)</f>
        <v>100.55</v>
      </c>
      <c r="D72" s="334"/>
      <c r="E72" s="95">
        <f>AVERAGE(E67:E71)</f>
        <v>99.888000000000005</v>
      </c>
      <c r="F72" s="95">
        <f t="shared" ref="F72" si="12">AVERAGE(F67:F71)</f>
        <v>99.888000000000005</v>
      </c>
      <c r="G72" s="95">
        <f>SUM(G67:G71)/5</f>
        <v>-0.66199999999999193</v>
      </c>
      <c r="H72" s="63"/>
      <c r="I72" s="63"/>
      <c r="N72" s="111" t="s">
        <v>168</v>
      </c>
      <c r="O72" s="118">
        <f>SQRT((O57^2)+(O58^2)+(O59^2)+(O60^2)+(O61^2)+(O62^2)+(O63^2))</f>
        <v>0.37948137846547259</v>
      </c>
      <c r="P72" s="118">
        <f t="shared" ref="P72:X72" si="13">SQRT((P57^2)+(P58^2)+(P59^2)+(P60^2)+(P61^2)+(P62^2)+(P63^2))</f>
        <v>0.3808163817406694</v>
      </c>
      <c r="Q72" s="118">
        <f t="shared" si="13"/>
        <v>0.38071789635116349</v>
      </c>
      <c r="R72" s="118">
        <f t="shared" si="13"/>
        <v>0.38098046748101833</v>
      </c>
      <c r="S72" s="118">
        <f t="shared" si="13"/>
        <v>0.38071789635116349</v>
      </c>
      <c r="T72" s="118">
        <f t="shared" si="13"/>
        <v>0.38395457622231211</v>
      </c>
      <c r="U72" s="118">
        <f t="shared" si="13"/>
        <v>0.38395457622231211</v>
      </c>
      <c r="V72" s="118">
        <f t="shared" si="13"/>
        <v>0.38098046748101833</v>
      </c>
      <c r="W72" s="118">
        <f t="shared" si="13"/>
        <v>0.37948137846547259</v>
      </c>
      <c r="X72" s="118">
        <f t="shared" si="13"/>
        <v>0.37948137846547259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20482128.012679048</v>
      </c>
      <c r="P73" s="120">
        <f t="shared" ref="P73:X73" si="14">(P72^4)/((P57^4/P65)+(P58^4/P66)+(P59^4/P67)+(P60^4/P68)+(P61^4/P69)+(P62^4/P70)+(P63^4/P71))</f>
        <v>835259.58444815362</v>
      </c>
      <c r="Q73" s="120">
        <f t="shared" si="14"/>
        <v>839606.07420493395</v>
      </c>
      <c r="R73" s="120">
        <f t="shared" si="14"/>
        <v>814789.8785843337</v>
      </c>
      <c r="S73" s="120">
        <f t="shared" si="14"/>
        <v>839606.07420493395</v>
      </c>
      <c r="T73" s="120">
        <f t="shared" si="14"/>
        <v>168239.11632983532</v>
      </c>
      <c r="U73" s="120">
        <f t="shared" si="14"/>
        <v>168239.11632983532</v>
      </c>
      <c r="V73" s="120">
        <f t="shared" si="14"/>
        <v>814789.8785843337</v>
      </c>
      <c r="W73" s="120">
        <f t="shared" si="14"/>
        <v>20482128.012679059</v>
      </c>
      <c r="X73" s="120">
        <f t="shared" si="14"/>
        <v>20482128.012679059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1.9599641006149187</v>
      </c>
      <c r="P74" s="123">
        <f t="shared" ref="P74:X74" si="15">_xlfn.T.INV.2T(0.05,P73)</f>
        <v>1.9599668247171556</v>
      </c>
      <c r="Q74" s="123">
        <f t="shared" si="15"/>
        <v>1.959966810002636</v>
      </c>
      <c r="R74" s="123">
        <f t="shared" si="15"/>
        <v>1.9599668960554486</v>
      </c>
      <c r="S74" s="123">
        <f t="shared" si="15"/>
        <v>1.959966810002636</v>
      </c>
      <c r="T74" s="123">
        <f t="shared" si="15"/>
        <v>1.959978085246044</v>
      </c>
      <c r="U74" s="123">
        <f t="shared" si="15"/>
        <v>1.959978085246044</v>
      </c>
      <c r="V74" s="123">
        <f t="shared" si="15"/>
        <v>1.9599668960554486</v>
      </c>
      <c r="W74" s="123">
        <f t="shared" si="15"/>
        <v>1.9599641006149187</v>
      </c>
      <c r="X74" s="123">
        <f t="shared" si="15"/>
        <v>1.9599641006149187</v>
      </c>
      <c r="Z74" s="124"/>
      <c r="AB74" s="1"/>
    </row>
    <row r="75" spans="1:28">
      <c r="A75" s="105">
        <v>5</v>
      </c>
      <c r="B75" s="196">
        <v>150</v>
      </c>
      <c r="C75" s="327">
        <v>150.56</v>
      </c>
      <c r="D75" s="327"/>
      <c r="E75" s="90">
        <v>149.71899999999999</v>
      </c>
      <c r="F75" s="37">
        <f>IF('PERHITUNGAN 3'!$E$11="Burn Engr",'PERHITUNGAN 3'!E75,E75+('regresi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149.71899999999999</v>
      </c>
      <c r="G75" s="90">
        <f>F75-C75</f>
        <v>-0.84100000000000819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150.56</v>
      </c>
      <c r="D76" s="327"/>
      <c r="E76" s="90">
        <v>149.71899999999999</v>
      </c>
      <c r="F76" s="37">
        <f>IF('PERHITUNGAN 3'!$E$11="Burn Engr",'PERHITUNGAN 3'!E76,E76+('regresi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149.71899999999999</v>
      </c>
      <c r="G76" s="90">
        <f>F76-C76</f>
        <v>-0.84100000000000819</v>
      </c>
      <c r="H76" s="63"/>
      <c r="I76" s="63"/>
      <c r="N76" s="111" t="s">
        <v>166</v>
      </c>
      <c r="O76" s="121">
        <f t="shared" ref="O76:X76" si="16">O72*O74</f>
        <v>0.74376987864418953</v>
      </c>
      <c r="P76" s="121">
        <f t="shared" si="16"/>
        <v>0.746387474520536</v>
      </c>
      <c r="Q76" s="121">
        <f t="shared" si="16"/>
        <v>0.74619444082230413</v>
      </c>
      <c r="R76" s="121">
        <f t="shared" si="16"/>
        <v>0.74670910430652526</v>
      </c>
      <c r="S76" s="121">
        <f t="shared" si="16"/>
        <v>0.74619444082230413</v>
      </c>
      <c r="T76" s="121">
        <f t="shared" si="16"/>
        <v>0.75254255512566348</v>
      </c>
      <c r="U76" s="121">
        <f t="shared" si="16"/>
        <v>0.75254255512566348</v>
      </c>
      <c r="V76" s="121">
        <f t="shared" si="16"/>
        <v>0.74670910430652526</v>
      </c>
      <c r="W76" s="121">
        <f t="shared" si="16"/>
        <v>0.74376987864418953</v>
      </c>
      <c r="X76" s="121">
        <f t="shared" si="16"/>
        <v>0.74376987864418953</v>
      </c>
      <c r="AB76" s="1"/>
    </row>
    <row r="77" spans="1:28">
      <c r="A77" s="10"/>
      <c r="C77" s="327">
        <v>150.56</v>
      </c>
      <c r="D77" s="327"/>
      <c r="E77" s="90">
        <v>149.71899999999999</v>
      </c>
      <c r="F77" s="37">
        <f>IF('PERHITUNGAN 3'!$E$11="Burn Engr",'PERHITUNGAN 3'!E77,E77+('regresi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149.71899999999999</v>
      </c>
      <c r="G77" s="90">
        <f>F77-C77</f>
        <v>-0.84100000000000819</v>
      </c>
      <c r="H77" s="63"/>
      <c r="I77" s="63"/>
      <c r="AB77" s="1"/>
    </row>
    <row r="78" spans="1:28">
      <c r="A78" s="10"/>
      <c r="C78" s="327">
        <v>150.56</v>
      </c>
      <c r="D78" s="327"/>
      <c r="E78" s="90">
        <v>149.71899999999999</v>
      </c>
      <c r="F78" s="37">
        <f>IF('PERHITUNGAN 3'!$E$11="Burn Engr",'PERHITUNGAN 3'!E78,E78+('regresi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149.71899999999999</v>
      </c>
      <c r="G78" s="90">
        <f>F78-C78</f>
        <v>-0.84100000000000819</v>
      </c>
      <c r="H78" s="26"/>
      <c r="I78" s="26"/>
      <c r="AB78" s="1"/>
    </row>
    <row r="79" spans="1:28">
      <c r="A79" s="10"/>
      <c r="C79" s="327">
        <v>150.56</v>
      </c>
      <c r="D79" s="327"/>
      <c r="E79" s="90">
        <v>149.71899999999999</v>
      </c>
      <c r="F79" s="37">
        <f>IF('PERHITUNGAN 3'!$E$11="Burn Engr",'PERHITUNGAN 3'!E79,E79+('regresi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149.71899999999999</v>
      </c>
      <c r="G79" s="90">
        <f>F79-C79</f>
        <v>-0.84100000000000819</v>
      </c>
      <c r="AB79" s="1"/>
    </row>
    <row r="80" spans="1:28">
      <c r="A80" s="10"/>
      <c r="B80" s="8" t="s">
        <v>31</v>
      </c>
      <c r="C80" s="333">
        <f>AVERAGE(C75:D79)</f>
        <v>150.56</v>
      </c>
      <c r="D80" s="334"/>
      <c r="E80" s="95">
        <f>AVERAGE(E75:E79)</f>
        <v>149.71899999999999</v>
      </c>
      <c r="F80" s="95">
        <f t="shared" ref="F80" si="17">AVERAGE(F75:F79)</f>
        <v>149.71899999999999</v>
      </c>
      <c r="G80" s="95">
        <f>SUM(G75:G79)/5</f>
        <v>-0.84100000000000819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200</v>
      </c>
      <c r="C83" s="327">
        <v>199.85</v>
      </c>
      <c r="D83" s="327"/>
      <c r="E83" s="90">
        <v>199.465</v>
      </c>
      <c r="F83" s="37">
        <f>IF('PERHITUNGAN 3'!$E$11="Burn Engr",'PERHITUNGAN 3'!E83,E83+('regresi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199.465</v>
      </c>
      <c r="G83" s="40">
        <f>F83-C83</f>
        <v>-0.38499999999999091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199.85</v>
      </c>
      <c r="D84" s="327"/>
      <c r="E84" s="90">
        <v>199.465</v>
      </c>
      <c r="F84" s="37">
        <f>IF('PERHITUNGAN 3'!$E$11="Burn Engr",'PERHITUNGAN 3'!E84,E84+('regresi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199.465</v>
      </c>
      <c r="G84" s="40">
        <f>F84-C84</f>
        <v>-0.38499999999999091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199.85</v>
      </c>
      <c r="D85" s="327"/>
      <c r="E85" s="90">
        <v>199.465</v>
      </c>
      <c r="F85" s="37">
        <f>IF('PERHITUNGAN 3'!$E$11="Burn Engr",'PERHITUNGAN 3'!E85,E85+('regresi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199.465</v>
      </c>
      <c r="G85" s="40">
        <f>F85-C85</f>
        <v>-0.38499999999999091</v>
      </c>
      <c r="H85" s="26"/>
      <c r="I85" s="26"/>
      <c r="N85" s="93">
        <f>O56</f>
        <v>-28.660000000000004</v>
      </c>
      <c r="O85" s="403">
        <f>G48</f>
        <v>-1.120000000000001</v>
      </c>
      <c r="P85" s="404"/>
      <c r="Q85" s="387">
        <f t="shared" ref="Q85:Q94" si="18">N85+O85</f>
        <v>-29.780000000000005</v>
      </c>
      <c r="R85" s="405"/>
      <c r="S85" s="138" t="s">
        <v>35</v>
      </c>
      <c r="T85" s="94">
        <f>IF(N85&lt;$AA$97,MAX($O$97,O76),IF(N85&lt;$AA$98,MAX($O$98,O76),MAX($O$99,O76)))</f>
        <v>0.74376987864418953</v>
      </c>
      <c r="AB85" s="1"/>
    </row>
    <row r="86" spans="1:28">
      <c r="A86" s="10"/>
      <c r="C86" s="327">
        <v>199.85</v>
      </c>
      <c r="D86" s="327"/>
      <c r="E86" s="90">
        <v>199.465</v>
      </c>
      <c r="F86" s="37">
        <f>IF('PERHITUNGAN 3'!$E$11="Burn Engr",'PERHITUNGAN 3'!E86,E86+('regresi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199.465</v>
      </c>
      <c r="G86" s="40">
        <f>F86-C86</f>
        <v>-0.38499999999999091</v>
      </c>
      <c r="H86" s="63"/>
      <c r="I86" s="63"/>
      <c r="N86" s="93">
        <f>P56</f>
        <v>1.18</v>
      </c>
      <c r="O86" s="403">
        <f>G56</f>
        <v>-0.98199999999999998</v>
      </c>
      <c r="P86" s="404"/>
      <c r="Q86" s="406">
        <f t="shared" si="18"/>
        <v>0.19799999999999995</v>
      </c>
      <c r="R86" s="407"/>
      <c r="S86" s="138" t="s">
        <v>35</v>
      </c>
      <c r="T86" s="94">
        <f>IF(N86&lt;$AA$97,MAX($O$97,P76),IF(N86&lt;$AA$98,MAX($O$98,P76),MAX($O$99,P76)))</f>
        <v>0.746387474520536</v>
      </c>
      <c r="AB86" s="1"/>
    </row>
    <row r="87" spans="1:28">
      <c r="A87" s="10"/>
      <c r="C87" s="327">
        <v>199.85</v>
      </c>
      <c r="D87" s="327"/>
      <c r="E87" s="90">
        <v>199.465</v>
      </c>
      <c r="F87" s="37">
        <f>IF('PERHITUNGAN 3'!$E$11="Burn Engr",'PERHITUNGAN 3'!E87,E87+('regresi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199.465</v>
      </c>
      <c r="G87" s="41">
        <f>F87-C87</f>
        <v>-0.38499999999999091</v>
      </c>
      <c r="H87" s="63"/>
      <c r="I87" s="63"/>
      <c r="N87" s="93">
        <f>Q56</f>
        <v>50.69</v>
      </c>
      <c r="O87" s="403">
        <f>G64</f>
        <v>-0.34400000000000119</v>
      </c>
      <c r="P87" s="404"/>
      <c r="Q87" s="406">
        <f t="shared" si="18"/>
        <v>50.345999999999997</v>
      </c>
      <c r="R87" s="407"/>
      <c r="S87" s="138" t="s">
        <v>35</v>
      </c>
      <c r="T87" s="94">
        <f>IF(N87&lt;$AA$97,MAX($O$97,Q76),IF(N87&lt;$AA$98,MAX($O$98,Q76),MAX($O$99,Q76)))</f>
        <v>0.74619444082230413</v>
      </c>
      <c r="AB87" s="1"/>
    </row>
    <row r="88" spans="1:28">
      <c r="A88" s="10"/>
      <c r="B88" s="8" t="s">
        <v>31</v>
      </c>
      <c r="C88" s="333">
        <f>AVERAGE(C83:D87)</f>
        <v>199.85</v>
      </c>
      <c r="D88" s="334"/>
      <c r="E88" s="95">
        <f>AVERAGE(E83:E87)</f>
        <v>199.465</v>
      </c>
      <c r="F88" s="95">
        <f t="shared" ref="F88" si="19">AVERAGE(F83:F87)</f>
        <v>199.465</v>
      </c>
      <c r="G88" s="95">
        <f>SUM(G83:G87)/5</f>
        <v>-0.38499999999999091</v>
      </c>
      <c r="H88" s="63"/>
      <c r="I88" s="63"/>
      <c r="N88" s="93">
        <f>R56</f>
        <v>100.55</v>
      </c>
      <c r="O88" s="403">
        <f>G72</f>
        <v>-0.66199999999999193</v>
      </c>
      <c r="P88" s="404"/>
      <c r="Q88" s="406">
        <f t="shared" si="18"/>
        <v>99.888000000000005</v>
      </c>
      <c r="R88" s="407"/>
      <c r="S88" s="138" t="s">
        <v>35</v>
      </c>
      <c r="T88" s="94">
        <f>IF(N88&lt;$AA$97,MAX($O$97,R76),IF(N88&lt;$AA$98,MAX($O$98,R76),MAX($O$99,R76)))</f>
        <v>0.74670910430652526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150.56</v>
      </c>
      <c r="O89" s="403">
        <f>G80</f>
        <v>-0.84100000000000819</v>
      </c>
      <c r="P89" s="404"/>
      <c r="Q89" s="406">
        <f t="shared" si="18"/>
        <v>149.71899999999999</v>
      </c>
      <c r="R89" s="407"/>
      <c r="S89" s="138" t="s">
        <v>35</v>
      </c>
      <c r="T89" s="94">
        <f>IF(N89&lt;$AA$97,MAX($O$97,S76),IF(N89&lt;$AA$98,MAX($O$98,S76),MAX($O$99,S76)))</f>
        <v>0.74619444082230413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199.85</v>
      </c>
      <c r="O90" s="403">
        <f>G88</f>
        <v>-0.38499999999999091</v>
      </c>
      <c r="P90" s="404"/>
      <c r="Q90" s="406">
        <f t="shared" si="18"/>
        <v>199.465</v>
      </c>
      <c r="R90" s="407"/>
      <c r="S90" s="138" t="s">
        <v>35</v>
      </c>
      <c r="T90" s="94">
        <f>IF(N90&lt;$AA$97,MAX($O$97,T76),IF(N90&lt;$AA$98,MAX($O$98,T76),MAX($O$99,T76)))</f>
        <v>0.75254255512566348</v>
      </c>
      <c r="AB90" s="1"/>
    </row>
    <row r="91" spans="1:28">
      <c r="A91" s="105">
        <v>7</v>
      </c>
      <c r="B91" s="196">
        <v>250</v>
      </c>
      <c r="C91" s="327">
        <v>249.71</v>
      </c>
      <c r="D91" s="327"/>
      <c r="E91" s="90">
        <v>249.47800000000001</v>
      </c>
      <c r="F91" s="37">
        <f>IF('PERHITUNGAN 3'!$E$11="Burn Engr",'PERHITUNGAN 3'!E91,E91+('regresi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249.47800000000001</v>
      </c>
      <c r="G91" s="40">
        <f>F91-C91</f>
        <v>-0.23199999999999932</v>
      </c>
      <c r="H91" s="63"/>
      <c r="I91" s="63"/>
      <c r="N91" s="93">
        <f>U56</f>
        <v>249.70999999999998</v>
      </c>
      <c r="O91" s="403">
        <f>G96</f>
        <v>-0.23199999999999932</v>
      </c>
      <c r="P91" s="404"/>
      <c r="Q91" s="406">
        <f t="shared" si="18"/>
        <v>249.47799999999998</v>
      </c>
      <c r="R91" s="407"/>
      <c r="S91" s="138" t="s">
        <v>35</v>
      </c>
      <c r="T91" s="94">
        <f>IF(N91&lt;$AA$97,MAX($O$97,U76),IF(N91&lt;$AA$98,MAX($O$98,U76),MAX($O$99,U76)))</f>
        <v>0.75254255512566348</v>
      </c>
      <c r="AB91" s="1"/>
    </row>
    <row r="92" spans="1:28">
      <c r="A92" s="10"/>
      <c r="C92" s="327">
        <v>249.71</v>
      </c>
      <c r="D92" s="327"/>
      <c r="E92" s="90">
        <v>249.47800000000001</v>
      </c>
      <c r="F92" s="37">
        <f>IF('PERHITUNGAN 3'!$E$11="Burn Engr",'PERHITUNGAN 3'!E92,E92+('regresi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249.47800000000001</v>
      </c>
      <c r="G92" s="40">
        <f>F92-C92</f>
        <v>-0.23199999999999932</v>
      </c>
      <c r="H92" s="44"/>
      <c r="I92" s="63"/>
      <c r="N92" s="93">
        <f>V56</f>
        <v>259.75</v>
      </c>
      <c r="O92" s="403">
        <f>G104</f>
        <v>-0.19600000000002638</v>
      </c>
      <c r="P92" s="404"/>
      <c r="Q92" s="406">
        <f t="shared" si="18"/>
        <v>259.55399999999997</v>
      </c>
      <c r="R92" s="407"/>
      <c r="S92" s="138" t="s">
        <v>35</v>
      </c>
      <c r="T92" s="94">
        <f>IF(N92&lt;$AA$97,MAX($O$97,V76),IF(N92&lt;$AA$98,MAX($O$98,V76),MAX($O$99,V76)))</f>
        <v>1.8</v>
      </c>
      <c r="AB92" s="1"/>
    </row>
    <row r="93" spans="1:28">
      <c r="A93" s="10"/>
      <c r="C93" s="327">
        <v>249.71</v>
      </c>
      <c r="D93" s="327"/>
      <c r="E93" s="90">
        <v>249.47800000000001</v>
      </c>
      <c r="F93" s="37">
        <f>IF('PERHITUNGAN 3'!$E$11="Burn Engr",'PERHITUNGAN 3'!E93,E93+('regresi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249.47800000000001</v>
      </c>
      <c r="G93" s="40">
        <f>F93-C93</f>
        <v>-0.23199999999999932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8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249.71</v>
      </c>
      <c r="D94" s="327"/>
      <c r="E94" s="90">
        <v>249.47800000000001</v>
      </c>
      <c r="F94" s="37">
        <f>IF('PERHITUNGAN 3'!$E$11="Burn Engr",'PERHITUNGAN 3'!E94,E94+('regresi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249.47800000000001</v>
      </c>
      <c r="G94" s="40">
        <f>F94-C94</f>
        <v>-0.23199999999999932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8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249.71</v>
      </c>
      <c r="D95" s="327"/>
      <c r="E95" s="90">
        <v>249.47800000000001</v>
      </c>
      <c r="F95" s="37">
        <f>IF('PERHITUNGAN 3'!$E$11="Burn Engr",'PERHITUNGAN 3'!E95,E95+('regresi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249.47800000000001</v>
      </c>
      <c r="G95" s="41">
        <f>F95-C95</f>
        <v>-0.23199999999999932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249.70999999999998</v>
      </c>
      <c r="D96" s="334"/>
      <c r="E96" s="95">
        <f>AVERAGE(E91:E95)</f>
        <v>249.47800000000001</v>
      </c>
      <c r="F96" s="95">
        <f t="shared" ref="F96" si="20">AVERAGE(F91:F95)</f>
        <v>249.47800000000001</v>
      </c>
      <c r="G96" s="95">
        <f>SUM(G91:G95)/5</f>
        <v>-0.23199999999999932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0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0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>
        <v>260</v>
      </c>
      <c r="C99" s="327">
        <v>259.75</v>
      </c>
      <c r="D99" s="327"/>
      <c r="E99" s="90">
        <v>259.55399999999997</v>
      </c>
      <c r="F99" s="37">
        <f>IF('PERHITUNGAN 3'!$E$11="Burn Engr",'PERHITUNGAN 3'!E99,E99+('regresi PRT'!$P$40+('regresi PRT'!$P$41*E99)+('regresi PRT'!$P$42*(E99^2))+('regresi PRT'!$P$43*(E99^3))+('regresi PRT'!$P$44*(E99^4))+('regresi PRT'!$P$45*(E99^5))+('regresi PRT'!$P$46*(E99^6))+('regresi PRT'!$P$47*(E99^7))+('regresi PRT'!$P$48*(E99^8))+('regresi PRT'!$P$49*(E99^9))+('regresi PRT'!$P$50*(E99^10))))</f>
        <v>259.55399999999997</v>
      </c>
      <c r="G99" s="40">
        <f>F99-C99</f>
        <v>-0.19600000000002638</v>
      </c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>
        <v>259.75</v>
      </c>
      <c r="D100" s="327"/>
      <c r="E100" s="90">
        <v>259.55399999999997</v>
      </c>
      <c r="F100" s="37">
        <f>IF('PERHITUNGAN 3'!$E$11="Burn Engr",'PERHITUNGAN 3'!E100,E100+('regresi PRT'!$P$40+('regresi PRT'!$P$41*E100)+('regresi PRT'!$P$42*(E100^2))+('regresi PRT'!$P$43*(E100^3))+('regresi PRT'!$P$44*(E100^4))+('regresi PRT'!$P$45*(E100^5))+('regresi PRT'!$P$46*(E100^6))+('regresi PRT'!$P$47*(E100^7))+('regresi PRT'!$P$48*(E100^8))+('regresi PRT'!$P$49*(E100^9))+('regresi PRT'!$P$50*(E100^10))))</f>
        <v>259.55399999999997</v>
      </c>
      <c r="G100" s="40">
        <f>F100-C100</f>
        <v>-0.19600000000002638</v>
      </c>
      <c r="H100" s="44"/>
      <c r="I100" s="44"/>
      <c r="M100" s="1"/>
    </row>
    <row r="101" spans="1:27">
      <c r="A101" s="10"/>
      <c r="C101" s="327">
        <v>259.75</v>
      </c>
      <c r="D101" s="327"/>
      <c r="E101" s="90">
        <v>259.55399999999997</v>
      </c>
      <c r="F101" s="37">
        <f>IF('PERHITUNGAN 3'!$E$11="Burn Engr",'PERHITUNGAN 3'!E101,E101+('regresi PRT'!$P$40+('regresi PRT'!$P$41*E101)+('regresi PRT'!$P$42*(E101^2))+('regresi PRT'!$P$43*(E101^3))+('regresi PRT'!$P$44*(E101^4))+('regresi PRT'!$P$45*(E101^5))+('regresi PRT'!$P$46*(E101^6))+('regresi PRT'!$P$47*(E101^7))+('regresi PRT'!$P$48*(E101^8))+('regresi PRT'!$P$49*(E101^9))+('regresi PRT'!$P$50*(E101^10))))</f>
        <v>259.55399999999997</v>
      </c>
      <c r="G101" s="40">
        <f>F101-C101</f>
        <v>-0.19600000000002638</v>
      </c>
      <c r="H101" s="44"/>
      <c r="I101" s="44"/>
    </row>
    <row r="102" spans="1:27">
      <c r="A102" s="10"/>
      <c r="C102" s="327">
        <v>259.75</v>
      </c>
      <c r="D102" s="327"/>
      <c r="E102" s="90">
        <v>259.55399999999997</v>
      </c>
      <c r="F102" s="37">
        <f>IF('PERHITUNGAN 3'!$E$11="Burn Engr",'PERHITUNGAN 3'!E102,E102+('regresi PRT'!$P$40+('regresi PRT'!$P$41*E102)+('regresi PRT'!$P$42*(E102^2))+('regresi PRT'!$P$43*(E102^3))+('regresi PRT'!$P$44*(E102^4))+('regresi PRT'!$P$45*(E102^5))+('regresi PRT'!$P$46*(E102^6))+('regresi PRT'!$P$47*(E102^7))+('regresi PRT'!$P$48*(E102^8))+('regresi PRT'!$P$49*(E102^9))+('regresi PRT'!$P$50*(E102^10))))</f>
        <v>259.55399999999997</v>
      </c>
      <c r="G102" s="40">
        <f>F102-C102</f>
        <v>-0.19600000000002638</v>
      </c>
      <c r="H102" s="63"/>
      <c r="I102" s="63"/>
    </row>
    <row r="103" spans="1:27">
      <c r="A103" s="10"/>
      <c r="C103" s="327">
        <v>259.75</v>
      </c>
      <c r="D103" s="327"/>
      <c r="E103" s="90">
        <v>259.55399999999997</v>
      </c>
      <c r="F103" s="37">
        <f>IF('PERHITUNGAN 3'!$E$11="Burn Engr",'PERHITUNGAN 3'!E103,E103+('regresi PRT'!$P$40+('regresi PRT'!$P$41*E103)+('regresi PRT'!$P$42*(E103^2))+('regresi PRT'!$P$43*(E103^3))+('regresi PRT'!$P$44*(E103^4))+('regresi PRT'!$P$45*(E103^5))+('regresi PRT'!$P$46*(E103^6))+('regresi PRT'!$P$47*(E103^7))+('regresi PRT'!$P$48*(E103^8))+('regresi PRT'!$P$49*(E103^9))+('regresi PRT'!$P$50*(E103^10))))</f>
        <v>259.55399999999997</v>
      </c>
      <c r="G103" s="41">
        <f>F103-C103</f>
        <v>-0.19600000000002638</v>
      </c>
      <c r="H103" s="63"/>
      <c r="I103" s="63"/>
      <c r="N103" s="74"/>
      <c r="O103" s="129"/>
    </row>
    <row r="104" spans="1:27">
      <c r="A104" s="10"/>
      <c r="B104" s="8" t="s">
        <v>31</v>
      </c>
      <c r="C104" s="333">
        <f>AVERAGE(C99:D103)</f>
        <v>259.75</v>
      </c>
      <c r="D104" s="334"/>
      <c r="E104" s="95">
        <f>AVERAGE(E99:E103)</f>
        <v>259.55399999999997</v>
      </c>
      <c r="F104" s="95">
        <f>SUM(F99:F103)/5</f>
        <v>259.55399999999997</v>
      </c>
      <c r="G104" s="95">
        <f>SUM(G99:G103)/5</f>
        <v>-0.19600000000002638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>
        <f>_xlfn.STDEV.S(G99:G103)</f>
        <v>0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>
        <f>G105/SQRT(5)</f>
        <v>0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>
        <f>IF('PERHITUNGAN 3'!$E$11="Burn Engr",'PERHITUNGAN 3'!E107,E107+('regresi PRT'!$P$40+('regresi PRT'!$P$41*E107)+('regresi PRT'!$P$42*(E107^2))+('regresi PRT'!$P$43*(E107^3))+('regresi PRT'!$P$44*(E107^4))+('regresi PRT'!$P$45*(E107^5))+('regresi PRT'!$P$46*(E107^6))+('regresi PRT'!$P$47*(E107^7))+('regresi PRT'!$P$48*(E107^8))+('regresi PRT'!$P$49*(E107^9))+('regresi PRT'!$P$50*(E107^10))))</f>
        <v>0</v>
      </c>
      <c r="G107" s="40">
        <f>F107-C107</f>
        <v>0</v>
      </c>
      <c r="H107" s="63"/>
      <c r="I107" s="63"/>
      <c r="M107" s="1"/>
    </row>
    <row r="108" spans="1:27">
      <c r="A108" s="10"/>
      <c r="C108" s="327"/>
      <c r="D108" s="327"/>
      <c r="E108" s="90"/>
      <c r="F108" s="37">
        <f>IF('PERHITUNGAN 3'!$E$11="Burn Engr",'PERHITUNGAN 3'!E108,E108+('regresi PRT'!$P$40+('regresi PRT'!$P$41*E108)+('regresi PRT'!$P$42*(E108^2))+('regresi PRT'!$P$43*(E108^3))+('regresi PRT'!$P$44*(E108^4))+('regresi PRT'!$P$45*(E108^5))+('regresi PRT'!$P$46*(E108^6))+('regresi PRT'!$P$47*(E108^7))+('regresi PRT'!$P$48*(E108^8))+('regresi PRT'!$P$49*(E108^9))+('regresi PRT'!$P$50*(E108^10))))</f>
        <v>0</v>
      </c>
      <c r="G108" s="40">
        <f>F108-C108</f>
        <v>0</v>
      </c>
      <c r="H108" s="44"/>
      <c r="I108" s="44"/>
      <c r="M108" s="1"/>
    </row>
    <row r="109" spans="1:27">
      <c r="A109" s="10"/>
      <c r="C109" s="327"/>
      <c r="D109" s="327"/>
      <c r="E109" s="90"/>
      <c r="F109" s="37">
        <f>IF('PERHITUNGAN 3'!$E$11="Burn Engr",'PERHITUNGAN 3'!E109,E109+('regresi PRT'!$P$40+('regresi PRT'!$P$41*E109)+('regresi PRT'!$P$42*(E109^2))+('regresi PRT'!$P$43*(E109^3))+('regresi PRT'!$P$44*(E109^4))+('regresi PRT'!$P$45*(E109^5))+('regresi PRT'!$P$46*(E109^6))+('regresi PRT'!$P$47*(E109^7))+('regresi PRT'!$P$48*(E109^8))+('regresi PRT'!$P$49*(E109^9))+('regresi PRT'!$P$50*(E109^10))))</f>
        <v>0</v>
      </c>
      <c r="G109" s="40">
        <f>F109-C109</f>
        <v>0</v>
      </c>
      <c r="H109" s="44"/>
      <c r="I109" s="44"/>
    </row>
    <row r="110" spans="1:27">
      <c r="A110" s="10"/>
      <c r="C110" s="327"/>
      <c r="D110" s="327"/>
      <c r="E110" s="90"/>
      <c r="F110" s="37">
        <f>IF('PERHITUNGAN 3'!$E$11="Burn Engr",'PERHITUNGAN 3'!E110,E110+('regresi PRT'!$P$40+('regresi PRT'!$P$41*E110)+('regresi PRT'!$P$42*(E110^2))+('regresi PRT'!$P$43*(E110^3))+('regresi PRT'!$P$44*(E110^4))+('regresi PRT'!$P$45*(E110^5))+('regresi PRT'!$P$46*(E110^6))+('regresi PRT'!$P$47*(E110^7))+('regresi PRT'!$P$48*(E110^8))+('regresi PRT'!$P$49*(E110^9))+('regresi PRT'!$P$50*(E110^10))))</f>
        <v>0</v>
      </c>
      <c r="G110" s="40">
        <f>F110-C110</f>
        <v>0</v>
      </c>
      <c r="H110" s="63"/>
      <c r="I110" s="63"/>
    </row>
    <row r="111" spans="1:27">
      <c r="A111" s="10"/>
      <c r="C111" s="327"/>
      <c r="D111" s="327"/>
      <c r="E111" s="90"/>
      <c r="F111" s="37">
        <f>IF('PERHITUNGAN 3'!$E$11="Burn Engr",'PERHITUNGAN 3'!E111,E111+('regresi PRT'!$P$40+('regresi PRT'!$P$41*E111)+('regresi PRT'!$P$42*(E111^2))+('regresi PRT'!$P$43*(E111^3))+('regresi PRT'!$P$44*(E111^4))+('regresi PRT'!$P$45*(E111^5))+('regresi PRT'!$P$46*(E111^6))+('regresi PRT'!$P$47*(E111^7))+('regresi PRT'!$P$48*(E111^8))+('regresi PRT'!$P$49*(E111^9))+('regresi PRT'!$P$50*(E111^10))))</f>
        <v>0</v>
      </c>
      <c r="G111" s="41">
        <f>F111-C111</f>
        <v>0</v>
      </c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>
        <f>_xlfn.STDEV.S(G107:G111)</f>
        <v>0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>
        <f>G113/SQRT(5)</f>
        <v>0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>
        <f>IF('PERHITUNGAN 3'!$E$11="Burn Engr",'PERHITUNGAN 3'!E115,E115+('regresi PRT'!$P$40+('regresi PRT'!$P$41*E115)+('regresi PRT'!$P$42*(E115^2))+('regresi PRT'!$P$43*(E115^3))+('regresi PRT'!$P$44*(E115^4))+('regresi PRT'!$P$45*(E115^5))+('regresi PRT'!$P$46*(E115^6))+('regresi PRT'!$P$47*(E115^7))+('regresi PRT'!$P$48*(E115^8))+('regresi PRT'!$P$49*(E115^9))+('regresi PRT'!$P$50*(E115^10))))</f>
        <v>0</v>
      </c>
      <c r="G115" s="40">
        <f>F115-C115</f>
        <v>0</v>
      </c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>
        <f>IF('PERHITUNGAN 3'!$E$11="Burn Engr",'PERHITUNGAN 3'!E116,E116+('regresi PRT'!$P$40+('regresi PRT'!$P$41*E116)+('regresi PRT'!$P$42*(E116^2))+('regresi PRT'!$P$43*(E116^3))+('regresi PRT'!$P$44*(E116^4))+('regresi PRT'!$P$45*(E116^5))+('regresi PRT'!$P$46*(E116^6))+('regresi PRT'!$P$47*(E116^7))+('regresi PRT'!$P$48*(E116^8))+('regresi PRT'!$P$49*(E116^9))+('regresi PRT'!$P$50*(E116^10))))</f>
        <v>0</v>
      </c>
      <c r="G116" s="40">
        <f>F116-C116</f>
        <v>0</v>
      </c>
      <c r="H116" s="44"/>
      <c r="I116" s="44"/>
      <c r="U116" s="49"/>
    </row>
    <row r="117" spans="1:21">
      <c r="A117" s="10"/>
      <c r="C117" s="224"/>
      <c r="D117" s="225"/>
      <c r="E117" s="90"/>
      <c r="F117" s="37">
        <f>IF('PERHITUNGAN 3'!$E$11="Burn Engr",'PERHITUNGAN 3'!E117,E117+('regresi PRT'!$P$40+('regresi PRT'!$P$41*E117)+('regresi PRT'!$P$42*(E117^2))+('regresi PRT'!$P$43*(E117^3))+('regresi PRT'!$P$44*(E117^4))+('regresi PRT'!$P$45*(E117^5))+('regresi PRT'!$P$46*(E117^6))+('regresi PRT'!$P$47*(E117^7))+('regresi PRT'!$P$48*(E117^8))+('regresi PRT'!$P$49*(E117^9))+('regresi PRT'!$P$50*(E117^10))))</f>
        <v>0</v>
      </c>
      <c r="G117" s="40">
        <f>F117-C117</f>
        <v>0</v>
      </c>
      <c r="H117" s="44"/>
      <c r="I117" s="44"/>
      <c r="U117" s="49"/>
    </row>
    <row r="118" spans="1:21">
      <c r="A118" s="10"/>
      <c r="C118" s="224"/>
      <c r="D118" s="225"/>
      <c r="E118" s="90"/>
      <c r="F118" s="37">
        <f>IF('PERHITUNGAN 3'!$E$11="Burn Engr",'PERHITUNGAN 3'!E118,E118+('regresi PRT'!$P$40+('regresi PRT'!$P$41*E118)+('regresi PRT'!$P$42*(E118^2))+('regresi PRT'!$P$43*(E118^3))+('regresi PRT'!$P$44*(E118^4))+('regresi PRT'!$P$45*(E118^5))+('regresi PRT'!$P$46*(E118^6))+('regresi PRT'!$P$47*(E118^7))+('regresi PRT'!$P$48*(E118^8))+('regresi PRT'!$P$49*(E118^9))+('regresi PRT'!$P$50*(E118^10))))</f>
        <v>0</v>
      </c>
      <c r="G118" s="40">
        <f>F118-C118</f>
        <v>0</v>
      </c>
      <c r="H118" s="63"/>
      <c r="I118" s="63"/>
    </row>
    <row r="119" spans="1:21">
      <c r="A119" s="10"/>
      <c r="C119" s="233"/>
      <c r="D119" s="234"/>
      <c r="E119" s="90"/>
      <c r="F119" s="37">
        <f>IF('PERHITUNGAN 3'!$E$11="Burn Engr",'PERHITUNGAN 3'!E119,E119+('regresi PRT'!$P$40+('regresi PRT'!$P$41*E119)+('regresi PRT'!$P$42*(E119^2))+('regresi PRT'!$P$43*(E119^3))+('regresi PRT'!$P$44*(E119^4))+('regresi PRT'!$P$45*(E119^5))+('regresi PRT'!$P$46*(E119^6))+('regresi PRT'!$P$47*(E119^7))+('regresi PRT'!$P$48*(E119^8))+('regresi PRT'!$P$49*(E119^9))+('regresi PRT'!$P$50*(E119^10))))</f>
        <v>0</v>
      </c>
      <c r="G119" s="41">
        <f>F119-C119</f>
        <v>0</v>
      </c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>
        <f>_xlfn.STDEV.S(G115:G119)</f>
        <v>0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>
        <f>G121/SQRT(5)</f>
        <v>0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330"/>
      <c r="D125" s="330"/>
      <c r="E125" s="63"/>
      <c r="F125" s="63"/>
      <c r="G125" s="63"/>
      <c r="H125" s="63"/>
      <c r="I125" s="63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2">
    <mergeCell ref="J26:K26"/>
    <mergeCell ref="J31:K31"/>
    <mergeCell ref="C51:D51"/>
    <mergeCell ref="C52:D52"/>
    <mergeCell ref="C53:D53"/>
    <mergeCell ref="C56:D56"/>
    <mergeCell ref="C185:D185"/>
    <mergeCell ref="C177:D177"/>
    <mergeCell ref="C180:D180"/>
    <mergeCell ref="C181:D181"/>
    <mergeCell ref="C182:D182"/>
    <mergeCell ref="C183:D183"/>
    <mergeCell ref="C184:D184"/>
    <mergeCell ref="C169:D169"/>
    <mergeCell ref="C172:D172"/>
    <mergeCell ref="C173:D173"/>
    <mergeCell ref="C174:D174"/>
    <mergeCell ref="C175:D175"/>
    <mergeCell ref="C176:D176"/>
    <mergeCell ref="C161:D161"/>
    <mergeCell ref="C164:D164"/>
    <mergeCell ref="C165:D165"/>
    <mergeCell ref="C166:D166"/>
    <mergeCell ref="C167:D167"/>
    <mergeCell ref="C168:D168"/>
    <mergeCell ref="C151:D151"/>
    <mergeCell ref="C156:D156"/>
    <mergeCell ref="C157:D157"/>
    <mergeCell ref="C158:D158"/>
    <mergeCell ref="C159:D159"/>
    <mergeCell ref="C160:D160"/>
    <mergeCell ref="C143:D143"/>
    <mergeCell ref="C146:D146"/>
    <mergeCell ref="C147:D147"/>
    <mergeCell ref="C148:D148"/>
    <mergeCell ref="C149:D149"/>
    <mergeCell ref="C150:D150"/>
    <mergeCell ref="C127:D127"/>
    <mergeCell ref="C138:D138"/>
    <mergeCell ref="C139:D139"/>
    <mergeCell ref="C140:D140"/>
    <mergeCell ref="C141:D141"/>
    <mergeCell ref="C142:D142"/>
    <mergeCell ref="C125:D125"/>
    <mergeCell ref="C126:D126"/>
    <mergeCell ref="C111:D111"/>
    <mergeCell ref="C112:D112"/>
    <mergeCell ref="C107:D107"/>
    <mergeCell ref="C108:D108"/>
    <mergeCell ref="C109:D109"/>
    <mergeCell ref="C110:D110"/>
    <mergeCell ref="C99:D99"/>
    <mergeCell ref="C100:D100"/>
    <mergeCell ref="C101:D101"/>
    <mergeCell ref="C102:D102"/>
    <mergeCell ref="C103:D103"/>
    <mergeCell ref="C104:D104"/>
    <mergeCell ref="C95:D95"/>
    <mergeCell ref="C96:D96"/>
    <mergeCell ref="N96:O96"/>
    <mergeCell ref="Z96:AA96"/>
    <mergeCell ref="C93:D93"/>
    <mergeCell ref="O93:P93"/>
    <mergeCell ref="Q93:R93"/>
    <mergeCell ref="C94:D94"/>
    <mergeCell ref="O94:P94"/>
    <mergeCell ref="Q94:R94"/>
    <mergeCell ref="C91:D91"/>
    <mergeCell ref="O91:P91"/>
    <mergeCell ref="Q91:R91"/>
    <mergeCell ref="C92:D92"/>
    <mergeCell ref="O92:P92"/>
    <mergeCell ref="Q92:R92"/>
    <mergeCell ref="O89:P89"/>
    <mergeCell ref="Q89:R89"/>
    <mergeCell ref="O90:P90"/>
    <mergeCell ref="Q90:R90"/>
    <mergeCell ref="C87:D87"/>
    <mergeCell ref="O87:P87"/>
    <mergeCell ref="Q87:R87"/>
    <mergeCell ref="C88:D88"/>
    <mergeCell ref="O88:P88"/>
    <mergeCell ref="Q88:R88"/>
    <mergeCell ref="C85:D85"/>
    <mergeCell ref="O85:P85"/>
    <mergeCell ref="Q85:R85"/>
    <mergeCell ref="C86:D86"/>
    <mergeCell ref="O86:P86"/>
    <mergeCell ref="Q86:R86"/>
    <mergeCell ref="C83:D83"/>
    <mergeCell ref="N83:N84"/>
    <mergeCell ref="O83:P84"/>
    <mergeCell ref="Q83:R84"/>
    <mergeCell ref="S83:T83"/>
    <mergeCell ref="C84:D84"/>
    <mergeCell ref="S84:T84"/>
    <mergeCell ref="C76:D76"/>
    <mergeCell ref="C77:D77"/>
    <mergeCell ref="C78:D78"/>
    <mergeCell ref="C79:D79"/>
    <mergeCell ref="C80:D80"/>
    <mergeCell ref="C70:D70"/>
    <mergeCell ref="C71:D71"/>
    <mergeCell ref="C72:D72"/>
    <mergeCell ref="C75:D75"/>
    <mergeCell ref="C64:D64"/>
    <mergeCell ref="C67:D67"/>
    <mergeCell ref="C68:D68"/>
    <mergeCell ref="C69:D69"/>
    <mergeCell ref="C59:D59"/>
    <mergeCell ref="C60:D60"/>
    <mergeCell ref="C61:D61"/>
    <mergeCell ref="C62:D62"/>
    <mergeCell ref="C63:D63"/>
    <mergeCell ref="C48:D48"/>
    <mergeCell ref="N36:N37"/>
    <mergeCell ref="O36:O37"/>
    <mergeCell ref="P36:P37"/>
    <mergeCell ref="Q36:Q37"/>
    <mergeCell ref="R36:R37"/>
    <mergeCell ref="C43:D43"/>
    <mergeCell ref="C54:D54"/>
    <mergeCell ref="C55:D55"/>
    <mergeCell ref="N55:N56"/>
    <mergeCell ref="O55:X55"/>
    <mergeCell ref="C44:D44"/>
    <mergeCell ref="C45:D45"/>
    <mergeCell ref="N45:S45"/>
    <mergeCell ref="T45:Y45"/>
    <mergeCell ref="C46:D46"/>
    <mergeCell ref="C47:D47"/>
    <mergeCell ref="C50:D50"/>
    <mergeCell ref="C49:D49"/>
    <mergeCell ref="AB32:AC32"/>
    <mergeCell ref="T28:T29"/>
    <mergeCell ref="U28:U29"/>
    <mergeCell ref="AB28:AC28"/>
    <mergeCell ref="C41:D41"/>
    <mergeCell ref="C42:D42"/>
    <mergeCell ref="AB30:AC30"/>
    <mergeCell ref="C40:D40"/>
    <mergeCell ref="N28:N29"/>
    <mergeCell ref="O28:O29"/>
    <mergeCell ref="P28:P29"/>
    <mergeCell ref="Q28:Q29"/>
    <mergeCell ref="S28:S29"/>
    <mergeCell ref="S36:S37"/>
    <mergeCell ref="T36:T37"/>
    <mergeCell ref="U36:U37"/>
    <mergeCell ref="V36:V37"/>
    <mergeCell ref="W36:W37"/>
    <mergeCell ref="X36:X37"/>
    <mergeCell ref="E16:F16"/>
    <mergeCell ref="N16:N20"/>
    <mergeCell ref="E17:F17"/>
    <mergeCell ref="E18:F18"/>
    <mergeCell ref="AB18:AC18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  <mergeCell ref="F21:G21"/>
  </mergeCells>
  <conditionalFormatting sqref="C56">
    <cfRule type="expression" dxfId="423" priority="18" stopIfTrue="1">
      <formula>COUNT(C51:C55)&lt;&gt;5</formula>
    </cfRule>
  </conditionalFormatting>
  <conditionalFormatting sqref="C64">
    <cfRule type="expression" dxfId="422" priority="2" stopIfTrue="1">
      <formula>COUNT(C59:C63)&lt;&gt;5</formula>
    </cfRule>
  </conditionalFormatting>
  <conditionalFormatting sqref="C72">
    <cfRule type="expression" dxfId="421" priority="8" stopIfTrue="1">
      <formula>COUNT(C67:C71)&lt;&gt;5</formula>
    </cfRule>
  </conditionalFormatting>
  <conditionalFormatting sqref="C80">
    <cfRule type="expression" dxfId="420" priority="7" stopIfTrue="1">
      <formula>COUNT(C75:C79)&lt;&gt;5</formula>
    </cfRule>
  </conditionalFormatting>
  <conditionalFormatting sqref="C88">
    <cfRule type="expression" dxfId="419" priority="6" stopIfTrue="1">
      <formula>COUNT(C83:C87)&lt;&gt;5</formula>
    </cfRule>
  </conditionalFormatting>
  <conditionalFormatting sqref="C96">
    <cfRule type="expression" dxfId="418" priority="5" stopIfTrue="1">
      <formula>COUNT(C91:C95)&lt;&gt;5</formula>
    </cfRule>
  </conditionalFormatting>
  <conditionalFormatting sqref="C104">
    <cfRule type="expression" dxfId="417" priority="4" stopIfTrue="1">
      <formula>COUNT(C99:C103)&lt;&gt;5</formula>
    </cfRule>
  </conditionalFormatting>
  <conditionalFormatting sqref="C112">
    <cfRule type="expression" dxfId="416" priority="3" stopIfTrue="1">
      <formula>COUNT(C107:C111)&lt;&gt;5</formula>
    </cfRule>
  </conditionalFormatting>
  <conditionalFormatting sqref="C48:E48">
    <cfRule type="expression" dxfId="415" priority="19" stopIfTrue="1">
      <formula>COUNT(C43:C47)&lt;&gt;5</formula>
    </cfRule>
  </conditionalFormatting>
  <conditionalFormatting sqref="C120:E120">
    <cfRule type="expression" dxfId="414" priority="9" stopIfTrue="1">
      <formula>COUNT(C115:C119)&lt;&gt;5</formula>
    </cfRule>
  </conditionalFormatting>
  <conditionalFormatting sqref="E56">
    <cfRule type="expression" dxfId="413" priority="17" stopIfTrue="1">
      <formula>COUNT(E51:E55)&lt;&gt;5</formula>
    </cfRule>
  </conditionalFormatting>
  <conditionalFormatting sqref="E64">
    <cfRule type="expression" dxfId="412" priority="1" stopIfTrue="1">
      <formula>COUNT(E59:E63)&lt;&gt;5</formula>
    </cfRule>
  </conditionalFormatting>
  <conditionalFormatting sqref="E72">
    <cfRule type="expression" dxfId="411" priority="16" stopIfTrue="1">
      <formula>COUNT(E67:E71)&lt;&gt;5</formula>
    </cfRule>
  </conditionalFormatting>
  <conditionalFormatting sqref="E80">
    <cfRule type="expression" dxfId="410" priority="15" stopIfTrue="1">
      <formula>COUNT(E75:E79)&lt;&gt;5</formula>
    </cfRule>
  </conditionalFormatting>
  <conditionalFormatting sqref="E88">
    <cfRule type="expression" dxfId="409" priority="14" stopIfTrue="1">
      <formula>COUNT(E83:E87)&lt;&gt;5</formula>
    </cfRule>
  </conditionalFormatting>
  <conditionalFormatting sqref="E96">
    <cfRule type="expression" dxfId="408" priority="13" stopIfTrue="1">
      <formula>COUNT(E91:E95)&lt;&gt;5</formula>
    </cfRule>
  </conditionalFormatting>
  <conditionalFormatting sqref="E104">
    <cfRule type="expression" dxfId="407" priority="12" stopIfTrue="1">
      <formula>COUNT(E99:E103)&lt;&gt;5</formula>
    </cfRule>
  </conditionalFormatting>
  <conditionalFormatting sqref="E112">
    <cfRule type="expression" dxfId="406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31745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31745" r:id="rId4"/>
      </mc:Fallback>
    </mc:AlternateContent>
    <mc:AlternateContent xmlns:mc="http://schemas.openxmlformats.org/markup-compatibility/2006">
      <mc:Choice Requires="x14">
        <oleObject progId="Equation.3" shapeId="31746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31746" r:id="rId6"/>
      </mc:Fallback>
    </mc:AlternateContent>
    <mc:AlternateContent xmlns:mc="http://schemas.openxmlformats.org/markup-compatibility/2006">
      <mc:Choice Requires="x14">
        <oleObject progId="Equation.3" shapeId="31747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31747" r:id="rId8"/>
      </mc:Fallback>
    </mc:AlternateContent>
    <mc:AlternateContent xmlns:mc="http://schemas.openxmlformats.org/markup-compatibility/2006">
      <mc:Choice Requires="x14">
        <oleObject progId="Equation.3" shapeId="31748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31748" r:id="rId10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3'!O85</f>
        <v>-1.120000000000001</v>
      </c>
      <c r="C2" s="37">
        <f>'PERHITUNGAN 3'!N85</f>
        <v>-28.660000000000004</v>
      </c>
      <c r="D2" s="75">
        <f>C2^2</f>
        <v>821.39560000000017</v>
      </c>
      <c r="E2" s="37">
        <f>C2^3</f>
        <v>-23541.197896000009</v>
      </c>
      <c r="F2" s="91">
        <f>C2^4</f>
        <v>674690.7316993603</v>
      </c>
      <c r="G2" s="91">
        <f>C2^5</f>
        <v>-19336636.370503668</v>
      </c>
      <c r="H2" s="91">
        <f>C2^6</f>
        <v>554187998.37863517</v>
      </c>
      <c r="I2" s="91">
        <f>C2^7</f>
        <v>-15883028033.531687</v>
      </c>
      <c r="J2" s="91">
        <f>C2^8</f>
        <v>455207583441.01819</v>
      </c>
      <c r="K2" s="91">
        <f>C2^9</f>
        <v>-13046249341419.582</v>
      </c>
      <c r="L2" s="91">
        <f>C2^10</f>
        <v>373905506125085.25</v>
      </c>
      <c r="Q2" s="12"/>
    </row>
    <row r="3" spans="1:24">
      <c r="A3" s="25">
        <v>2</v>
      </c>
      <c r="B3" s="37">
        <f>'PERHITUNGAN 3'!O86</f>
        <v>-0.98199999999999998</v>
      </c>
      <c r="C3" s="37">
        <f>'PERHITUNGAN 3'!N86</f>
        <v>1.18</v>
      </c>
      <c r="D3" s="75">
        <f t="shared" ref="D3:D9" si="0">C3^2</f>
        <v>1.3923999999999999</v>
      </c>
      <c r="E3" s="37">
        <f t="shared" ref="E3:E9" si="1">C3^3</f>
        <v>1.6430319999999998</v>
      </c>
      <c r="F3" s="91">
        <f t="shared" ref="F3:F9" si="2">C3^4</f>
        <v>1.9387777599999996</v>
      </c>
      <c r="G3" s="91">
        <f t="shared" ref="G3:G9" si="3">C3^5</f>
        <v>2.2877577567999992</v>
      </c>
      <c r="H3" s="91">
        <f t="shared" ref="H3:H9" si="4">C3^6</f>
        <v>2.6995541530239993</v>
      </c>
      <c r="I3" s="91">
        <f t="shared" ref="I3:I9" si="5">C3^7</f>
        <v>3.185473900568319</v>
      </c>
      <c r="J3" s="91">
        <f t="shared" ref="J3:J9" si="6">C3^8</f>
        <v>3.758859202670616</v>
      </c>
      <c r="K3" s="91">
        <f t="shared" ref="K3:K9" si="7">C3^9</f>
        <v>4.4354538591513268</v>
      </c>
      <c r="L3" s="91">
        <f t="shared" ref="L3:L9" si="8">C3^10</f>
        <v>5.2338355537985652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3'!O87</f>
        <v>-0.34400000000000119</v>
      </c>
      <c r="C4" s="37">
        <f>'PERHITUNGAN 3'!N87</f>
        <v>50.69</v>
      </c>
      <c r="D4" s="75">
        <f t="shared" si="0"/>
        <v>2569.4760999999999</v>
      </c>
      <c r="E4" s="37">
        <f t="shared" si="1"/>
        <v>130246.74350899999</v>
      </c>
      <c r="F4" s="91">
        <f t="shared" si="2"/>
        <v>6602207.4284712095</v>
      </c>
      <c r="G4" s="91">
        <f t="shared" si="3"/>
        <v>334665894.5492056</v>
      </c>
      <c r="H4" s="91">
        <f t="shared" si="4"/>
        <v>16964214194.699232</v>
      </c>
      <c r="I4" s="91">
        <f t="shared" si="5"/>
        <v>859916017529.30408</v>
      </c>
      <c r="J4" s="91">
        <f t="shared" si="6"/>
        <v>43589142928560.422</v>
      </c>
      <c r="K4" s="91">
        <f t="shared" si="7"/>
        <v>2209533655048727.8</v>
      </c>
      <c r="L4" s="91">
        <f t="shared" si="8"/>
        <v>1.1200126097442E+17</v>
      </c>
      <c r="R4" s="414" t="str">
        <f>IF('PERHITUNGAN 1'!$C$2="Celcius","(°C)","(°F)")</f>
        <v>(°C)</v>
      </c>
      <c r="S4" s="415"/>
      <c r="T4" s="5" t="str">
        <f>IF('PERHITUNGAN 1'!$C$2="Celcius","(°C)","(°F)")</f>
        <v>(°C)</v>
      </c>
      <c r="U4" s="14"/>
      <c r="V4" s="1"/>
    </row>
    <row r="5" spans="1:24">
      <c r="A5" s="25">
        <v>4</v>
      </c>
      <c r="B5" s="37">
        <f>'PERHITUNGAN 3'!O88</f>
        <v>-0.66199999999999193</v>
      </c>
      <c r="C5" s="37">
        <f>'PERHITUNGAN 3'!N88</f>
        <v>100.55</v>
      </c>
      <c r="D5" s="75">
        <f t="shared" si="0"/>
        <v>10110.3025</v>
      </c>
      <c r="E5" s="37">
        <f t="shared" si="1"/>
        <v>1016590.9163749999</v>
      </c>
      <c r="F5" s="91">
        <f t="shared" si="2"/>
        <v>102218216.64150624</v>
      </c>
      <c r="G5" s="91">
        <f t="shared" si="3"/>
        <v>10278041683.303452</v>
      </c>
      <c r="H5" s="91">
        <f t="shared" si="4"/>
        <v>1033457091256.1621</v>
      </c>
      <c r="I5" s="91">
        <f t="shared" si="5"/>
        <v>103914110525807.09</v>
      </c>
      <c r="J5" s="91">
        <f t="shared" si="6"/>
        <v>1.0448563813369904E+16</v>
      </c>
      <c r="K5" s="91">
        <f t="shared" si="7"/>
        <v>1.0506030914343438E+18</v>
      </c>
      <c r="L5" s="91">
        <f t="shared" si="8"/>
        <v>1.0563814084372328E+20</v>
      </c>
      <c r="R5" s="412"/>
      <c r="S5" s="413"/>
      <c r="T5" s="21"/>
      <c r="U5" s="32"/>
    </row>
    <row r="6" spans="1:24">
      <c r="A6" s="25">
        <v>5</v>
      </c>
      <c r="B6" s="37">
        <f>'PERHITUNGAN 3'!O89</f>
        <v>-0.84100000000000819</v>
      </c>
      <c r="C6" s="37">
        <f>'PERHITUNGAN 3'!N89</f>
        <v>150.56</v>
      </c>
      <c r="D6" s="75">
        <f t="shared" si="0"/>
        <v>22668.313600000001</v>
      </c>
      <c r="E6" s="37">
        <f t="shared" si="1"/>
        <v>3412941.2956160004</v>
      </c>
      <c r="F6" s="91">
        <f t="shared" si="2"/>
        <v>513852441.46794504</v>
      </c>
      <c r="G6" s="91">
        <f t="shared" si="3"/>
        <v>77365623587.413803</v>
      </c>
      <c r="H6" s="91">
        <f t="shared" si="4"/>
        <v>11648168287321.023</v>
      </c>
      <c r="I6" s="91">
        <f t="shared" si="5"/>
        <v>1753748217339053.3</v>
      </c>
      <c r="J6" s="91">
        <f t="shared" si="6"/>
        <v>2.6404433160256787E+17</v>
      </c>
      <c r="K6" s="91">
        <f t="shared" si="7"/>
        <v>3.9754514566082617E+19</v>
      </c>
      <c r="L6" s="91">
        <f t="shared" si="8"/>
        <v>5.9854397130693998E+21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3'!O90</f>
        <v>-0.38499999999999091</v>
      </c>
      <c r="C7" s="37">
        <f>'PERHITUNGAN 3'!N90</f>
        <v>199.85</v>
      </c>
      <c r="D7" s="75">
        <f t="shared" si="0"/>
        <v>39940.022499999999</v>
      </c>
      <c r="E7" s="37">
        <f t="shared" si="1"/>
        <v>7982013.4966249997</v>
      </c>
      <c r="F7" s="91">
        <f t="shared" si="2"/>
        <v>1595205397.3005061</v>
      </c>
      <c r="G7" s="91">
        <f t="shared" si="3"/>
        <v>318801798650.50616</v>
      </c>
      <c r="H7" s="91">
        <f t="shared" si="4"/>
        <v>63712539460303.648</v>
      </c>
      <c r="I7" s="91">
        <f t="shared" si="5"/>
        <v>1.2732951011141684E+16</v>
      </c>
      <c r="J7" s="91">
        <f t="shared" si="6"/>
        <v>2.5446802595766656E+18</v>
      </c>
      <c r="K7" s="91">
        <f t="shared" si="7"/>
        <v>5.0855434987639662E+20</v>
      </c>
      <c r="L7" s="91">
        <f t="shared" si="8"/>
        <v>1.0163458682279785E+23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3'!O91</f>
        <v>-0.23199999999999932</v>
      </c>
      <c r="C8" s="37">
        <f>'PERHITUNGAN 3'!N91</f>
        <v>249.70999999999998</v>
      </c>
      <c r="D8" s="75">
        <f t="shared" si="0"/>
        <v>62355.084099999993</v>
      </c>
      <c r="E8" s="37">
        <f t="shared" si="1"/>
        <v>15570688.050610997</v>
      </c>
      <c r="F8" s="91">
        <f t="shared" si="2"/>
        <v>3888156513.118072</v>
      </c>
      <c r="G8" s="91">
        <f t="shared" si="3"/>
        <v>970911562890.71375</v>
      </c>
      <c r="H8" s="91">
        <f t="shared" si="4"/>
        <v>242446326369440.09</v>
      </c>
      <c r="I8" s="91">
        <f t="shared" si="5"/>
        <v>6.054127215771288E+16</v>
      </c>
      <c r="J8" s="91">
        <f t="shared" si="6"/>
        <v>1.5117761070502484E+19</v>
      </c>
      <c r="K8" s="91">
        <f t="shared" si="7"/>
        <v>3.7750561169151749E+21</v>
      </c>
      <c r="L8" s="91">
        <f t="shared" si="8"/>
        <v>9.4266926295488833E+23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3'!O92</f>
        <v>-0.19600000000002638</v>
      </c>
      <c r="C9" s="37">
        <f>'PERHITUNGAN 3'!N92</f>
        <v>259.75</v>
      </c>
      <c r="D9" s="75">
        <f t="shared" si="0"/>
        <v>67470.0625</v>
      </c>
      <c r="E9" s="37">
        <f t="shared" si="1"/>
        <v>17525348.734375</v>
      </c>
      <c r="F9" s="91">
        <f t="shared" si="2"/>
        <v>4552209333.7539063</v>
      </c>
      <c r="G9" s="91">
        <f t="shared" si="3"/>
        <v>1182436374442.5771</v>
      </c>
      <c r="H9" s="91">
        <f t="shared" si="4"/>
        <v>307137848261459.44</v>
      </c>
      <c r="I9" s="91">
        <f t="shared" si="5"/>
        <v>7.977905608591408E+16</v>
      </c>
      <c r="J9" s="91">
        <f t="shared" si="6"/>
        <v>2.0722609818316182E+19</v>
      </c>
      <c r="K9" s="91">
        <f t="shared" si="7"/>
        <v>5.3826979003076276E+21</v>
      </c>
      <c r="L9" s="91">
        <f t="shared" si="8"/>
        <v>1.3981557796049064E+24</v>
      </c>
      <c r="R9" s="408"/>
      <c r="S9" s="409"/>
      <c r="T9" s="23"/>
      <c r="U9" s="27"/>
      <c r="V9" s="88"/>
    </row>
    <row r="10" spans="1:24">
      <c r="A10" s="25">
        <v>9</v>
      </c>
      <c r="B10" s="37"/>
      <c r="C10" s="37"/>
      <c r="D10" s="75"/>
      <c r="E10" s="37"/>
      <c r="F10" s="91"/>
      <c r="G10" s="91"/>
      <c r="H10" s="91"/>
      <c r="I10" s="91"/>
      <c r="J10" s="91"/>
      <c r="K10" s="91"/>
      <c r="L10" s="91"/>
      <c r="R10" s="408"/>
      <c r="S10" s="409"/>
      <c r="T10" s="23"/>
      <c r="U10" s="27"/>
      <c r="V10" s="88"/>
    </row>
    <row r="11" spans="1:24">
      <c r="A11" s="25">
        <v>10</v>
      </c>
      <c r="B11" s="37"/>
      <c r="C11" s="37"/>
      <c r="D11" s="75"/>
      <c r="E11" s="37"/>
      <c r="F11" s="91"/>
      <c r="G11" s="91"/>
      <c r="H11" s="91"/>
      <c r="I11" s="91"/>
      <c r="J11" s="91"/>
      <c r="K11" s="91"/>
      <c r="L11" s="91"/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f>'REGRESI 2'!R19:S19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-0.82680406210851176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2'!R20:S20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-0.69785498990558992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2'!R21:S21</f>
        <v>25</v>
      </c>
      <c r="S21" s="409"/>
      <c r="T21" s="23">
        <f t="shared" si="9"/>
        <v>2.1964030081057906E-2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2'!R22:S22</f>
        <v>50</v>
      </c>
      <c r="S22" s="409"/>
      <c r="T22" s="23">
        <f t="shared" si="9"/>
        <v>1.0916901189086541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2'!R23:S23</f>
        <v>100</v>
      </c>
      <c r="S23" s="409"/>
      <c r="T23" s="23">
        <f t="shared" si="9"/>
        <v>3.1914964224389841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2'!R24:S24</f>
        <v>125</v>
      </c>
      <c r="S24" s="409"/>
      <c r="T24" s="23">
        <f t="shared" si="9"/>
        <v>3.6768930968178646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2'!R25:S25</f>
        <v>150</v>
      </c>
      <c r="S25" s="409"/>
      <c r="T25" s="23">
        <f t="shared" si="9"/>
        <v>3.4228297593899857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2'!R26:S26</f>
        <v>200</v>
      </c>
      <c r="S26" s="409"/>
      <c r="T26" s="23">
        <f t="shared" si="9"/>
        <v>-0.39304403153376199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2'!R27:S27</f>
        <v>0</v>
      </c>
      <c r="S27" s="409"/>
      <c r="T27" s="23">
        <f t="shared" si="9"/>
        <v>-0.69785498990558992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2'!R28:S28</f>
        <v>0</v>
      </c>
      <c r="S28" s="409"/>
      <c r="T28" s="23">
        <f t="shared" si="9"/>
        <v>-0.69785498990558992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0.98934400859430571</v>
      </c>
      <c r="Q33" s="31" t="s">
        <v>100</v>
      </c>
      <c r="U33" s="70"/>
    </row>
    <row r="34" spans="2:24">
      <c r="B34" t="s">
        <v>76</v>
      </c>
      <c r="C34">
        <v>0.97880156734144974</v>
      </c>
      <c r="X34" s="46"/>
    </row>
    <row r="35" spans="2:24">
      <c r="B35" t="s">
        <v>77</v>
      </c>
      <c r="C35">
        <v>0.96290274284753696</v>
      </c>
      <c r="Q35" t="s">
        <v>99</v>
      </c>
    </row>
    <row r="36" spans="2:24">
      <c r="B36" t="s">
        <v>78</v>
      </c>
      <c r="C36">
        <v>0.37904005936319612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-0.69785498990558992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0"/>
        <v>1.816339582048792E-2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4.9779907120230029E-4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26.535123813591703</v>
      </c>
      <c r="E41">
        <v>8.8450412711972337</v>
      </c>
      <c r="F41">
        <v>61.56439853249578</v>
      </c>
      <c r="G41">
        <v>8.3659777431457525E-4</v>
      </c>
      <c r="R41" s="26" t="s">
        <v>112</v>
      </c>
      <c r="S41">
        <f t="shared" si="10"/>
        <v>-2.9049788817272206E-6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0.57468546640822105</v>
      </c>
      <c r="E42">
        <v>0.14367136660205526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27.109809279999922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-0.69785498990558992</v>
      </c>
      <c r="D46">
        <v>0.22816276258415477</v>
      </c>
      <c r="E46">
        <v>-3.0585840651723153</v>
      </c>
      <c r="F46">
        <v>3.7710591765842676E-2</v>
      </c>
      <c r="G46">
        <v>-1.3313363752707725</v>
      </c>
      <c r="H46">
        <v>-6.4373604540407192E-2</v>
      </c>
      <c r="I46">
        <v>-1.3313363752707725</v>
      </c>
      <c r="J46">
        <v>-6.4373604540407192E-2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1.816339582048792E-2</v>
      </c>
      <c r="D47">
        <v>1.3154784895374071E-2</v>
      </c>
      <c r="E47">
        <v>1.3807444184720303</v>
      </c>
      <c r="F47">
        <v>0.23949032703284215</v>
      </c>
      <c r="G47">
        <v>-1.8360142312203287E-2</v>
      </c>
      <c r="H47">
        <v>5.4686933953179126E-2</v>
      </c>
      <c r="I47">
        <v>-1.8360142312203287E-2</v>
      </c>
      <c r="J47">
        <v>5.4686933953179126E-2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4.9779907120230029E-4</v>
      </c>
      <c r="D48">
        <v>1.7609784153460882E-4</v>
      </c>
      <c r="E48">
        <v>2.8268323272120686</v>
      </c>
      <c r="F48">
        <v>4.7497457472437624E-2</v>
      </c>
      <c r="G48">
        <v>8.8730810376389012E-6</v>
      </c>
      <c r="H48">
        <v>9.8672506136696179E-4</v>
      </c>
      <c r="I48">
        <v>8.8730810376389012E-6</v>
      </c>
      <c r="J48">
        <v>9.8672506136696179E-4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-2.9049788817272206E-6</v>
      </c>
      <c r="D49" s="67">
        <v>5.9312987953046323E-7</v>
      </c>
      <c r="E49" s="67">
        <v>-4.8977112466950343</v>
      </c>
      <c r="F49" s="67">
        <v>8.0572341508139585E-3</v>
      </c>
      <c r="G49" s="67">
        <v>-4.5517714324961325E-6</v>
      </c>
      <c r="H49" s="67">
        <v>-1.2581863309583092E-6</v>
      </c>
      <c r="I49" s="67">
        <v>-4.5517714324961325E-6</v>
      </c>
      <c r="J49" s="67">
        <v>-1.2581863309583092E-6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8148E-D03B-4E0A-A42D-51D18BC57883}">
  <dimension ref="A1:AH187"/>
  <sheetViews>
    <sheetView workbookViewId="0">
      <selection activeCell="I108" sqref="I108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1'!E5</f>
        <v>Termometer Digital</v>
      </c>
      <c r="F5" s="11"/>
      <c r="G5" s="11" t="s">
        <v>127</v>
      </c>
      <c r="H5" s="11" t="s">
        <v>16</v>
      </c>
      <c r="I5" s="66" t="str">
        <f>'PERHITUNGAN 1'!I5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1'!E6</f>
        <v>Hioki / LR 8431-20</v>
      </c>
      <c r="F6" s="11"/>
      <c r="G6" s="11" t="s">
        <v>128</v>
      </c>
      <c r="H6" s="11" t="s">
        <v>16</v>
      </c>
      <c r="I6" s="129">
        <f>'PERHITUNGAN 1'!I6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1'!E7</f>
        <v>210149173</v>
      </c>
      <c r="F7" s="11"/>
      <c r="G7" s="11" t="s">
        <v>44</v>
      </c>
      <c r="H7" s="11" t="s">
        <v>16</v>
      </c>
      <c r="I7" s="31">
        <v>4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19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ref="T20:T25" si="1">P20/R20</f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1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1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1'!D24</f>
        <v>22</v>
      </c>
      <c r="E23" s="244">
        <f>'PERHITUNGAN 1'!E24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1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1'!D25</f>
        <v>22</v>
      </c>
      <c r="E24" s="244">
        <f>'PERHITUNGAN 1'!E25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1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1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1'!D28</f>
        <v>20</v>
      </c>
      <c r="E27" s="244">
        <f>'PERHITUNGAN 1'!E28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1'!D29</f>
        <v>20</v>
      </c>
      <c r="E28" s="244">
        <f>'PERHITUNGAN 1'!E29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1'!D33</f>
        <v>55</v>
      </c>
      <c r="E32" s="244">
        <f>'PERHITUNGAN 1'!E33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1'!D34</f>
        <v>55</v>
      </c>
      <c r="E33" s="244">
        <f>'PERHITUNGAN 1'!E34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-29.803999999999995</v>
      </c>
      <c r="P36" s="380">
        <f>F56</f>
        <v>0.2</v>
      </c>
      <c r="Q36" s="380">
        <f>F64</f>
        <v>50.35</v>
      </c>
      <c r="R36" s="380">
        <f>F72</f>
        <v>99.885999999999996</v>
      </c>
      <c r="S36" s="380">
        <f>F80</f>
        <v>149.71799999999999</v>
      </c>
      <c r="T36" s="380">
        <f>F88</f>
        <v>199.464</v>
      </c>
      <c r="U36" s="380">
        <f>F96</f>
        <v>249.477</v>
      </c>
      <c r="V36" s="380">
        <f>F104</f>
        <v>259.55399999999997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4'!$E$11="Burn Engr",IF(O36&lt;=$AA$38,$AB$38,$AB$39),IF(O36&lt;=$AC$38,$AD$38,IF(O36&lt;=$AC$39,$AD$39,$AD$40)))</f>
        <v>0.02</v>
      </c>
      <c r="P38" s="54">
        <f>IF('PERHITUNGAN 4'!$E$11="Burn Engr",IF(P36&lt;=$AA$38,$AB$38,$AB$39),IF(P36&lt;=$AC$38,$AD$38,IF(P36&lt;=$AC$39,$AD$39,$AD$40)))</f>
        <v>7.0000000000000007E-2</v>
      </c>
      <c r="Q38" s="54">
        <f>IF('PERHITUNGAN 4'!$E$11="Burn Engr",IF(Q36&lt;=$AA$38,$AB$38,$AB$39),IF(Q36&lt;=$AC$38,$AD$38,IF(Q36&lt;=$AC$39,$AD$39,$AD$40)))</f>
        <v>7.0000000000000007E-2</v>
      </c>
      <c r="R38" s="54">
        <f>IF('PERHITUNGAN 4'!$E$11="Burn Engr",IF(R36&lt;=$AA$38,$AB$38,$AB$39),IF(R36&lt;=$AC$38,$AD$38,IF(R36&lt;=$AC$39,$AD$39,$AD$40)))</f>
        <v>7.0000000000000007E-2</v>
      </c>
      <c r="S38" s="54">
        <f>IF('PERHITUNGAN 4'!$E$11="Burn Engr",IF(S36&lt;=$AA$38,$AB$38,$AB$39),IF(S36&lt;=$AC$38,$AD$38,IF(S36&lt;=$AC$39,$AD$39,$AD$40)))</f>
        <v>7.0000000000000007E-2</v>
      </c>
      <c r="T38" s="54">
        <f>IF('PERHITUNGAN 4'!$E$11="Burn Engr",IF(T36&lt;=$AA$38,$AB$38,$AB$39),IF(T36&lt;=$AC$38,$AD$38,IF(T36&lt;=$AC$39,$AD$39,$AD$40)))</f>
        <v>7.0000000000000007E-2</v>
      </c>
      <c r="U38" s="54">
        <f>IF('PERHITUNGAN 4'!$E$11="Burn Engr",IF(U36&lt;=$AA$38,$AB$38,$AB$39),IF(U36&lt;=$AC$38,$AD$38,IF(U36&lt;=$AC$39,$AD$39,$AD$40)))</f>
        <v>7.0000000000000007E-2</v>
      </c>
      <c r="V38" s="54">
        <f>IF('PERHITUNGAN 4'!$E$11="Burn Engr",IF(V36&lt;=$AA$38,$AB$38,$AB$39),IF(V36&lt;=$AC$38,$AD$38,IF(V36&lt;=$AC$39,$AD$39,$AD$40)))</f>
        <v>7.0000000000000007E-2</v>
      </c>
      <c r="W38" s="54">
        <f>IF('PERHITUNGAN 4'!$E$11="Burn Engr",IF(W36&lt;=$AA$38,$AB$38,$AB$39),IF(W36&lt;=$AC$38,$AD$38,IF(W36&lt;=$AC$39,$AD$39,$AD$40)))</f>
        <v>0.02</v>
      </c>
      <c r="X38" s="54">
        <f>IF('PERHITUNGAN 4'!$E$11="Burn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0.01</v>
      </c>
      <c r="P40" s="37">
        <f t="shared" ref="P40:X40" si="2">P38/P39</f>
        <v>3.5000000000000003E-2</v>
      </c>
      <c r="Q40" s="37">
        <f t="shared" si="2"/>
        <v>3.5000000000000003E-2</v>
      </c>
      <c r="R40" s="37">
        <f>R38/R39</f>
        <v>3.5000000000000003E-2</v>
      </c>
      <c r="S40" s="37">
        <f t="shared" si="2"/>
        <v>3.5000000000000003E-2</v>
      </c>
      <c r="T40" s="37">
        <f t="shared" si="2"/>
        <v>3.5000000000000003E-2</v>
      </c>
      <c r="U40" s="37">
        <f t="shared" si="2"/>
        <v>3.5000000000000003E-2</v>
      </c>
      <c r="V40" s="37">
        <f t="shared" si="2"/>
        <v>3.5000000000000003E-2</v>
      </c>
      <c r="W40" s="37">
        <f t="shared" si="2"/>
        <v>0.01</v>
      </c>
      <c r="X40" s="37">
        <f t="shared" si="2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-30</v>
      </c>
      <c r="C43" s="373">
        <v>-26.81</v>
      </c>
      <c r="D43" s="374"/>
      <c r="E43" s="90">
        <v>-29.803999999999998</v>
      </c>
      <c r="F43" s="37">
        <f>IF('PERHITUNGAN 4'!$E$11="Burn Engr",'PERHITUNGAN 4'!E43,E43+('regresi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-29.803999999999998</v>
      </c>
      <c r="G43" s="90">
        <f>F43-C43</f>
        <v>-2.9939999999999998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-26.81</v>
      </c>
      <c r="D44" s="374"/>
      <c r="E44" s="90">
        <v>-29.803999999999998</v>
      </c>
      <c r="F44" s="37">
        <f>IF('PERHITUNGAN 4'!$E$11="Burn Engr",'PERHITUNGAN 4'!E44,E44+('regresi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-29.803999999999998</v>
      </c>
      <c r="G44" s="90">
        <f>F44-C44</f>
        <v>-2.9939999999999998</v>
      </c>
      <c r="H44" s="63"/>
      <c r="I44" s="63"/>
      <c r="AB44" s="1"/>
    </row>
    <row r="45" spans="1:30" ht="13.5" customHeight="1">
      <c r="A45" s="105"/>
      <c r="C45" s="373">
        <v>-26.81</v>
      </c>
      <c r="D45" s="374"/>
      <c r="E45" s="90">
        <v>-29.803999999999998</v>
      </c>
      <c r="F45" s="37">
        <f>IF('PERHITUNGAN 4'!$E$11="Burn Engr",'PERHITUNGAN 4'!E45,E45+('regresi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-29.803999999999998</v>
      </c>
      <c r="G45" s="90">
        <f>F45-C45</f>
        <v>-2.9939999999999998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-26.81</v>
      </c>
      <c r="D46" s="374"/>
      <c r="E46" s="90">
        <v>-29.803999999999998</v>
      </c>
      <c r="F46" s="37">
        <f>IF('PERHITUNGAN 4'!$E$11="Burn Engr",'PERHITUNGAN 4'!E46,E46+('regresi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-29.803999999999998</v>
      </c>
      <c r="G46" s="90">
        <f>F46-C46</f>
        <v>-2.9939999999999998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-26.81</v>
      </c>
      <c r="D47" s="374"/>
      <c r="E47" s="90">
        <v>-29.803999999999998</v>
      </c>
      <c r="F47" s="37">
        <f>IF('PERHITUNGAN 4'!$E$11="Burn Engr",'PERHITUNGAN 4'!E47,E47+('regresi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-29.803999999999998</v>
      </c>
      <c r="G47" s="90">
        <f>F47-C47</f>
        <v>-2.9939999999999998</v>
      </c>
      <c r="H47" s="63"/>
      <c r="I47" s="63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3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-26.809999999999995</v>
      </c>
      <c r="D48" s="357"/>
      <c r="E48" s="95">
        <f>AVERAGE(E43:E47)</f>
        <v>-29.803999999999995</v>
      </c>
      <c r="F48" s="95">
        <f>AVERAGE(F43:F47)</f>
        <v>-29.803999999999995</v>
      </c>
      <c r="G48" s="95">
        <f>SUM(G43:G47)/5</f>
        <v>-2.9939999999999998</v>
      </c>
      <c r="H48" s="63"/>
      <c r="I48" s="63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3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0</v>
      </c>
      <c r="H49" s="44"/>
      <c r="I49" s="63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3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0</v>
      </c>
      <c r="H50" s="44"/>
      <c r="I50" s="63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3"/>
        <v>0.35</v>
      </c>
      <c r="T50" s="107"/>
    </row>
    <row r="51" spans="1:28" ht="15.5">
      <c r="A51" s="105">
        <v>2</v>
      </c>
      <c r="B51" s="194">
        <v>0</v>
      </c>
      <c r="C51" s="373">
        <v>6.61</v>
      </c>
      <c r="D51" s="374"/>
      <c r="E51" s="90">
        <v>0.2</v>
      </c>
      <c r="F51" s="37">
        <f>IF('PERHITUNGAN 4'!$E$11="Burn Engr",'PERHITUNGAN 4'!E51,E51+('regresi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0.2</v>
      </c>
      <c r="G51" s="90">
        <f>F51-C51</f>
        <v>-6.41</v>
      </c>
      <c r="H51" s="63"/>
      <c r="I51" s="63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3"/>
        <v>0.5</v>
      </c>
      <c r="T51" s="107"/>
    </row>
    <row r="52" spans="1:28" ht="15.5">
      <c r="A52" s="10"/>
      <c r="C52" s="373">
        <v>6.61</v>
      </c>
      <c r="D52" s="374"/>
      <c r="E52" s="90">
        <v>0.2</v>
      </c>
      <c r="F52" s="37">
        <f>IF('PERHITUNGAN 4'!$E$11="Burn Engr",'PERHITUNGAN 4'!E52,E52+('regresi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0.2</v>
      </c>
      <c r="G52" s="90">
        <f>F52-C52</f>
        <v>-6.41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3"/>
        <v>0.5</v>
      </c>
      <c r="T52" s="107"/>
    </row>
    <row r="53" spans="1:28" ht="15.5">
      <c r="A53" s="10"/>
      <c r="C53" s="373">
        <v>6.61</v>
      </c>
      <c r="D53" s="374"/>
      <c r="E53" s="90">
        <v>0.2</v>
      </c>
      <c r="F53" s="37">
        <f>IF('PERHITUNGAN 4'!$E$11="Burn Engr",'PERHITUNGAN 4'!E53,E53+('regresi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0.2</v>
      </c>
      <c r="G53" s="90">
        <f>F53-C53</f>
        <v>-6.41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6.61</v>
      </c>
      <c r="D54" s="374"/>
      <c r="E54" s="90">
        <v>0.2</v>
      </c>
      <c r="F54" s="37">
        <f>IF('PERHITUNGAN 4'!$E$11="Burn Engr",'PERHITUNGAN 4'!E54,E54+('regresi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0.2</v>
      </c>
      <c r="G54" s="90">
        <f>F54-C54</f>
        <v>-6.41</v>
      </c>
      <c r="H54" s="63"/>
      <c r="I54" s="63"/>
      <c r="AB54" s="1"/>
    </row>
    <row r="55" spans="1:28" ht="13.5" customHeight="1">
      <c r="A55" s="10"/>
      <c r="C55" s="373">
        <v>6.61</v>
      </c>
      <c r="D55" s="374"/>
      <c r="E55" s="90">
        <v>0.2</v>
      </c>
      <c r="F55" s="37">
        <f>IF('PERHITUNGAN 4'!$E$11="Burn Engr",'PERHITUNGAN 4'!E55,E55+('regresi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0.2</v>
      </c>
      <c r="G55" s="90">
        <f>F55-C55</f>
        <v>-6.41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6.6100000000000012</v>
      </c>
      <c r="D56" s="334"/>
      <c r="E56" s="95">
        <f>AVERAGE(E51:E55)</f>
        <v>0.2</v>
      </c>
      <c r="F56" s="95">
        <f t="shared" ref="F56" si="4">AVERAGE(F51:F55)</f>
        <v>0.2</v>
      </c>
      <c r="G56" s="95">
        <f>SUM(G51:G55)/5</f>
        <v>-6.4099999999999993</v>
      </c>
      <c r="H56" s="63"/>
      <c r="I56" s="63"/>
      <c r="N56" s="390"/>
      <c r="O56" s="115">
        <f>C48</f>
        <v>-26.809999999999995</v>
      </c>
      <c r="P56" s="115">
        <f>C56</f>
        <v>6.6100000000000012</v>
      </c>
      <c r="Q56" s="115">
        <f>C64</f>
        <v>50.65</v>
      </c>
      <c r="R56" s="115">
        <f>C72</f>
        <v>100.5</v>
      </c>
      <c r="S56" s="115">
        <f>C80</f>
        <v>149.35</v>
      </c>
      <c r="T56" s="115">
        <f>C88</f>
        <v>199.36</v>
      </c>
      <c r="U56" s="115">
        <f>C96</f>
        <v>249.19</v>
      </c>
      <c r="V56" s="115">
        <f>C104</f>
        <v>259.20999999999998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9.9301366129890925E-16</v>
      </c>
      <c r="H57" s="44"/>
      <c r="I57" s="63"/>
      <c r="N57" s="25" t="s">
        <v>152</v>
      </c>
      <c r="O57" s="112">
        <f>$G$49/5^0.5</f>
        <v>0</v>
      </c>
      <c r="P57" s="112">
        <f>$G$57/5^0.5</f>
        <v>4.4408920985006262E-16</v>
      </c>
      <c r="Q57" s="112">
        <f>$G$65/5^0.5</f>
        <v>0</v>
      </c>
      <c r="R57" s="112">
        <f>$G$73/5^0.5</f>
        <v>0</v>
      </c>
      <c r="S57" s="112">
        <f>$G$81/5^0.5</f>
        <v>0</v>
      </c>
      <c r="T57" s="112">
        <f>$G$89/5^0.5</f>
        <v>0</v>
      </c>
      <c r="U57" s="112">
        <f>$G$97/5^0.5</f>
        <v>0</v>
      </c>
      <c r="V57" s="112">
        <f>$G$105/5^0.5</f>
        <v>0</v>
      </c>
      <c r="W57" s="112">
        <f>$G$113/5^0.5</f>
        <v>0</v>
      </c>
      <c r="X57" s="112">
        <f>$G$121/5^0.5</f>
        <v>0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4.4408920985006262E-16</v>
      </c>
      <c r="H58" s="44"/>
      <c r="I58" s="63"/>
      <c r="N58" s="25" t="s">
        <v>153</v>
      </c>
      <c r="O58" s="113">
        <f>IF('DRAFT-SERTIF'!$O$27="Ya",'REGRESI 4'!$C$36,0)</f>
        <v>0.84558137213151152</v>
      </c>
      <c r="P58" s="113">
        <f>IF('DRAFT-SERTIF'!$O$27="Ya",'REGRESI 4'!$C$36,0)</f>
        <v>0.84558137213151152</v>
      </c>
      <c r="Q58" s="113">
        <f>IF('DRAFT-SERTIF'!$O$27="Ya",'REGRESI 4'!$C$36,0)</f>
        <v>0.84558137213151152</v>
      </c>
      <c r="R58" s="113">
        <f>IF('DRAFT-SERTIF'!$O$27="Ya",'REGRESI 4'!$C$36,0)</f>
        <v>0.84558137213151152</v>
      </c>
      <c r="S58" s="113">
        <f>IF('DRAFT-SERTIF'!$O$27="Ya",'REGRESI 4'!$C$36,0)</f>
        <v>0.84558137213151152</v>
      </c>
      <c r="T58" s="113">
        <f>IF('DRAFT-SERTIF'!$O$27="Ya",'REGRESI 4'!$C$36,0)</f>
        <v>0.84558137213151152</v>
      </c>
      <c r="U58" s="113">
        <f>IF('DRAFT-SERTIF'!$O$27="Ya",'REGRESI 4'!$C$36,0)</f>
        <v>0.84558137213151152</v>
      </c>
      <c r="V58" s="113">
        <f>IF('DRAFT-SERTIF'!$O$27="Ya",'REGRESI 4'!$C$36,0)</f>
        <v>0.84558137213151152</v>
      </c>
      <c r="W58" s="113">
        <f>IF('DRAFT-SERTIF'!$O$27="Ya",'REGRESI 4'!$C$36,0)</f>
        <v>0.84558137213151152</v>
      </c>
      <c r="X58" s="113">
        <f>IF('DRAFT-SERTIF'!$O$27="Ya",'REGRESI 4'!$C$36,0)</f>
        <v>0.84558137213151152</v>
      </c>
      <c r="AB58" s="1"/>
    </row>
    <row r="59" spans="1:28" ht="13.5" customHeight="1">
      <c r="A59" s="105">
        <v>3</v>
      </c>
      <c r="B59" s="196">
        <v>50</v>
      </c>
      <c r="C59" s="327">
        <v>50.65</v>
      </c>
      <c r="D59" s="327"/>
      <c r="E59" s="15">
        <v>50.35</v>
      </c>
      <c r="F59" s="37">
        <f>IF('PERHITUNGAN 4'!$E$11="Burn Engr",'PERHITUNGAN 4'!E59,E59+('regresi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50.35</v>
      </c>
      <c r="G59" s="90">
        <f>F59-C59</f>
        <v>-0.29999999999999716</v>
      </c>
      <c r="H59" s="63"/>
      <c r="I59" s="63"/>
      <c r="J59" s="15"/>
      <c r="N59" s="25" t="s">
        <v>154</v>
      </c>
      <c r="O59" s="91">
        <f t="shared" ref="O59:X59" si="5">O40</f>
        <v>0.01</v>
      </c>
      <c r="P59" s="91">
        <f t="shared" si="5"/>
        <v>3.5000000000000003E-2</v>
      </c>
      <c r="Q59" s="91">
        <f t="shared" si="5"/>
        <v>3.5000000000000003E-2</v>
      </c>
      <c r="R59" s="91">
        <f t="shared" si="5"/>
        <v>3.5000000000000003E-2</v>
      </c>
      <c r="S59" s="91">
        <f t="shared" si="5"/>
        <v>3.5000000000000003E-2</v>
      </c>
      <c r="T59" s="91">
        <f t="shared" si="5"/>
        <v>3.5000000000000003E-2</v>
      </c>
      <c r="U59" s="91">
        <f t="shared" si="5"/>
        <v>3.5000000000000003E-2</v>
      </c>
      <c r="V59" s="91">
        <f t="shared" si="5"/>
        <v>3.5000000000000003E-2</v>
      </c>
      <c r="W59" s="91">
        <f t="shared" si="5"/>
        <v>0.01</v>
      </c>
      <c r="X59" s="91">
        <f t="shared" si="5"/>
        <v>0.01</v>
      </c>
    </row>
    <row r="60" spans="1:28">
      <c r="A60" s="10"/>
      <c r="C60" s="327">
        <v>50.65</v>
      </c>
      <c r="D60" s="327"/>
      <c r="E60" s="15">
        <v>50.35</v>
      </c>
      <c r="F60" s="37">
        <f>IF('PERHITUNGAN 4'!$E$11="Burn Engr",'PERHITUNGAN 4'!E60,E60+('regresi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50.35</v>
      </c>
      <c r="G60" s="90">
        <f>F60-C60</f>
        <v>-0.29999999999999716</v>
      </c>
      <c r="H60" s="63"/>
      <c r="I60" s="63"/>
      <c r="J60" s="15"/>
      <c r="N60" s="133" t="s">
        <v>155</v>
      </c>
      <c r="O60" s="134">
        <f>'PERHITUNGAN 1'!O61</f>
        <v>1.5000000000000003E-2</v>
      </c>
      <c r="P60" s="134">
        <f>'PERHITUNGAN 1'!P61</f>
        <v>0.01</v>
      </c>
      <c r="Q60" s="134">
        <f>'PERHITUNGAN 1'!Q61</f>
        <v>5.0000000000000001E-3</v>
      </c>
      <c r="R60" s="134">
        <f>'PERHITUNGAN 1'!R61</f>
        <v>1.4999999999999999E-2</v>
      </c>
      <c r="S60" s="134">
        <f>'PERHITUNGAN 1'!S61</f>
        <v>5.0000000000000001E-3</v>
      </c>
      <c r="T60" s="134">
        <f>'PERHITUNGAN 1'!T61</f>
        <v>0.05</v>
      </c>
      <c r="U60" s="134">
        <f>'PERHITUNGAN 1'!U61</f>
        <v>0.05</v>
      </c>
      <c r="V60" s="134">
        <f>'PERHITUNGAN 1'!V61</f>
        <v>1.5000000000000003E-2</v>
      </c>
      <c r="W60" s="134">
        <f>'PERHITUNGAN 1'!W61</f>
        <v>1.4999999999999999E-2</v>
      </c>
      <c r="X60" s="134">
        <f>'PERHITUNGAN 1'!X61</f>
        <v>1.4999999999999999E-2</v>
      </c>
    </row>
    <row r="61" spans="1:28">
      <c r="A61" s="10"/>
      <c r="C61" s="327">
        <v>50.65</v>
      </c>
      <c r="D61" s="327"/>
      <c r="E61" s="15">
        <v>50.35</v>
      </c>
      <c r="F61" s="37">
        <f>IF('PERHITUNGAN 4'!$E$11="Burn Engr",'PERHITUNGAN 4'!E61,E61+('regresi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50.35</v>
      </c>
      <c r="G61" s="90">
        <f>F61-C61</f>
        <v>-0.29999999999999716</v>
      </c>
      <c r="H61" s="63"/>
      <c r="I61" s="63"/>
      <c r="J61" s="15"/>
      <c r="N61" s="25" t="s">
        <v>156</v>
      </c>
      <c r="O61" s="114">
        <f>(0.1*O38)/SQRT(3)</f>
        <v>1.1547005383792516E-3</v>
      </c>
      <c r="P61" s="114">
        <f t="shared" ref="P61:X61" si="6">(0.1*P38)/SQRT(3)</f>
        <v>4.041451884327381E-3</v>
      </c>
      <c r="Q61" s="114">
        <f t="shared" si="6"/>
        <v>4.041451884327381E-3</v>
      </c>
      <c r="R61" s="114">
        <f t="shared" si="6"/>
        <v>4.041451884327381E-3</v>
      </c>
      <c r="S61" s="114">
        <f t="shared" si="6"/>
        <v>4.041451884327381E-3</v>
      </c>
      <c r="T61" s="114">
        <f t="shared" si="6"/>
        <v>4.041451884327381E-3</v>
      </c>
      <c r="U61" s="114">
        <f t="shared" si="6"/>
        <v>4.041451884327381E-3</v>
      </c>
      <c r="V61" s="114">
        <f t="shared" si="6"/>
        <v>4.041451884327381E-3</v>
      </c>
      <c r="W61" s="114">
        <f t="shared" si="6"/>
        <v>1.1547005383792516E-3</v>
      </c>
      <c r="X61" s="114">
        <f t="shared" si="6"/>
        <v>1.1547005383792516E-3</v>
      </c>
    </row>
    <row r="62" spans="1:28">
      <c r="A62" s="10"/>
      <c r="C62" s="327">
        <v>50.65</v>
      </c>
      <c r="D62" s="327"/>
      <c r="E62" s="15">
        <v>50.35</v>
      </c>
      <c r="F62" s="37">
        <f>IF('PERHITUNGAN 4'!$E$11="Burn Engr",'PERHITUNGAN 4'!E62,E62+('regresi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50.35</v>
      </c>
      <c r="G62" s="90">
        <f>F62-C62</f>
        <v>-0.29999999999999716</v>
      </c>
      <c r="H62" s="63"/>
      <c r="I62" s="63"/>
      <c r="J62" s="15"/>
      <c r="N62" s="25" t="s">
        <v>157</v>
      </c>
      <c r="O62" s="114">
        <f t="shared" ref="O62:X62" si="7">$T$28</f>
        <v>2.886751345948129E-3</v>
      </c>
      <c r="P62" s="114">
        <f t="shared" si="7"/>
        <v>2.886751345948129E-3</v>
      </c>
      <c r="Q62" s="114">
        <f t="shared" si="7"/>
        <v>2.886751345948129E-3</v>
      </c>
      <c r="R62" s="114">
        <f t="shared" si="7"/>
        <v>2.886751345948129E-3</v>
      </c>
      <c r="S62" s="114">
        <f t="shared" si="7"/>
        <v>2.886751345948129E-3</v>
      </c>
      <c r="T62" s="114">
        <f t="shared" si="7"/>
        <v>2.886751345948129E-3</v>
      </c>
      <c r="U62" s="114">
        <f t="shared" si="7"/>
        <v>2.886751345948129E-3</v>
      </c>
      <c r="V62" s="114">
        <f t="shared" si="7"/>
        <v>2.886751345948129E-3</v>
      </c>
      <c r="W62" s="114">
        <f t="shared" si="7"/>
        <v>2.886751345948129E-3</v>
      </c>
      <c r="X62" s="114">
        <f t="shared" si="7"/>
        <v>2.886751345948129E-3</v>
      </c>
    </row>
    <row r="63" spans="1:28">
      <c r="A63" s="10"/>
      <c r="C63" s="327">
        <v>50.65</v>
      </c>
      <c r="D63" s="327"/>
      <c r="E63" s="15">
        <v>50.35</v>
      </c>
      <c r="F63" s="37">
        <f>IF('PERHITUNGAN 4'!$E$11="Burn Engr",'PERHITUNGAN 4'!E63,E63+('regresi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50.35</v>
      </c>
      <c r="G63" s="90">
        <f>F63-C63</f>
        <v>-0.29999999999999716</v>
      </c>
      <c r="H63" s="63"/>
      <c r="I63" s="63"/>
      <c r="J63" s="15"/>
      <c r="N63" s="25" t="s">
        <v>158</v>
      </c>
      <c r="O63" s="114">
        <f t="shared" ref="O63:X63" si="8">$T$26</f>
        <v>2.886751345948129E-4</v>
      </c>
      <c r="P63" s="114">
        <f t="shared" si="8"/>
        <v>2.886751345948129E-4</v>
      </c>
      <c r="Q63" s="114">
        <f t="shared" si="8"/>
        <v>2.886751345948129E-4</v>
      </c>
      <c r="R63" s="114">
        <f t="shared" si="8"/>
        <v>2.886751345948129E-4</v>
      </c>
      <c r="S63" s="114">
        <f t="shared" si="8"/>
        <v>2.886751345948129E-4</v>
      </c>
      <c r="T63" s="114">
        <f t="shared" si="8"/>
        <v>2.886751345948129E-4</v>
      </c>
      <c r="U63" s="114">
        <f t="shared" si="8"/>
        <v>2.886751345948129E-4</v>
      </c>
      <c r="V63" s="114">
        <f t="shared" si="8"/>
        <v>2.886751345948129E-4</v>
      </c>
      <c r="W63" s="114">
        <f t="shared" si="8"/>
        <v>2.886751345948129E-4</v>
      </c>
      <c r="X63" s="114">
        <f t="shared" si="8"/>
        <v>2.886751345948129E-4</v>
      </c>
    </row>
    <row r="64" spans="1:28">
      <c r="A64" s="10"/>
      <c r="B64" s="8" t="s">
        <v>31</v>
      </c>
      <c r="C64" s="333">
        <f>AVERAGE(C59:D63)</f>
        <v>50.65</v>
      </c>
      <c r="D64" s="334"/>
      <c r="E64" s="95">
        <f>AVERAGE(E59:E63)</f>
        <v>50.35</v>
      </c>
      <c r="F64" s="95">
        <f t="shared" ref="F64" si="9">AVERAGE(F59:F63)</f>
        <v>50.35</v>
      </c>
      <c r="G64" s="95">
        <f>SUM(G59:G63)/5</f>
        <v>-0.29999999999999716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10">10^10</f>
        <v>10000000000</v>
      </c>
      <c r="Q66" s="53">
        <f t="shared" si="10"/>
        <v>10000000000</v>
      </c>
      <c r="R66" s="53">
        <f t="shared" si="10"/>
        <v>10000000000</v>
      </c>
      <c r="S66" s="53">
        <f t="shared" si="10"/>
        <v>10000000000</v>
      </c>
      <c r="T66" s="53">
        <f t="shared" si="10"/>
        <v>10000000000</v>
      </c>
      <c r="U66" s="53">
        <f t="shared" si="10"/>
        <v>10000000000</v>
      </c>
      <c r="V66" s="53">
        <f t="shared" si="10"/>
        <v>10000000000</v>
      </c>
      <c r="W66" s="53">
        <f t="shared" si="10"/>
        <v>10000000000</v>
      </c>
      <c r="X66" s="53">
        <f t="shared" si="10"/>
        <v>10000000000</v>
      </c>
    </row>
    <row r="67" spans="1:28">
      <c r="A67" s="105">
        <v>4</v>
      </c>
      <c r="B67" s="196">
        <v>100</v>
      </c>
      <c r="C67" s="327">
        <v>100.5</v>
      </c>
      <c r="D67" s="327"/>
      <c r="E67" s="90">
        <v>99.885999999999996</v>
      </c>
      <c r="F67" s="37">
        <f>IF('PERHITUNGAN 4'!$E$11="Burn Engr",'PERHITUNGAN 4'!E67,E67+('regresi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99.885999999999996</v>
      </c>
      <c r="G67" s="90">
        <f>F67-C67</f>
        <v>-0.61400000000000432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100.5</v>
      </c>
      <c r="D68" s="327"/>
      <c r="E68" s="90">
        <v>99.885999999999996</v>
      </c>
      <c r="F68" s="37">
        <f>IF('PERHITUNGAN 4'!$E$11="Burn Engr",'PERHITUNGAN 4'!E68,E68+('regresi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99.885999999999996</v>
      </c>
      <c r="G68" s="90">
        <f>F68-C68</f>
        <v>-0.61400000000000432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100.5</v>
      </c>
      <c r="D69" s="327"/>
      <c r="E69" s="90">
        <v>99.885999999999996</v>
      </c>
      <c r="F69" s="37">
        <f>IF('PERHITUNGAN 4'!$E$11="Burn Engr",'PERHITUNGAN 4'!E69,E69+('regresi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99.885999999999996</v>
      </c>
      <c r="G69" s="90">
        <f>F69-C69</f>
        <v>-0.61400000000000432</v>
      </c>
      <c r="H69" s="63"/>
      <c r="I69" s="63"/>
      <c r="N69" s="25" t="s">
        <v>163</v>
      </c>
      <c r="O69" s="53">
        <f t="shared" ref="O69:X71" si="11">10^10</f>
        <v>10000000000</v>
      </c>
      <c r="P69" s="53">
        <f t="shared" si="11"/>
        <v>10000000000</v>
      </c>
      <c r="Q69" s="53">
        <f t="shared" si="11"/>
        <v>10000000000</v>
      </c>
      <c r="R69" s="53">
        <f t="shared" si="11"/>
        <v>10000000000</v>
      </c>
      <c r="S69" s="53">
        <f t="shared" si="11"/>
        <v>10000000000</v>
      </c>
      <c r="T69" s="53">
        <f t="shared" si="11"/>
        <v>10000000000</v>
      </c>
      <c r="U69" s="53">
        <f t="shared" si="11"/>
        <v>10000000000</v>
      </c>
      <c r="V69" s="53">
        <f t="shared" si="11"/>
        <v>10000000000</v>
      </c>
      <c r="W69" s="53">
        <f t="shared" si="11"/>
        <v>10000000000</v>
      </c>
      <c r="X69" s="53">
        <f t="shared" si="11"/>
        <v>10000000000</v>
      </c>
      <c r="AB69" s="1"/>
    </row>
    <row r="70" spans="1:28">
      <c r="A70" s="10"/>
      <c r="C70" s="327">
        <v>100.5</v>
      </c>
      <c r="D70" s="327"/>
      <c r="E70" s="90">
        <v>99.885999999999996</v>
      </c>
      <c r="F70" s="37">
        <f>IF('PERHITUNGAN 4'!$E$11="Burn Engr",'PERHITUNGAN 4'!E70,E70+('regresi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99.885999999999996</v>
      </c>
      <c r="G70" s="90">
        <f>F70-C70</f>
        <v>-0.61400000000000432</v>
      </c>
      <c r="H70" s="63"/>
      <c r="I70" s="63"/>
      <c r="N70" s="25" t="s">
        <v>164</v>
      </c>
      <c r="O70" s="53">
        <f t="shared" si="11"/>
        <v>10000000000</v>
      </c>
      <c r="P70" s="53">
        <f t="shared" si="11"/>
        <v>10000000000</v>
      </c>
      <c r="Q70" s="53">
        <f t="shared" si="11"/>
        <v>10000000000</v>
      </c>
      <c r="R70" s="53">
        <f t="shared" si="11"/>
        <v>10000000000</v>
      </c>
      <c r="S70" s="53">
        <f t="shared" si="11"/>
        <v>10000000000</v>
      </c>
      <c r="T70" s="53">
        <f t="shared" si="11"/>
        <v>10000000000</v>
      </c>
      <c r="U70" s="53">
        <f t="shared" si="11"/>
        <v>10000000000</v>
      </c>
      <c r="V70" s="53">
        <f t="shared" si="11"/>
        <v>10000000000</v>
      </c>
      <c r="W70" s="53">
        <f t="shared" si="11"/>
        <v>10000000000</v>
      </c>
      <c r="X70" s="53">
        <f t="shared" si="11"/>
        <v>10000000000</v>
      </c>
      <c r="AB70" s="1"/>
    </row>
    <row r="71" spans="1:28">
      <c r="A71" s="10"/>
      <c r="C71" s="327">
        <v>100.5</v>
      </c>
      <c r="D71" s="327"/>
      <c r="E71" s="90">
        <v>99.885999999999996</v>
      </c>
      <c r="F71" s="37">
        <f>IF('PERHITUNGAN 4'!$E$11="Burn Engr",'PERHITUNGAN 4'!E71,E71+('regresi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99.885999999999996</v>
      </c>
      <c r="G71" s="90">
        <f>F71-C71</f>
        <v>-0.61400000000000432</v>
      </c>
      <c r="H71" s="63"/>
      <c r="I71" s="63"/>
      <c r="N71" s="25" t="s">
        <v>165</v>
      </c>
      <c r="O71" s="53">
        <f t="shared" si="11"/>
        <v>10000000000</v>
      </c>
      <c r="P71" s="53">
        <f t="shared" si="11"/>
        <v>10000000000</v>
      </c>
      <c r="Q71" s="53">
        <f t="shared" si="11"/>
        <v>10000000000</v>
      </c>
      <c r="R71" s="53">
        <f t="shared" si="11"/>
        <v>10000000000</v>
      </c>
      <c r="S71" s="53">
        <f t="shared" si="11"/>
        <v>10000000000</v>
      </c>
      <c r="T71" s="53">
        <f t="shared" si="11"/>
        <v>10000000000</v>
      </c>
      <c r="U71" s="53">
        <f t="shared" si="11"/>
        <v>10000000000</v>
      </c>
      <c r="V71" s="53">
        <f t="shared" si="11"/>
        <v>10000000000</v>
      </c>
      <c r="W71" s="53">
        <f t="shared" si="11"/>
        <v>10000000000</v>
      </c>
      <c r="X71" s="53">
        <f t="shared" si="11"/>
        <v>10000000000</v>
      </c>
      <c r="AB71" s="1"/>
    </row>
    <row r="72" spans="1:28">
      <c r="A72" s="10"/>
      <c r="B72" s="8" t="s">
        <v>31</v>
      </c>
      <c r="C72" s="333">
        <f>AVERAGE(C67:D71)</f>
        <v>100.5</v>
      </c>
      <c r="D72" s="334"/>
      <c r="E72" s="95">
        <f>AVERAGE(E67:E71)</f>
        <v>99.885999999999996</v>
      </c>
      <c r="F72" s="95">
        <f t="shared" ref="F72" si="12">AVERAGE(F67:F71)</f>
        <v>99.885999999999996</v>
      </c>
      <c r="G72" s="95">
        <f>SUM(G67:G71)/5</f>
        <v>-0.61400000000000432</v>
      </c>
      <c r="H72" s="63"/>
      <c r="I72" s="63"/>
      <c r="N72" s="111" t="s">
        <v>168</v>
      </c>
      <c r="O72" s="118">
        <f>SQRT((O57^2)+(O58^2)+(O59^2)+(O60^2)+(O61^2)+(O62^2)+(O63^2))</f>
        <v>0.84577928970613236</v>
      </c>
      <c r="P72" s="118">
        <f t="shared" ref="P72:X72" si="13">SQRT((P57^2)+(P58^2)+(P59^2)+(P60^2)+(P61^2)+(P62^2)+(P63^2))</f>
        <v>0.8463791153471415</v>
      </c>
      <c r="Q72" s="118">
        <f t="shared" si="13"/>
        <v>0.84633480780115022</v>
      </c>
      <c r="R72" s="118">
        <f t="shared" si="13"/>
        <v>0.84645295610317872</v>
      </c>
      <c r="S72" s="118">
        <f t="shared" si="13"/>
        <v>0.84633480780115022</v>
      </c>
      <c r="T72" s="118">
        <f t="shared" si="13"/>
        <v>0.84779573418118226</v>
      </c>
      <c r="U72" s="118">
        <f t="shared" si="13"/>
        <v>0.84779573418118226</v>
      </c>
      <c r="V72" s="118">
        <f t="shared" si="13"/>
        <v>0.84645295610317872</v>
      </c>
      <c r="W72" s="118">
        <f t="shared" si="13"/>
        <v>0.84577928970613236</v>
      </c>
      <c r="X72" s="118">
        <f t="shared" si="13"/>
        <v>0.84577928970613236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482049574.52565414</v>
      </c>
      <c r="P73" s="120">
        <f t="shared" ref="P73:X73" si="14">(P72^4)/((P57^4/P65)+(P58^4/P66)+(P59^4/P67)+(P60^4/P68)+(P61^4/P69)+(P62^4/P70)+(P63^4/P71))</f>
        <v>20341050.072801568</v>
      </c>
      <c r="Q73" s="120">
        <f t="shared" si="14"/>
        <v>20463531.180403929</v>
      </c>
      <c r="R73" s="120">
        <f t="shared" si="14"/>
        <v>19816312.43011285</v>
      </c>
      <c r="S73" s="120">
        <f t="shared" si="14"/>
        <v>20463531.180403929</v>
      </c>
      <c r="T73" s="120">
        <f t="shared" si="14"/>
        <v>3997675.9690154507</v>
      </c>
      <c r="U73" s="120">
        <f t="shared" si="14"/>
        <v>3997675.9690154507</v>
      </c>
      <c r="V73" s="120">
        <f t="shared" si="14"/>
        <v>19816312.43011285</v>
      </c>
      <c r="W73" s="120">
        <f t="shared" si="14"/>
        <v>482049574.52565438</v>
      </c>
      <c r="X73" s="120">
        <f t="shared" si="14"/>
        <v>482049574.52565438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1.9599639764792913</v>
      </c>
      <c r="P74" s="123">
        <f t="shared" ref="P74:X74" si="15">_xlfn.T.INV.2T(0.05,P73)</f>
        <v>1.959964101833747</v>
      </c>
      <c r="Q74" s="123">
        <f t="shared" si="15"/>
        <v>1.959964101031314</v>
      </c>
      <c r="R74" s="123">
        <f t="shared" si="15"/>
        <v>1.9599641041195084</v>
      </c>
      <c r="S74" s="123">
        <f t="shared" si="15"/>
        <v>1.959964101031314</v>
      </c>
      <c r="T74" s="123">
        <f t="shared" si="15"/>
        <v>1.9599645778947381</v>
      </c>
      <c r="U74" s="123">
        <f t="shared" si="15"/>
        <v>1.9599645778947381</v>
      </c>
      <c r="V74" s="123">
        <f t="shared" si="15"/>
        <v>1.9599641041195084</v>
      </c>
      <c r="W74" s="123">
        <f t="shared" si="15"/>
        <v>1.9599639764792913</v>
      </c>
      <c r="X74" s="123">
        <f t="shared" si="15"/>
        <v>1.9599639764792913</v>
      </c>
      <c r="Z74" s="124"/>
      <c r="AB74" s="1"/>
    </row>
    <row r="75" spans="1:28">
      <c r="A75" s="105">
        <v>5</v>
      </c>
      <c r="B75" s="196">
        <v>150</v>
      </c>
      <c r="C75" s="327">
        <v>149.35</v>
      </c>
      <c r="D75" s="327"/>
      <c r="E75" s="90">
        <v>149.71799999999999</v>
      </c>
      <c r="F75" s="37">
        <f>IF('PERHITUNGAN 4'!$E$11="Burn Engr",'PERHITUNGAN 4'!E75,E75+('regresi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149.71799999999999</v>
      </c>
      <c r="G75" s="90">
        <f>F75-C75</f>
        <v>0.367999999999995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149.35</v>
      </c>
      <c r="D76" s="327"/>
      <c r="E76" s="90">
        <v>149.71799999999999</v>
      </c>
      <c r="F76" s="37">
        <f>IF('PERHITUNGAN 4'!$E$11="Burn Engr",'PERHITUNGAN 4'!E76,E76+('regresi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149.71799999999999</v>
      </c>
      <c r="G76" s="90">
        <f>F76-C76</f>
        <v>0.367999999999995</v>
      </c>
      <c r="H76" s="63"/>
      <c r="I76" s="63"/>
      <c r="N76" s="111" t="s">
        <v>166</v>
      </c>
      <c r="O76" s="121">
        <f t="shared" ref="O76:X76" si="16">O72*O74</f>
        <v>1.6576969398762618</v>
      </c>
      <c r="P76" s="121">
        <f>P72*P74</f>
        <v>1.6588726826222016</v>
      </c>
      <c r="Q76" s="121">
        <f t="shared" si="16"/>
        <v>1.6587858407434912</v>
      </c>
      <c r="R76" s="121">
        <f t="shared" si="16"/>
        <v>1.6590174097880763</v>
      </c>
      <c r="S76" s="121">
        <f t="shared" si="16"/>
        <v>1.6587858407434912</v>
      </c>
      <c r="T76" s="121">
        <f t="shared" si="16"/>
        <v>1.6616496082853804</v>
      </c>
      <c r="U76" s="121">
        <f t="shared" si="16"/>
        <v>1.6616496082853804</v>
      </c>
      <c r="V76" s="121">
        <f t="shared" si="16"/>
        <v>1.6590174097880763</v>
      </c>
      <c r="W76" s="121">
        <f t="shared" si="16"/>
        <v>1.6576969398762618</v>
      </c>
      <c r="X76" s="121">
        <f t="shared" si="16"/>
        <v>1.6576969398762618</v>
      </c>
      <c r="AB76" s="1"/>
    </row>
    <row r="77" spans="1:28">
      <c r="A77" s="10"/>
      <c r="C77" s="327">
        <v>149.35</v>
      </c>
      <c r="D77" s="327"/>
      <c r="E77" s="90">
        <v>149.71799999999999</v>
      </c>
      <c r="F77" s="37">
        <f>IF('PERHITUNGAN 4'!$E$11="Burn Engr",'PERHITUNGAN 4'!E77,E77+('regresi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149.71799999999999</v>
      </c>
      <c r="G77" s="90">
        <f>F77-C77</f>
        <v>0.367999999999995</v>
      </c>
      <c r="H77" s="63"/>
      <c r="I77" s="63"/>
      <c r="AB77" s="1"/>
    </row>
    <row r="78" spans="1:28">
      <c r="A78" s="10"/>
      <c r="C78" s="327">
        <v>149.35</v>
      </c>
      <c r="D78" s="327"/>
      <c r="E78" s="90">
        <v>149.71799999999999</v>
      </c>
      <c r="F78" s="37">
        <f>IF('PERHITUNGAN 4'!$E$11="Burn Engr",'PERHITUNGAN 4'!E78,E78+('regresi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149.71799999999999</v>
      </c>
      <c r="G78" s="90">
        <f>F78-C78</f>
        <v>0.367999999999995</v>
      </c>
      <c r="H78" s="26"/>
      <c r="I78" s="26"/>
      <c r="AB78" s="1"/>
    </row>
    <row r="79" spans="1:28">
      <c r="A79" s="10"/>
      <c r="C79" s="327">
        <v>149.35</v>
      </c>
      <c r="D79" s="327"/>
      <c r="E79" s="90">
        <v>149.71799999999999</v>
      </c>
      <c r="F79" s="37">
        <f>IF('PERHITUNGAN 4'!$E$11="Burn Engr",'PERHITUNGAN 4'!E79,E79+('regresi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149.71799999999999</v>
      </c>
      <c r="G79" s="90">
        <f>F79-C79</f>
        <v>0.367999999999995</v>
      </c>
      <c r="AB79" s="1"/>
    </row>
    <row r="80" spans="1:28">
      <c r="A80" s="10"/>
      <c r="B80" s="8" t="s">
        <v>31</v>
      </c>
      <c r="C80" s="333">
        <f>AVERAGE(C75:D79)</f>
        <v>149.35</v>
      </c>
      <c r="D80" s="334"/>
      <c r="E80" s="95">
        <f>AVERAGE(E75:E79)</f>
        <v>149.71799999999999</v>
      </c>
      <c r="F80" s="95">
        <f t="shared" ref="F80" si="17">AVERAGE(F75:F79)</f>
        <v>149.71799999999999</v>
      </c>
      <c r="G80" s="95">
        <f>SUM(G75:G79)/5</f>
        <v>0.367999999999995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200</v>
      </c>
      <c r="C83" s="327">
        <v>199.36</v>
      </c>
      <c r="D83" s="327"/>
      <c r="E83" s="90">
        <v>199.464</v>
      </c>
      <c r="F83" s="37">
        <f>IF('PERHITUNGAN 4'!$E$11="Burn Engr",'PERHITUNGAN 4'!E83,E83+('regresi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199.464</v>
      </c>
      <c r="G83" s="40">
        <f>F83-C83</f>
        <v>0.10399999999998499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199.36</v>
      </c>
      <c r="D84" s="327"/>
      <c r="E84" s="90">
        <v>199.464</v>
      </c>
      <c r="F84" s="37">
        <f>IF('PERHITUNGAN 4'!$E$11="Burn Engr",'PERHITUNGAN 4'!E84,E84+('regresi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199.464</v>
      </c>
      <c r="G84" s="40">
        <f>F84-C84</f>
        <v>0.10399999999998499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199.36</v>
      </c>
      <c r="D85" s="327"/>
      <c r="E85" s="90">
        <v>199.464</v>
      </c>
      <c r="F85" s="37">
        <f>IF('PERHITUNGAN 4'!$E$11="Burn Engr",'PERHITUNGAN 4'!E85,E85+('regresi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199.464</v>
      </c>
      <c r="G85" s="40">
        <f>F85-C85</f>
        <v>0.10399999999998499</v>
      </c>
      <c r="H85" s="26"/>
      <c r="I85" s="26"/>
      <c r="N85" s="93">
        <f>O56</f>
        <v>-26.809999999999995</v>
      </c>
      <c r="O85" s="403">
        <f>G48</f>
        <v>-2.9939999999999998</v>
      </c>
      <c r="P85" s="404"/>
      <c r="Q85" s="387">
        <f t="shared" ref="Q85:Q94" si="18">N85+O85</f>
        <v>-29.803999999999995</v>
      </c>
      <c r="R85" s="405"/>
      <c r="S85" s="138" t="s">
        <v>35</v>
      </c>
      <c r="T85" s="94">
        <f>IF(N85&lt;$AA$97,MAX($O$97,O76),IF(N85&lt;$AA$98,MAX($O$98,O76),MAX($O$99,O76)))</f>
        <v>1.6576969398762618</v>
      </c>
      <c r="AB85" s="1"/>
    </row>
    <row r="86" spans="1:28">
      <c r="A86" s="10"/>
      <c r="C86" s="327">
        <v>199.36</v>
      </c>
      <c r="D86" s="327"/>
      <c r="E86" s="90">
        <v>199.464</v>
      </c>
      <c r="F86" s="37">
        <f>IF('PERHITUNGAN 4'!$E$11="Burn Engr",'PERHITUNGAN 4'!E86,E86+('regresi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199.464</v>
      </c>
      <c r="G86" s="40">
        <f>F86-C86</f>
        <v>0.10399999999998499</v>
      </c>
      <c r="H86" s="63"/>
      <c r="I86" s="63"/>
      <c r="N86" s="93">
        <f>P56</f>
        <v>6.6100000000000012</v>
      </c>
      <c r="O86" s="403">
        <f>G56</f>
        <v>-6.4099999999999993</v>
      </c>
      <c r="P86" s="404"/>
      <c r="Q86" s="406">
        <f t="shared" si="18"/>
        <v>0.20000000000000195</v>
      </c>
      <c r="R86" s="407"/>
      <c r="S86" s="138" t="s">
        <v>35</v>
      </c>
      <c r="T86" s="94">
        <f>IF(N86&lt;$AA$97,MAX($O$97,P76),IF(N86&lt;$AA$98,MAX($O$98,P76),MAX($O$99,P76)))</f>
        <v>1.6588726826222016</v>
      </c>
      <c r="AB86" s="1"/>
    </row>
    <row r="87" spans="1:28">
      <c r="A87" s="10"/>
      <c r="C87" s="327">
        <v>199.36</v>
      </c>
      <c r="D87" s="327"/>
      <c r="E87" s="90">
        <v>199.464</v>
      </c>
      <c r="F87" s="37">
        <f>IF('PERHITUNGAN 4'!$E$11="Burn Engr",'PERHITUNGAN 4'!E87,E87+('regresi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199.464</v>
      </c>
      <c r="G87" s="41">
        <f>F87-C87</f>
        <v>0.10399999999998499</v>
      </c>
      <c r="H87" s="63"/>
      <c r="I87" s="63"/>
      <c r="N87" s="93">
        <f>Q56</f>
        <v>50.65</v>
      </c>
      <c r="O87" s="403">
        <f>G64</f>
        <v>-0.29999999999999716</v>
      </c>
      <c r="P87" s="404"/>
      <c r="Q87" s="406">
        <f t="shared" si="18"/>
        <v>50.35</v>
      </c>
      <c r="R87" s="407"/>
      <c r="S87" s="138" t="s">
        <v>35</v>
      </c>
      <c r="T87" s="94">
        <f>IF(N87&lt;$AA$97,MAX($O$97,Q76),IF(N87&lt;$AA$98,MAX($O$98,Q76),MAX($O$99,Q76)))</f>
        <v>1.6587858407434912</v>
      </c>
      <c r="AB87" s="1"/>
    </row>
    <row r="88" spans="1:28">
      <c r="A88" s="10"/>
      <c r="B88" s="8" t="s">
        <v>31</v>
      </c>
      <c r="C88" s="333">
        <f>AVERAGE(C83:D87)</f>
        <v>199.36</v>
      </c>
      <c r="D88" s="334"/>
      <c r="E88" s="95">
        <f>AVERAGE(E83:E87)</f>
        <v>199.464</v>
      </c>
      <c r="F88" s="95">
        <f t="shared" ref="F88" si="19">AVERAGE(F83:F87)</f>
        <v>199.464</v>
      </c>
      <c r="G88" s="95">
        <f>SUM(G83:G87)/5</f>
        <v>0.10399999999998499</v>
      </c>
      <c r="H88" s="63"/>
      <c r="I88" s="63"/>
      <c r="N88" s="93">
        <f>R56</f>
        <v>100.5</v>
      </c>
      <c r="O88" s="403">
        <f>G72</f>
        <v>-0.61400000000000432</v>
      </c>
      <c r="P88" s="404"/>
      <c r="Q88" s="406">
        <f t="shared" si="18"/>
        <v>99.885999999999996</v>
      </c>
      <c r="R88" s="407"/>
      <c r="S88" s="138" t="s">
        <v>35</v>
      </c>
      <c r="T88" s="94">
        <f>IF(N88&lt;$AA$97,MAX($O$97,R76),IF(N88&lt;$AA$98,MAX($O$98,R76),MAX($O$99,R76)))</f>
        <v>1.6590174097880763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149.35</v>
      </c>
      <c r="O89" s="403">
        <f>G80</f>
        <v>0.367999999999995</v>
      </c>
      <c r="P89" s="404"/>
      <c r="Q89" s="406">
        <f t="shared" si="18"/>
        <v>149.71799999999999</v>
      </c>
      <c r="R89" s="407"/>
      <c r="S89" s="138" t="s">
        <v>35</v>
      </c>
      <c r="T89" s="94">
        <f>IF(N89&lt;$AA$97,MAX($O$97,S76),IF(N89&lt;$AA$98,MAX($O$98,S76),MAX($O$99,S76)))</f>
        <v>1.6587858407434912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199.36</v>
      </c>
      <c r="O90" s="403">
        <f>G88</f>
        <v>0.10399999999998499</v>
      </c>
      <c r="P90" s="404"/>
      <c r="Q90" s="406">
        <f t="shared" si="18"/>
        <v>199.464</v>
      </c>
      <c r="R90" s="407"/>
      <c r="S90" s="138" t="s">
        <v>35</v>
      </c>
      <c r="T90" s="94">
        <f>IF(N90&lt;$AA$97,MAX($O$97,T76),IF(N90&lt;$AA$98,MAX($O$98,T76),MAX($O$99,T76)))</f>
        <v>1.6616496082853804</v>
      </c>
      <c r="AB90" s="1"/>
    </row>
    <row r="91" spans="1:28">
      <c r="A91" s="105">
        <v>7</v>
      </c>
      <c r="B91" s="196">
        <v>250</v>
      </c>
      <c r="C91" s="327">
        <v>249.19</v>
      </c>
      <c r="D91" s="327"/>
      <c r="E91" s="90">
        <v>249.477</v>
      </c>
      <c r="F91" s="37">
        <f>IF('PERHITUNGAN 4'!$E$11="Burn Engr",'PERHITUNGAN 4'!E91,E91+('regresi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249.477</v>
      </c>
      <c r="G91" s="40">
        <f>F91-C91</f>
        <v>0.28700000000000614</v>
      </c>
      <c r="H91" s="63"/>
      <c r="I91" s="63"/>
      <c r="N91" s="93">
        <f>U56</f>
        <v>249.19</v>
      </c>
      <c r="O91" s="403">
        <f>G96</f>
        <v>0.28700000000000614</v>
      </c>
      <c r="P91" s="404"/>
      <c r="Q91" s="406">
        <f t="shared" si="18"/>
        <v>249.477</v>
      </c>
      <c r="R91" s="407"/>
      <c r="S91" s="138" t="s">
        <v>35</v>
      </c>
      <c r="T91" s="94">
        <f>IF(N91&lt;$AA$97,MAX($O$97,U76),IF(N91&lt;$AA$98,MAX($O$98,U76),MAX($O$99,U76)))</f>
        <v>1.6616496082853804</v>
      </c>
      <c r="AB91" s="1"/>
    </row>
    <row r="92" spans="1:28">
      <c r="A92" s="10"/>
      <c r="C92" s="327">
        <v>249.19</v>
      </c>
      <c r="D92" s="327"/>
      <c r="E92" s="90">
        <v>249.477</v>
      </c>
      <c r="F92" s="37">
        <f>IF('PERHITUNGAN 4'!$E$11="Burn Engr",'PERHITUNGAN 4'!E92,E92+('regresi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249.477</v>
      </c>
      <c r="G92" s="40">
        <f>F92-C92</f>
        <v>0.28700000000000614</v>
      </c>
      <c r="H92" s="44"/>
      <c r="I92" s="63"/>
      <c r="N92" s="93">
        <f>V56</f>
        <v>259.20999999999998</v>
      </c>
      <c r="O92" s="403">
        <f>G104</f>
        <v>0.34399999999999409</v>
      </c>
      <c r="P92" s="404"/>
      <c r="Q92" s="406">
        <f t="shared" si="18"/>
        <v>259.55399999999997</v>
      </c>
      <c r="R92" s="407"/>
      <c r="S92" s="138" t="s">
        <v>35</v>
      </c>
      <c r="T92" s="94">
        <f>IF(N92&lt;$AA$97,MAX($O$97,V76),IF(N92&lt;$AA$98,MAX($O$98,V76),MAX($O$99,V76)))</f>
        <v>1.8</v>
      </c>
      <c r="AB92" s="1"/>
    </row>
    <row r="93" spans="1:28">
      <c r="A93" s="10"/>
      <c r="C93" s="327">
        <v>249.19</v>
      </c>
      <c r="D93" s="327"/>
      <c r="E93" s="90">
        <v>249.477</v>
      </c>
      <c r="F93" s="37">
        <f>IF('PERHITUNGAN 4'!$E$11="Burn Engr",'PERHITUNGAN 4'!E93,E93+('regresi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249.477</v>
      </c>
      <c r="G93" s="40">
        <f>F93-C93</f>
        <v>0.28700000000000614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8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249.19</v>
      </c>
      <c r="D94" s="327"/>
      <c r="E94" s="90">
        <v>249.477</v>
      </c>
      <c r="F94" s="37">
        <f>IF('PERHITUNGAN 4'!$E$11="Burn Engr",'PERHITUNGAN 4'!E94,E94+('regresi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249.477</v>
      </c>
      <c r="G94" s="40">
        <f>F94-C94</f>
        <v>0.28700000000000614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8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249.19</v>
      </c>
      <c r="D95" s="327"/>
      <c r="E95" s="90">
        <v>249.477</v>
      </c>
      <c r="F95" s="37">
        <f>IF('PERHITUNGAN 4'!$E$11="Burn Engr",'PERHITUNGAN 4'!E95,E95+('regresi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249.477</v>
      </c>
      <c r="G95" s="41">
        <f>F95-C95</f>
        <v>0.28700000000000614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249.19</v>
      </c>
      <c r="D96" s="334"/>
      <c r="E96" s="95">
        <f>AVERAGE(E91:E95)</f>
        <v>249.477</v>
      </c>
      <c r="F96" s="95">
        <f t="shared" ref="F96" si="20">AVERAGE(F91:F95)</f>
        <v>249.477</v>
      </c>
      <c r="G96" s="95">
        <f>SUM(G91:G95)/5</f>
        <v>0.28700000000000614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0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0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>
        <v>260</v>
      </c>
      <c r="C99" s="327">
        <v>259.20999999999998</v>
      </c>
      <c r="D99" s="327"/>
      <c r="E99" s="90">
        <v>259.55399999999997</v>
      </c>
      <c r="F99" s="37">
        <f>IF('PERHITUNGAN 4'!$E$11="Burn Engr",'PERHITUNGAN 4'!E99,E99+('regresi PRT'!$P$40+('regresi PRT'!$P$41*E99)+('regresi PRT'!$P$42*(E99^2))+('regresi PRT'!$P$43*(E99^3))+('regresi PRT'!$P$44*(E99^4))+('regresi PRT'!$P$45*(E99^5))+('regresi PRT'!$P$46*(E99^6))+('regresi PRT'!$P$47*(E99^7))+('regresi PRT'!$P$48*(E99^8))+('regresi PRT'!$P$49*(E99^9))+('regresi PRT'!$P$50*(E99^10))))</f>
        <v>259.55399999999997</v>
      </c>
      <c r="G99" s="40">
        <f>F99-C99</f>
        <v>0.34399999999999409</v>
      </c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>
        <v>259.20999999999998</v>
      </c>
      <c r="D100" s="327"/>
      <c r="E100" s="90">
        <v>259.55399999999997</v>
      </c>
      <c r="F100" s="37">
        <f>IF('PERHITUNGAN 4'!$E$11="Burn Engr",'PERHITUNGAN 4'!E100,E100+('regresi PRT'!$P$40+('regresi PRT'!$P$41*E100)+('regresi PRT'!$P$42*(E100^2))+('regresi PRT'!$P$43*(E100^3))+('regresi PRT'!$P$44*(E100^4))+('regresi PRT'!$P$45*(E100^5))+('regresi PRT'!$P$46*(E100^6))+('regresi PRT'!$P$47*(E100^7))+('regresi PRT'!$P$48*(E100^8))+('regresi PRT'!$P$49*(E100^9))+('regresi PRT'!$P$50*(E100^10))))</f>
        <v>259.55399999999997</v>
      </c>
      <c r="G100" s="40">
        <f>F100-C100</f>
        <v>0.34399999999999409</v>
      </c>
      <c r="H100" s="44"/>
      <c r="I100" s="44"/>
      <c r="M100" s="1"/>
    </row>
    <row r="101" spans="1:27">
      <c r="A101" s="10"/>
      <c r="C101" s="327">
        <v>259.20999999999998</v>
      </c>
      <c r="D101" s="327"/>
      <c r="E101" s="90">
        <v>259.55399999999997</v>
      </c>
      <c r="F101" s="37">
        <f>IF('PERHITUNGAN 4'!$E$11="Burn Engr",'PERHITUNGAN 4'!E101,E101+('regresi PRT'!$P$40+('regresi PRT'!$P$41*E101)+('regresi PRT'!$P$42*(E101^2))+('regresi PRT'!$P$43*(E101^3))+('regresi PRT'!$P$44*(E101^4))+('regresi PRT'!$P$45*(E101^5))+('regresi PRT'!$P$46*(E101^6))+('regresi PRT'!$P$47*(E101^7))+('regresi PRT'!$P$48*(E101^8))+('regresi PRT'!$P$49*(E101^9))+('regresi PRT'!$P$50*(E101^10))))</f>
        <v>259.55399999999997</v>
      </c>
      <c r="G101" s="40">
        <f>F101-C101</f>
        <v>0.34399999999999409</v>
      </c>
      <c r="H101" s="44"/>
      <c r="I101" s="44"/>
    </row>
    <row r="102" spans="1:27">
      <c r="A102" s="10"/>
      <c r="C102" s="327">
        <v>259.20999999999998</v>
      </c>
      <c r="D102" s="327"/>
      <c r="E102" s="90">
        <v>259.55399999999997</v>
      </c>
      <c r="F102" s="37">
        <f>IF('PERHITUNGAN 4'!$E$11="Burn Engr",'PERHITUNGAN 4'!E102,E102+('regresi PRT'!$P$40+('regresi PRT'!$P$41*E102)+('regresi PRT'!$P$42*(E102^2))+('regresi PRT'!$P$43*(E102^3))+('regresi PRT'!$P$44*(E102^4))+('regresi PRT'!$P$45*(E102^5))+('regresi PRT'!$P$46*(E102^6))+('regresi PRT'!$P$47*(E102^7))+('regresi PRT'!$P$48*(E102^8))+('regresi PRT'!$P$49*(E102^9))+('regresi PRT'!$P$50*(E102^10))))</f>
        <v>259.55399999999997</v>
      </c>
      <c r="G102" s="40">
        <f>F102-C102</f>
        <v>0.34399999999999409</v>
      </c>
      <c r="H102" s="63"/>
      <c r="I102" s="63"/>
    </row>
    <row r="103" spans="1:27">
      <c r="A103" s="10"/>
      <c r="C103" s="327">
        <v>259.20999999999998</v>
      </c>
      <c r="D103" s="327"/>
      <c r="E103" s="90">
        <v>259.55399999999997</v>
      </c>
      <c r="F103" s="37">
        <f>IF('PERHITUNGAN 4'!$E$11="Burn Engr",'PERHITUNGAN 4'!E103,E103+('regresi PRT'!$P$40+('regresi PRT'!$P$41*E103)+('regresi PRT'!$P$42*(E103^2))+('regresi PRT'!$P$43*(E103^3))+('regresi PRT'!$P$44*(E103^4))+('regresi PRT'!$P$45*(E103^5))+('regresi PRT'!$P$46*(E103^6))+('regresi PRT'!$P$47*(E103^7))+('regresi PRT'!$P$48*(E103^8))+('regresi PRT'!$P$49*(E103^9))+('regresi PRT'!$P$50*(E103^10))))</f>
        <v>259.55399999999997</v>
      </c>
      <c r="G103" s="41">
        <f>F103-C103</f>
        <v>0.34399999999999409</v>
      </c>
      <c r="H103" s="63"/>
      <c r="I103" s="63"/>
      <c r="N103" s="74"/>
      <c r="O103" s="129"/>
    </row>
    <row r="104" spans="1:27">
      <c r="A104" s="10"/>
      <c r="B104" s="8" t="s">
        <v>31</v>
      </c>
      <c r="C104" s="333">
        <f>AVERAGE(C99:D103)</f>
        <v>259.20999999999998</v>
      </c>
      <c r="D104" s="334"/>
      <c r="E104" s="95">
        <f>AVERAGE(E99:E103)</f>
        <v>259.55399999999997</v>
      </c>
      <c r="F104" s="95">
        <f>SUM(F99:F103)/5</f>
        <v>259.55399999999997</v>
      </c>
      <c r="G104" s="95">
        <f>SUM(G99:G103)/5</f>
        <v>0.34399999999999409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>
        <f>_xlfn.STDEV.S(G99:G103)</f>
        <v>0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>
        <f>G105/SQRT(5)</f>
        <v>0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>
        <f>IF('PERHITUNGAN 4'!$E$11="Burn Engr",'PERHITUNGAN 4'!E107,E107+('regresi PRT'!$P$40+('regresi PRT'!$P$41*E107)+('regresi PRT'!$P$42*(E107^2))+('regresi PRT'!$P$43*(E107^3))+('regresi PRT'!$P$44*(E107^4))+('regresi PRT'!$P$45*(E107^5))+('regresi PRT'!$P$46*(E107^6))+('regresi PRT'!$P$47*(E107^7))+('regresi PRT'!$P$48*(E107^8))+('regresi PRT'!$P$49*(E107^9))+('regresi PRT'!$P$50*(E107^10))))</f>
        <v>0</v>
      </c>
      <c r="G107" s="40">
        <f>F107-C107</f>
        <v>0</v>
      </c>
      <c r="H107" s="63"/>
      <c r="I107" s="63"/>
      <c r="M107" s="1"/>
    </row>
    <row r="108" spans="1:27">
      <c r="A108" s="10"/>
      <c r="C108" s="327"/>
      <c r="D108" s="327"/>
      <c r="E108" s="90"/>
      <c r="F108" s="37">
        <f>IF('PERHITUNGAN 4'!$E$11="Burn Engr",'PERHITUNGAN 4'!E108,E108+('regresi PRT'!$P$40+('regresi PRT'!$P$41*E108)+('regresi PRT'!$P$42*(E108^2))+('regresi PRT'!$P$43*(E108^3))+('regresi PRT'!$P$44*(E108^4))+('regresi PRT'!$P$45*(E108^5))+('regresi PRT'!$P$46*(E108^6))+('regresi PRT'!$P$47*(E108^7))+('regresi PRT'!$P$48*(E108^8))+('regresi PRT'!$P$49*(E108^9))+('regresi PRT'!$P$50*(E108^10))))</f>
        <v>0</v>
      </c>
      <c r="G108" s="40">
        <f>F108-C108</f>
        <v>0</v>
      </c>
      <c r="H108" s="44"/>
      <c r="I108" s="44"/>
      <c r="M108" s="1"/>
    </row>
    <row r="109" spans="1:27">
      <c r="A109" s="10"/>
      <c r="C109" s="327"/>
      <c r="D109" s="327"/>
      <c r="E109" s="90"/>
      <c r="F109" s="37">
        <f>IF('PERHITUNGAN 4'!$E$11="Burn Engr",'PERHITUNGAN 4'!E109,E109+('regresi PRT'!$P$40+('regresi PRT'!$P$41*E109)+('regresi PRT'!$P$42*(E109^2))+('regresi PRT'!$P$43*(E109^3))+('regresi PRT'!$P$44*(E109^4))+('regresi PRT'!$P$45*(E109^5))+('regresi PRT'!$P$46*(E109^6))+('regresi PRT'!$P$47*(E109^7))+('regresi PRT'!$P$48*(E109^8))+('regresi PRT'!$P$49*(E109^9))+('regresi PRT'!$P$50*(E109^10))))</f>
        <v>0</v>
      </c>
      <c r="G109" s="40">
        <f>F109-C109</f>
        <v>0</v>
      </c>
      <c r="H109" s="44"/>
      <c r="I109" s="44"/>
    </row>
    <row r="110" spans="1:27">
      <c r="A110" s="10"/>
      <c r="C110" s="327"/>
      <c r="D110" s="327"/>
      <c r="E110" s="90"/>
      <c r="F110" s="37">
        <f>IF('PERHITUNGAN 4'!$E$11="Burn Engr",'PERHITUNGAN 4'!E110,E110+('regresi PRT'!$P$40+('regresi PRT'!$P$41*E110)+('regresi PRT'!$P$42*(E110^2))+('regresi PRT'!$P$43*(E110^3))+('regresi PRT'!$P$44*(E110^4))+('regresi PRT'!$P$45*(E110^5))+('regresi PRT'!$P$46*(E110^6))+('regresi PRT'!$P$47*(E110^7))+('regresi PRT'!$P$48*(E110^8))+('regresi PRT'!$P$49*(E110^9))+('regresi PRT'!$P$50*(E110^10))))</f>
        <v>0</v>
      </c>
      <c r="G110" s="40">
        <f>F110-C110</f>
        <v>0</v>
      </c>
      <c r="H110" s="63"/>
      <c r="I110" s="63"/>
    </row>
    <row r="111" spans="1:27">
      <c r="A111" s="10"/>
      <c r="C111" s="327"/>
      <c r="D111" s="327"/>
      <c r="E111" s="90"/>
      <c r="F111" s="37">
        <f>IF('PERHITUNGAN 4'!$E$11="Burn Engr",'PERHITUNGAN 4'!E111,E111+('regresi PRT'!$P$40+('regresi PRT'!$P$41*E111)+('regresi PRT'!$P$42*(E111^2))+('regresi PRT'!$P$43*(E111^3))+('regresi PRT'!$P$44*(E111^4))+('regresi PRT'!$P$45*(E111^5))+('regresi PRT'!$P$46*(E111^6))+('regresi PRT'!$P$47*(E111^7))+('regresi PRT'!$P$48*(E111^8))+('regresi PRT'!$P$49*(E111^9))+('regresi PRT'!$P$50*(E111^10))))</f>
        <v>0</v>
      </c>
      <c r="G111" s="41">
        <f>F111-C111</f>
        <v>0</v>
      </c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>
        <f>_xlfn.STDEV.S(G107:G111)</f>
        <v>0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>
        <f>G113/SQRT(5)</f>
        <v>0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>
        <f>IF('PERHITUNGAN 4'!$E$11="Burn Engr",'PERHITUNGAN 4'!E115,E115+('regresi PRT'!$P$40+('regresi PRT'!$P$41*E115)+('regresi PRT'!$P$42*(E115^2))+('regresi PRT'!$P$43*(E115^3))+('regresi PRT'!$P$44*(E115^4))+('regresi PRT'!$P$45*(E115^5))+('regresi PRT'!$P$46*(E115^6))+('regresi PRT'!$P$47*(E115^7))+('regresi PRT'!$P$48*(E115^8))+('regresi PRT'!$P$49*(E115^9))+('regresi PRT'!$P$50*(E115^10))))</f>
        <v>0</v>
      </c>
      <c r="G115" s="40">
        <f>F115-C115</f>
        <v>0</v>
      </c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>
        <f>IF('PERHITUNGAN 4'!$E$11="Burn Engr",'PERHITUNGAN 4'!E116,E116+('regresi PRT'!$P$40+('regresi PRT'!$P$41*E116)+('regresi PRT'!$P$42*(E116^2))+('regresi PRT'!$P$43*(E116^3))+('regresi PRT'!$P$44*(E116^4))+('regresi PRT'!$P$45*(E116^5))+('regresi PRT'!$P$46*(E116^6))+('regresi PRT'!$P$47*(E116^7))+('regresi PRT'!$P$48*(E116^8))+('regresi PRT'!$P$49*(E116^9))+('regresi PRT'!$P$50*(E116^10))))</f>
        <v>0</v>
      </c>
      <c r="G116" s="40">
        <f>F116-C116</f>
        <v>0</v>
      </c>
      <c r="H116" s="44"/>
      <c r="I116" s="44"/>
      <c r="U116" s="49"/>
    </row>
    <row r="117" spans="1:21">
      <c r="A117" s="10"/>
      <c r="C117" s="224"/>
      <c r="D117" s="225"/>
      <c r="E117" s="90"/>
      <c r="F117" s="37">
        <f>IF('PERHITUNGAN 4'!$E$11="Burn Engr",'PERHITUNGAN 4'!E117,E117+('regresi PRT'!$P$40+('regresi PRT'!$P$41*E117)+('regresi PRT'!$P$42*(E117^2))+('regresi PRT'!$P$43*(E117^3))+('regresi PRT'!$P$44*(E117^4))+('regresi PRT'!$P$45*(E117^5))+('regresi PRT'!$P$46*(E117^6))+('regresi PRT'!$P$47*(E117^7))+('regresi PRT'!$P$48*(E117^8))+('regresi PRT'!$P$49*(E117^9))+('regresi PRT'!$P$50*(E117^10))))</f>
        <v>0</v>
      </c>
      <c r="G117" s="40">
        <f>F117-C117</f>
        <v>0</v>
      </c>
      <c r="H117" s="44"/>
      <c r="I117" s="44"/>
      <c r="U117" s="49"/>
    </row>
    <row r="118" spans="1:21">
      <c r="A118" s="10"/>
      <c r="C118" s="224"/>
      <c r="D118" s="225"/>
      <c r="E118" s="90"/>
      <c r="F118" s="37">
        <f>IF('PERHITUNGAN 4'!$E$11="Burn Engr",'PERHITUNGAN 4'!E118,E118+('regresi PRT'!$P$40+('regresi PRT'!$P$41*E118)+('regresi PRT'!$P$42*(E118^2))+('regresi PRT'!$P$43*(E118^3))+('regresi PRT'!$P$44*(E118^4))+('regresi PRT'!$P$45*(E118^5))+('regresi PRT'!$P$46*(E118^6))+('regresi PRT'!$P$47*(E118^7))+('regresi PRT'!$P$48*(E118^8))+('regresi PRT'!$P$49*(E118^9))+('regresi PRT'!$P$50*(E118^10))))</f>
        <v>0</v>
      </c>
      <c r="G118" s="40">
        <f>F118-C118</f>
        <v>0</v>
      </c>
      <c r="H118" s="63"/>
      <c r="I118" s="63"/>
    </row>
    <row r="119" spans="1:21">
      <c r="A119" s="10"/>
      <c r="C119" s="233"/>
      <c r="D119" s="234"/>
      <c r="E119" s="90"/>
      <c r="F119" s="37">
        <f>IF('PERHITUNGAN 4'!$E$11="Burn Engr",'PERHITUNGAN 4'!E119,E119+('regresi PRT'!$P$40+('regresi PRT'!$P$41*E119)+('regresi PRT'!$P$42*(E119^2))+('regresi PRT'!$P$43*(E119^3))+('regresi PRT'!$P$44*(E119^4))+('regresi PRT'!$P$45*(E119^5))+('regresi PRT'!$P$46*(E119^6))+('regresi PRT'!$P$47*(E119^7))+('regresi PRT'!$P$48*(E119^8))+('regresi PRT'!$P$49*(E119^9))+('regresi PRT'!$P$50*(E119^10))))</f>
        <v>0</v>
      </c>
      <c r="G119" s="41">
        <f>F119-C119</f>
        <v>0</v>
      </c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>
        <f>_xlfn.STDEV.S(G115:G119)</f>
        <v>0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>
        <f>G121/SQRT(5)</f>
        <v>0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330"/>
      <c r="D125" s="330"/>
      <c r="E125" s="63"/>
      <c r="F125" s="63"/>
      <c r="G125" s="63"/>
      <c r="H125" s="63"/>
      <c r="I125" s="63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2">
    <mergeCell ref="J26:K26"/>
    <mergeCell ref="J31:K31"/>
    <mergeCell ref="C51:D51"/>
    <mergeCell ref="C52:D52"/>
    <mergeCell ref="C53:D53"/>
    <mergeCell ref="C56:D56"/>
    <mergeCell ref="C185:D185"/>
    <mergeCell ref="C177:D177"/>
    <mergeCell ref="C180:D180"/>
    <mergeCell ref="C181:D181"/>
    <mergeCell ref="C182:D182"/>
    <mergeCell ref="C183:D183"/>
    <mergeCell ref="C184:D184"/>
    <mergeCell ref="C169:D169"/>
    <mergeCell ref="C172:D172"/>
    <mergeCell ref="C173:D173"/>
    <mergeCell ref="C174:D174"/>
    <mergeCell ref="C175:D175"/>
    <mergeCell ref="C176:D176"/>
    <mergeCell ref="C161:D161"/>
    <mergeCell ref="C164:D164"/>
    <mergeCell ref="C165:D165"/>
    <mergeCell ref="C166:D166"/>
    <mergeCell ref="C167:D167"/>
    <mergeCell ref="C168:D168"/>
    <mergeCell ref="C151:D151"/>
    <mergeCell ref="C156:D156"/>
    <mergeCell ref="C157:D157"/>
    <mergeCell ref="C158:D158"/>
    <mergeCell ref="C159:D159"/>
    <mergeCell ref="C160:D160"/>
    <mergeCell ref="C143:D143"/>
    <mergeCell ref="C146:D146"/>
    <mergeCell ref="C147:D147"/>
    <mergeCell ref="C148:D148"/>
    <mergeCell ref="C149:D149"/>
    <mergeCell ref="C150:D150"/>
    <mergeCell ref="C127:D127"/>
    <mergeCell ref="C138:D138"/>
    <mergeCell ref="C139:D139"/>
    <mergeCell ref="C140:D140"/>
    <mergeCell ref="C141:D141"/>
    <mergeCell ref="C142:D142"/>
    <mergeCell ref="C125:D125"/>
    <mergeCell ref="C126:D126"/>
    <mergeCell ref="C111:D111"/>
    <mergeCell ref="C112:D112"/>
    <mergeCell ref="C107:D107"/>
    <mergeCell ref="C108:D108"/>
    <mergeCell ref="C109:D109"/>
    <mergeCell ref="C110:D110"/>
    <mergeCell ref="C99:D99"/>
    <mergeCell ref="C100:D100"/>
    <mergeCell ref="C101:D101"/>
    <mergeCell ref="C102:D102"/>
    <mergeCell ref="C103:D103"/>
    <mergeCell ref="C104:D104"/>
    <mergeCell ref="C95:D95"/>
    <mergeCell ref="C96:D96"/>
    <mergeCell ref="N96:O96"/>
    <mergeCell ref="Z96:AA96"/>
    <mergeCell ref="C93:D93"/>
    <mergeCell ref="O93:P93"/>
    <mergeCell ref="Q93:R93"/>
    <mergeCell ref="C94:D94"/>
    <mergeCell ref="O94:P94"/>
    <mergeCell ref="Q94:R94"/>
    <mergeCell ref="C91:D91"/>
    <mergeCell ref="O91:P91"/>
    <mergeCell ref="Q91:R91"/>
    <mergeCell ref="C92:D92"/>
    <mergeCell ref="O92:P92"/>
    <mergeCell ref="Q92:R92"/>
    <mergeCell ref="O89:P89"/>
    <mergeCell ref="Q89:R89"/>
    <mergeCell ref="O90:P90"/>
    <mergeCell ref="Q90:R90"/>
    <mergeCell ref="C87:D87"/>
    <mergeCell ref="O87:P87"/>
    <mergeCell ref="Q87:R87"/>
    <mergeCell ref="C88:D88"/>
    <mergeCell ref="O88:P88"/>
    <mergeCell ref="Q88:R88"/>
    <mergeCell ref="C85:D85"/>
    <mergeCell ref="O85:P85"/>
    <mergeCell ref="Q85:R85"/>
    <mergeCell ref="C86:D86"/>
    <mergeCell ref="O86:P86"/>
    <mergeCell ref="Q86:R86"/>
    <mergeCell ref="C83:D83"/>
    <mergeCell ref="N83:N84"/>
    <mergeCell ref="O83:P84"/>
    <mergeCell ref="Q83:R84"/>
    <mergeCell ref="S83:T83"/>
    <mergeCell ref="C84:D84"/>
    <mergeCell ref="S84:T84"/>
    <mergeCell ref="C76:D76"/>
    <mergeCell ref="C77:D77"/>
    <mergeCell ref="C78:D78"/>
    <mergeCell ref="C79:D79"/>
    <mergeCell ref="C80:D80"/>
    <mergeCell ref="C70:D70"/>
    <mergeCell ref="C71:D71"/>
    <mergeCell ref="C72:D72"/>
    <mergeCell ref="C75:D75"/>
    <mergeCell ref="C64:D64"/>
    <mergeCell ref="C67:D67"/>
    <mergeCell ref="C68:D68"/>
    <mergeCell ref="C69:D69"/>
    <mergeCell ref="C59:D59"/>
    <mergeCell ref="C60:D60"/>
    <mergeCell ref="C61:D61"/>
    <mergeCell ref="C62:D62"/>
    <mergeCell ref="C63:D63"/>
    <mergeCell ref="C48:D48"/>
    <mergeCell ref="N36:N37"/>
    <mergeCell ref="O36:O37"/>
    <mergeCell ref="P36:P37"/>
    <mergeCell ref="Q36:Q37"/>
    <mergeCell ref="R36:R37"/>
    <mergeCell ref="C43:D43"/>
    <mergeCell ref="C54:D54"/>
    <mergeCell ref="C55:D55"/>
    <mergeCell ref="N55:N56"/>
    <mergeCell ref="O55:X55"/>
    <mergeCell ref="C44:D44"/>
    <mergeCell ref="C45:D45"/>
    <mergeCell ref="N45:S45"/>
    <mergeCell ref="T45:Y45"/>
    <mergeCell ref="C46:D46"/>
    <mergeCell ref="C47:D47"/>
    <mergeCell ref="C50:D50"/>
    <mergeCell ref="C49:D49"/>
    <mergeCell ref="AB32:AC32"/>
    <mergeCell ref="T28:T29"/>
    <mergeCell ref="U28:U29"/>
    <mergeCell ref="AB28:AC28"/>
    <mergeCell ref="C41:D41"/>
    <mergeCell ref="C42:D42"/>
    <mergeCell ref="AB30:AC30"/>
    <mergeCell ref="C40:D40"/>
    <mergeCell ref="N28:N29"/>
    <mergeCell ref="O28:O29"/>
    <mergeCell ref="P28:P29"/>
    <mergeCell ref="Q28:Q29"/>
    <mergeCell ref="S28:S29"/>
    <mergeCell ref="S36:S37"/>
    <mergeCell ref="T36:T37"/>
    <mergeCell ref="U36:U37"/>
    <mergeCell ref="V36:V37"/>
    <mergeCell ref="W36:W37"/>
    <mergeCell ref="X36:X37"/>
    <mergeCell ref="E16:F16"/>
    <mergeCell ref="N16:N20"/>
    <mergeCell ref="E17:F17"/>
    <mergeCell ref="E18:F18"/>
    <mergeCell ref="AB18:AC18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  <mergeCell ref="F21:G21"/>
  </mergeCells>
  <conditionalFormatting sqref="C56">
    <cfRule type="expression" dxfId="405" priority="18" stopIfTrue="1">
      <formula>COUNT(C51:C55)&lt;&gt;5</formula>
    </cfRule>
  </conditionalFormatting>
  <conditionalFormatting sqref="C64">
    <cfRule type="expression" dxfId="404" priority="2" stopIfTrue="1">
      <formula>COUNT(C59:C63)&lt;&gt;5</formula>
    </cfRule>
  </conditionalFormatting>
  <conditionalFormatting sqref="C72">
    <cfRule type="expression" dxfId="403" priority="8" stopIfTrue="1">
      <formula>COUNT(C67:C71)&lt;&gt;5</formula>
    </cfRule>
  </conditionalFormatting>
  <conditionalFormatting sqref="C80">
    <cfRule type="expression" dxfId="402" priority="7" stopIfTrue="1">
      <formula>COUNT(C75:C79)&lt;&gt;5</formula>
    </cfRule>
  </conditionalFormatting>
  <conditionalFormatting sqref="C88">
    <cfRule type="expression" dxfId="401" priority="6" stopIfTrue="1">
      <formula>COUNT(C83:C87)&lt;&gt;5</formula>
    </cfRule>
  </conditionalFormatting>
  <conditionalFormatting sqref="C96">
    <cfRule type="expression" dxfId="400" priority="5" stopIfTrue="1">
      <formula>COUNT(C91:C95)&lt;&gt;5</formula>
    </cfRule>
  </conditionalFormatting>
  <conditionalFormatting sqref="C104">
    <cfRule type="expression" dxfId="399" priority="4" stopIfTrue="1">
      <formula>COUNT(C99:C103)&lt;&gt;5</formula>
    </cfRule>
  </conditionalFormatting>
  <conditionalFormatting sqref="C112">
    <cfRule type="expression" dxfId="398" priority="3" stopIfTrue="1">
      <formula>COUNT(C107:C111)&lt;&gt;5</formula>
    </cfRule>
  </conditionalFormatting>
  <conditionalFormatting sqref="C48:E48">
    <cfRule type="expression" dxfId="397" priority="19" stopIfTrue="1">
      <formula>COUNT(C43:C47)&lt;&gt;5</formula>
    </cfRule>
  </conditionalFormatting>
  <conditionalFormatting sqref="C120:E120">
    <cfRule type="expression" dxfId="396" priority="9" stopIfTrue="1">
      <formula>COUNT(C115:C119)&lt;&gt;5</formula>
    </cfRule>
  </conditionalFormatting>
  <conditionalFormatting sqref="E56">
    <cfRule type="expression" dxfId="395" priority="17" stopIfTrue="1">
      <formula>COUNT(E51:E55)&lt;&gt;5</formula>
    </cfRule>
  </conditionalFormatting>
  <conditionalFormatting sqref="E64">
    <cfRule type="expression" dxfId="394" priority="1" stopIfTrue="1">
      <formula>COUNT(E59:E63)&lt;&gt;5</formula>
    </cfRule>
  </conditionalFormatting>
  <conditionalFormatting sqref="E72">
    <cfRule type="expression" dxfId="393" priority="16" stopIfTrue="1">
      <formula>COUNT(E67:E71)&lt;&gt;5</formula>
    </cfRule>
  </conditionalFormatting>
  <conditionalFormatting sqref="E80">
    <cfRule type="expression" dxfId="392" priority="15" stopIfTrue="1">
      <formula>COUNT(E75:E79)&lt;&gt;5</formula>
    </cfRule>
  </conditionalFormatting>
  <conditionalFormatting sqref="E88">
    <cfRule type="expression" dxfId="391" priority="14" stopIfTrue="1">
      <formula>COUNT(E83:E87)&lt;&gt;5</formula>
    </cfRule>
  </conditionalFormatting>
  <conditionalFormatting sqref="E96">
    <cfRule type="expression" dxfId="390" priority="13" stopIfTrue="1">
      <formula>COUNT(E91:E95)&lt;&gt;5</formula>
    </cfRule>
  </conditionalFormatting>
  <conditionalFormatting sqref="E104">
    <cfRule type="expression" dxfId="389" priority="12" stopIfTrue="1">
      <formula>COUNT(E99:E103)&lt;&gt;5</formula>
    </cfRule>
  </conditionalFormatting>
  <conditionalFormatting sqref="E112">
    <cfRule type="expression" dxfId="388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32769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32769" r:id="rId4"/>
      </mc:Fallback>
    </mc:AlternateContent>
    <mc:AlternateContent xmlns:mc="http://schemas.openxmlformats.org/markup-compatibility/2006">
      <mc:Choice Requires="x14">
        <oleObject progId="Equation.3" shapeId="32770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32770" r:id="rId6"/>
      </mc:Fallback>
    </mc:AlternateContent>
    <mc:AlternateContent xmlns:mc="http://schemas.openxmlformats.org/markup-compatibility/2006">
      <mc:Choice Requires="x14">
        <oleObject progId="Equation.3" shapeId="32771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32771" r:id="rId8"/>
      </mc:Fallback>
    </mc:AlternateContent>
    <mc:AlternateContent xmlns:mc="http://schemas.openxmlformats.org/markup-compatibility/2006">
      <mc:Choice Requires="x14">
        <oleObject progId="Equation.3" shapeId="32772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32772" r:id="rId10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A1:X81"/>
  <sheetViews>
    <sheetView topLeftCell="A16" workbookViewId="0">
      <selection activeCell="P23" sqref="P23"/>
    </sheetView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4'!O85</f>
        <v>-2.9939999999999998</v>
      </c>
      <c r="C2" s="37">
        <f>'PERHITUNGAN 4'!N85</f>
        <v>-26.809999999999995</v>
      </c>
      <c r="D2" s="75">
        <f>C2^2</f>
        <v>718.7760999999997</v>
      </c>
      <c r="E2" s="37">
        <f>C2^3</f>
        <v>-19270.387240999989</v>
      </c>
      <c r="F2" s="91">
        <f>C2^4</f>
        <v>516639.0819312096</v>
      </c>
      <c r="G2" s="91">
        <f>C2^5</f>
        <v>-13851093.786575727</v>
      </c>
      <c r="H2" s="91">
        <f>C2^6</f>
        <v>371347824.41809517</v>
      </c>
      <c r="I2" s="91">
        <f>C2^7</f>
        <v>-9955835172.6491299</v>
      </c>
      <c r="J2" s="91">
        <f>C2^8</f>
        <v>266915940978.72311</v>
      </c>
      <c r="K2" s="91">
        <f>C2^9</f>
        <v>-7156016377639.5654</v>
      </c>
      <c r="L2" s="91">
        <f>C2^10</f>
        <v>191852799084516.69</v>
      </c>
      <c r="Q2" s="12"/>
    </row>
    <row r="3" spans="1:24">
      <c r="A3" s="25">
        <v>2</v>
      </c>
      <c r="B3" s="37">
        <f>'PERHITUNGAN 4'!O86</f>
        <v>-6.4099999999999993</v>
      </c>
      <c r="C3" s="37">
        <f>'PERHITUNGAN 4'!N86</f>
        <v>6.6100000000000012</v>
      </c>
      <c r="D3" s="75">
        <f t="shared" ref="D3:D9" si="0">C3^2</f>
        <v>43.692100000000018</v>
      </c>
      <c r="E3" s="37">
        <f t="shared" ref="E3:E9" si="1">C3^3</f>
        <v>288.80478100000016</v>
      </c>
      <c r="F3" s="91">
        <f t="shared" ref="F3:F9" si="2">C3^4</f>
        <v>1908.9996024100014</v>
      </c>
      <c r="G3" s="91">
        <f t="shared" ref="G3:G9" si="3">C3^5</f>
        <v>12618.487371930112</v>
      </c>
      <c r="H3" s="91">
        <f t="shared" ref="H3:H9" si="4">C3^6</f>
        <v>83408.201528458056</v>
      </c>
      <c r="I3" s="91">
        <f t="shared" ref="I3:I9" si="5">C3^7</f>
        <v>551328.21210310783</v>
      </c>
      <c r="J3" s="91">
        <f t="shared" ref="J3:J9" si="6">C3^8</f>
        <v>3644279.4820015435</v>
      </c>
      <c r="K3" s="91">
        <f t="shared" ref="K3:K9" si="7">C3^9</f>
        <v>24088687.376030207</v>
      </c>
      <c r="L3" s="91">
        <f t="shared" ref="L3:L9" si="8">C3^10</f>
        <v>159226223.55555969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4'!O87</f>
        <v>-0.29999999999999716</v>
      </c>
      <c r="C4" s="37">
        <f>'PERHITUNGAN 4'!N87</f>
        <v>50.65</v>
      </c>
      <c r="D4" s="75">
        <f t="shared" si="0"/>
        <v>2565.4224999999997</v>
      </c>
      <c r="E4" s="37">
        <f t="shared" si="1"/>
        <v>129938.64962499998</v>
      </c>
      <c r="F4" s="91">
        <f t="shared" si="2"/>
        <v>6581392.6035062484</v>
      </c>
      <c r="G4" s="91">
        <f t="shared" si="3"/>
        <v>333347535.3675915</v>
      </c>
      <c r="H4" s="91">
        <f t="shared" si="4"/>
        <v>16884052666.368507</v>
      </c>
      <c r="I4" s="91">
        <f t="shared" si="5"/>
        <v>855177267551.56482</v>
      </c>
      <c r="J4" s="91">
        <f t="shared" si="6"/>
        <v>43314728601486.758</v>
      </c>
      <c r="K4" s="91">
        <f t="shared" si="7"/>
        <v>2193891003665304.3</v>
      </c>
      <c r="L4" s="91">
        <f t="shared" si="8"/>
        <v>1.1112057933564765E+17</v>
      </c>
      <c r="R4" s="414" t="str">
        <f>IF('PERHITUNGAN 1'!$C$2="Celcius","(°C)","(°F)")</f>
        <v>(°C)</v>
      </c>
      <c r="S4" s="415"/>
      <c r="T4" s="5" t="str">
        <f>IF('PERHITUNGAN 1'!$C$2="Celcius","(°C)","(°F)")</f>
        <v>(°C)</v>
      </c>
      <c r="U4" s="14"/>
      <c r="V4" s="1"/>
    </row>
    <row r="5" spans="1:24">
      <c r="A5" s="25">
        <v>4</v>
      </c>
      <c r="B5" s="37">
        <f>'PERHITUNGAN 4'!O88</f>
        <v>-0.61400000000000432</v>
      </c>
      <c r="C5" s="37">
        <f>'PERHITUNGAN 4'!N88</f>
        <v>100.5</v>
      </c>
      <c r="D5" s="75">
        <f t="shared" si="0"/>
        <v>10100.25</v>
      </c>
      <c r="E5" s="37">
        <f t="shared" si="1"/>
        <v>1015075.125</v>
      </c>
      <c r="F5" s="91">
        <f t="shared" si="2"/>
        <v>102015050.0625</v>
      </c>
      <c r="G5" s="91">
        <f t="shared" si="3"/>
        <v>10252512531.28125</v>
      </c>
      <c r="H5" s="91">
        <f t="shared" si="4"/>
        <v>1030377509393.7656</v>
      </c>
      <c r="I5" s="91">
        <f t="shared" si="5"/>
        <v>103552939694073.44</v>
      </c>
      <c r="J5" s="91">
        <f t="shared" si="6"/>
        <v>1.0407070439254382E+16</v>
      </c>
      <c r="K5" s="91">
        <f t="shared" si="7"/>
        <v>1.0459105791450653E+18</v>
      </c>
      <c r="L5" s="91">
        <f t="shared" si="8"/>
        <v>1.0511401320407907E+20</v>
      </c>
      <c r="R5" s="412"/>
      <c r="S5" s="413"/>
      <c r="T5" s="21"/>
      <c r="U5" s="32"/>
    </row>
    <row r="6" spans="1:24">
      <c r="A6" s="25">
        <v>5</v>
      </c>
      <c r="B6" s="37">
        <f>'PERHITUNGAN 4'!O89</f>
        <v>0.367999999999995</v>
      </c>
      <c r="C6" s="37">
        <f>'PERHITUNGAN 4'!N89</f>
        <v>149.35</v>
      </c>
      <c r="D6" s="75">
        <f t="shared" si="0"/>
        <v>22305.422499999997</v>
      </c>
      <c r="E6" s="37">
        <f t="shared" si="1"/>
        <v>3331314.8503749995</v>
      </c>
      <c r="F6" s="91">
        <f t="shared" si="2"/>
        <v>497531872.9035061</v>
      </c>
      <c r="G6" s="91">
        <f t="shared" si="3"/>
        <v>74306385218.138626</v>
      </c>
      <c r="H6" s="91">
        <f t="shared" si="4"/>
        <v>11097658632329.004</v>
      </c>
      <c r="I6" s="91">
        <f t="shared" si="5"/>
        <v>1657435316738336.8</v>
      </c>
      <c r="J6" s="91">
        <f t="shared" si="6"/>
        <v>2.4753796455487056E+17</v>
      </c>
      <c r="K6" s="91">
        <f t="shared" si="7"/>
        <v>3.6969795006269915E+19</v>
      </c>
      <c r="L6" s="91">
        <f t="shared" si="8"/>
        <v>5.5214388841864118E+21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4'!O90</f>
        <v>0.10399999999998499</v>
      </c>
      <c r="C7" s="37">
        <f>'PERHITUNGAN 4'!N90</f>
        <v>199.36</v>
      </c>
      <c r="D7" s="75">
        <f t="shared" si="0"/>
        <v>39744.409600000006</v>
      </c>
      <c r="E7" s="37">
        <f t="shared" si="1"/>
        <v>7923445.4978560014</v>
      </c>
      <c r="F7" s="91">
        <f t="shared" si="2"/>
        <v>1579618094.4525726</v>
      </c>
      <c r="G7" s="91">
        <f t="shared" si="3"/>
        <v>314912663310.06488</v>
      </c>
      <c r="H7" s="91">
        <f t="shared" si="4"/>
        <v>62780988557494.539</v>
      </c>
      <c r="I7" s="91">
        <f t="shared" si="5"/>
        <v>1.2516017878822112E+16</v>
      </c>
      <c r="J7" s="91">
        <f t="shared" si="6"/>
        <v>2.4951933243219763E+18</v>
      </c>
      <c r="K7" s="91">
        <f t="shared" si="7"/>
        <v>4.9744174113682922E+20</v>
      </c>
      <c r="L7" s="91">
        <f t="shared" si="8"/>
        <v>9.9169985513038279E+22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4'!O91</f>
        <v>0.28700000000000614</v>
      </c>
      <c r="C8" s="37">
        <f>'PERHITUNGAN 4'!N91</f>
        <v>249.19</v>
      </c>
      <c r="D8" s="75">
        <f t="shared" si="0"/>
        <v>62095.6561</v>
      </c>
      <c r="E8" s="37">
        <f t="shared" si="1"/>
        <v>15473616.543559</v>
      </c>
      <c r="F8" s="91">
        <f t="shared" si="2"/>
        <v>3855870506.4894671</v>
      </c>
      <c r="G8" s="91">
        <f t="shared" si="3"/>
        <v>960844371512.11035</v>
      </c>
      <c r="H8" s="91">
        <f t="shared" si="4"/>
        <v>239432808937102.78</v>
      </c>
      <c r="I8" s="91">
        <f t="shared" si="5"/>
        <v>5.966426165903664E+16</v>
      </c>
      <c r="J8" s="91">
        <f t="shared" si="6"/>
        <v>1.4867737362815341E+19</v>
      </c>
      <c r="K8" s="91">
        <f t="shared" si="7"/>
        <v>3.7048914734399546E+21</v>
      </c>
      <c r="L8" s="91">
        <f t="shared" si="8"/>
        <v>9.2322190626650227E+23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4'!O92</f>
        <v>0.34399999999999409</v>
      </c>
      <c r="C9" s="37">
        <f>'PERHITUNGAN 4'!N92</f>
        <v>259.20999999999998</v>
      </c>
      <c r="D9" s="75">
        <f t="shared" si="0"/>
        <v>67189.824099999983</v>
      </c>
      <c r="E9" s="37">
        <f t="shared" si="1"/>
        <v>17416274.304960996</v>
      </c>
      <c r="F9" s="91">
        <f t="shared" si="2"/>
        <v>4514472462.5889387</v>
      </c>
      <c r="G9" s="91">
        <f t="shared" si="3"/>
        <v>1170196407027.6787</v>
      </c>
      <c r="H9" s="91">
        <f t="shared" si="4"/>
        <v>303326610665644.56</v>
      </c>
      <c r="I9" s="91">
        <f t="shared" si="5"/>
        <v>7.8625290750641728E+16</v>
      </c>
      <c r="J9" s="91">
        <f t="shared" si="6"/>
        <v>2.0380461615473836E+19</v>
      </c>
      <c r="K9" s="91">
        <f t="shared" si="7"/>
        <v>5.2828194553469726E+21</v>
      </c>
      <c r="L9" s="91">
        <f t="shared" si="8"/>
        <v>1.3693596310204885E+24</v>
      </c>
      <c r="R9" s="408"/>
      <c r="S9" s="409"/>
      <c r="T9" s="23"/>
      <c r="U9" s="27"/>
      <c r="V9" s="88"/>
    </row>
    <row r="10" spans="1:24">
      <c r="A10" s="25">
        <v>9</v>
      </c>
      <c r="B10" s="37"/>
      <c r="C10" s="37"/>
      <c r="D10" s="75"/>
      <c r="E10" s="37"/>
      <c r="F10" s="91"/>
      <c r="G10" s="91"/>
      <c r="H10" s="91"/>
      <c r="I10" s="91"/>
      <c r="J10" s="91"/>
      <c r="K10" s="91"/>
      <c r="L10" s="91"/>
      <c r="R10" s="408"/>
      <c r="S10" s="409"/>
      <c r="T10" s="23"/>
      <c r="U10" s="27"/>
      <c r="V10" s="88"/>
    </row>
    <row r="11" spans="1:24">
      <c r="A11" s="25">
        <v>10</v>
      </c>
      <c r="B11" s="37"/>
      <c r="C11" s="37"/>
      <c r="D11" s="75"/>
      <c r="E11" s="37"/>
      <c r="F11" s="91"/>
      <c r="G11" s="91"/>
      <c r="H11" s="91"/>
      <c r="I11" s="91"/>
      <c r="J11" s="91"/>
      <c r="K11" s="91"/>
      <c r="L11" s="91"/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f>'REGRESI 3'!R19:S19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-0.98281816202127004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3'!R20:S20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-0.81368472783846535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3'!R21:S21</f>
        <v>25</v>
      </c>
      <c r="S21" s="409"/>
      <c r="T21" s="23">
        <f t="shared" si="9"/>
        <v>0.12092979721798799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3'!R22:S22</f>
        <v>50</v>
      </c>
      <c r="S22" s="409"/>
      <c r="T22" s="23">
        <f t="shared" si="9"/>
        <v>1.5258876472905665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3'!R23:S23</f>
        <v>100</v>
      </c>
      <c r="S23" s="409"/>
      <c r="T23" s="23">
        <f t="shared" si="9"/>
        <v>4.4429718075687141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3'!R24:S24</f>
        <v>125</v>
      </c>
      <c r="S24" s="409"/>
      <c r="T24" s="23">
        <f t="shared" si="9"/>
        <v>5.3031673603165927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3'!R25:S25</f>
        <v>150</v>
      </c>
      <c r="S25" s="409"/>
      <c r="T25" s="23">
        <f t="shared" si="9"/>
        <v>5.3298447231652126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3'!R26:S26</f>
        <v>200</v>
      </c>
      <c r="S26" s="409"/>
      <c r="T26" s="23">
        <f t="shared" si="9"/>
        <v>1.5787833642492863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3'!R27:S27</f>
        <v>0</v>
      </c>
      <c r="S27" s="409"/>
      <c r="T27" s="23">
        <f t="shared" si="9"/>
        <v>-0.81368472783846535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3'!R28:S28</f>
        <v>0</v>
      </c>
      <c r="S28" s="409"/>
      <c r="T28" s="23">
        <f t="shared" si="9"/>
        <v>-0.81368472783846535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0.97073906125092846</v>
      </c>
      <c r="Q33" s="31" t="s">
        <v>100</v>
      </c>
      <c r="U33" s="70"/>
    </row>
    <row r="34" spans="2:24">
      <c r="B34" t="s">
        <v>76</v>
      </c>
      <c r="C34">
        <v>0.94233432503833392</v>
      </c>
      <c r="X34" s="46"/>
    </row>
    <row r="35" spans="2:24">
      <c r="B35" t="s">
        <v>77</v>
      </c>
      <c r="C35">
        <v>0.89908506881708439</v>
      </c>
      <c r="Q35" t="s">
        <v>99</v>
      </c>
    </row>
    <row r="36" spans="2:24">
      <c r="B36" t="s">
        <v>78</v>
      </c>
      <c r="C36">
        <v>0.84558137213151152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-0.81368472783846535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0"/>
        <v>2.3631509452217685E-2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6.3704696299597685E-4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46.736742207416739</v>
      </c>
      <c r="E41">
        <v>15.578914069138913</v>
      </c>
      <c r="F41">
        <v>21.788451579783207</v>
      </c>
      <c r="G41">
        <v>6.1138188437091122E-3</v>
      </c>
      <c r="R41" s="26" t="s">
        <v>112</v>
      </c>
      <c r="S41">
        <f t="shared" si="10"/>
        <v>-3.4769640397743571E-6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2.8600314275832392</v>
      </c>
      <c r="E42">
        <v>0.71500785689580981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49.596773634999977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-0.81368472783846535</v>
      </c>
      <c r="D46">
        <v>0.50942539653712771</v>
      </c>
      <c r="E46">
        <v>-1.597259840929746</v>
      </c>
      <c r="F46">
        <v>0.18544680384734463</v>
      </c>
      <c r="G46">
        <v>-2.2280763765174187</v>
      </c>
      <c r="H46">
        <v>0.60070692084048782</v>
      </c>
      <c r="I46">
        <v>-2.2280763765174187</v>
      </c>
      <c r="J46">
        <v>0.60070692084048782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2.3631509452217685E-2</v>
      </c>
      <c r="D47">
        <v>2.9513152838741185E-2</v>
      </c>
      <c r="E47">
        <v>0.80071111281601837</v>
      </c>
      <c r="F47">
        <v>0.46815924245000945</v>
      </c>
      <c r="G47">
        <v>-5.8310139285859638E-2</v>
      </c>
      <c r="H47">
        <v>0.10557315819029502</v>
      </c>
      <c r="I47">
        <v>-5.8310139285859638E-2</v>
      </c>
      <c r="J47">
        <v>0.10557315819029502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6.3704696299597685E-4</v>
      </c>
      <c r="D48">
        <v>4.0091956256898631E-4</v>
      </c>
      <c r="E48">
        <v>1.5889645267343622</v>
      </c>
      <c r="F48">
        <v>0.18726831719815992</v>
      </c>
      <c r="G48">
        <v>-4.7608419407672571E-4</v>
      </c>
      <c r="H48">
        <v>1.7501781200686794E-3</v>
      </c>
      <c r="I48">
        <v>-4.7608419407672571E-4</v>
      </c>
      <c r="J48">
        <v>1.7501781200686794E-3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-3.4769640397743571E-6</v>
      </c>
      <c r="D49" s="67">
        <v>1.3701223559085031E-6</v>
      </c>
      <c r="E49" s="67">
        <v>-2.5377033115183685</v>
      </c>
      <c r="F49" s="67">
        <v>6.4137209379267243E-2</v>
      </c>
      <c r="G49" s="67">
        <v>-7.2810335483585901E-6</v>
      </c>
      <c r="H49" s="67">
        <v>3.2710546880987546E-7</v>
      </c>
      <c r="I49" s="67">
        <v>-7.2810335483585901E-6</v>
      </c>
      <c r="J49" s="67">
        <v>3.2710546880987546E-7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FFD8B-790A-41F6-A903-57F961319FCA}">
  <dimension ref="A1:AH187"/>
  <sheetViews>
    <sheetView topLeftCell="A82" workbookViewId="0">
      <selection activeCell="I103" sqref="I103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1'!E5</f>
        <v>Termometer Digital</v>
      </c>
      <c r="F5" s="11"/>
      <c r="G5" s="11" t="s">
        <v>127</v>
      </c>
      <c r="H5" s="11" t="s">
        <v>16</v>
      </c>
      <c r="I5" s="66" t="str">
        <f>'PERHITUNGAN 1'!I5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1'!E6</f>
        <v>Hioki / LR 8431-20</v>
      </c>
      <c r="F6" s="11"/>
      <c r="G6" s="11" t="s">
        <v>128</v>
      </c>
      <c r="H6" s="11" t="s">
        <v>16</v>
      </c>
      <c r="I6" s="129">
        <f>'PERHITUNGAN 1'!I6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1'!E7</f>
        <v>210149173</v>
      </c>
      <c r="F7" s="11"/>
      <c r="G7" s="11" t="s">
        <v>44</v>
      </c>
      <c r="H7" s="11" t="s">
        <v>16</v>
      </c>
      <c r="I7" s="31">
        <v>5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19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ref="T20:T25" si="1">P20/R20</f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1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1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1'!D24</f>
        <v>22</v>
      </c>
      <c r="E23" s="244">
        <f>'PERHITUNGAN 1'!E24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1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1'!D25</f>
        <v>22</v>
      </c>
      <c r="E24" s="244">
        <f>'PERHITUNGAN 1'!E25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1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1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1'!D28</f>
        <v>20</v>
      </c>
      <c r="E27" s="244">
        <f>'PERHITUNGAN 1'!E28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1'!D29</f>
        <v>20</v>
      </c>
      <c r="E28" s="244">
        <f>'PERHITUNGAN 1'!E29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1'!D33</f>
        <v>55</v>
      </c>
      <c r="E32" s="244">
        <f>'PERHITUNGAN 1'!E33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1'!D34</f>
        <v>55</v>
      </c>
      <c r="E33" s="244">
        <f>'PERHITUNGAN 1'!E34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-29.778600000000001</v>
      </c>
      <c r="P36" s="380">
        <f>F56</f>
        <v>0.20100000000000001</v>
      </c>
      <c r="Q36" s="380">
        <f>F64</f>
        <v>50.35</v>
      </c>
      <c r="R36" s="380">
        <f>F72</f>
        <v>99.885999999999996</v>
      </c>
      <c r="S36" s="380">
        <f>F80</f>
        <v>149.71899999999999</v>
      </c>
      <c r="T36" s="380">
        <f>F88</f>
        <v>199.46600000000001</v>
      </c>
      <c r="U36" s="380">
        <f>F96</f>
        <v>249.47899999999998</v>
      </c>
      <c r="V36" s="380">
        <f>F104</f>
        <v>259.55599999999998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5'!$E$11="Burn Engr",IF(O36&lt;=$AA$38,$AB$38,$AB$39),IF(O36&lt;=$AC$38,$AD$38,IF(O36&lt;=$AC$39,$AD$39,$AD$40)))</f>
        <v>0.02</v>
      </c>
      <c r="P38" s="54">
        <f>IF('PERHITUNGAN 5'!$E$11="Burn Engr",IF(P36&lt;=$AA$38,$AB$38,$AB$39),IF(P36&lt;=$AC$38,$AD$38,IF(P36&lt;=$AC$39,$AD$39,$AD$40)))</f>
        <v>7.0000000000000007E-2</v>
      </c>
      <c r="Q38" s="54">
        <f>IF('PERHITUNGAN 5'!$E$11="Burn Engr",IF(Q36&lt;=$AA$38,$AB$38,$AB$39),IF(Q36&lt;=$AC$38,$AD$38,IF(Q36&lt;=$AC$39,$AD$39,$AD$40)))</f>
        <v>7.0000000000000007E-2</v>
      </c>
      <c r="R38" s="54">
        <f>IF('PERHITUNGAN 5'!$E$11="Burn Engr",IF(R36&lt;=$AA$38,$AB$38,$AB$39),IF(R36&lt;=$AC$38,$AD$38,IF(R36&lt;=$AC$39,$AD$39,$AD$40)))</f>
        <v>7.0000000000000007E-2</v>
      </c>
      <c r="S38" s="54">
        <f>IF('PERHITUNGAN 5'!$E$11="Burn Engr",IF(S36&lt;=$AA$38,$AB$38,$AB$39),IF(S36&lt;=$AC$38,$AD$38,IF(S36&lt;=$AC$39,$AD$39,$AD$40)))</f>
        <v>7.0000000000000007E-2</v>
      </c>
      <c r="T38" s="54">
        <f>IF('PERHITUNGAN 5'!$E$11="Burn Engr",IF(T36&lt;=$AA$38,$AB$38,$AB$39),IF(T36&lt;=$AC$38,$AD$38,IF(T36&lt;=$AC$39,$AD$39,$AD$40)))</f>
        <v>7.0000000000000007E-2</v>
      </c>
      <c r="U38" s="54">
        <f>IF('PERHITUNGAN 5'!$E$11="Burn Engr",IF(U36&lt;=$AA$38,$AB$38,$AB$39),IF(U36&lt;=$AC$38,$AD$38,IF(U36&lt;=$AC$39,$AD$39,$AD$40)))</f>
        <v>7.0000000000000007E-2</v>
      </c>
      <c r="V38" s="54">
        <f>IF('PERHITUNGAN 5'!$E$11="Burn Engr",IF(V36&lt;=$AA$38,$AB$38,$AB$39),IF(V36&lt;=$AC$38,$AD$38,IF(V36&lt;=$AC$39,$AD$39,$AD$40)))</f>
        <v>7.0000000000000007E-2</v>
      </c>
      <c r="W38" s="54">
        <f>IF('PERHITUNGAN 5'!$E$11="Burn Engr",IF(W36&lt;=$AA$38,$AB$38,$AB$39),IF(W36&lt;=$AC$38,$AD$38,IF(W36&lt;=$AC$39,$AD$39,$AD$40)))</f>
        <v>0.02</v>
      </c>
      <c r="X38" s="54">
        <f>IF('PERHITUNGAN 5'!$E$11="Burn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0.01</v>
      </c>
      <c r="P40" s="37">
        <f t="shared" ref="P40:X40" si="2">P38/P39</f>
        <v>3.5000000000000003E-2</v>
      </c>
      <c r="Q40" s="37">
        <f t="shared" si="2"/>
        <v>3.5000000000000003E-2</v>
      </c>
      <c r="R40" s="37">
        <f>R38/R39</f>
        <v>3.5000000000000003E-2</v>
      </c>
      <c r="S40" s="37">
        <f t="shared" si="2"/>
        <v>3.5000000000000003E-2</v>
      </c>
      <c r="T40" s="37">
        <f t="shared" si="2"/>
        <v>3.5000000000000003E-2</v>
      </c>
      <c r="U40" s="37">
        <f t="shared" si="2"/>
        <v>3.5000000000000003E-2</v>
      </c>
      <c r="V40" s="37">
        <f t="shared" si="2"/>
        <v>3.5000000000000003E-2</v>
      </c>
      <c r="W40" s="37">
        <f t="shared" si="2"/>
        <v>0.01</v>
      </c>
      <c r="X40" s="37">
        <f t="shared" si="2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-30</v>
      </c>
      <c r="C43" s="373">
        <v>-26.88</v>
      </c>
      <c r="D43" s="374"/>
      <c r="E43" s="90">
        <v>-29.779</v>
      </c>
      <c r="F43" s="37">
        <f>IF('PERHITUNGAN 5'!$E$11="Burn Engr",'PERHITUNGAN 5'!E43,E43+('regresi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-29.779</v>
      </c>
      <c r="G43" s="90">
        <f>F43-C43</f>
        <v>-2.8990000000000009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-26.88</v>
      </c>
      <c r="D44" s="374"/>
      <c r="E44" s="90">
        <v>-29.779</v>
      </c>
      <c r="F44" s="37">
        <f>IF('PERHITUNGAN 5'!$E$11="Burn Engr",'PERHITUNGAN 5'!E44,E44+('regresi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-29.779</v>
      </c>
      <c r="G44" s="90">
        <f>F44-C44</f>
        <v>-2.8990000000000009</v>
      </c>
      <c r="H44" s="63"/>
      <c r="I44" s="63"/>
      <c r="AB44" s="1"/>
    </row>
    <row r="45" spans="1:30" ht="13.5" customHeight="1">
      <c r="A45" s="105"/>
      <c r="C45" s="373">
        <v>-26.88</v>
      </c>
      <c r="D45" s="374"/>
      <c r="E45" s="90">
        <v>-29.779</v>
      </c>
      <c r="F45" s="37">
        <f>IF('PERHITUNGAN 5'!$E$11="Burn Engr",'PERHITUNGAN 5'!E45,E45+('regresi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-29.779</v>
      </c>
      <c r="G45" s="90">
        <f>F45-C45</f>
        <v>-2.8990000000000009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-26.88</v>
      </c>
      <c r="D46" s="374"/>
      <c r="E46" s="90">
        <v>-29.777999999999999</v>
      </c>
      <c r="F46" s="37">
        <f>IF('PERHITUNGAN 5'!$E$11="Burn Engr",'PERHITUNGAN 5'!E46,E46+('regresi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-29.777999999999999</v>
      </c>
      <c r="G46" s="90">
        <f>F46-C46</f>
        <v>-2.8979999999999997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-26.88</v>
      </c>
      <c r="D47" s="374"/>
      <c r="E47" s="90">
        <v>-29.777999999999999</v>
      </c>
      <c r="F47" s="37">
        <f>IF('PERHITUNGAN 5'!$E$11="Burn Engr",'PERHITUNGAN 5'!E47,E47+('regresi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-29.777999999999999</v>
      </c>
      <c r="G47" s="90">
        <f>F47-C47</f>
        <v>-2.8979999999999997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3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-26.880000000000003</v>
      </c>
      <c r="D48" s="357"/>
      <c r="E48" s="95">
        <f>AVERAGE(E43:E47)</f>
        <v>-29.778600000000001</v>
      </c>
      <c r="F48" s="95">
        <f>AVERAGE(F43:F47)</f>
        <v>-29.778600000000001</v>
      </c>
      <c r="G48" s="95">
        <f>SUM(G43:G47)/5</f>
        <v>-2.8986000000000005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3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5.4772255750583549E-4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3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2.4494897427861713E-4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3"/>
        <v>0.35</v>
      </c>
      <c r="T50" s="107"/>
    </row>
    <row r="51" spans="1:28" ht="15.5">
      <c r="A51" s="105">
        <v>2</v>
      </c>
      <c r="B51" s="194">
        <v>0</v>
      </c>
      <c r="C51" s="373">
        <v>3.87</v>
      </c>
      <c r="D51" s="374"/>
      <c r="E51" s="90">
        <v>0.20100000000000001</v>
      </c>
      <c r="F51" s="37">
        <f>IF('PERHITUNGAN 5'!$E$11="Burn Engr",'PERHITUNGAN 5'!E51,E51+('regresi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0.20100000000000001</v>
      </c>
      <c r="G51" s="90">
        <f>F51-C51</f>
        <v>-3.669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3"/>
        <v>0.5</v>
      </c>
      <c r="T51" s="107"/>
    </row>
    <row r="52" spans="1:28" ht="15.5">
      <c r="A52" s="10"/>
      <c r="C52" s="373">
        <v>3.87</v>
      </c>
      <c r="D52" s="374"/>
      <c r="E52" s="90">
        <v>0.20100000000000001</v>
      </c>
      <c r="F52" s="37">
        <f>IF('PERHITUNGAN 5'!$E$11="Burn Engr",'PERHITUNGAN 5'!E52,E52+('regresi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0.20100000000000001</v>
      </c>
      <c r="G52" s="90">
        <f>F52-C52</f>
        <v>-3.669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3"/>
        <v>0.5</v>
      </c>
      <c r="T52" s="107"/>
    </row>
    <row r="53" spans="1:28" ht="15.5">
      <c r="A53" s="10"/>
      <c r="C53" s="373">
        <v>3.87</v>
      </c>
      <c r="D53" s="374"/>
      <c r="E53" s="90">
        <v>0.20100000000000001</v>
      </c>
      <c r="F53" s="37">
        <f>IF('PERHITUNGAN 5'!$E$11="Burn Engr",'PERHITUNGAN 5'!E53,E53+('regresi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0.20100000000000001</v>
      </c>
      <c r="G53" s="90">
        <f>F53-C53</f>
        <v>-3.669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3.87</v>
      </c>
      <c r="D54" s="374"/>
      <c r="E54" s="90">
        <v>0.20100000000000001</v>
      </c>
      <c r="F54" s="37">
        <f>IF('PERHITUNGAN 5'!$E$11="Burn Engr",'PERHITUNGAN 5'!E54,E54+('regresi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0.20100000000000001</v>
      </c>
      <c r="G54" s="90">
        <f>F54-C54</f>
        <v>-3.669</v>
      </c>
      <c r="H54" s="63"/>
      <c r="I54" s="63"/>
      <c r="AB54" s="1"/>
    </row>
    <row r="55" spans="1:28" ht="13.5" customHeight="1">
      <c r="A55" s="10"/>
      <c r="C55" s="373">
        <v>3.87</v>
      </c>
      <c r="D55" s="374"/>
      <c r="E55" s="90">
        <v>0.20100000000000001</v>
      </c>
      <c r="F55" s="37">
        <f>IF('PERHITUNGAN 5'!$E$11="Burn Engr",'PERHITUNGAN 5'!E55,E55+('regresi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0.20100000000000001</v>
      </c>
      <c r="G55" s="90">
        <f>F55-C55</f>
        <v>-3.669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3.87</v>
      </c>
      <c r="D56" s="334"/>
      <c r="E56" s="95">
        <f>AVERAGE(E51:E55)</f>
        <v>0.20100000000000001</v>
      </c>
      <c r="F56" s="95">
        <f t="shared" ref="F56" si="4">AVERAGE(F51:F55)</f>
        <v>0.20100000000000001</v>
      </c>
      <c r="G56" s="95">
        <f>SUM(G51:G55)/5</f>
        <v>-3.6689999999999996</v>
      </c>
      <c r="H56" s="63"/>
      <c r="I56" s="63"/>
      <c r="N56" s="390"/>
      <c r="O56" s="115">
        <f>C48</f>
        <v>-26.880000000000003</v>
      </c>
      <c r="P56" s="115">
        <f>C56</f>
        <v>3.87</v>
      </c>
      <c r="Q56" s="115">
        <f>C64</f>
        <v>50.72</v>
      </c>
      <c r="R56" s="115">
        <f>C72</f>
        <v>100.56</v>
      </c>
      <c r="S56" s="115">
        <f>C80</f>
        <v>150.5</v>
      </c>
      <c r="T56" s="115">
        <f>C88</f>
        <v>199.88</v>
      </c>
      <c r="U56" s="115">
        <f>C96</f>
        <v>249.69</v>
      </c>
      <c r="V56" s="115">
        <f>C104</f>
        <v>259.79000000000002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4.9650683064945462E-16</v>
      </c>
      <c r="H57" s="44"/>
      <c r="I57" s="63"/>
      <c r="N57" s="25" t="s">
        <v>152</v>
      </c>
      <c r="O57" s="112">
        <f>$G$49/5^0.5</f>
        <v>2.4494897427861713E-4</v>
      </c>
      <c r="P57" s="112">
        <f>$G$57/5^0.5</f>
        <v>2.2204460492503131E-16</v>
      </c>
      <c r="Q57" s="112">
        <f>$G$65/5^0.5</f>
        <v>0</v>
      </c>
      <c r="R57" s="112">
        <f>$G$73/5^0.5</f>
        <v>0</v>
      </c>
      <c r="S57" s="112">
        <f>$G$81/5^0.5</f>
        <v>0</v>
      </c>
      <c r="T57" s="112">
        <f>$G$89/5^0.5</f>
        <v>0</v>
      </c>
      <c r="U57" s="112">
        <f>$G$97/5^0.5</f>
        <v>0</v>
      </c>
      <c r="V57" s="112">
        <f>$G$105/5^0.5</f>
        <v>0</v>
      </c>
      <c r="W57" s="112">
        <f>$G$113/5^0.5</f>
        <v>0</v>
      </c>
      <c r="X57" s="112">
        <f>$G$121/5^0.5</f>
        <v>0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2.2204460492503131E-16</v>
      </c>
      <c r="H58" s="44"/>
      <c r="I58" s="63"/>
      <c r="N58" s="25" t="s">
        <v>153</v>
      </c>
      <c r="O58" s="113">
        <f>IF('DRAFT-SERTIF'!$O$27="Ya",'REGRESI 5'!$C$36,0)</f>
        <v>0.26736030698045704</v>
      </c>
      <c r="P58" s="113">
        <f>IF('DRAFT-SERTIF'!$O$27="Ya",'REGRESI 5'!$C$36,0)</f>
        <v>0.26736030698045704</v>
      </c>
      <c r="Q58" s="113">
        <f>IF('DRAFT-SERTIF'!$O$27="Ya",'REGRESI 5'!$C$36,0)</f>
        <v>0.26736030698045704</v>
      </c>
      <c r="R58" s="113">
        <f>IF('DRAFT-SERTIF'!$O$27="Ya",'REGRESI 5'!$C$36,0)</f>
        <v>0.26736030698045704</v>
      </c>
      <c r="S58" s="113">
        <f>IF('DRAFT-SERTIF'!$O$27="Ya",'REGRESI 5'!$C$36,0)</f>
        <v>0.26736030698045704</v>
      </c>
      <c r="T58" s="113">
        <f>IF('DRAFT-SERTIF'!$O$27="Ya",'REGRESI 5'!$C$36,0)</f>
        <v>0.26736030698045704</v>
      </c>
      <c r="U58" s="113">
        <f>IF('DRAFT-SERTIF'!$O$27="Ya",'REGRESI 5'!$C$36,0)</f>
        <v>0.26736030698045704</v>
      </c>
      <c r="V58" s="113">
        <f>IF('DRAFT-SERTIF'!$O$27="Ya",'REGRESI 5'!$C$36,0)</f>
        <v>0.26736030698045704</v>
      </c>
      <c r="W58" s="113">
        <f>IF('DRAFT-SERTIF'!$O$27="Ya",'REGRESI 5'!$C$36,0)</f>
        <v>0.26736030698045704</v>
      </c>
      <c r="X58" s="113">
        <f>IF('DRAFT-SERTIF'!$O$27="Ya",'REGRESI 5'!$C$36,0)</f>
        <v>0.26736030698045704</v>
      </c>
      <c r="AB58" s="1"/>
    </row>
    <row r="59" spans="1:28" ht="13.5" customHeight="1">
      <c r="A59" s="105">
        <v>3</v>
      </c>
      <c r="B59" s="196">
        <v>50</v>
      </c>
      <c r="C59" s="327">
        <v>50.72</v>
      </c>
      <c r="D59" s="327"/>
      <c r="E59" s="15">
        <v>50.35</v>
      </c>
      <c r="F59" s="37">
        <f>IF('PERHITUNGAN 5'!$E$11="Burn Engr",'PERHITUNGAN 5'!E59,E59+('regresi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50.35</v>
      </c>
      <c r="G59" s="90">
        <f>F59-C59</f>
        <v>-0.36999999999999744</v>
      </c>
      <c r="H59" s="63"/>
      <c r="I59" s="63"/>
      <c r="N59" s="25" t="s">
        <v>154</v>
      </c>
      <c r="O59" s="91">
        <f t="shared" ref="O59:X59" si="5">O40</f>
        <v>0.01</v>
      </c>
      <c r="P59" s="91">
        <f t="shared" si="5"/>
        <v>3.5000000000000003E-2</v>
      </c>
      <c r="Q59" s="91">
        <f t="shared" si="5"/>
        <v>3.5000000000000003E-2</v>
      </c>
      <c r="R59" s="91">
        <f t="shared" si="5"/>
        <v>3.5000000000000003E-2</v>
      </c>
      <c r="S59" s="91">
        <f t="shared" si="5"/>
        <v>3.5000000000000003E-2</v>
      </c>
      <c r="T59" s="91">
        <f t="shared" si="5"/>
        <v>3.5000000000000003E-2</v>
      </c>
      <c r="U59" s="91">
        <f t="shared" si="5"/>
        <v>3.5000000000000003E-2</v>
      </c>
      <c r="V59" s="91">
        <f t="shared" si="5"/>
        <v>3.5000000000000003E-2</v>
      </c>
      <c r="W59" s="91">
        <f t="shared" si="5"/>
        <v>0.01</v>
      </c>
      <c r="X59" s="91">
        <f t="shared" si="5"/>
        <v>0.01</v>
      </c>
    </row>
    <row r="60" spans="1:28">
      <c r="A60" s="10"/>
      <c r="C60" s="327">
        <v>50.72</v>
      </c>
      <c r="D60" s="327"/>
      <c r="E60" s="15">
        <v>50.35</v>
      </c>
      <c r="F60" s="37">
        <f>IF('PERHITUNGAN 5'!$E$11="Burn Engr",'PERHITUNGAN 5'!E60,E60+('regresi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50.35</v>
      </c>
      <c r="G60" s="90">
        <f>F60-C60</f>
        <v>-0.36999999999999744</v>
      </c>
      <c r="H60" s="63"/>
      <c r="I60" s="63"/>
      <c r="N60" s="133" t="s">
        <v>155</v>
      </c>
      <c r="O60" s="134">
        <f>'PERHITUNGAN 1'!O61</f>
        <v>1.5000000000000003E-2</v>
      </c>
      <c r="P60" s="134">
        <f>'PERHITUNGAN 1'!P61</f>
        <v>0.01</v>
      </c>
      <c r="Q60" s="134">
        <f>'PERHITUNGAN 1'!Q61</f>
        <v>5.0000000000000001E-3</v>
      </c>
      <c r="R60" s="134">
        <f>'PERHITUNGAN 1'!R61</f>
        <v>1.4999999999999999E-2</v>
      </c>
      <c r="S60" s="134">
        <f>'PERHITUNGAN 1'!S61</f>
        <v>5.0000000000000001E-3</v>
      </c>
      <c r="T60" s="134">
        <f>'PERHITUNGAN 1'!T61</f>
        <v>0.05</v>
      </c>
      <c r="U60" s="134">
        <f>'PERHITUNGAN 1'!U61</f>
        <v>0.05</v>
      </c>
      <c r="V60" s="134">
        <f>'PERHITUNGAN 1'!V61</f>
        <v>1.5000000000000003E-2</v>
      </c>
      <c r="W60" s="134">
        <f>'PERHITUNGAN 1'!W61</f>
        <v>1.4999999999999999E-2</v>
      </c>
      <c r="X60" s="134">
        <f>'PERHITUNGAN 1'!X61</f>
        <v>1.4999999999999999E-2</v>
      </c>
    </row>
    <row r="61" spans="1:28">
      <c r="A61" s="10"/>
      <c r="C61" s="327">
        <v>50.72</v>
      </c>
      <c r="D61" s="327"/>
      <c r="E61" s="15">
        <v>50.35</v>
      </c>
      <c r="F61" s="37">
        <f>IF('PERHITUNGAN 5'!$E$11="Burn Engr",'PERHITUNGAN 5'!E61,E61+('regresi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50.35</v>
      </c>
      <c r="G61" s="90">
        <f>F61-C61</f>
        <v>-0.36999999999999744</v>
      </c>
      <c r="H61" s="63"/>
      <c r="I61" s="63"/>
      <c r="N61" s="25" t="s">
        <v>156</v>
      </c>
      <c r="O61" s="114">
        <f>(0.1*O38)/SQRT(3)</f>
        <v>1.1547005383792516E-3</v>
      </c>
      <c r="P61" s="114">
        <f t="shared" ref="P61:X61" si="6">(0.1*P38)/SQRT(3)</f>
        <v>4.041451884327381E-3</v>
      </c>
      <c r="Q61" s="114">
        <f t="shared" si="6"/>
        <v>4.041451884327381E-3</v>
      </c>
      <c r="R61" s="114">
        <f t="shared" si="6"/>
        <v>4.041451884327381E-3</v>
      </c>
      <c r="S61" s="114">
        <f t="shared" si="6"/>
        <v>4.041451884327381E-3</v>
      </c>
      <c r="T61" s="114">
        <f t="shared" si="6"/>
        <v>4.041451884327381E-3</v>
      </c>
      <c r="U61" s="114">
        <f t="shared" si="6"/>
        <v>4.041451884327381E-3</v>
      </c>
      <c r="V61" s="114">
        <f t="shared" si="6"/>
        <v>4.041451884327381E-3</v>
      </c>
      <c r="W61" s="114">
        <f t="shared" si="6"/>
        <v>1.1547005383792516E-3</v>
      </c>
      <c r="X61" s="114">
        <f t="shared" si="6"/>
        <v>1.1547005383792516E-3</v>
      </c>
    </row>
    <row r="62" spans="1:28">
      <c r="A62" s="10"/>
      <c r="C62" s="327">
        <v>50.72</v>
      </c>
      <c r="D62" s="327"/>
      <c r="E62" s="15">
        <v>50.35</v>
      </c>
      <c r="F62" s="37">
        <f>IF('PERHITUNGAN 5'!$E$11="Burn Engr",'PERHITUNGAN 5'!E62,E62+('regresi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50.35</v>
      </c>
      <c r="G62" s="90">
        <f>F62-C62</f>
        <v>-0.36999999999999744</v>
      </c>
      <c r="H62" s="63"/>
      <c r="I62" s="63"/>
      <c r="N62" s="25" t="s">
        <v>157</v>
      </c>
      <c r="O62" s="114">
        <f t="shared" ref="O62:X62" si="7">$T$28</f>
        <v>2.886751345948129E-3</v>
      </c>
      <c r="P62" s="114">
        <f t="shared" si="7"/>
        <v>2.886751345948129E-3</v>
      </c>
      <c r="Q62" s="114">
        <f t="shared" si="7"/>
        <v>2.886751345948129E-3</v>
      </c>
      <c r="R62" s="114">
        <f t="shared" si="7"/>
        <v>2.886751345948129E-3</v>
      </c>
      <c r="S62" s="114">
        <f t="shared" si="7"/>
        <v>2.886751345948129E-3</v>
      </c>
      <c r="T62" s="114">
        <f t="shared" si="7"/>
        <v>2.886751345948129E-3</v>
      </c>
      <c r="U62" s="114">
        <f t="shared" si="7"/>
        <v>2.886751345948129E-3</v>
      </c>
      <c r="V62" s="114">
        <f t="shared" si="7"/>
        <v>2.886751345948129E-3</v>
      </c>
      <c r="W62" s="114">
        <f t="shared" si="7"/>
        <v>2.886751345948129E-3</v>
      </c>
      <c r="X62" s="114">
        <f t="shared" si="7"/>
        <v>2.886751345948129E-3</v>
      </c>
    </row>
    <row r="63" spans="1:28">
      <c r="A63" s="10"/>
      <c r="C63" s="327">
        <v>50.72</v>
      </c>
      <c r="D63" s="327"/>
      <c r="E63" s="15">
        <v>50.35</v>
      </c>
      <c r="F63" s="37">
        <f>IF('PERHITUNGAN 5'!$E$11="Burn Engr",'PERHITUNGAN 5'!E63,E63+('regresi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50.35</v>
      </c>
      <c r="G63" s="90">
        <f>F63-C63</f>
        <v>-0.36999999999999744</v>
      </c>
      <c r="H63" s="63"/>
      <c r="I63" s="63"/>
      <c r="N63" s="25" t="s">
        <v>158</v>
      </c>
      <c r="O63" s="114">
        <f t="shared" ref="O63:X63" si="8">$T$26</f>
        <v>2.886751345948129E-4</v>
      </c>
      <c r="P63" s="114">
        <f t="shared" si="8"/>
        <v>2.886751345948129E-4</v>
      </c>
      <c r="Q63" s="114">
        <f t="shared" si="8"/>
        <v>2.886751345948129E-4</v>
      </c>
      <c r="R63" s="114">
        <f t="shared" si="8"/>
        <v>2.886751345948129E-4</v>
      </c>
      <c r="S63" s="114">
        <f t="shared" si="8"/>
        <v>2.886751345948129E-4</v>
      </c>
      <c r="T63" s="114">
        <f t="shared" si="8"/>
        <v>2.886751345948129E-4</v>
      </c>
      <c r="U63" s="114">
        <f t="shared" si="8"/>
        <v>2.886751345948129E-4</v>
      </c>
      <c r="V63" s="114">
        <f t="shared" si="8"/>
        <v>2.886751345948129E-4</v>
      </c>
      <c r="W63" s="114">
        <f t="shared" si="8"/>
        <v>2.886751345948129E-4</v>
      </c>
      <c r="X63" s="114">
        <f t="shared" si="8"/>
        <v>2.886751345948129E-4</v>
      </c>
    </row>
    <row r="64" spans="1:28">
      <c r="A64" s="10"/>
      <c r="B64" s="8" t="s">
        <v>31</v>
      </c>
      <c r="C64" s="333">
        <f>AVERAGE(C59:D63)</f>
        <v>50.72</v>
      </c>
      <c r="D64" s="334"/>
      <c r="E64" s="95">
        <f>AVERAGE(E59:E63)</f>
        <v>50.35</v>
      </c>
      <c r="F64" s="95">
        <f t="shared" ref="F64" si="9">AVERAGE(F59:F63)</f>
        <v>50.35</v>
      </c>
      <c r="G64" s="95">
        <f>SUM(G59:G63)/5</f>
        <v>-0.36999999999999744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10">10^10</f>
        <v>10000000000</v>
      </c>
      <c r="Q66" s="53">
        <f t="shared" si="10"/>
        <v>10000000000</v>
      </c>
      <c r="R66" s="53">
        <f t="shared" si="10"/>
        <v>10000000000</v>
      </c>
      <c r="S66" s="53">
        <f t="shared" si="10"/>
        <v>10000000000</v>
      </c>
      <c r="T66" s="53">
        <f t="shared" si="10"/>
        <v>10000000000</v>
      </c>
      <c r="U66" s="53">
        <f t="shared" si="10"/>
        <v>10000000000</v>
      </c>
      <c r="V66" s="53">
        <f t="shared" si="10"/>
        <v>10000000000</v>
      </c>
      <c r="W66" s="53">
        <f t="shared" si="10"/>
        <v>10000000000</v>
      </c>
      <c r="X66" s="53">
        <f t="shared" si="10"/>
        <v>10000000000</v>
      </c>
    </row>
    <row r="67" spans="1:28">
      <c r="A67" s="105">
        <v>4</v>
      </c>
      <c r="B67" s="196">
        <v>100</v>
      </c>
      <c r="C67" s="327">
        <v>100.56</v>
      </c>
      <c r="D67" s="327"/>
      <c r="E67" s="90">
        <v>99.885999999999996</v>
      </c>
      <c r="F67" s="37">
        <f>IF('PERHITUNGAN 5'!$E$11="Burn Engr",'PERHITUNGAN 5'!E67,E67+('regresi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99.885999999999996</v>
      </c>
      <c r="G67" s="90">
        <f>F67-C67</f>
        <v>-0.67400000000000659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100.56</v>
      </c>
      <c r="D68" s="327"/>
      <c r="E68" s="90">
        <v>99.885999999999996</v>
      </c>
      <c r="F68" s="37">
        <f>IF('PERHITUNGAN 5'!$E$11="Burn Engr",'PERHITUNGAN 5'!E68,E68+('regresi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99.885999999999996</v>
      </c>
      <c r="G68" s="90">
        <f>F68-C68</f>
        <v>-0.67400000000000659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100.56</v>
      </c>
      <c r="D69" s="327"/>
      <c r="E69" s="90">
        <v>99.885999999999996</v>
      </c>
      <c r="F69" s="37">
        <f>IF('PERHITUNGAN 5'!$E$11="Burn Engr",'PERHITUNGAN 5'!E69,E69+('regresi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99.885999999999996</v>
      </c>
      <c r="G69" s="90">
        <f>F69-C69</f>
        <v>-0.67400000000000659</v>
      </c>
      <c r="H69" s="63"/>
      <c r="I69" s="63"/>
      <c r="N69" s="25" t="s">
        <v>163</v>
      </c>
      <c r="O69" s="53">
        <f t="shared" ref="O69:X71" si="11">10^10</f>
        <v>10000000000</v>
      </c>
      <c r="P69" s="53">
        <f t="shared" si="11"/>
        <v>10000000000</v>
      </c>
      <c r="Q69" s="53">
        <f t="shared" si="11"/>
        <v>10000000000</v>
      </c>
      <c r="R69" s="53">
        <f t="shared" si="11"/>
        <v>10000000000</v>
      </c>
      <c r="S69" s="53">
        <f t="shared" si="11"/>
        <v>10000000000</v>
      </c>
      <c r="T69" s="53">
        <f t="shared" si="11"/>
        <v>10000000000</v>
      </c>
      <c r="U69" s="53">
        <f t="shared" si="11"/>
        <v>10000000000</v>
      </c>
      <c r="V69" s="53">
        <f t="shared" si="11"/>
        <v>10000000000</v>
      </c>
      <c r="W69" s="53">
        <f t="shared" si="11"/>
        <v>10000000000</v>
      </c>
      <c r="X69" s="53">
        <f t="shared" si="11"/>
        <v>10000000000</v>
      </c>
      <c r="AB69" s="1"/>
    </row>
    <row r="70" spans="1:28">
      <c r="A70" s="10"/>
      <c r="C70" s="327">
        <v>100.56</v>
      </c>
      <c r="D70" s="327"/>
      <c r="E70" s="90">
        <v>99.885999999999996</v>
      </c>
      <c r="F70" s="37">
        <f>IF('PERHITUNGAN 5'!$E$11="Burn Engr",'PERHITUNGAN 5'!E70,E70+('regresi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99.885999999999996</v>
      </c>
      <c r="G70" s="90">
        <f>F70-C70</f>
        <v>-0.67400000000000659</v>
      </c>
      <c r="H70" s="63"/>
      <c r="I70" s="63"/>
      <c r="N70" s="25" t="s">
        <v>164</v>
      </c>
      <c r="O70" s="53">
        <f t="shared" si="11"/>
        <v>10000000000</v>
      </c>
      <c r="P70" s="53">
        <f t="shared" si="11"/>
        <v>10000000000</v>
      </c>
      <c r="Q70" s="53">
        <f t="shared" si="11"/>
        <v>10000000000</v>
      </c>
      <c r="R70" s="53">
        <f t="shared" si="11"/>
        <v>10000000000</v>
      </c>
      <c r="S70" s="53">
        <f t="shared" si="11"/>
        <v>10000000000</v>
      </c>
      <c r="T70" s="53">
        <f t="shared" si="11"/>
        <v>10000000000</v>
      </c>
      <c r="U70" s="53">
        <f t="shared" si="11"/>
        <v>10000000000</v>
      </c>
      <c r="V70" s="53">
        <f t="shared" si="11"/>
        <v>10000000000</v>
      </c>
      <c r="W70" s="53">
        <f t="shared" si="11"/>
        <v>10000000000</v>
      </c>
      <c r="X70" s="53">
        <f t="shared" si="11"/>
        <v>10000000000</v>
      </c>
      <c r="AB70" s="1"/>
    </row>
    <row r="71" spans="1:28">
      <c r="A71" s="10"/>
      <c r="C71" s="327">
        <v>100.56</v>
      </c>
      <c r="D71" s="327"/>
      <c r="E71" s="90">
        <v>99.885999999999996</v>
      </c>
      <c r="F71" s="37">
        <f>IF('PERHITUNGAN 5'!$E$11="Burn Engr",'PERHITUNGAN 5'!E71,E71+('regresi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99.885999999999996</v>
      </c>
      <c r="G71" s="90">
        <f>F71-C71</f>
        <v>-0.67400000000000659</v>
      </c>
      <c r="H71" s="63"/>
      <c r="I71" s="63"/>
      <c r="N71" s="25" t="s">
        <v>165</v>
      </c>
      <c r="O71" s="53">
        <f t="shared" si="11"/>
        <v>10000000000</v>
      </c>
      <c r="P71" s="53">
        <f t="shared" si="11"/>
        <v>10000000000</v>
      </c>
      <c r="Q71" s="53">
        <f t="shared" si="11"/>
        <v>10000000000</v>
      </c>
      <c r="R71" s="53">
        <f t="shared" si="11"/>
        <v>10000000000</v>
      </c>
      <c r="S71" s="53">
        <f t="shared" si="11"/>
        <v>10000000000</v>
      </c>
      <c r="T71" s="53">
        <f t="shared" si="11"/>
        <v>10000000000</v>
      </c>
      <c r="U71" s="53">
        <f t="shared" si="11"/>
        <v>10000000000</v>
      </c>
      <c r="V71" s="53">
        <f t="shared" si="11"/>
        <v>10000000000</v>
      </c>
      <c r="W71" s="53">
        <f t="shared" si="11"/>
        <v>10000000000</v>
      </c>
      <c r="X71" s="53">
        <f t="shared" si="11"/>
        <v>10000000000</v>
      </c>
      <c r="AB71" s="1"/>
    </row>
    <row r="72" spans="1:28">
      <c r="A72" s="10"/>
      <c r="B72" s="8" t="s">
        <v>31</v>
      </c>
      <c r="C72" s="333">
        <f>AVERAGE(C67:D71)</f>
        <v>100.56</v>
      </c>
      <c r="D72" s="334"/>
      <c r="E72" s="95">
        <f>AVERAGE(E67:E71)</f>
        <v>99.885999999999996</v>
      </c>
      <c r="F72" s="95">
        <f t="shared" ref="F72" si="12">AVERAGE(F67:F71)</f>
        <v>99.885999999999996</v>
      </c>
      <c r="G72" s="95">
        <f>SUM(G67:G71)/5</f>
        <v>-0.67400000000000659</v>
      </c>
      <c r="H72" s="63"/>
      <c r="I72" s="63"/>
      <c r="N72" s="111" t="s">
        <v>168</v>
      </c>
      <c r="O72" s="118">
        <f>SQRT((O57^2)+(O58^2)+(O59^2)+(O60^2)+(O61^2)+(O62^2)+(O63^2))</f>
        <v>0.26798571556835682</v>
      </c>
      <c r="P72" s="118">
        <f t="shared" ref="P72:X72" si="13">SQRT((P57^2)+(P58^2)+(P59^2)+(P60^2)+(P61^2)+(P62^2)+(P63^2))</f>
        <v>0.26987271768128807</v>
      </c>
      <c r="Q72" s="118">
        <f t="shared" si="13"/>
        <v>0.26973372749562524</v>
      </c>
      <c r="R72" s="118">
        <f t="shared" si="13"/>
        <v>0.27010420905399496</v>
      </c>
      <c r="S72" s="118">
        <f t="shared" si="13"/>
        <v>0.26973372749562524</v>
      </c>
      <c r="T72" s="118">
        <f t="shared" si="13"/>
        <v>0.27428321813170453</v>
      </c>
      <c r="U72" s="118">
        <f t="shared" si="13"/>
        <v>0.27428321813170453</v>
      </c>
      <c r="V72" s="118">
        <f t="shared" si="13"/>
        <v>0.27010420905399496</v>
      </c>
      <c r="W72" s="118">
        <f t="shared" si="13"/>
        <v>0.26798560362206819</v>
      </c>
      <c r="X72" s="118">
        <f t="shared" si="13"/>
        <v>0.26798560362206819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5101831.7204550244</v>
      </c>
      <c r="P73" s="120">
        <f t="shared" ref="P73:X73" si="14">(P72^4)/((P57^4/P65)+(P58^4/P66)+(P59^4/P67)+(P60^4/P68)+(P61^4/P69)+(P62^4/P70)+(P63^4/P71))</f>
        <v>210679.21861284145</v>
      </c>
      <c r="Q73" s="120">
        <f t="shared" si="14"/>
        <v>211558.45036342874</v>
      </c>
      <c r="R73" s="120">
        <f t="shared" si="14"/>
        <v>205866.78414906273</v>
      </c>
      <c r="S73" s="120">
        <f t="shared" si="14"/>
        <v>211558.45036342874</v>
      </c>
      <c r="T73" s="120">
        <f t="shared" si="14"/>
        <v>43813.682128025954</v>
      </c>
      <c r="U73" s="120">
        <f t="shared" si="14"/>
        <v>43813.682128025954</v>
      </c>
      <c r="V73" s="120">
        <f t="shared" si="14"/>
        <v>205866.78414906273</v>
      </c>
      <c r="W73" s="120">
        <f t="shared" si="14"/>
        <v>5101827.7376683354</v>
      </c>
      <c r="X73" s="120">
        <f t="shared" si="14"/>
        <v>5101827.7376683354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1.9599644495909392</v>
      </c>
      <c r="P74" s="123">
        <f t="shared" ref="P74:X74" si="15">_xlfn.T.INV.2T(0.05,P73)</f>
        <v>1.9599752447221237</v>
      </c>
      <c r="Q74" s="123">
        <f t="shared" si="15"/>
        <v>1.9599751979365643</v>
      </c>
      <c r="R74" s="123">
        <f t="shared" si="15"/>
        <v>1.9599755079827765</v>
      </c>
      <c r="S74" s="123">
        <f t="shared" si="15"/>
        <v>1.9599751979365643</v>
      </c>
      <c r="T74" s="123">
        <f t="shared" si="15"/>
        <v>1.9600181313838028</v>
      </c>
      <c r="U74" s="123">
        <f t="shared" si="15"/>
        <v>1.9600181313838028</v>
      </c>
      <c r="V74" s="123">
        <f t="shared" si="15"/>
        <v>1.9599755079827765</v>
      </c>
      <c r="W74" s="123">
        <f t="shared" si="15"/>
        <v>1.9599644493974506</v>
      </c>
      <c r="X74" s="123">
        <f t="shared" si="15"/>
        <v>1.9599644493974506</v>
      </c>
      <c r="Z74" s="124"/>
      <c r="AB74" s="1"/>
    </row>
    <row r="75" spans="1:28">
      <c r="A75" s="105">
        <v>5</v>
      </c>
      <c r="B75" s="196">
        <v>150</v>
      </c>
      <c r="C75" s="327">
        <v>150.5</v>
      </c>
      <c r="D75" s="327"/>
      <c r="E75" s="90">
        <v>149.71899999999999</v>
      </c>
      <c r="F75" s="37">
        <f>IF('PERHITUNGAN 5'!$E$11="Burn Engr",'PERHITUNGAN 5'!E75,E75+('regresi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149.71899999999999</v>
      </c>
      <c r="G75" s="90">
        <f>F75-C75</f>
        <v>-0.78100000000000591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150.5</v>
      </c>
      <c r="D76" s="327"/>
      <c r="E76" s="90">
        <v>149.71899999999999</v>
      </c>
      <c r="F76" s="37">
        <f>IF('PERHITUNGAN 5'!$E$11="Burn Engr",'PERHITUNGAN 5'!E76,E76+('regresi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149.71899999999999</v>
      </c>
      <c r="G76" s="90">
        <f>F76-C76</f>
        <v>-0.78100000000000591</v>
      </c>
      <c r="H76" s="63"/>
      <c r="I76" s="63"/>
      <c r="N76" s="111" t="s">
        <v>166</v>
      </c>
      <c r="O76" s="121">
        <f t="shared" ref="O76:X76" si="16">O72*O74</f>
        <v>0.52524247551216841</v>
      </c>
      <c r="P76" s="121">
        <f t="shared" si="16"/>
        <v>0.52894384588120713</v>
      </c>
      <c r="Q76" s="121">
        <f t="shared" si="16"/>
        <v>0.52867141593840539</v>
      </c>
      <c r="R76" s="121">
        <f t="shared" si="16"/>
        <v>0.52939763434888987</v>
      </c>
      <c r="S76" s="121">
        <f t="shared" si="16"/>
        <v>0.52867141593840539</v>
      </c>
      <c r="T76" s="121">
        <f t="shared" si="16"/>
        <v>0.53760008067243947</v>
      </c>
      <c r="U76" s="121">
        <f t="shared" si="16"/>
        <v>0.53760008067243947</v>
      </c>
      <c r="V76" s="121">
        <f t="shared" si="16"/>
        <v>0.52939763434888987</v>
      </c>
      <c r="W76" s="121">
        <f t="shared" si="16"/>
        <v>0.52524225604957031</v>
      </c>
      <c r="X76" s="121">
        <f t="shared" si="16"/>
        <v>0.52524225604957031</v>
      </c>
      <c r="AB76" s="1"/>
    </row>
    <row r="77" spans="1:28">
      <c r="A77" s="10"/>
      <c r="C77" s="327">
        <v>150.5</v>
      </c>
      <c r="D77" s="327"/>
      <c r="E77" s="90">
        <v>149.71899999999999</v>
      </c>
      <c r="F77" s="37">
        <f>IF('PERHITUNGAN 5'!$E$11="Burn Engr",'PERHITUNGAN 5'!E77,E77+('regresi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149.71899999999999</v>
      </c>
      <c r="G77" s="90">
        <f>F77-C77</f>
        <v>-0.78100000000000591</v>
      </c>
      <c r="H77" s="63"/>
      <c r="I77" s="63"/>
      <c r="AB77" s="1"/>
    </row>
    <row r="78" spans="1:28">
      <c r="A78" s="10"/>
      <c r="C78" s="327">
        <v>150.5</v>
      </c>
      <c r="D78" s="327"/>
      <c r="E78" s="90">
        <v>149.71899999999999</v>
      </c>
      <c r="F78" s="37">
        <f>IF('PERHITUNGAN 5'!$E$11="Burn Engr",'PERHITUNGAN 5'!E78,E78+('regresi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149.71899999999999</v>
      </c>
      <c r="G78" s="90">
        <f>F78-C78</f>
        <v>-0.78100000000000591</v>
      </c>
      <c r="H78" s="26"/>
      <c r="I78" s="26"/>
      <c r="AB78" s="1"/>
    </row>
    <row r="79" spans="1:28">
      <c r="A79" s="10"/>
      <c r="C79" s="327">
        <v>150.5</v>
      </c>
      <c r="D79" s="327"/>
      <c r="E79" s="90">
        <v>149.71899999999999</v>
      </c>
      <c r="F79" s="37">
        <f>IF('PERHITUNGAN 5'!$E$11="Burn Engr",'PERHITUNGAN 5'!E79,E79+('regresi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149.71899999999999</v>
      </c>
      <c r="G79" s="90">
        <f>F79-C79</f>
        <v>-0.78100000000000591</v>
      </c>
      <c r="AB79" s="1"/>
    </row>
    <row r="80" spans="1:28">
      <c r="A80" s="10"/>
      <c r="B80" s="8" t="s">
        <v>31</v>
      </c>
      <c r="C80" s="333">
        <f>AVERAGE(C75:D79)</f>
        <v>150.5</v>
      </c>
      <c r="D80" s="334"/>
      <c r="E80" s="95">
        <f>AVERAGE(E75:E79)</f>
        <v>149.71899999999999</v>
      </c>
      <c r="F80" s="95">
        <f t="shared" ref="F80" si="17">AVERAGE(F75:F79)</f>
        <v>149.71899999999999</v>
      </c>
      <c r="G80" s="95">
        <f>SUM(G75:G79)/5</f>
        <v>-0.78100000000000591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200</v>
      </c>
      <c r="C83" s="327">
        <v>199.88</v>
      </c>
      <c r="D83" s="327"/>
      <c r="E83" s="90">
        <v>199.46600000000001</v>
      </c>
      <c r="F83" s="37">
        <f>IF('PERHITUNGAN 5'!$E$11="Burn Engr",'PERHITUNGAN 5'!E83,E83+('regresi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199.46600000000001</v>
      </c>
      <c r="G83" s="40">
        <f>F83-C83</f>
        <v>-0.41399999999998727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199.88</v>
      </c>
      <c r="D84" s="327"/>
      <c r="E84" s="90">
        <v>199.46600000000001</v>
      </c>
      <c r="F84" s="37">
        <f>IF('PERHITUNGAN 5'!$E$11="Burn Engr",'PERHITUNGAN 5'!E84,E84+('regresi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199.46600000000001</v>
      </c>
      <c r="G84" s="40">
        <f>F84-C84</f>
        <v>-0.41399999999998727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199.88</v>
      </c>
      <c r="D85" s="327"/>
      <c r="E85" s="90">
        <v>199.46600000000001</v>
      </c>
      <c r="F85" s="37">
        <f>IF('PERHITUNGAN 5'!$E$11="Burn Engr",'PERHITUNGAN 5'!E85,E85+('regresi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199.46600000000001</v>
      </c>
      <c r="G85" s="40">
        <f>F85-C85</f>
        <v>-0.41399999999998727</v>
      </c>
      <c r="H85" s="26"/>
      <c r="I85" s="26"/>
      <c r="N85" s="93">
        <f>O56</f>
        <v>-26.880000000000003</v>
      </c>
      <c r="O85" s="403">
        <f>G48</f>
        <v>-2.8986000000000005</v>
      </c>
      <c r="P85" s="404"/>
      <c r="Q85" s="387">
        <f t="shared" ref="Q85:Q94" si="18">N85+O85</f>
        <v>-29.778600000000004</v>
      </c>
      <c r="R85" s="405"/>
      <c r="S85" s="138" t="s">
        <v>35</v>
      </c>
      <c r="T85" s="94">
        <f>IF(N85&lt;$AA$97,MAX($O$97,O76),IF(N85&lt;$AA$98,MAX($O$98,O76),MAX($O$99,O76)))</f>
        <v>0.52524247551216841</v>
      </c>
      <c r="AB85" s="1"/>
    </row>
    <row r="86" spans="1:28">
      <c r="A86" s="10"/>
      <c r="C86" s="327">
        <v>199.88</v>
      </c>
      <c r="D86" s="327"/>
      <c r="E86" s="90">
        <v>199.46600000000001</v>
      </c>
      <c r="F86" s="37">
        <f>IF('PERHITUNGAN 5'!$E$11="Burn Engr",'PERHITUNGAN 5'!E86,E86+('regresi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199.46600000000001</v>
      </c>
      <c r="G86" s="40">
        <f>F86-C86</f>
        <v>-0.41399999999998727</v>
      </c>
      <c r="H86" s="63"/>
      <c r="I86" s="63"/>
      <c r="N86" s="93">
        <f>P56</f>
        <v>3.87</v>
      </c>
      <c r="O86" s="403">
        <f>G56</f>
        <v>-3.6689999999999996</v>
      </c>
      <c r="P86" s="404"/>
      <c r="Q86" s="406">
        <f t="shared" si="18"/>
        <v>0.20100000000000051</v>
      </c>
      <c r="R86" s="407"/>
      <c r="S86" s="138" t="s">
        <v>35</v>
      </c>
      <c r="T86" s="94">
        <f>IF(N86&lt;$AA$97,MAX($O$97,P76),IF(N86&lt;$AA$98,MAX($O$98,P76),MAX($O$99,P76)))</f>
        <v>0.52894384588120713</v>
      </c>
      <c r="AB86" s="1"/>
    </row>
    <row r="87" spans="1:28">
      <c r="A87" s="10"/>
      <c r="C87" s="327">
        <v>199.88</v>
      </c>
      <c r="D87" s="327"/>
      <c r="E87" s="90">
        <v>199.46600000000001</v>
      </c>
      <c r="F87" s="37">
        <f>IF('PERHITUNGAN 5'!$E$11="Burn Engr",'PERHITUNGAN 5'!E87,E87+('regresi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199.46600000000001</v>
      </c>
      <c r="G87" s="41">
        <f>F87-C87</f>
        <v>-0.41399999999998727</v>
      </c>
      <c r="H87" s="63"/>
      <c r="I87" s="63"/>
      <c r="N87" s="93">
        <f>Q56</f>
        <v>50.72</v>
      </c>
      <c r="O87" s="403">
        <f>G64</f>
        <v>-0.36999999999999744</v>
      </c>
      <c r="P87" s="404"/>
      <c r="Q87" s="406">
        <f t="shared" si="18"/>
        <v>50.35</v>
      </c>
      <c r="R87" s="407"/>
      <c r="S87" s="138" t="s">
        <v>35</v>
      </c>
      <c r="T87" s="94">
        <f>IF(N87&lt;$AA$97,MAX($O$97,Q76),IF(N87&lt;$AA$98,MAX($O$98,Q76),MAX($O$99,Q76)))</f>
        <v>0.52867141593840539</v>
      </c>
      <c r="AB87" s="1"/>
    </row>
    <row r="88" spans="1:28">
      <c r="A88" s="10"/>
      <c r="B88" s="8" t="s">
        <v>31</v>
      </c>
      <c r="C88" s="333">
        <f>AVERAGE(C83:D87)</f>
        <v>199.88</v>
      </c>
      <c r="D88" s="334"/>
      <c r="E88" s="95">
        <f>AVERAGE(E83:E87)</f>
        <v>199.46600000000001</v>
      </c>
      <c r="F88" s="95">
        <f t="shared" ref="F88" si="19">AVERAGE(F83:F87)</f>
        <v>199.46600000000001</v>
      </c>
      <c r="G88" s="95">
        <f>SUM(G83:G87)/5</f>
        <v>-0.41399999999998727</v>
      </c>
      <c r="H88" s="63"/>
      <c r="I88" s="63"/>
      <c r="N88" s="93">
        <f>R56</f>
        <v>100.56</v>
      </c>
      <c r="O88" s="403">
        <f>G72</f>
        <v>-0.67400000000000659</v>
      </c>
      <c r="P88" s="404"/>
      <c r="Q88" s="406">
        <f t="shared" si="18"/>
        <v>99.885999999999996</v>
      </c>
      <c r="R88" s="407"/>
      <c r="S88" s="138" t="s">
        <v>35</v>
      </c>
      <c r="T88" s="94">
        <f>IF(N88&lt;$AA$97,MAX($O$97,R76),IF(N88&lt;$AA$98,MAX($O$98,R76),MAX($O$99,R76)))</f>
        <v>0.52939763434888987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150.5</v>
      </c>
      <c r="O89" s="403">
        <f>G80</f>
        <v>-0.78100000000000591</v>
      </c>
      <c r="P89" s="404"/>
      <c r="Q89" s="406">
        <f t="shared" si="18"/>
        <v>149.71899999999999</v>
      </c>
      <c r="R89" s="407"/>
      <c r="S89" s="138" t="s">
        <v>35</v>
      </c>
      <c r="T89" s="94">
        <f>IF(N89&lt;$AA$97,MAX($O$97,S76),IF(N89&lt;$AA$98,MAX($O$98,S76),MAX($O$99,S76)))</f>
        <v>0.52867141593840539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199.88</v>
      </c>
      <c r="O90" s="403">
        <f>G88</f>
        <v>-0.41399999999998727</v>
      </c>
      <c r="P90" s="404"/>
      <c r="Q90" s="406">
        <f t="shared" si="18"/>
        <v>199.46600000000001</v>
      </c>
      <c r="R90" s="407"/>
      <c r="S90" s="138" t="s">
        <v>35</v>
      </c>
      <c r="T90" s="94">
        <f>IF(N90&lt;$AA$97,MAX($O$97,T76),IF(N90&lt;$AA$98,MAX($O$98,T76),MAX($O$99,T76)))</f>
        <v>0.53760008067243947</v>
      </c>
      <c r="AB90" s="1"/>
    </row>
    <row r="91" spans="1:28">
      <c r="A91" s="105">
        <v>7</v>
      </c>
      <c r="B91" s="196">
        <v>250</v>
      </c>
      <c r="C91" s="327">
        <v>249.69</v>
      </c>
      <c r="D91" s="327"/>
      <c r="E91" s="90">
        <v>249.47900000000001</v>
      </c>
      <c r="F91" s="37">
        <f>IF('PERHITUNGAN 5'!$E$11="Burn Engr",'PERHITUNGAN 5'!E91,E91+('regresi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249.47900000000001</v>
      </c>
      <c r="G91" s="40">
        <f>F91-C91</f>
        <v>-0.21099999999998431</v>
      </c>
      <c r="H91" s="63"/>
      <c r="I91" s="63"/>
      <c r="N91" s="93">
        <f>U56</f>
        <v>249.69</v>
      </c>
      <c r="O91" s="403">
        <f>G96</f>
        <v>-0.21099999999998431</v>
      </c>
      <c r="P91" s="404"/>
      <c r="Q91" s="406">
        <f t="shared" si="18"/>
        <v>249.47900000000001</v>
      </c>
      <c r="R91" s="407"/>
      <c r="S91" s="138" t="s">
        <v>35</v>
      </c>
      <c r="T91" s="94">
        <f>IF(N91&lt;$AA$97,MAX($O$97,U76),IF(N91&lt;$AA$98,MAX($O$98,U76),MAX($O$99,U76)))</f>
        <v>0.53760008067243947</v>
      </c>
      <c r="AB91" s="1"/>
    </row>
    <row r="92" spans="1:28">
      <c r="A92" s="10"/>
      <c r="C92" s="327">
        <v>249.69</v>
      </c>
      <c r="D92" s="327"/>
      <c r="E92" s="90">
        <v>249.47900000000001</v>
      </c>
      <c r="F92" s="37">
        <f>IF('PERHITUNGAN 5'!$E$11="Burn Engr",'PERHITUNGAN 5'!E92,E92+('regresi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249.47900000000001</v>
      </c>
      <c r="G92" s="40">
        <f>F92-C92</f>
        <v>-0.21099999999998431</v>
      </c>
      <c r="H92" s="44"/>
      <c r="I92" s="63"/>
      <c r="N92" s="93">
        <f>V56</f>
        <v>259.79000000000002</v>
      </c>
      <c r="O92" s="403">
        <f>G104</f>
        <v>-0.23400000000003729</v>
      </c>
      <c r="P92" s="404"/>
      <c r="Q92" s="406">
        <f t="shared" si="18"/>
        <v>259.55599999999998</v>
      </c>
      <c r="R92" s="407"/>
      <c r="S92" s="138" t="s">
        <v>35</v>
      </c>
      <c r="T92" s="94">
        <f>IF(N92&lt;$AA$97,MAX($O$97,V76),IF(N92&lt;$AA$98,MAX($O$98,V76),MAX($O$99,V76)))</f>
        <v>1.8</v>
      </c>
      <c r="AB92" s="1"/>
    </row>
    <row r="93" spans="1:28">
      <c r="A93" s="10"/>
      <c r="C93" s="327">
        <v>249.69</v>
      </c>
      <c r="D93" s="327"/>
      <c r="E93" s="90">
        <v>249.47900000000001</v>
      </c>
      <c r="F93" s="37">
        <f>IF('PERHITUNGAN 5'!$E$11="Burn Engr",'PERHITUNGAN 5'!E93,E93+('regresi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249.47900000000001</v>
      </c>
      <c r="G93" s="40">
        <f>F93-C93</f>
        <v>-0.21099999999998431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8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249.69</v>
      </c>
      <c r="D94" s="327"/>
      <c r="E94" s="90">
        <v>249.47900000000001</v>
      </c>
      <c r="F94" s="37">
        <f>IF('PERHITUNGAN 5'!$E$11="Burn Engr",'PERHITUNGAN 5'!E94,E94+('regresi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249.47900000000001</v>
      </c>
      <c r="G94" s="40">
        <f>F94-C94</f>
        <v>-0.21099999999998431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8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249.69</v>
      </c>
      <c r="D95" s="327"/>
      <c r="E95" s="90">
        <v>249.47900000000001</v>
      </c>
      <c r="F95" s="37">
        <f>IF('PERHITUNGAN 5'!$E$11="Burn Engr",'PERHITUNGAN 5'!E95,E95+('regresi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249.47900000000001</v>
      </c>
      <c r="G95" s="41">
        <f>F95-C95</f>
        <v>-0.21099999999998431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249.69</v>
      </c>
      <c r="D96" s="334"/>
      <c r="E96" s="95">
        <f>AVERAGE(E91:E95)</f>
        <v>249.47899999999998</v>
      </c>
      <c r="F96" s="95">
        <f t="shared" ref="F96" si="20">AVERAGE(F91:F95)</f>
        <v>249.47899999999998</v>
      </c>
      <c r="G96" s="95">
        <f>SUM(G91:G95)/5</f>
        <v>-0.21099999999998431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0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0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>
        <v>260</v>
      </c>
      <c r="C99" s="327">
        <v>259.79000000000002</v>
      </c>
      <c r="D99" s="327"/>
      <c r="E99" s="90">
        <v>259.55599999999998</v>
      </c>
      <c r="F99" s="37">
        <f>IF('PERHITUNGAN 5'!$E$11="Burn Engr",'PERHITUNGAN 5'!E99,E99+('regresi PRT'!$P$40+('regresi PRT'!$P$41*E99)+('regresi PRT'!$P$42*(E99^2))+('regresi PRT'!$P$43*(E99^3))+('regresi PRT'!$P$44*(E99^4))+('regresi PRT'!$P$45*(E99^5))+('regresi PRT'!$P$46*(E99^6))+('regresi PRT'!$P$47*(E99^7))+('regresi PRT'!$P$48*(E99^8))+('regresi PRT'!$P$49*(E99^9))+('regresi PRT'!$P$50*(E99^10))))</f>
        <v>259.55599999999998</v>
      </c>
      <c r="G99" s="40">
        <f>F99-C99</f>
        <v>-0.23400000000003729</v>
      </c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>
        <v>259.79000000000002</v>
      </c>
      <c r="D100" s="327"/>
      <c r="E100" s="90">
        <v>259.55599999999998</v>
      </c>
      <c r="F100" s="37">
        <f>IF('PERHITUNGAN 5'!$E$11="Burn Engr",'PERHITUNGAN 5'!E100,E100+('regresi PRT'!$P$40+('regresi PRT'!$P$41*E100)+('regresi PRT'!$P$42*(E100^2))+('regresi PRT'!$P$43*(E100^3))+('regresi PRT'!$P$44*(E100^4))+('regresi PRT'!$P$45*(E100^5))+('regresi PRT'!$P$46*(E100^6))+('regresi PRT'!$P$47*(E100^7))+('regresi PRT'!$P$48*(E100^8))+('regresi PRT'!$P$49*(E100^9))+('regresi PRT'!$P$50*(E100^10))))</f>
        <v>259.55599999999998</v>
      </c>
      <c r="G100" s="40">
        <f>F100-C100</f>
        <v>-0.23400000000003729</v>
      </c>
      <c r="H100" s="44"/>
      <c r="I100" s="44"/>
      <c r="M100" s="1"/>
    </row>
    <row r="101" spans="1:27">
      <c r="A101" s="10"/>
      <c r="C101" s="327">
        <v>259.79000000000002</v>
      </c>
      <c r="D101" s="327"/>
      <c r="E101" s="90">
        <v>259.55599999999998</v>
      </c>
      <c r="F101" s="37">
        <f>IF('PERHITUNGAN 5'!$E$11="Burn Engr",'PERHITUNGAN 5'!E101,E101+('regresi PRT'!$P$40+('regresi PRT'!$P$41*E101)+('regresi PRT'!$P$42*(E101^2))+('regresi PRT'!$P$43*(E101^3))+('regresi PRT'!$P$44*(E101^4))+('regresi PRT'!$P$45*(E101^5))+('regresi PRT'!$P$46*(E101^6))+('regresi PRT'!$P$47*(E101^7))+('regresi PRT'!$P$48*(E101^8))+('regresi PRT'!$P$49*(E101^9))+('regresi PRT'!$P$50*(E101^10))))</f>
        <v>259.55599999999998</v>
      </c>
      <c r="G101" s="40">
        <f>F101-C101</f>
        <v>-0.23400000000003729</v>
      </c>
      <c r="H101" s="44"/>
      <c r="I101" s="44"/>
    </row>
    <row r="102" spans="1:27">
      <c r="A102" s="10"/>
      <c r="C102" s="327">
        <v>259.79000000000002</v>
      </c>
      <c r="D102" s="327"/>
      <c r="E102" s="90">
        <v>259.55599999999998</v>
      </c>
      <c r="F102" s="37">
        <f>IF('PERHITUNGAN 5'!$E$11="Burn Engr",'PERHITUNGAN 5'!E102,E102+('regresi PRT'!$P$40+('regresi PRT'!$P$41*E102)+('regresi PRT'!$P$42*(E102^2))+('regresi PRT'!$P$43*(E102^3))+('regresi PRT'!$P$44*(E102^4))+('regresi PRT'!$P$45*(E102^5))+('regresi PRT'!$P$46*(E102^6))+('regresi PRT'!$P$47*(E102^7))+('regresi PRT'!$P$48*(E102^8))+('regresi PRT'!$P$49*(E102^9))+('regresi PRT'!$P$50*(E102^10))))</f>
        <v>259.55599999999998</v>
      </c>
      <c r="G102" s="40">
        <f>F102-C102</f>
        <v>-0.23400000000003729</v>
      </c>
      <c r="H102" s="63"/>
      <c r="I102" s="63"/>
    </row>
    <row r="103" spans="1:27">
      <c r="A103" s="10"/>
      <c r="C103" s="327">
        <v>259.79000000000002</v>
      </c>
      <c r="D103" s="327"/>
      <c r="E103" s="90">
        <v>259.55599999999998</v>
      </c>
      <c r="F103" s="37">
        <f>IF('PERHITUNGAN 5'!$E$11="Burn Engr",'PERHITUNGAN 5'!E103,E103+('regresi PRT'!$P$40+('regresi PRT'!$P$41*E103)+('regresi PRT'!$P$42*(E103^2))+('regresi PRT'!$P$43*(E103^3))+('regresi PRT'!$P$44*(E103^4))+('regresi PRT'!$P$45*(E103^5))+('regresi PRT'!$P$46*(E103^6))+('regresi PRT'!$P$47*(E103^7))+('regresi PRT'!$P$48*(E103^8))+('regresi PRT'!$P$49*(E103^9))+('regresi PRT'!$P$50*(E103^10))))</f>
        <v>259.55599999999998</v>
      </c>
      <c r="G103" s="41">
        <f>F103-C103</f>
        <v>-0.23400000000003729</v>
      </c>
      <c r="H103" s="63"/>
      <c r="I103" s="63"/>
      <c r="N103" s="74"/>
      <c r="O103" s="129"/>
    </row>
    <row r="104" spans="1:27">
      <c r="A104" s="10"/>
      <c r="B104" s="8" t="s">
        <v>31</v>
      </c>
      <c r="C104" s="333">
        <f>AVERAGE(C99:D103)</f>
        <v>259.79000000000002</v>
      </c>
      <c r="D104" s="334"/>
      <c r="E104" s="95">
        <f>AVERAGE(E99:E103)</f>
        <v>259.55599999999998</v>
      </c>
      <c r="F104" s="95">
        <f>SUM(F99:F103)/5</f>
        <v>259.55599999999998</v>
      </c>
      <c r="G104" s="95">
        <f>SUM(G99:G103)/5</f>
        <v>-0.23400000000003729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>
        <f>_xlfn.STDEV.S(G99:G103)</f>
        <v>0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>
        <f>G105/SQRT(5)</f>
        <v>0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>
        <f>IF('PERHITUNGAN 5'!$E$11="Burn Engr",'PERHITUNGAN 5'!E107,E107+('regresi PRT'!$P$40+('regresi PRT'!$P$41*E107)+('regresi PRT'!$P$42*(E107^2))+('regresi PRT'!$P$43*(E107^3))+('regresi PRT'!$P$44*(E107^4))+('regresi PRT'!$P$45*(E107^5))+('regresi PRT'!$P$46*(E107^6))+('regresi PRT'!$P$47*(E107^7))+('regresi PRT'!$P$48*(E107^8))+('regresi PRT'!$P$49*(E107^9))+('regresi PRT'!$P$50*(E107^10))))</f>
        <v>0</v>
      </c>
      <c r="G107" s="40">
        <f>F107-C107</f>
        <v>0</v>
      </c>
      <c r="H107" s="63"/>
      <c r="I107" s="63"/>
      <c r="M107" s="1"/>
    </row>
    <row r="108" spans="1:27">
      <c r="A108" s="10"/>
      <c r="C108" s="327"/>
      <c r="D108" s="327"/>
      <c r="E108" s="90"/>
      <c r="F108" s="37">
        <f>IF('PERHITUNGAN 5'!$E$11="Burn Engr",'PERHITUNGAN 5'!E108,E108+('regresi PRT'!$P$40+('regresi PRT'!$P$41*E108)+('regresi PRT'!$P$42*(E108^2))+('regresi PRT'!$P$43*(E108^3))+('regresi PRT'!$P$44*(E108^4))+('regresi PRT'!$P$45*(E108^5))+('regresi PRT'!$P$46*(E108^6))+('regresi PRT'!$P$47*(E108^7))+('regresi PRT'!$P$48*(E108^8))+('regresi PRT'!$P$49*(E108^9))+('regresi PRT'!$P$50*(E108^10))))</f>
        <v>0</v>
      </c>
      <c r="G108" s="40">
        <f>F108-C108</f>
        <v>0</v>
      </c>
      <c r="H108" s="44"/>
      <c r="I108" s="44"/>
      <c r="M108" s="1"/>
    </row>
    <row r="109" spans="1:27">
      <c r="A109" s="10"/>
      <c r="C109" s="327"/>
      <c r="D109" s="327"/>
      <c r="E109" s="90"/>
      <c r="F109" s="37">
        <f>IF('PERHITUNGAN 5'!$E$11="Burn Engr",'PERHITUNGAN 5'!E109,E109+('regresi PRT'!$P$40+('regresi PRT'!$P$41*E109)+('regresi PRT'!$P$42*(E109^2))+('regresi PRT'!$P$43*(E109^3))+('regresi PRT'!$P$44*(E109^4))+('regresi PRT'!$P$45*(E109^5))+('regresi PRT'!$P$46*(E109^6))+('regresi PRT'!$P$47*(E109^7))+('regresi PRT'!$P$48*(E109^8))+('regresi PRT'!$P$49*(E109^9))+('regresi PRT'!$P$50*(E109^10))))</f>
        <v>0</v>
      </c>
      <c r="G109" s="40">
        <f>F109-C109</f>
        <v>0</v>
      </c>
      <c r="H109" s="44"/>
      <c r="I109" s="44"/>
    </row>
    <row r="110" spans="1:27">
      <c r="A110" s="10"/>
      <c r="C110" s="327"/>
      <c r="D110" s="327"/>
      <c r="E110" s="90"/>
      <c r="F110" s="37">
        <f>IF('PERHITUNGAN 5'!$E$11="Burn Engr",'PERHITUNGAN 5'!E110,E110+('regresi PRT'!$P$40+('regresi PRT'!$P$41*E110)+('regresi PRT'!$P$42*(E110^2))+('regresi PRT'!$P$43*(E110^3))+('regresi PRT'!$P$44*(E110^4))+('regresi PRT'!$P$45*(E110^5))+('regresi PRT'!$P$46*(E110^6))+('regresi PRT'!$P$47*(E110^7))+('regresi PRT'!$P$48*(E110^8))+('regresi PRT'!$P$49*(E110^9))+('regresi PRT'!$P$50*(E110^10))))</f>
        <v>0</v>
      </c>
      <c r="G110" s="40">
        <f>F110-C110</f>
        <v>0</v>
      </c>
      <c r="H110" s="63"/>
      <c r="I110" s="63"/>
    </row>
    <row r="111" spans="1:27">
      <c r="A111" s="10"/>
      <c r="C111" s="327"/>
      <c r="D111" s="327"/>
      <c r="E111" s="90"/>
      <c r="F111" s="37">
        <f>IF('PERHITUNGAN 5'!$E$11="Burn Engr",'PERHITUNGAN 5'!E111,E111+('regresi PRT'!$P$40+('regresi PRT'!$P$41*E111)+('regresi PRT'!$P$42*(E111^2))+('regresi PRT'!$P$43*(E111^3))+('regresi PRT'!$P$44*(E111^4))+('regresi PRT'!$P$45*(E111^5))+('regresi PRT'!$P$46*(E111^6))+('regresi PRT'!$P$47*(E111^7))+('regresi PRT'!$P$48*(E111^8))+('regresi PRT'!$P$49*(E111^9))+('regresi PRT'!$P$50*(E111^10))))</f>
        <v>0</v>
      </c>
      <c r="G111" s="41">
        <f>F111-C111</f>
        <v>0</v>
      </c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>
        <f>_xlfn.STDEV.S(G107:G111)</f>
        <v>0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>
        <f>G113/SQRT(5)</f>
        <v>0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>
        <f>IF('PERHITUNGAN 5'!$E$11="Burn Engr",'PERHITUNGAN 5'!E115,E115+('regresi PRT'!$P$40+('regresi PRT'!$P$41*E115)+('regresi PRT'!$P$42*(E115^2))+('regresi PRT'!$P$43*(E115^3))+('regresi PRT'!$P$44*(E115^4))+('regresi PRT'!$P$45*(E115^5))+('regresi PRT'!$P$46*(E115^6))+('regresi PRT'!$P$47*(E115^7))+('regresi PRT'!$P$48*(E115^8))+('regresi PRT'!$P$49*(E115^9))+('regresi PRT'!$P$50*(E115^10))))</f>
        <v>0</v>
      </c>
      <c r="G115" s="40">
        <f>F115-C115</f>
        <v>0</v>
      </c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>
        <f>IF('PERHITUNGAN 5'!$E$11="Burn Engr",'PERHITUNGAN 5'!E116,E116+('regresi PRT'!$P$40+('regresi PRT'!$P$41*E116)+('regresi PRT'!$P$42*(E116^2))+('regresi PRT'!$P$43*(E116^3))+('regresi PRT'!$P$44*(E116^4))+('regresi PRT'!$P$45*(E116^5))+('regresi PRT'!$P$46*(E116^6))+('regresi PRT'!$P$47*(E116^7))+('regresi PRT'!$P$48*(E116^8))+('regresi PRT'!$P$49*(E116^9))+('regresi PRT'!$P$50*(E116^10))))</f>
        <v>0</v>
      </c>
      <c r="G116" s="40">
        <f>F116-C116</f>
        <v>0</v>
      </c>
      <c r="H116" s="44"/>
      <c r="I116" s="44"/>
      <c r="U116" s="49"/>
    </row>
    <row r="117" spans="1:21">
      <c r="A117" s="10"/>
      <c r="C117" s="224"/>
      <c r="D117" s="225"/>
      <c r="E117" s="90"/>
      <c r="F117" s="37">
        <f>IF('PERHITUNGAN 5'!$E$11="Burn Engr",'PERHITUNGAN 5'!E117,E117+('regresi PRT'!$P$40+('regresi PRT'!$P$41*E117)+('regresi PRT'!$P$42*(E117^2))+('regresi PRT'!$P$43*(E117^3))+('regresi PRT'!$P$44*(E117^4))+('regresi PRT'!$P$45*(E117^5))+('regresi PRT'!$P$46*(E117^6))+('regresi PRT'!$P$47*(E117^7))+('regresi PRT'!$P$48*(E117^8))+('regresi PRT'!$P$49*(E117^9))+('regresi PRT'!$P$50*(E117^10))))</f>
        <v>0</v>
      </c>
      <c r="G117" s="40">
        <f>F117-C117</f>
        <v>0</v>
      </c>
      <c r="H117" s="44"/>
      <c r="I117" s="44"/>
      <c r="U117" s="49"/>
    </row>
    <row r="118" spans="1:21">
      <c r="A118" s="10"/>
      <c r="C118" s="224"/>
      <c r="D118" s="225"/>
      <c r="E118" s="90"/>
      <c r="F118" s="37">
        <f>IF('PERHITUNGAN 5'!$E$11="Burn Engr",'PERHITUNGAN 5'!E118,E118+('regresi PRT'!$P$40+('regresi PRT'!$P$41*E118)+('regresi PRT'!$P$42*(E118^2))+('regresi PRT'!$P$43*(E118^3))+('regresi PRT'!$P$44*(E118^4))+('regresi PRT'!$P$45*(E118^5))+('regresi PRT'!$P$46*(E118^6))+('regresi PRT'!$P$47*(E118^7))+('regresi PRT'!$P$48*(E118^8))+('regresi PRT'!$P$49*(E118^9))+('regresi PRT'!$P$50*(E118^10))))</f>
        <v>0</v>
      </c>
      <c r="G118" s="40">
        <f>F118-C118</f>
        <v>0</v>
      </c>
      <c r="H118" s="63"/>
      <c r="I118" s="63"/>
    </row>
    <row r="119" spans="1:21">
      <c r="A119" s="10"/>
      <c r="C119" s="233"/>
      <c r="D119" s="234"/>
      <c r="E119" s="90"/>
      <c r="F119" s="37">
        <f>IF('PERHITUNGAN 5'!$E$11="Burn Engr",'PERHITUNGAN 5'!E119,E119+('regresi PRT'!$P$40+('regresi PRT'!$P$41*E119)+('regresi PRT'!$P$42*(E119^2))+('regresi PRT'!$P$43*(E119^3))+('regresi PRT'!$P$44*(E119^4))+('regresi PRT'!$P$45*(E119^5))+('regresi PRT'!$P$46*(E119^6))+('regresi PRT'!$P$47*(E119^7))+('regresi PRT'!$P$48*(E119^8))+('regresi PRT'!$P$49*(E119^9))+('regresi PRT'!$P$50*(E119^10))))</f>
        <v>0</v>
      </c>
      <c r="G119" s="41">
        <f>F119-C119</f>
        <v>0</v>
      </c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>
        <f>_xlfn.STDEV.S(G115:G119)</f>
        <v>0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>
        <f>G121/SQRT(5)</f>
        <v>0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26"/>
      <c r="D125" s="26"/>
      <c r="H125" s="44"/>
      <c r="I125" s="44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1">
    <mergeCell ref="J26:K26"/>
    <mergeCell ref="J31:K31"/>
    <mergeCell ref="C51:D51"/>
    <mergeCell ref="C52:D52"/>
    <mergeCell ref="C53:D53"/>
    <mergeCell ref="C56:D56"/>
    <mergeCell ref="C185:D185"/>
    <mergeCell ref="C177:D177"/>
    <mergeCell ref="C180:D180"/>
    <mergeCell ref="C181:D181"/>
    <mergeCell ref="C182:D182"/>
    <mergeCell ref="C183:D183"/>
    <mergeCell ref="C184:D184"/>
    <mergeCell ref="C169:D169"/>
    <mergeCell ref="C172:D172"/>
    <mergeCell ref="C173:D173"/>
    <mergeCell ref="C174:D174"/>
    <mergeCell ref="C175:D175"/>
    <mergeCell ref="C176:D176"/>
    <mergeCell ref="C161:D161"/>
    <mergeCell ref="C164:D164"/>
    <mergeCell ref="C165:D165"/>
    <mergeCell ref="C166:D166"/>
    <mergeCell ref="C167:D167"/>
    <mergeCell ref="C168:D168"/>
    <mergeCell ref="C151:D151"/>
    <mergeCell ref="C156:D156"/>
    <mergeCell ref="C157:D157"/>
    <mergeCell ref="C158:D158"/>
    <mergeCell ref="C159:D159"/>
    <mergeCell ref="C160:D160"/>
    <mergeCell ref="C143:D143"/>
    <mergeCell ref="C146:D146"/>
    <mergeCell ref="C147:D147"/>
    <mergeCell ref="C148:D148"/>
    <mergeCell ref="C149:D149"/>
    <mergeCell ref="C150:D150"/>
    <mergeCell ref="C127:D127"/>
    <mergeCell ref="C138:D138"/>
    <mergeCell ref="C139:D139"/>
    <mergeCell ref="C140:D140"/>
    <mergeCell ref="C141:D141"/>
    <mergeCell ref="C142:D142"/>
    <mergeCell ref="C126:D126"/>
    <mergeCell ref="C111:D111"/>
    <mergeCell ref="C112:D112"/>
    <mergeCell ref="C107:D107"/>
    <mergeCell ref="C108:D108"/>
    <mergeCell ref="C109:D109"/>
    <mergeCell ref="C110:D110"/>
    <mergeCell ref="C99:D99"/>
    <mergeCell ref="C100:D100"/>
    <mergeCell ref="C101:D101"/>
    <mergeCell ref="C102:D102"/>
    <mergeCell ref="C103:D103"/>
    <mergeCell ref="C104:D104"/>
    <mergeCell ref="C95:D95"/>
    <mergeCell ref="C96:D96"/>
    <mergeCell ref="N96:O96"/>
    <mergeCell ref="Z96:AA96"/>
    <mergeCell ref="C93:D93"/>
    <mergeCell ref="O93:P93"/>
    <mergeCell ref="Q93:R93"/>
    <mergeCell ref="C94:D94"/>
    <mergeCell ref="O94:P94"/>
    <mergeCell ref="Q94:R94"/>
    <mergeCell ref="C91:D91"/>
    <mergeCell ref="O91:P91"/>
    <mergeCell ref="Q91:R91"/>
    <mergeCell ref="C92:D92"/>
    <mergeCell ref="O92:P92"/>
    <mergeCell ref="Q92:R92"/>
    <mergeCell ref="O89:P89"/>
    <mergeCell ref="Q89:R89"/>
    <mergeCell ref="O90:P90"/>
    <mergeCell ref="Q90:R90"/>
    <mergeCell ref="C87:D87"/>
    <mergeCell ref="O87:P87"/>
    <mergeCell ref="Q87:R87"/>
    <mergeCell ref="C88:D88"/>
    <mergeCell ref="O88:P88"/>
    <mergeCell ref="Q88:R88"/>
    <mergeCell ref="C85:D85"/>
    <mergeCell ref="O85:P85"/>
    <mergeCell ref="Q85:R85"/>
    <mergeCell ref="C86:D86"/>
    <mergeCell ref="O86:P86"/>
    <mergeCell ref="Q86:R86"/>
    <mergeCell ref="C83:D83"/>
    <mergeCell ref="N83:N84"/>
    <mergeCell ref="O83:P84"/>
    <mergeCell ref="Q83:R84"/>
    <mergeCell ref="S83:T83"/>
    <mergeCell ref="C84:D84"/>
    <mergeCell ref="S84:T84"/>
    <mergeCell ref="C76:D76"/>
    <mergeCell ref="C77:D77"/>
    <mergeCell ref="C78:D78"/>
    <mergeCell ref="C79:D79"/>
    <mergeCell ref="C80:D80"/>
    <mergeCell ref="C70:D70"/>
    <mergeCell ref="C71:D71"/>
    <mergeCell ref="C72:D72"/>
    <mergeCell ref="C75:D75"/>
    <mergeCell ref="C64:D64"/>
    <mergeCell ref="C67:D67"/>
    <mergeCell ref="C68:D68"/>
    <mergeCell ref="C69:D69"/>
    <mergeCell ref="C59:D59"/>
    <mergeCell ref="C60:D60"/>
    <mergeCell ref="C61:D61"/>
    <mergeCell ref="C62:D62"/>
    <mergeCell ref="C63:D63"/>
    <mergeCell ref="C48:D48"/>
    <mergeCell ref="N36:N37"/>
    <mergeCell ref="O36:O37"/>
    <mergeCell ref="P36:P37"/>
    <mergeCell ref="Q36:Q37"/>
    <mergeCell ref="R36:R37"/>
    <mergeCell ref="C43:D43"/>
    <mergeCell ref="C54:D54"/>
    <mergeCell ref="C55:D55"/>
    <mergeCell ref="N55:N56"/>
    <mergeCell ref="O55:X55"/>
    <mergeCell ref="C44:D44"/>
    <mergeCell ref="C45:D45"/>
    <mergeCell ref="N45:S45"/>
    <mergeCell ref="T45:Y45"/>
    <mergeCell ref="C46:D46"/>
    <mergeCell ref="C47:D47"/>
    <mergeCell ref="C50:D50"/>
    <mergeCell ref="C49:D49"/>
    <mergeCell ref="AB32:AC32"/>
    <mergeCell ref="T28:T29"/>
    <mergeCell ref="U28:U29"/>
    <mergeCell ref="AB28:AC28"/>
    <mergeCell ref="C41:D41"/>
    <mergeCell ref="C42:D42"/>
    <mergeCell ref="AB30:AC30"/>
    <mergeCell ref="C40:D40"/>
    <mergeCell ref="N28:N29"/>
    <mergeCell ref="O28:O29"/>
    <mergeCell ref="P28:P29"/>
    <mergeCell ref="Q28:Q29"/>
    <mergeCell ref="S28:S29"/>
    <mergeCell ref="S36:S37"/>
    <mergeCell ref="T36:T37"/>
    <mergeCell ref="U36:U37"/>
    <mergeCell ref="V36:V37"/>
    <mergeCell ref="W36:W37"/>
    <mergeCell ref="X36:X37"/>
    <mergeCell ref="E16:F16"/>
    <mergeCell ref="N16:N20"/>
    <mergeCell ref="E17:F17"/>
    <mergeCell ref="E18:F18"/>
    <mergeCell ref="AB18:AC18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  <mergeCell ref="F21:G21"/>
  </mergeCells>
  <conditionalFormatting sqref="C56">
    <cfRule type="expression" dxfId="387" priority="18" stopIfTrue="1">
      <formula>COUNT(C51:C55)&lt;&gt;5</formula>
    </cfRule>
  </conditionalFormatting>
  <conditionalFormatting sqref="C64">
    <cfRule type="expression" dxfId="386" priority="2" stopIfTrue="1">
      <formula>COUNT(C59:C63)&lt;&gt;5</formula>
    </cfRule>
  </conditionalFormatting>
  <conditionalFormatting sqref="C72">
    <cfRule type="expression" dxfId="385" priority="8" stopIfTrue="1">
      <formula>COUNT(C67:C71)&lt;&gt;5</formula>
    </cfRule>
  </conditionalFormatting>
  <conditionalFormatting sqref="C80">
    <cfRule type="expression" dxfId="384" priority="7" stopIfTrue="1">
      <formula>COUNT(C75:C79)&lt;&gt;5</formula>
    </cfRule>
  </conditionalFormatting>
  <conditionalFormatting sqref="C88">
    <cfRule type="expression" dxfId="383" priority="6" stopIfTrue="1">
      <formula>COUNT(C83:C87)&lt;&gt;5</formula>
    </cfRule>
  </conditionalFormatting>
  <conditionalFormatting sqref="C96">
    <cfRule type="expression" dxfId="382" priority="5" stopIfTrue="1">
      <formula>COUNT(C91:C95)&lt;&gt;5</formula>
    </cfRule>
  </conditionalFormatting>
  <conditionalFormatting sqref="C104">
    <cfRule type="expression" dxfId="381" priority="4" stopIfTrue="1">
      <formula>COUNT(C99:C103)&lt;&gt;5</formula>
    </cfRule>
  </conditionalFormatting>
  <conditionalFormatting sqref="C112">
    <cfRule type="expression" dxfId="380" priority="3" stopIfTrue="1">
      <formula>COUNT(C107:C111)&lt;&gt;5</formula>
    </cfRule>
  </conditionalFormatting>
  <conditionalFormatting sqref="C48:E48">
    <cfRule type="expression" dxfId="379" priority="19" stopIfTrue="1">
      <formula>COUNT(C43:C47)&lt;&gt;5</formula>
    </cfRule>
  </conditionalFormatting>
  <conditionalFormatting sqref="C120:E120">
    <cfRule type="expression" dxfId="378" priority="9" stopIfTrue="1">
      <formula>COUNT(C115:C119)&lt;&gt;5</formula>
    </cfRule>
  </conditionalFormatting>
  <conditionalFormatting sqref="E56">
    <cfRule type="expression" dxfId="377" priority="17" stopIfTrue="1">
      <formula>COUNT(E51:E55)&lt;&gt;5</formula>
    </cfRule>
  </conditionalFormatting>
  <conditionalFormatting sqref="E64">
    <cfRule type="expression" dxfId="376" priority="1" stopIfTrue="1">
      <formula>COUNT(E59:E63)&lt;&gt;5</formula>
    </cfRule>
  </conditionalFormatting>
  <conditionalFormatting sqref="E72">
    <cfRule type="expression" dxfId="375" priority="16" stopIfTrue="1">
      <formula>COUNT(E67:E71)&lt;&gt;5</formula>
    </cfRule>
  </conditionalFormatting>
  <conditionalFormatting sqref="E80">
    <cfRule type="expression" dxfId="374" priority="15" stopIfTrue="1">
      <formula>COUNT(E75:E79)&lt;&gt;5</formula>
    </cfRule>
  </conditionalFormatting>
  <conditionalFormatting sqref="E88">
    <cfRule type="expression" dxfId="373" priority="14" stopIfTrue="1">
      <formula>COUNT(E83:E87)&lt;&gt;5</formula>
    </cfRule>
  </conditionalFormatting>
  <conditionalFormatting sqref="E96">
    <cfRule type="expression" dxfId="372" priority="13" stopIfTrue="1">
      <formula>COUNT(E91:E95)&lt;&gt;5</formula>
    </cfRule>
  </conditionalFormatting>
  <conditionalFormatting sqref="E104">
    <cfRule type="expression" dxfId="371" priority="12" stopIfTrue="1">
      <formula>COUNT(E99:E103)&lt;&gt;5</formula>
    </cfRule>
  </conditionalFormatting>
  <conditionalFormatting sqref="E112">
    <cfRule type="expression" dxfId="370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33793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33793" r:id="rId4"/>
      </mc:Fallback>
    </mc:AlternateContent>
    <mc:AlternateContent xmlns:mc="http://schemas.openxmlformats.org/markup-compatibility/2006">
      <mc:Choice Requires="x14">
        <oleObject progId="Equation.3" shapeId="33794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33794" r:id="rId6"/>
      </mc:Fallback>
    </mc:AlternateContent>
    <mc:AlternateContent xmlns:mc="http://schemas.openxmlformats.org/markup-compatibility/2006">
      <mc:Choice Requires="x14">
        <oleObject progId="Equation.3" shapeId="33795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33795" r:id="rId8"/>
      </mc:Fallback>
    </mc:AlternateContent>
    <mc:AlternateContent xmlns:mc="http://schemas.openxmlformats.org/markup-compatibility/2006">
      <mc:Choice Requires="x14">
        <oleObject progId="Equation.3" shapeId="33796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33796" r:id="rId10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F0"/>
  </sheetPr>
  <dimension ref="A1:X81"/>
  <sheetViews>
    <sheetView topLeftCell="B1"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5'!O85</f>
        <v>-2.8986000000000005</v>
      </c>
      <c r="C2" s="37">
        <f>'PERHITUNGAN 5'!N85</f>
        <v>-26.880000000000003</v>
      </c>
      <c r="D2" s="75">
        <f>C2^2</f>
        <v>722.53440000000012</v>
      </c>
      <c r="E2" s="37">
        <f>C2^3</f>
        <v>-19421.724672000004</v>
      </c>
      <c r="F2" s="91">
        <f>C2^4</f>
        <v>522055.95918336016</v>
      </c>
      <c r="G2" s="91">
        <f>C2^5</f>
        <v>-14032864.182848722</v>
      </c>
      <c r="H2" s="91">
        <f>C2^6</f>
        <v>377203389.23497367</v>
      </c>
      <c r="I2" s="91">
        <f>C2^7</f>
        <v>-10139227102.636093</v>
      </c>
      <c r="J2" s="91">
        <f>C2^8</f>
        <v>272542424518.85822</v>
      </c>
      <c r="K2" s="91">
        <f>C2^9</f>
        <v>-7325940371066.9092</v>
      </c>
      <c r="L2" s="91">
        <f>C2^10</f>
        <v>196921277174278.53</v>
      </c>
      <c r="Q2" s="12"/>
    </row>
    <row r="3" spans="1:24">
      <c r="A3" s="25">
        <v>2</v>
      </c>
      <c r="B3" s="37">
        <f>'PERHITUNGAN 5'!O86</f>
        <v>-3.6689999999999996</v>
      </c>
      <c r="C3" s="37">
        <f>'PERHITUNGAN 5'!N86</f>
        <v>3.87</v>
      </c>
      <c r="D3" s="75">
        <f t="shared" ref="D3:D9" si="0">C3^2</f>
        <v>14.976900000000001</v>
      </c>
      <c r="E3" s="37">
        <f t="shared" ref="E3:E9" si="1">C3^3</f>
        <v>57.960603000000006</v>
      </c>
      <c r="F3" s="91">
        <f t="shared" ref="F3:F9" si="2">C3^4</f>
        <v>224.30753361000001</v>
      </c>
      <c r="G3" s="91">
        <f t="shared" ref="G3:G9" si="3">C3^5</f>
        <v>868.07015507070003</v>
      </c>
      <c r="H3" s="91">
        <f t="shared" ref="H3:H9" si="4">C3^6</f>
        <v>3359.4315001236091</v>
      </c>
      <c r="I3" s="91">
        <f t="shared" ref="I3:I9" si="5">C3^7</f>
        <v>13000.999905478369</v>
      </c>
      <c r="J3" s="91">
        <f t="shared" ref="J3:J9" si="6">C3^8</f>
        <v>50313.869634201284</v>
      </c>
      <c r="K3" s="91">
        <f t="shared" ref="K3:K9" si="7">C3^9</f>
        <v>194714.67548435897</v>
      </c>
      <c r="L3" s="91">
        <f t="shared" ref="L3:L9" si="8">C3^10</f>
        <v>753545.79412446928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5'!O87</f>
        <v>-0.36999999999999744</v>
      </c>
      <c r="C4" s="37">
        <f>'PERHITUNGAN 5'!N87</f>
        <v>50.72</v>
      </c>
      <c r="D4" s="75">
        <f t="shared" si="0"/>
        <v>2572.5183999999999</v>
      </c>
      <c r="E4" s="37">
        <f t="shared" si="1"/>
        <v>130478.133248</v>
      </c>
      <c r="F4" s="91">
        <f t="shared" si="2"/>
        <v>6617850.9183385596</v>
      </c>
      <c r="G4" s="91">
        <f t="shared" si="3"/>
        <v>335657398.57813174</v>
      </c>
      <c r="H4" s="91">
        <f t="shared" si="4"/>
        <v>17024543255.882841</v>
      </c>
      <c r="I4" s="91">
        <f t="shared" si="5"/>
        <v>863484833938.37769</v>
      </c>
      <c r="J4" s="91">
        <f t="shared" si="6"/>
        <v>43795950777354.516</v>
      </c>
      <c r="K4" s="91">
        <f t="shared" si="7"/>
        <v>2221330623427421</v>
      </c>
      <c r="L4" s="91">
        <f t="shared" si="8"/>
        <v>1.1266588922023878E+17</v>
      </c>
      <c r="R4" s="414" t="str">
        <f>IF('PERHITUNGAN 1'!$C$2="Celcius","(°C)","(°F)")</f>
        <v>(°C)</v>
      </c>
      <c r="S4" s="415"/>
      <c r="T4" s="5" t="str">
        <f>IF('PERHITUNGAN 1'!$C$2="Celcius","(°C)","(°F)")</f>
        <v>(°C)</v>
      </c>
      <c r="U4" s="14"/>
      <c r="V4" s="1"/>
    </row>
    <row r="5" spans="1:24">
      <c r="A5" s="25">
        <v>4</v>
      </c>
      <c r="B5" s="37">
        <f>'PERHITUNGAN 5'!O88</f>
        <v>-0.67400000000000659</v>
      </c>
      <c r="C5" s="37">
        <f>'PERHITUNGAN 5'!N88</f>
        <v>100.56</v>
      </c>
      <c r="D5" s="75">
        <f t="shared" si="0"/>
        <v>10112.313600000001</v>
      </c>
      <c r="E5" s="37">
        <f t="shared" si="1"/>
        <v>1016894.2556160002</v>
      </c>
      <c r="F5" s="91">
        <f t="shared" si="2"/>
        <v>102258886.34474498</v>
      </c>
      <c r="G5" s="91">
        <f t="shared" si="3"/>
        <v>10283153610.827555</v>
      </c>
      <c r="H5" s="91">
        <f t="shared" si="4"/>
        <v>1034073927104.8191</v>
      </c>
      <c r="I5" s="91">
        <f t="shared" si="5"/>
        <v>103986474109660.61</v>
      </c>
      <c r="J5" s="91">
        <f t="shared" si="6"/>
        <v>1.0456879836467472E+16</v>
      </c>
      <c r="K5" s="91">
        <f t="shared" si="7"/>
        <v>1.051543836355169E+18</v>
      </c>
      <c r="L5" s="91">
        <f t="shared" si="8"/>
        <v>1.0574324818387581E+20</v>
      </c>
      <c r="R5" s="412"/>
      <c r="S5" s="413"/>
      <c r="T5" s="21"/>
      <c r="U5" s="32"/>
    </row>
    <row r="6" spans="1:24">
      <c r="A6" s="25">
        <v>5</v>
      </c>
      <c r="B6" s="37">
        <f>'PERHITUNGAN 5'!O89</f>
        <v>-0.78100000000000591</v>
      </c>
      <c r="C6" s="37">
        <f>'PERHITUNGAN 5'!N89</f>
        <v>150.5</v>
      </c>
      <c r="D6" s="75">
        <f t="shared" si="0"/>
        <v>22650.25</v>
      </c>
      <c r="E6" s="37">
        <f t="shared" si="1"/>
        <v>3408862.625</v>
      </c>
      <c r="F6" s="91">
        <f t="shared" si="2"/>
        <v>513033825.0625</v>
      </c>
      <c r="G6" s="91">
        <f t="shared" si="3"/>
        <v>77211590671.90625</v>
      </c>
      <c r="H6" s="91">
        <f t="shared" si="4"/>
        <v>11620344396121.891</v>
      </c>
      <c r="I6" s="91">
        <f t="shared" si="5"/>
        <v>1748861831616344.5</v>
      </c>
      <c r="J6" s="91">
        <f t="shared" si="6"/>
        <v>2.6320370565825984E+17</v>
      </c>
      <c r="K6" s="91">
        <f t="shared" si="7"/>
        <v>3.9612157701568102E+19</v>
      </c>
      <c r="L6" s="91">
        <f t="shared" si="8"/>
        <v>5.961629734086E+21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5'!O90</f>
        <v>-0.41399999999998727</v>
      </c>
      <c r="C7" s="37">
        <f>'PERHITUNGAN 5'!N90</f>
        <v>199.88</v>
      </c>
      <c r="D7" s="75">
        <f t="shared" si="0"/>
        <v>39952.0144</v>
      </c>
      <c r="E7" s="37">
        <f t="shared" si="1"/>
        <v>7985608.6382719995</v>
      </c>
      <c r="F7" s="91">
        <f t="shared" si="2"/>
        <v>1596163454.6178074</v>
      </c>
      <c r="G7" s="91">
        <f t="shared" si="3"/>
        <v>319041151309.00732</v>
      </c>
      <c r="H7" s="91">
        <f t="shared" si="4"/>
        <v>63769945323644.391</v>
      </c>
      <c r="I7" s="91">
        <f t="shared" si="5"/>
        <v>1.274633667129004E+16</v>
      </c>
      <c r="J7" s="91">
        <f t="shared" si="6"/>
        <v>2.5477377738574531E+18</v>
      </c>
      <c r="K7" s="91">
        <f t="shared" si="7"/>
        <v>5.0924182623862771E+20</v>
      </c>
      <c r="L7" s="91">
        <f t="shared" si="8"/>
        <v>1.017872562285769E+23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5'!O91</f>
        <v>-0.21099999999998431</v>
      </c>
      <c r="C8" s="37">
        <f>'PERHITUNGAN 5'!N91</f>
        <v>249.69</v>
      </c>
      <c r="D8" s="75">
        <f t="shared" si="0"/>
        <v>62345.096100000002</v>
      </c>
      <c r="E8" s="37">
        <f t="shared" si="1"/>
        <v>15566947.045209</v>
      </c>
      <c r="F8" s="91">
        <f t="shared" si="2"/>
        <v>3886911007.7182355</v>
      </c>
      <c r="G8" s="91">
        <f t="shared" si="3"/>
        <v>970522809517.16626</v>
      </c>
      <c r="H8" s="91">
        <f t="shared" si="4"/>
        <v>242329840308341.25</v>
      </c>
      <c r="I8" s="91">
        <f t="shared" si="5"/>
        <v>6.050733782658972E+16</v>
      </c>
      <c r="J8" s="91">
        <f t="shared" si="6"/>
        <v>1.510807718192119E+19</v>
      </c>
      <c r="K8" s="91">
        <f t="shared" si="7"/>
        <v>3.772335791553902E+21</v>
      </c>
      <c r="L8" s="91">
        <f t="shared" si="8"/>
        <v>9.4191452379309378E+23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5'!O92</f>
        <v>-0.23400000000003729</v>
      </c>
      <c r="C9" s="37">
        <f>'PERHITUNGAN 5'!N92</f>
        <v>259.79000000000002</v>
      </c>
      <c r="D9" s="75">
        <f t="shared" si="0"/>
        <v>67490.844100000017</v>
      </c>
      <c r="E9" s="37">
        <f t="shared" si="1"/>
        <v>17533446.388739005</v>
      </c>
      <c r="F9" s="91">
        <f t="shared" si="2"/>
        <v>4555014037.3305073</v>
      </c>
      <c r="G9" s="91">
        <f t="shared" si="3"/>
        <v>1183347096758.0925</v>
      </c>
      <c r="H9" s="91">
        <f t="shared" si="4"/>
        <v>307421742266784.94</v>
      </c>
      <c r="I9" s="91">
        <f t="shared" si="5"/>
        <v>7.9865094423488064E+16</v>
      </c>
      <c r="J9" s="91">
        <f t="shared" si="6"/>
        <v>2.0748152880277967E+19</v>
      </c>
      <c r="K9" s="91">
        <f t="shared" si="7"/>
        <v>5.3901626367674134E+21</v>
      </c>
      <c r="L9" s="91">
        <f t="shared" si="8"/>
        <v>1.4003103514058066E+24</v>
      </c>
      <c r="R9" s="408"/>
      <c r="S9" s="409"/>
      <c r="T9" s="23"/>
      <c r="U9" s="27"/>
      <c r="V9" s="88"/>
    </row>
    <row r="10" spans="1:24">
      <c r="A10" s="25">
        <v>9</v>
      </c>
      <c r="B10" s="37"/>
      <c r="C10" s="37"/>
      <c r="D10" s="75"/>
      <c r="E10" s="37"/>
      <c r="F10" s="91"/>
      <c r="G10" s="91"/>
      <c r="H10" s="91"/>
      <c r="I10" s="91"/>
      <c r="J10" s="91"/>
      <c r="K10" s="91"/>
      <c r="L10" s="91"/>
      <c r="R10" s="408"/>
      <c r="S10" s="409"/>
      <c r="T10" s="23"/>
      <c r="U10" s="27"/>
      <c r="V10" s="88"/>
    </row>
    <row r="11" spans="1:24">
      <c r="A11" s="25">
        <v>10</v>
      </c>
      <c r="B11" s="37"/>
      <c r="C11" s="37"/>
      <c r="D11" s="75"/>
      <c r="E11" s="37"/>
      <c r="F11" s="91"/>
      <c r="G11" s="91"/>
      <c r="H11" s="91"/>
      <c r="I11" s="91"/>
      <c r="J11" s="91"/>
      <c r="K11" s="91"/>
      <c r="L11" s="91"/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f>'REGRESI 4'!R19:S19</f>
        <v>-10</v>
      </c>
      <c r="S19" s="409"/>
      <c r="T19" s="23">
        <f>$S$38+($S$39*R19)+($S$40*(R19^2))+($S$41*(R19^3))+($S$42*(R19^4))+($S$43*(R19^5))+($S$44*(R19^6))+($S$45*(R19^7))+($S$46*(R19^8))+($S$47*(R19^9))+($S$48*(R19^10))</f>
        <v>-1.1136317267700995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4'!R20:S20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-0.61419091681581017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4'!R21:S21</f>
        <v>25</v>
      </c>
      <c r="S21" s="409"/>
      <c r="T21" s="23">
        <f t="shared" si="9"/>
        <v>0.18832006555109057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4'!R22:S22</f>
        <v>50</v>
      </c>
      <c r="S22" s="409"/>
      <c r="T22" s="23">
        <f t="shared" si="9"/>
        <v>0.46752972606405624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4'!R23:S23</f>
        <v>100</v>
      </c>
      <c r="S23" s="409"/>
      <c r="T23" s="23">
        <f t="shared" si="9"/>
        <v>2.5903061678666184E-2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4'!R24:S24</f>
        <v>125</v>
      </c>
      <c r="S24" s="409"/>
      <c r="T24" s="23">
        <f t="shared" si="9"/>
        <v>-0.41000427314444865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4'!R25:S25</f>
        <v>150</v>
      </c>
      <c r="S25" s="409"/>
      <c r="T25" s="23">
        <f t="shared" si="9"/>
        <v>-0.79935494967101306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4'!R26:S26</f>
        <v>200</v>
      </c>
      <c r="S26" s="409"/>
      <c r="T26" s="23">
        <f t="shared" si="9"/>
        <v>-0.86852834768401266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4'!R27:S27</f>
        <v>0</v>
      </c>
      <c r="S27" s="409"/>
      <c r="T27" s="23">
        <f t="shared" si="9"/>
        <v>-0.61419091681581017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4'!R28:S28</f>
        <v>0</v>
      </c>
      <c r="S28" s="409"/>
      <c r="T28" s="23">
        <f t="shared" si="9"/>
        <v>-0.61419091681581017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0.9383887941018445</v>
      </c>
      <c r="Q33" s="31" t="s">
        <v>100</v>
      </c>
      <c r="U33" s="70"/>
    </row>
    <row r="34" spans="2:24">
      <c r="B34" t="s">
        <v>76</v>
      </c>
      <c r="C34">
        <v>0.88057352889591389</v>
      </c>
      <c r="X34" s="46"/>
    </row>
    <row r="35" spans="2:24">
      <c r="B35" t="s">
        <v>77</v>
      </c>
      <c r="C35">
        <v>0.79100367556784934</v>
      </c>
      <c r="Q35" t="s">
        <v>99</v>
      </c>
    </row>
    <row r="36" spans="2:24">
      <c r="B36" t="s">
        <v>78</v>
      </c>
      <c r="C36">
        <v>0.26736030698045704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-0.61419091681581017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0"/>
        <v>4.4465992332256343E-2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-5.3261265351324484E-4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2.1082343250052737</v>
      </c>
      <c r="E41">
        <v>0.70274477500175792</v>
      </c>
      <c r="F41">
        <v>9.8311373322301385</v>
      </c>
      <c r="G41">
        <v>2.565288624103958E-2</v>
      </c>
      <c r="R41" s="26" t="s">
        <v>112</v>
      </c>
      <c r="S41">
        <f t="shared" si="10"/>
        <v>1.51962128040129E-6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0.28592613499473685</v>
      </c>
      <c r="E42">
        <v>7.1481533748684212E-2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2.3941604600000108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>
      <c r="R44" s="26" t="s">
        <v>138</v>
      </c>
      <c r="S44">
        <f t="shared" si="10"/>
        <v>0</v>
      </c>
      <c r="U44" s="26"/>
    </row>
    <row r="45" spans="2:24">
      <c r="C45" t="s">
        <v>90</v>
      </c>
      <c r="D45" t="s">
        <v>78</v>
      </c>
      <c r="E45" t="s">
        <v>91</v>
      </c>
      <c r="F45" t="s">
        <v>92</v>
      </c>
      <c r="G45" t="s">
        <v>93</v>
      </c>
      <c r="H45" t="s">
        <v>94</v>
      </c>
      <c r="I45" t="s">
        <v>120</v>
      </c>
      <c r="J45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-0.61419091681581017</v>
      </c>
      <c r="D46">
        <v>0.16126723226403972</v>
      </c>
      <c r="E46">
        <v>-3.8085289131161333</v>
      </c>
      <c r="F46">
        <v>1.896409094868497E-2</v>
      </c>
      <c r="G46">
        <v>-1.0619405344640989</v>
      </c>
      <c r="H46">
        <v>-0.16644129916752143</v>
      </c>
      <c r="I46">
        <v>-1.0619405344640989</v>
      </c>
      <c r="J46">
        <v>-0.16644129916752143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4.4465992332256343E-2</v>
      </c>
      <c r="D47">
        <v>9.2873152289832308E-3</v>
      </c>
      <c r="E47">
        <v>4.7878198635370808</v>
      </c>
      <c r="F47">
        <v>8.7254598220961772E-3</v>
      </c>
      <c r="G47">
        <v>1.8680271424316927E-2</v>
      </c>
      <c r="H47">
        <v>7.0251713240195759E-2</v>
      </c>
      <c r="I47">
        <v>1.8680271424316927E-2</v>
      </c>
      <c r="J47">
        <v>7.0251713240195759E-2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-5.3261265351324484E-4</v>
      </c>
      <c r="D48">
        <v>1.2261556492720817E-4</v>
      </c>
      <c r="E48">
        <v>-4.3437605480954655</v>
      </c>
      <c r="F48">
        <v>1.2216786675802026E-2</v>
      </c>
      <c r="G48">
        <v>-8.7304803857645417E-4</v>
      </c>
      <c r="H48">
        <v>-1.921772684500355E-4</v>
      </c>
      <c r="I48">
        <v>-8.7304803857645417E-4</v>
      </c>
      <c r="J48">
        <v>-1.921772684500355E-4</v>
      </c>
      <c r="R48" s="26" t="s">
        <v>142</v>
      </c>
      <c r="S48">
        <f t="shared" si="10"/>
        <v>0</v>
      </c>
      <c r="U48" s="26"/>
    </row>
    <row r="49" spans="2:21">
      <c r="B49" t="s">
        <v>109</v>
      </c>
      <c r="C49">
        <v>1.51962128040129E-6</v>
      </c>
      <c r="D49">
        <v>4.1075344750203966E-7</v>
      </c>
      <c r="E49">
        <v>3.699594707342643</v>
      </c>
      <c r="F49">
        <v>2.0842821328414807E-2</v>
      </c>
      <c r="G49">
        <v>3.7918688164113328E-7</v>
      </c>
      <c r="H49">
        <v>2.660055679161447E-6</v>
      </c>
      <c r="I49">
        <v>3.7918688164113328E-7</v>
      </c>
      <c r="J49">
        <v>2.660055679161447E-6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EF312-44FD-465E-9F7A-9FFAC5B53726}">
  <dimension ref="A1:AH187"/>
  <sheetViews>
    <sheetView workbookViewId="0">
      <selection activeCell="J106" sqref="J106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1'!E5</f>
        <v>Termometer Digital</v>
      </c>
      <c r="F5" s="11"/>
      <c r="G5" s="11" t="s">
        <v>127</v>
      </c>
      <c r="H5" s="11" t="s">
        <v>16</v>
      </c>
      <c r="I5" s="66" t="str">
        <f>'PERHITUNGAN 1'!I5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1'!E6</f>
        <v>Hioki / LR 8431-20</v>
      </c>
      <c r="F6" s="11"/>
      <c r="G6" s="11" t="s">
        <v>128</v>
      </c>
      <c r="H6" s="11" t="s">
        <v>16</v>
      </c>
      <c r="I6" s="129">
        <f>'PERHITUNGAN 1'!I6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1'!E7</f>
        <v>210149173</v>
      </c>
      <c r="F7" s="11"/>
      <c r="G7" s="11" t="s">
        <v>44</v>
      </c>
      <c r="H7" s="11" t="s">
        <v>16</v>
      </c>
      <c r="I7" s="31">
        <v>6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19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ref="T20:T25" si="1">P20/R20</f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1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1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1'!D24</f>
        <v>22</v>
      </c>
      <c r="E23" s="244">
        <f>'PERHITUNGAN 1'!E24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1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1'!D25</f>
        <v>22</v>
      </c>
      <c r="E24" s="244">
        <f>'PERHITUNGAN 1'!E25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1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1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1'!D28</f>
        <v>20</v>
      </c>
      <c r="E27" s="244">
        <f>'PERHITUNGAN 1'!E28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1'!D29</f>
        <v>20</v>
      </c>
      <c r="E28" s="244">
        <f>'PERHITUNGAN 1'!E29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1'!D33</f>
        <v>55</v>
      </c>
      <c r="E32" s="244">
        <f>'PERHITUNGAN 1'!E33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1'!D34</f>
        <v>55</v>
      </c>
      <c r="E33" s="244">
        <f>'PERHITUNGAN 1'!E34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0.188</v>
      </c>
      <c r="P36" s="380">
        <f>F56</f>
        <v>50.347000000000001</v>
      </c>
      <c r="Q36" s="380">
        <f>F64</f>
        <v>99.884</v>
      </c>
      <c r="R36" s="380">
        <f>F72</f>
        <v>149.71700000000001</v>
      </c>
      <c r="S36" s="380">
        <f>F80</f>
        <v>199.46700000000001</v>
      </c>
      <c r="T36" s="380">
        <f>F88</f>
        <v>249.47899999999998</v>
      </c>
      <c r="U36" s="380">
        <f>F96</f>
        <v>259.55700000000002</v>
      </c>
      <c r="V36" s="380">
        <f>F104</f>
        <v>0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6'!$E$11="Burn Engr",IF(O36&lt;=$AA$38,$AB$38,$AB$39),IF(O36&lt;=$AC$38,$AD$38,IF(O36&lt;=$AC$39,$AD$39,$AD$40)))</f>
        <v>7.0000000000000007E-2</v>
      </c>
      <c r="P38" s="54">
        <f>IF('PERHITUNGAN 6'!$E$11="Burn Engr",IF(P36&lt;=$AA$38,$AB$38,$AB$39),IF(P36&lt;=$AC$38,$AD$38,IF(P36&lt;=$AC$39,$AD$39,$AD$40)))</f>
        <v>7.0000000000000007E-2</v>
      </c>
      <c r="Q38" s="54">
        <f>IF('PERHITUNGAN 6'!$E$11="Burn Engr",IF(Q36&lt;=$AA$38,$AB$38,$AB$39),IF(Q36&lt;=$AC$38,$AD$38,IF(Q36&lt;=$AC$39,$AD$39,$AD$40)))</f>
        <v>7.0000000000000007E-2</v>
      </c>
      <c r="R38" s="54">
        <f>IF('PERHITUNGAN 6'!$E$11="Burn Engr",IF(R36&lt;=$AA$38,$AB$38,$AB$39),IF(R36&lt;=$AC$38,$AD$38,IF(R36&lt;=$AC$39,$AD$39,$AD$40)))</f>
        <v>7.0000000000000007E-2</v>
      </c>
      <c r="S38" s="54">
        <f>IF('PERHITUNGAN 6'!$E$11="Burn Engr",IF(S36&lt;=$AA$38,$AB$38,$AB$39),IF(S36&lt;=$AC$38,$AD$38,IF(S36&lt;=$AC$39,$AD$39,$AD$40)))</f>
        <v>7.0000000000000007E-2</v>
      </c>
      <c r="T38" s="54">
        <f>IF('PERHITUNGAN 6'!$E$11="Burn Engr",IF(T36&lt;=$AA$38,$AB$38,$AB$39),IF(T36&lt;=$AC$38,$AD$38,IF(T36&lt;=$AC$39,$AD$39,$AD$40)))</f>
        <v>7.0000000000000007E-2</v>
      </c>
      <c r="U38" s="54">
        <f>IF('PERHITUNGAN 6'!$E$11="Burn Engr",IF(U36&lt;=$AA$38,$AB$38,$AB$39),IF(U36&lt;=$AC$38,$AD$38,IF(U36&lt;=$AC$39,$AD$39,$AD$40)))</f>
        <v>7.0000000000000007E-2</v>
      </c>
      <c r="V38" s="54">
        <f>IF('PERHITUNGAN 6'!$E$11="Burn Engr",IF(V36&lt;=$AA$38,$AB$38,$AB$39),IF(V36&lt;=$AC$38,$AD$38,IF(V36&lt;=$AC$39,$AD$39,$AD$40)))</f>
        <v>0.02</v>
      </c>
      <c r="W38" s="54">
        <f>IF('PERHITUNGAN 6'!$E$11="Burn Engr",IF(W36&lt;=$AA$38,$AB$38,$AB$39),IF(W36&lt;=$AC$38,$AD$38,IF(W36&lt;=$AC$39,$AD$39,$AD$40)))</f>
        <v>0.02</v>
      </c>
      <c r="X38" s="54">
        <f>IF('PERHITUNGAN 6'!$E$11="Burn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3.5000000000000003E-2</v>
      </c>
      <c r="P40" s="37">
        <f t="shared" ref="P40:X40" si="2">P38/P39</f>
        <v>3.5000000000000003E-2</v>
      </c>
      <c r="Q40" s="37">
        <f t="shared" si="2"/>
        <v>3.5000000000000003E-2</v>
      </c>
      <c r="R40" s="37">
        <f>R38/R39</f>
        <v>3.5000000000000003E-2</v>
      </c>
      <c r="S40" s="37">
        <f t="shared" si="2"/>
        <v>3.5000000000000003E-2</v>
      </c>
      <c r="T40" s="37">
        <f t="shared" si="2"/>
        <v>3.5000000000000003E-2</v>
      </c>
      <c r="U40" s="37">
        <f t="shared" si="2"/>
        <v>3.5000000000000003E-2</v>
      </c>
      <c r="V40" s="37">
        <f t="shared" si="2"/>
        <v>0.01</v>
      </c>
      <c r="W40" s="37">
        <f t="shared" si="2"/>
        <v>0.01</v>
      </c>
      <c r="X40" s="37">
        <f t="shared" si="2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0</v>
      </c>
      <c r="C43" s="373">
        <v>0.71</v>
      </c>
      <c r="D43" s="374"/>
      <c r="E43" s="90">
        <v>0.188</v>
      </c>
      <c r="F43" s="37">
        <f>IF('PERHITUNGAN 6'!$E$11="Burn Engr",'PERHITUNGAN 6'!E43,E43+('regresi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0.188</v>
      </c>
      <c r="G43" s="90">
        <f>F43-C43</f>
        <v>-0.52200000000000002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0.71</v>
      </c>
      <c r="D44" s="374"/>
      <c r="E44" s="90">
        <v>0.188</v>
      </c>
      <c r="F44" s="37">
        <f>IF('PERHITUNGAN 6'!$E$11="Burn Engr",'PERHITUNGAN 6'!E44,E44+('regresi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0.188</v>
      </c>
      <c r="G44" s="90">
        <f>F44-C44</f>
        <v>-0.52200000000000002</v>
      </c>
      <c r="H44" s="63"/>
      <c r="I44" s="63"/>
      <c r="AB44" s="1"/>
    </row>
    <row r="45" spans="1:30" ht="13.5" customHeight="1">
      <c r="A45" s="105"/>
      <c r="C45" s="373">
        <v>0.71</v>
      </c>
      <c r="D45" s="374"/>
      <c r="E45" s="90">
        <v>0.188</v>
      </c>
      <c r="F45" s="37">
        <f>IF('PERHITUNGAN 6'!$E$11="Burn Engr",'PERHITUNGAN 6'!E45,E45+('regresi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0.188</v>
      </c>
      <c r="G45" s="90">
        <f>F45-C45</f>
        <v>-0.52200000000000002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0.71</v>
      </c>
      <c r="D46" s="374"/>
      <c r="E46" s="90">
        <v>0.188</v>
      </c>
      <c r="F46" s="37">
        <f>IF('PERHITUNGAN 6'!$E$11="Burn Engr",'PERHITUNGAN 6'!E46,E46+('regresi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0.188</v>
      </c>
      <c r="G46" s="90">
        <f>F46-C46</f>
        <v>-0.52200000000000002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0.71</v>
      </c>
      <c r="D47" s="374"/>
      <c r="E47" s="90">
        <v>0.188</v>
      </c>
      <c r="F47" s="37">
        <f>IF('PERHITUNGAN 6'!$E$11="Burn Engr",'PERHITUNGAN 6'!E47,E47+('regresi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0.188</v>
      </c>
      <c r="G47" s="90">
        <f>F47-C47</f>
        <v>-0.52200000000000002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3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0.71</v>
      </c>
      <c r="D48" s="357"/>
      <c r="E48" s="95">
        <f>AVERAGE(E43:E47)</f>
        <v>0.188</v>
      </c>
      <c r="F48" s="95">
        <f>AVERAGE(F43:F47)</f>
        <v>0.188</v>
      </c>
      <c r="G48" s="95">
        <f>SUM(G43:G47)/5</f>
        <v>-0.52200000000000002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3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0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3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0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3"/>
        <v>0.35</v>
      </c>
      <c r="T50" s="107"/>
    </row>
    <row r="51" spans="1:28" ht="15.5">
      <c r="A51" s="105">
        <v>2</v>
      </c>
      <c r="B51" s="194">
        <v>50</v>
      </c>
      <c r="C51" s="373">
        <v>50.48</v>
      </c>
      <c r="D51" s="374"/>
      <c r="E51" s="90">
        <v>50.347000000000001</v>
      </c>
      <c r="F51" s="37">
        <f>IF('PERHITUNGAN 6'!$E$11="Burn Engr",'PERHITUNGAN 6'!E51,E51+('regresi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50.347000000000001</v>
      </c>
      <c r="G51" s="90">
        <f>F51-C51</f>
        <v>-0.13299999999999557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3"/>
        <v>0.5</v>
      </c>
      <c r="T51" s="107"/>
    </row>
    <row r="52" spans="1:28" ht="15.5">
      <c r="A52" s="10"/>
      <c r="C52" s="373">
        <v>50.48</v>
      </c>
      <c r="D52" s="374"/>
      <c r="E52" s="90">
        <v>50.347000000000001</v>
      </c>
      <c r="F52" s="37">
        <f>IF('PERHITUNGAN 6'!$E$11="Burn Engr",'PERHITUNGAN 6'!E52,E52+('regresi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50.347000000000001</v>
      </c>
      <c r="G52" s="90">
        <f>F52-C52</f>
        <v>-0.13299999999999557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3"/>
        <v>0.5</v>
      </c>
      <c r="T52" s="107"/>
    </row>
    <row r="53" spans="1:28" ht="15.5">
      <c r="A53" s="10"/>
      <c r="C53" s="373">
        <v>50.48</v>
      </c>
      <c r="D53" s="374"/>
      <c r="E53" s="90">
        <v>50.347000000000001</v>
      </c>
      <c r="F53" s="37">
        <f>IF('PERHITUNGAN 6'!$E$11="Burn Engr",'PERHITUNGAN 6'!E53,E53+('regresi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50.347000000000001</v>
      </c>
      <c r="G53" s="90">
        <f>F53-C53</f>
        <v>-0.13299999999999557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50.48</v>
      </c>
      <c r="D54" s="374"/>
      <c r="E54" s="90">
        <v>50.347000000000001</v>
      </c>
      <c r="F54" s="37">
        <f>IF('PERHITUNGAN 6'!$E$11="Burn Engr",'PERHITUNGAN 6'!E54,E54+('regresi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50.347000000000001</v>
      </c>
      <c r="G54" s="90">
        <f>F54-C54</f>
        <v>-0.13299999999999557</v>
      </c>
      <c r="H54" s="63"/>
      <c r="I54" s="63"/>
      <c r="AB54" s="1"/>
    </row>
    <row r="55" spans="1:28" ht="13.5" customHeight="1">
      <c r="A55" s="10"/>
      <c r="C55" s="373">
        <v>50.48</v>
      </c>
      <c r="D55" s="374"/>
      <c r="E55" s="90">
        <v>50.347000000000001</v>
      </c>
      <c r="F55" s="37">
        <f>IF('PERHITUNGAN 6'!$E$11="Burn Engr",'PERHITUNGAN 6'!E55,E55+('regresi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50.347000000000001</v>
      </c>
      <c r="G55" s="90">
        <f>F55-C55</f>
        <v>-0.13299999999999557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50.48</v>
      </c>
      <c r="D56" s="334"/>
      <c r="E56" s="95">
        <f>AVERAGE(E51:E55)</f>
        <v>50.347000000000001</v>
      </c>
      <c r="F56" s="95">
        <f t="shared" ref="F56" si="4">AVERAGE(F51:F55)</f>
        <v>50.347000000000001</v>
      </c>
      <c r="G56" s="95">
        <f>SUM(G51:G55)/5</f>
        <v>-0.13299999999999557</v>
      </c>
      <c r="H56" s="63"/>
      <c r="I56" s="63"/>
      <c r="N56" s="390"/>
      <c r="O56" s="115">
        <f>C48</f>
        <v>0.71</v>
      </c>
      <c r="P56" s="115">
        <f>C56</f>
        <v>50.48</v>
      </c>
      <c r="Q56" s="115">
        <f>C64</f>
        <v>100.07</v>
      </c>
      <c r="R56" s="115">
        <f>C72</f>
        <v>149.91999999999999</v>
      </c>
      <c r="S56" s="115">
        <f>C80</f>
        <v>199.62</v>
      </c>
      <c r="T56" s="115">
        <f>C88</f>
        <v>249.61000000000004</v>
      </c>
      <c r="U56" s="115">
        <f>C96</f>
        <v>259.66000000000003</v>
      </c>
      <c r="V56" s="115" t="e">
        <f>C104</f>
        <v>#DIV/0!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0</v>
      </c>
      <c r="H57" s="44"/>
      <c r="I57" s="63"/>
      <c r="N57" s="25" t="s">
        <v>152</v>
      </c>
      <c r="O57" s="112">
        <f>$G$49/5^0.5</f>
        <v>0</v>
      </c>
      <c r="P57" s="112">
        <f>$G$57/5^0.5</f>
        <v>0</v>
      </c>
      <c r="Q57" s="112">
        <f>$G$65/5^0.5</f>
        <v>0</v>
      </c>
      <c r="R57" s="112">
        <f>$G$73/5^0.5</f>
        <v>0</v>
      </c>
      <c r="S57" s="112">
        <f>$G$81/5^0.5</f>
        <v>0</v>
      </c>
      <c r="T57" s="112">
        <f>$G$89/5^0.5</f>
        <v>0</v>
      </c>
      <c r="U57" s="112">
        <f>$G$97/5^0.5</f>
        <v>0</v>
      </c>
      <c r="V57" s="112" t="e">
        <f>$G$105/5^0.5</f>
        <v>#DIV/0!</v>
      </c>
      <c r="W57" s="112">
        <f>$G$113/5^0.5</f>
        <v>0</v>
      </c>
      <c r="X57" s="112">
        <f>$G$121/5^0.5</f>
        <v>0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0</v>
      </c>
      <c r="H58" s="44"/>
      <c r="I58" s="63"/>
      <c r="N58" s="25" t="s">
        <v>153</v>
      </c>
      <c r="O58" s="113">
        <f>IF('DRAFT-SERTIF'!$O$27="Ya",'REGRESI 6'!$C$36,0)</f>
        <v>0.36041503871600872</v>
      </c>
      <c r="P58" s="113">
        <f>IF('DRAFT-SERTIF'!$O$27="Ya",'REGRESI 6'!$C$36,0)</f>
        <v>0.36041503871600872</v>
      </c>
      <c r="Q58" s="113">
        <f>IF('DRAFT-SERTIF'!$O$27="Ya",'REGRESI 6'!$C$36,0)</f>
        <v>0.36041503871600872</v>
      </c>
      <c r="R58" s="113">
        <f>IF('DRAFT-SERTIF'!$O$27="Ya",'REGRESI 6'!$C$36,0)</f>
        <v>0.36041503871600872</v>
      </c>
      <c r="S58" s="113">
        <f>IF('DRAFT-SERTIF'!$O$27="Ya",'REGRESI 6'!$C$36,0)</f>
        <v>0.36041503871600872</v>
      </c>
      <c r="T58" s="113">
        <f>IF('DRAFT-SERTIF'!$O$27="Ya",'REGRESI 6'!$C$36,0)</f>
        <v>0.36041503871600872</v>
      </c>
      <c r="U58" s="113">
        <f>IF('DRAFT-SERTIF'!$O$27="Ya",'REGRESI 6'!$C$36,0)</f>
        <v>0.36041503871600872</v>
      </c>
      <c r="V58" s="113">
        <f>IF('DRAFT-SERTIF'!$O$27="Ya",'REGRESI 6'!$C$36,0)</f>
        <v>0.36041503871600872</v>
      </c>
      <c r="W58" s="113">
        <f>IF('DRAFT-SERTIF'!$O$27="Ya",'REGRESI 6'!$C$36,0)</f>
        <v>0.36041503871600872</v>
      </c>
      <c r="X58" s="113">
        <f>IF('DRAFT-SERTIF'!$O$27="Ya",'REGRESI 6'!$C$36,0)</f>
        <v>0.36041503871600872</v>
      </c>
      <c r="AB58" s="1"/>
    </row>
    <row r="59" spans="1:28" ht="13.5" customHeight="1">
      <c r="A59" s="105">
        <v>3</v>
      </c>
      <c r="B59" s="196">
        <v>100</v>
      </c>
      <c r="C59" s="327">
        <v>100.07</v>
      </c>
      <c r="D59" s="327"/>
      <c r="E59" s="15">
        <v>99.884</v>
      </c>
      <c r="F59" s="37">
        <f>IF('PERHITUNGAN 6'!$E$11="Burn Engr",'PERHITUNGAN 6'!E59,E59+('regresi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99.884</v>
      </c>
      <c r="G59" s="90">
        <f>F59-C59</f>
        <v>-0.18599999999999284</v>
      </c>
      <c r="H59" s="63"/>
      <c r="I59" s="63"/>
      <c r="N59" s="25" t="s">
        <v>154</v>
      </c>
      <c r="O59" s="91">
        <f t="shared" ref="O59:X59" si="5">O40</f>
        <v>3.5000000000000003E-2</v>
      </c>
      <c r="P59" s="91">
        <f t="shared" si="5"/>
        <v>3.5000000000000003E-2</v>
      </c>
      <c r="Q59" s="91">
        <f t="shared" si="5"/>
        <v>3.5000000000000003E-2</v>
      </c>
      <c r="R59" s="91">
        <f t="shared" si="5"/>
        <v>3.5000000000000003E-2</v>
      </c>
      <c r="S59" s="91">
        <f t="shared" si="5"/>
        <v>3.5000000000000003E-2</v>
      </c>
      <c r="T59" s="91">
        <f t="shared" si="5"/>
        <v>3.5000000000000003E-2</v>
      </c>
      <c r="U59" s="91">
        <f t="shared" si="5"/>
        <v>3.5000000000000003E-2</v>
      </c>
      <c r="V59" s="91">
        <f t="shared" si="5"/>
        <v>0.01</v>
      </c>
      <c r="W59" s="91">
        <f t="shared" si="5"/>
        <v>0.01</v>
      </c>
      <c r="X59" s="91">
        <f t="shared" si="5"/>
        <v>0.01</v>
      </c>
    </row>
    <row r="60" spans="1:28">
      <c r="A60" s="10"/>
      <c r="C60" s="327">
        <v>100.07</v>
      </c>
      <c r="D60" s="327"/>
      <c r="E60" s="15">
        <v>99.884</v>
      </c>
      <c r="F60" s="37">
        <f>IF('PERHITUNGAN 6'!$E$11="Burn Engr",'PERHITUNGAN 6'!E60,E60+('regresi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99.884</v>
      </c>
      <c r="G60" s="90">
        <f>F60-C60</f>
        <v>-0.18599999999999284</v>
      </c>
      <c r="H60" s="63"/>
      <c r="I60" s="63"/>
      <c r="N60" s="133" t="s">
        <v>155</v>
      </c>
      <c r="O60" s="134">
        <f>'PERHITUNGAN 1'!O61</f>
        <v>1.5000000000000003E-2</v>
      </c>
      <c r="P60" s="134">
        <f>'PERHITUNGAN 1'!P61</f>
        <v>0.01</v>
      </c>
      <c r="Q60" s="134">
        <f>'PERHITUNGAN 1'!Q61</f>
        <v>5.0000000000000001E-3</v>
      </c>
      <c r="R60" s="134">
        <f>'PERHITUNGAN 1'!R61</f>
        <v>1.4999999999999999E-2</v>
      </c>
      <c r="S60" s="134">
        <f>'PERHITUNGAN 1'!S61</f>
        <v>5.0000000000000001E-3</v>
      </c>
      <c r="T60" s="134">
        <f>'PERHITUNGAN 1'!T61</f>
        <v>0.05</v>
      </c>
      <c r="U60" s="134">
        <f>'PERHITUNGAN 1'!U61</f>
        <v>0.05</v>
      </c>
      <c r="V60" s="134">
        <f>'PERHITUNGAN 1'!V61</f>
        <v>1.5000000000000003E-2</v>
      </c>
      <c r="W60" s="134">
        <f>'PERHITUNGAN 1'!W61</f>
        <v>1.4999999999999999E-2</v>
      </c>
      <c r="X60" s="134">
        <f>'PERHITUNGAN 1'!X61</f>
        <v>1.4999999999999999E-2</v>
      </c>
    </row>
    <row r="61" spans="1:28">
      <c r="A61" s="10"/>
      <c r="C61" s="327">
        <v>100.07</v>
      </c>
      <c r="D61" s="327"/>
      <c r="E61" s="15">
        <v>99.884</v>
      </c>
      <c r="F61" s="37">
        <f>IF('PERHITUNGAN 6'!$E$11="Burn Engr",'PERHITUNGAN 6'!E61,E61+('regresi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99.884</v>
      </c>
      <c r="G61" s="90">
        <f>F61-C61</f>
        <v>-0.18599999999999284</v>
      </c>
      <c r="H61" s="63"/>
      <c r="I61" s="63"/>
      <c r="N61" s="25" t="s">
        <v>156</v>
      </c>
      <c r="O61" s="114">
        <f>(0.1*O38)/SQRT(3)</f>
        <v>4.041451884327381E-3</v>
      </c>
      <c r="P61" s="114">
        <f t="shared" ref="P61:X61" si="6">(0.1*P38)/SQRT(3)</f>
        <v>4.041451884327381E-3</v>
      </c>
      <c r="Q61" s="114">
        <f t="shared" si="6"/>
        <v>4.041451884327381E-3</v>
      </c>
      <c r="R61" s="114">
        <f t="shared" si="6"/>
        <v>4.041451884327381E-3</v>
      </c>
      <c r="S61" s="114">
        <f t="shared" si="6"/>
        <v>4.041451884327381E-3</v>
      </c>
      <c r="T61" s="114">
        <f t="shared" si="6"/>
        <v>4.041451884327381E-3</v>
      </c>
      <c r="U61" s="114">
        <f t="shared" si="6"/>
        <v>4.041451884327381E-3</v>
      </c>
      <c r="V61" s="114">
        <f t="shared" si="6"/>
        <v>1.1547005383792516E-3</v>
      </c>
      <c r="W61" s="114">
        <f t="shared" si="6"/>
        <v>1.1547005383792516E-3</v>
      </c>
      <c r="X61" s="114">
        <f t="shared" si="6"/>
        <v>1.1547005383792516E-3</v>
      </c>
    </row>
    <row r="62" spans="1:28">
      <c r="A62" s="10"/>
      <c r="C62" s="327">
        <v>100.07</v>
      </c>
      <c r="D62" s="327"/>
      <c r="E62" s="15">
        <v>99.884</v>
      </c>
      <c r="F62" s="37">
        <f>IF('PERHITUNGAN 6'!$E$11="Burn Engr",'PERHITUNGAN 6'!E62,E62+('regresi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99.884</v>
      </c>
      <c r="G62" s="90">
        <f>F62-C62</f>
        <v>-0.18599999999999284</v>
      </c>
      <c r="H62" s="63"/>
      <c r="I62" s="63"/>
      <c r="N62" s="25" t="s">
        <v>157</v>
      </c>
      <c r="O62" s="114">
        <f t="shared" ref="O62:X62" si="7">$T$28</f>
        <v>2.886751345948129E-3</v>
      </c>
      <c r="P62" s="114">
        <f t="shared" si="7"/>
        <v>2.886751345948129E-3</v>
      </c>
      <c r="Q62" s="114">
        <f t="shared" si="7"/>
        <v>2.886751345948129E-3</v>
      </c>
      <c r="R62" s="114">
        <f t="shared" si="7"/>
        <v>2.886751345948129E-3</v>
      </c>
      <c r="S62" s="114">
        <f t="shared" si="7"/>
        <v>2.886751345948129E-3</v>
      </c>
      <c r="T62" s="114">
        <f t="shared" si="7"/>
        <v>2.886751345948129E-3</v>
      </c>
      <c r="U62" s="114">
        <f t="shared" si="7"/>
        <v>2.886751345948129E-3</v>
      </c>
      <c r="V62" s="114">
        <f t="shared" si="7"/>
        <v>2.886751345948129E-3</v>
      </c>
      <c r="W62" s="114">
        <f t="shared" si="7"/>
        <v>2.886751345948129E-3</v>
      </c>
      <c r="X62" s="114">
        <f t="shared" si="7"/>
        <v>2.886751345948129E-3</v>
      </c>
    </row>
    <row r="63" spans="1:28">
      <c r="A63" s="10"/>
      <c r="C63" s="327">
        <v>100.07</v>
      </c>
      <c r="D63" s="327"/>
      <c r="E63" s="15">
        <v>99.884</v>
      </c>
      <c r="F63" s="37">
        <f>IF('PERHITUNGAN 6'!$E$11="Burn Engr",'PERHITUNGAN 6'!E63,E63+('regresi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99.884</v>
      </c>
      <c r="G63" s="90">
        <f>F63-C63</f>
        <v>-0.18599999999999284</v>
      </c>
      <c r="H63" s="63"/>
      <c r="I63" s="63"/>
      <c r="N63" s="25" t="s">
        <v>158</v>
      </c>
      <c r="O63" s="114">
        <f t="shared" ref="O63:X63" si="8">$T$26</f>
        <v>2.886751345948129E-4</v>
      </c>
      <c r="P63" s="114">
        <f t="shared" si="8"/>
        <v>2.886751345948129E-4</v>
      </c>
      <c r="Q63" s="114">
        <f t="shared" si="8"/>
        <v>2.886751345948129E-4</v>
      </c>
      <c r="R63" s="114">
        <f t="shared" si="8"/>
        <v>2.886751345948129E-4</v>
      </c>
      <c r="S63" s="114">
        <f t="shared" si="8"/>
        <v>2.886751345948129E-4</v>
      </c>
      <c r="T63" s="114">
        <f t="shared" si="8"/>
        <v>2.886751345948129E-4</v>
      </c>
      <c r="U63" s="114">
        <f t="shared" si="8"/>
        <v>2.886751345948129E-4</v>
      </c>
      <c r="V63" s="114">
        <f t="shared" si="8"/>
        <v>2.886751345948129E-4</v>
      </c>
      <c r="W63" s="114">
        <f t="shared" si="8"/>
        <v>2.886751345948129E-4</v>
      </c>
      <c r="X63" s="114">
        <f t="shared" si="8"/>
        <v>2.886751345948129E-4</v>
      </c>
    </row>
    <row r="64" spans="1:28">
      <c r="A64" s="10"/>
      <c r="B64" s="8" t="s">
        <v>31</v>
      </c>
      <c r="C64" s="333">
        <f>AVERAGE(C59:D63)</f>
        <v>100.07</v>
      </c>
      <c r="D64" s="334"/>
      <c r="E64" s="95">
        <f>AVERAGE(E59:E63)</f>
        <v>99.884</v>
      </c>
      <c r="F64" s="95">
        <f t="shared" ref="F64" si="9">AVERAGE(F59:F63)</f>
        <v>99.884</v>
      </c>
      <c r="G64" s="95">
        <f>SUM(G59:G63)/5</f>
        <v>-0.18599999999999284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10">10^10</f>
        <v>10000000000</v>
      </c>
      <c r="Q66" s="53">
        <f t="shared" si="10"/>
        <v>10000000000</v>
      </c>
      <c r="R66" s="53">
        <f t="shared" si="10"/>
        <v>10000000000</v>
      </c>
      <c r="S66" s="53">
        <f t="shared" si="10"/>
        <v>10000000000</v>
      </c>
      <c r="T66" s="53">
        <f t="shared" si="10"/>
        <v>10000000000</v>
      </c>
      <c r="U66" s="53">
        <f t="shared" si="10"/>
        <v>10000000000</v>
      </c>
      <c r="V66" s="53">
        <f t="shared" si="10"/>
        <v>10000000000</v>
      </c>
      <c r="W66" s="53">
        <f t="shared" si="10"/>
        <v>10000000000</v>
      </c>
      <c r="X66" s="53">
        <f t="shared" si="10"/>
        <v>10000000000</v>
      </c>
    </row>
    <row r="67" spans="1:28">
      <c r="A67" s="105">
        <v>4</v>
      </c>
      <c r="B67" s="196">
        <v>150</v>
      </c>
      <c r="C67" s="327">
        <v>149.91999999999999</v>
      </c>
      <c r="D67" s="327"/>
      <c r="E67" s="90">
        <v>149.71700000000001</v>
      </c>
      <c r="F67" s="37">
        <f>IF('PERHITUNGAN 6'!$E$11="Burn Engr",'PERHITUNGAN 6'!E67,E67+('regresi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149.71700000000001</v>
      </c>
      <c r="G67" s="90">
        <f>F67-C67</f>
        <v>-0.20299999999997453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149.91999999999999</v>
      </c>
      <c r="D68" s="327"/>
      <c r="E68" s="90">
        <v>149.71700000000001</v>
      </c>
      <c r="F68" s="37">
        <f>IF('PERHITUNGAN 6'!$E$11="Burn Engr",'PERHITUNGAN 6'!E68,E68+('regresi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149.71700000000001</v>
      </c>
      <c r="G68" s="90">
        <f>F68-C68</f>
        <v>-0.20299999999997453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149.91999999999999</v>
      </c>
      <c r="D69" s="327"/>
      <c r="E69" s="90">
        <v>149.71700000000001</v>
      </c>
      <c r="F69" s="37">
        <f>IF('PERHITUNGAN 6'!$E$11="Burn Engr",'PERHITUNGAN 6'!E69,E69+('regresi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149.71700000000001</v>
      </c>
      <c r="G69" s="90">
        <f>F69-C69</f>
        <v>-0.20299999999997453</v>
      </c>
      <c r="H69" s="63"/>
      <c r="I69" s="63"/>
      <c r="N69" s="25" t="s">
        <v>163</v>
      </c>
      <c r="O69" s="53">
        <f t="shared" ref="O69:X71" si="11">10^10</f>
        <v>10000000000</v>
      </c>
      <c r="P69" s="53">
        <f t="shared" si="11"/>
        <v>10000000000</v>
      </c>
      <c r="Q69" s="53">
        <f t="shared" si="11"/>
        <v>10000000000</v>
      </c>
      <c r="R69" s="53">
        <f t="shared" si="11"/>
        <v>10000000000</v>
      </c>
      <c r="S69" s="53">
        <f t="shared" si="11"/>
        <v>10000000000</v>
      </c>
      <c r="T69" s="53">
        <f t="shared" si="11"/>
        <v>10000000000</v>
      </c>
      <c r="U69" s="53">
        <f t="shared" si="11"/>
        <v>10000000000</v>
      </c>
      <c r="V69" s="53">
        <f t="shared" si="11"/>
        <v>10000000000</v>
      </c>
      <c r="W69" s="53">
        <f t="shared" si="11"/>
        <v>10000000000</v>
      </c>
      <c r="X69" s="53">
        <f t="shared" si="11"/>
        <v>10000000000</v>
      </c>
      <c r="AB69" s="1"/>
    </row>
    <row r="70" spans="1:28">
      <c r="A70" s="10"/>
      <c r="C70" s="327">
        <v>149.91999999999999</v>
      </c>
      <c r="D70" s="327"/>
      <c r="E70" s="90">
        <v>149.71700000000001</v>
      </c>
      <c r="F70" s="37">
        <f>IF('PERHITUNGAN 6'!$E$11="Burn Engr",'PERHITUNGAN 6'!E70,E70+('regresi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149.71700000000001</v>
      </c>
      <c r="G70" s="90">
        <f>F70-C70</f>
        <v>-0.20299999999997453</v>
      </c>
      <c r="H70" s="63"/>
      <c r="I70" s="63"/>
      <c r="N70" s="25" t="s">
        <v>164</v>
      </c>
      <c r="O70" s="53">
        <f t="shared" si="11"/>
        <v>10000000000</v>
      </c>
      <c r="P70" s="53">
        <f t="shared" si="11"/>
        <v>10000000000</v>
      </c>
      <c r="Q70" s="53">
        <f t="shared" si="11"/>
        <v>10000000000</v>
      </c>
      <c r="R70" s="53">
        <f t="shared" si="11"/>
        <v>10000000000</v>
      </c>
      <c r="S70" s="53">
        <f t="shared" si="11"/>
        <v>10000000000</v>
      </c>
      <c r="T70" s="53">
        <f t="shared" si="11"/>
        <v>10000000000</v>
      </c>
      <c r="U70" s="53">
        <f t="shared" si="11"/>
        <v>10000000000</v>
      </c>
      <c r="V70" s="53">
        <f t="shared" si="11"/>
        <v>10000000000</v>
      </c>
      <c r="W70" s="53">
        <f t="shared" si="11"/>
        <v>10000000000</v>
      </c>
      <c r="X70" s="53">
        <f t="shared" si="11"/>
        <v>10000000000</v>
      </c>
      <c r="AB70" s="1"/>
    </row>
    <row r="71" spans="1:28">
      <c r="A71" s="10"/>
      <c r="C71" s="327">
        <v>149.91999999999999</v>
      </c>
      <c r="D71" s="327"/>
      <c r="E71" s="90">
        <v>149.71700000000001</v>
      </c>
      <c r="F71" s="37">
        <f>IF('PERHITUNGAN 6'!$E$11="Burn Engr",'PERHITUNGAN 6'!E71,E71+('regresi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149.71700000000001</v>
      </c>
      <c r="G71" s="90">
        <f>F71-C71</f>
        <v>-0.20299999999997453</v>
      </c>
      <c r="H71" s="63"/>
      <c r="I71" s="63"/>
      <c r="N71" s="25" t="s">
        <v>165</v>
      </c>
      <c r="O71" s="53">
        <f t="shared" si="11"/>
        <v>10000000000</v>
      </c>
      <c r="P71" s="53">
        <f t="shared" si="11"/>
        <v>10000000000</v>
      </c>
      <c r="Q71" s="53">
        <f t="shared" si="11"/>
        <v>10000000000</v>
      </c>
      <c r="R71" s="53">
        <f t="shared" si="11"/>
        <v>10000000000</v>
      </c>
      <c r="S71" s="53">
        <f t="shared" si="11"/>
        <v>10000000000</v>
      </c>
      <c r="T71" s="53">
        <f t="shared" si="11"/>
        <v>10000000000</v>
      </c>
      <c r="U71" s="53">
        <f t="shared" si="11"/>
        <v>10000000000</v>
      </c>
      <c r="V71" s="53">
        <f t="shared" si="11"/>
        <v>10000000000</v>
      </c>
      <c r="W71" s="53">
        <f t="shared" si="11"/>
        <v>10000000000</v>
      </c>
      <c r="X71" s="53">
        <f t="shared" si="11"/>
        <v>10000000000</v>
      </c>
      <c r="AB71" s="1"/>
    </row>
    <row r="72" spans="1:28">
      <c r="A72" s="10"/>
      <c r="B72" s="8" t="s">
        <v>31</v>
      </c>
      <c r="C72" s="333">
        <f>AVERAGE(C67:D71)</f>
        <v>149.91999999999999</v>
      </c>
      <c r="D72" s="334"/>
      <c r="E72" s="95">
        <f>AVERAGE(E67:E71)</f>
        <v>149.71700000000001</v>
      </c>
      <c r="F72" s="95">
        <f t="shared" ref="F72" si="12">AVERAGE(F67:F71)</f>
        <v>149.71700000000001</v>
      </c>
      <c r="G72" s="95">
        <f>SUM(G67:G71)/5</f>
        <v>-0.20299999999997453</v>
      </c>
      <c r="H72" s="63"/>
      <c r="I72" s="63"/>
      <c r="N72" s="111" t="s">
        <v>168</v>
      </c>
      <c r="O72" s="118">
        <f>SQRT((O57^2)+(O58^2)+(O59^2)+(O60^2)+(O61^2)+(O62^2)+(O63^2))</f>
        <v>0.36245516982471376</v>
      </c>
      <c r="P72" s="118">
        <f t="shared" ref="P72:X72" si="13">SQRT((P57^2)+(P58^2)+(P59^2)+(P60^2)+(P61^2)+(P62^2)+(P63^2))</f>
        <v>0.36228269366982196</v>
      </c>
      <c r="Q72" s="118">
        <f t="shared" si="13"/>
        <v>0.36217916855150861</v>
      </c>
      <c r="R72" s="118">
        <f t="shared" si="13"/>
        <v>0.36245516982471376</v>
      </c>
      <c r="S72" s="118">
        <f t="shared" si="13"/>
        <v>0.36217916855150861</v>
      </c>
      <c r="T72" s="118">
        <f t="shared" si="13"/>
        <v>0.36558001878202001</v>
      </c>
      <c r="U72" s="118">
        <f t="shared" si="13"/>
        <v>0.36558001878202001</v>
      </c>
      <c r="V72" s="118" t="e">
        <f t="shared" si="13"/>
        <v>#DIV/0!</v>
      </c>
      <c r="W72" s="118">
        <f t="shared" si="13"/>
        <v>0.3608791350752521</v>
      </c>
      <c r="X72" s="118">
        <f t="shared" si="13"/>
        <v>0.3608791350752521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667510.81577379012</v>
      </c>
      <c r="P73" s="120">
        <f t="shared" ref="P73:X73" si="14">(P72^4)/((P57^4/P65)+(P58^4/P66)+(P59^4/P67)+(P60^4/P68)+(P61^4/P69)+(P62^4/P70)+(P63^4/P71))</f>
        <v>684157.08657474432</v>
      </c>
      <c r="Q73" s="120">
        <f t="shared" si="14"/>
        <v>687642.66096086765</v>
      </c>
      <c r="R73" s="120">
        <f t="shared" si="14"/>
        <v>667510.81577379012</v>
      </c>
      <c r="S73" s="120">
        <f t="shared" si="14"/>
        <v>687642.66096086765</v>
      </c>
      <c r="T73" s="120">
        <f t="shared" si="14"/>
        <v>138273.40447715347</v>
      </c>
      <c r="U73" s="120">
        <f t="shared" si="14"/>
        <v>138273.40447715347</v>
      </c>
      <c r="V73" s="120" t="e">
        <f t="shared" si="14"/>
        <v>#DIV/0!</v>
      </c>
      <c r="W73" s="120">
        <f t="shared" si="14"/>
        <v>16757990.260737143</v>
      </c>
      <c r="X73" s="120">
        <f t="shared" si="14"/>
        <v>16757990.260737143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1.9599675384570643</v>
      </c>
      <c r="P74" s="123">
        <f t="shared" ref="P74:X74" si="15">_xlfn.T.INV.2T(0.05,P73)</f>
        <v>1.9599674519982218</v>
      </c>
      <c r="Q74" s="123">
        <f t="shared" si="15"/>
        <v>1.9599674343982516</v>
      </c>
      <c r="R74" s="123">
        <f t="shared" si="15"/>
        <v>1.9599675384570643</v>
      </c>
      <c r="S74" s="123">
        <f t="shared" si="15"/>
        <v>1.9599674343982516</v>
      </c>
      <c r="T74" s="123">
        <f t="shared" si="15"/>
        <v>1.9599811411210351</v>
      </c>
      <c r="U74" s="123">
        <f t="shared" si="15"/>
        <v>1.9599811411210351</v>
      </c>
      <c r="V74" s="123" t="e">
        <f t="shared" si="15"/>
        <v>#DIV/0!</v>
      </c>
      <c r="W74" s="123">
        <f t="shared" si="15"/>
        <v>1.9599641258261913</v>
      </c>
      <c r="X74" s="123">
        <f t="shared" si="15"/>
        <v>1.9599641258261913</v>
      </c>
      <c r="Z74" s="124"/>
      <c r="AB74" s="1"/>
    </row>
    <row r="75" spans="1:28">
      <c r="A75" s="105">
        <v>5</v>
      </c>
      <c r="B75" s="196">
        <v>200</v>
      </c>
      <c r="C75" s="327">
        <v>199.62</v>
      </c>
      <c r="D75" s="327"/>
      <c r="E75" s="90">
        <v>199.46700000000001</v>
      </c>
      <c r="F75" s="37">
        <f>IF('PERHITUNGAN 6'!$E$11="Burn Engr",'PERHITUNGAN 6'!E75,E75+('regresi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199.46700000000001</v>
      </c>
      <c r="G75" s="90">
        <f>F75-C75</f>
        <v>-0.15299999999999159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199.62</v>
      </c>
      <c r="D76" s="327"/>
      <c r="E76" s="90">
        <v>199.46700000000001</v>
      </c>
      <c r="F76" s="37">
        <f>IF('PERHITUNGAN 6'!$E$11="Burn Engr",'PERHITUNGAN 6'!E76,E76+('regresi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199.46700000000001</v>
      </c>
      <c r="G76" s="90">
        <f>F76-C76</f>
        <v>-0.15299999999999159</v>
      </c>
      <c r="H76" s="63"/>
      <c r="I76" s="63"/>
      <c r="N76" s="111" t="s">
        <v>166</v>
      </c>
      <c r="O76" s="121">
        <f t="shared" ref="O76:X76" si="16">O72*O74</f>
        <v>0.71040036700238141</v>
      </c>
      <c r="P76" s="121">
        <f t="shared" si="16"/>
        <v>0.7100622880150933</v>
      </c>
      <c r="Q76" s="121">
        <f t="shared" si="16"/>
        <v>0.70985937577839231</v>
      </c>
      <c r="R76" s="121">
        <f t="shared" si="16"/>
        <v>0.71040036700238141</v>
      </c>
      <c r="S76" s="121">
        <f t="shared" si="16"/>
        <v>0.70985937577839231</v>
      </c>
      <c r="T76" s="121">
        <f t="shared" si="16"/>
        <v>0.71652994238343304</v>
      </c>
      <c r="U76" s="121">
        <f t="shared" si="16"/>
        <v>0.71652994238343304</v>
      </c>
      <c r="V76" s="121" t="e">
        <f t="shared" si="16"/>
        <v>#DIV/0!</v>
      </c>
      <c r="W76" s="121">
        <f t="shared" si="16"/>
        <v>0.70731015850667844</v>
      </c>
      <c r="X76" s="121">
        <f t="shared" si="16"/>
        <v>0.70731015850667844</v>
      </c>
      <c r="AB76" s="1"/>
    </row>
    <row r="77" spans="1:28">
      <c r="A77" s="10"/>
      <c r="C77" s="327">
        <v>199.62</v>
      </c>
      <c r="D77" s="327"/>
      <c r="E77" s="90">
        <v>199.46700000000001</v>
      </c>
      <c r="F77" s="37">
        <f>IF('PERHITUNGAN 6'!$E$11="Burn Engr",'PERHITUNGAN 6'!E77,E77+('regresi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199.46700000000001</v>
      </c>
      <c r="G77" s="90">
        <f>F77-C77</f>
        <v>-0.15299999999999159</v>
      </c>
      <c r="H77" s="63"/>
      <c r="I77" s="63"/>
      <c r="AB77" s="1"/>
    </row>
    <row r="78" spans="1:28">
      <c r="A78" s="10"/>
      <c r="C78" s="327">
        <v>199.62</v>
      </c>
      <c r="D78" s="327"/>
      <c r="E78" s="90">
        <v>199.46700000000001</v>
      </c>
      <c r="F78" s="37">
        <f>IF('PERHITUNGAN 6'!$E$11="Burn Engr",'PERHITUNGAN 6'!E78,E78+('regresi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199.46700000000001</v>
      </c>
      <c r="G78" s="90">
        <f>F78-C78</f>
        <v>-0.15299999999999159</v>
      </c>
      <c r="H78" s="26"/>
      <c r="I78" s="26"/>
      <c r="AB78" s="1"/>
    </row>
    <row r="79" spans="1:28">
      <c r="A79" s="10"/>
      <c r="C79" s="327">
        <v>199.62</v>
      </c>
      <c r="D79" s="327"/>
      <c r="E79" s="90">
        <v>199.46700000000001</v>
      </c>
      <c r="F79" s="37">
        <f>IF('PERHITUNGAN 6'!$E$11="Burn Engr",'PERHITUNGAN 6'!E79,E79+('regresi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199.46700000000001</v>
      </c>
      <c r="G79" s="90">
        <f>F79-C79</f>
        <v>-0.15299999999999159</v>
      </c>
      <c r="AB79" s="1"/>
    </row>
    <row r="80" spans="1:28">
      <c r="A80" s="10"/>
      <c r="B80" s="8" t="s">
        <v>31</v>
      </c>
      <c r="C80" s="333">
        <f>AVERAGE(C75:D79)</f>
        <v>199.62</v>
      </c>
      <c r="D80" s="334"/>
      <c r="E80" s="95">
        <f>AVERAGE(E75:E79)</f>
        <v>199.46700000000001</v>
      </c>
      <c r="F80" s="95">
        <f t="shared" ref="F80" si="17">AVERAGE(F75:F79)</f>
        <v>199.46700000000001</v>
      </c>
      <c r="G80" s="95">
        <f>SUM(G75:G79)/5</f>
        <v>-0.15299999999999159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250</v>
      </c>
      <c r="C83" s="327">
        <v>249.61</v>
      </c>
      <c r="D83" s="327"/>
      <c r="E83" s="90">
        <v>249.47900000000001</v>
      </c>
      <c r="F83" s="37">
        <f>IF('PERHITUNGAN 6'!$E$11="Burn Engr",'PERHITUNGAN 6'!E83,E83+('regresi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249.47900000000001</v>
      </c>
      <c r="G83" s="40">
        <f>F83-C83</f>
        <v>-0.13100000000000023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249.61</v>
      </c>
      <c r="D84" s="327"/>
      <c r="E84" s="90">
        <v>249.47900000000001</v>
      </c>
      <c r="F84" s="37">
        <f>IF('PERHITUNGAN 6'!$E$11="Burn Engr",'PERHITUNGAN 6'!E84,E84+('regresi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249.47900000000001</v>
      </c>
      <c r="G84" s="40">
        <f>F84-C84</f>
        <v>-0.13100000000000023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249.61</v>
      </c>
      <c r="D85" s="327"/>
      <c r="E85" s="90">
        <v>249.47900000000001</v>
      </c>
      <c r="F85" s="37">
        <f>IF('PERHITUNGAN 6'!$E$11="Burn Engr",'PERHITUNGAN 6'!E85,E85+('regresi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249.47900000000001</v>
      </c>
      <c r="G85" s="40">
        <f>F85-C85</f>
        <v>-0.13100000000000023</v>
      </c>
      <c r="H85" s="26"/>
      <c r="I85" s="26"/>
      <c r="N85" s="93">
        <f>O56</f>
        <v>0.71</v>
      </c>
      <c r="O85" s="403">
        <f>G48</f>
        <v>-0.52200000000000002</v>
      </c>
      <c r="P85" s="404"/>
      <c r="Q85" s="387">
        <f t="shared" ref="Q85:Q94" si="18">N85+O85</f>
        <v>0.18799999999999994</v>
      </c>
      <c r="R85" s="405"/>
      <c r="S85" s="138" t="s">
        <v>35</v>
      </c>
      <c r="T85" s="94">
        <f>IF(N85&lt;$AA$97,MAX($O$97,O76),IF(N85&lt;$AA$98,MAX($O$98,O76),MAX($O$99,O76)))</f>
        <v>0.71040036700238141</v>
      </c>
      <c r="AB85" s="1"/>
    </row>
    <row r="86" spans="1:28">
      <c r="A86" s="10"/>
      <c r="C86" s="327">
        <v>249.61</v>
      </c>
      <c r="D86" s="327"/>
      <c r="E86" s="90">
        <v>249.47900000000001</v>
      </c>
      <c r="F86" s="37">
        <f>IF('PERHITUNGAN 6'!$E$11="Burn Engr",'PERHITUNGAN 6'!E86,E86+('regresi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249.47900000000001</v>
      </c>
      <c r="G86" s="40">
        <f>F86-C86</f>
        <v>-0.13100000000000023</v>
      </c>
      <c r="H86" s="63"/>
      <c r="I86" s="63"/>
      <c r="N86" s="93">
        <f>P56</f>
        <v>50.48</v>
      </c>
      <c r="O86" s="403">
        <f>G56</f>
        <v>-0.13299999999999557</v>
      </c>
      <c r="P86" s="404"/>
      <c r="Q86" s="406">
        <f t="shared" si="18"/>
        <v>50.347000000000001</v>
      </c>
      <c r="R86" s="407"/>
      <c r="S86" s="138" t="s">
        <v>35</v>
      </c>
      <c r="T86" s="94">
        <f>IF(N86&lt;$AA$97,MAX($O$97,P76),IF(N86&lt;$AA$98,MAX($O$98,P76),MAX($O$99,P76)))</f>
        <v>0.7100622880150933</v>
      </c>
      <c r="AB86" s="1"/>
    </row>
    <row r="87" spans="1:28">
      <c r="A87" s="10"/>
      <c r="C87" s="327">
        <v>249.61</v>
      </c>
      <c r="D87" s="327"/>
      <c r="E87" s="90">
        <v>249.47900000000001</v>
      </c>
      <c r="F87" s="37">
        <f>IF('PERHITUNGAN 6'!$E$11="Burn Engr",'PERHITUNGAN 6'!E87,E87+('regresi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249.47900000000001</v>
      </c>
      <c r="G87" s="41">
        <f>F87-C87</f>
        <v>-0.13100000000000023</v>
      </c>
      <c r="H87" s="63"/>
      <c r="I87" s="63"/>
      <c r="N87" s="93">
        <f>Q56</f>
        <v>100.07</v>
      </c>
      <c r="O87" s="403">
        <f>G64</f>
        <v>-0.18599999999999284</v>
      </c>
      <c r="P87" s="404"/>
      <c r="Q87" s="406">
        <f t="shared" si="18"/>
        <v>99.884</v>
      </c>
      <c r="R87" s="407"/>
      <c r="S87" s="138" t="s">
        <v>35</v>
      </c>
      <c r="T87" s="94">
        <f>IF(N87&lt;$AA$97,MAX($O$97,Q76),IF(N87&lt;$AA$98,MAX($O$98,Q76),MAX($O$99,Q76)))</f>
        <v>0.70985937577839231</v>
      </c>
      <c r="AB87" s="1"/>
    </row>
    <row r="88" spans="1:28">
      <c r="A88" s="10"/>
      <c r="B88" s="8" t="s">
        <v>31</v>
      </c>
      <c r="C88" s="333">
        <f>AVERAGE(C83:D87)</f>
        <v>249.61000000000004</v>
      </c>
      <c r="D88" s="334"/>
      <c r="E88" s="95">
        <f>AVERAGE(E83:E87)</f>
        <v>249.47899999999998</v>
      </c>
      <c r="F88" s="95">
        <f t="shared" ref="F88" si="19">AVERAGE(F83:F87)</f>
        <v>249.47899999999998</v>
      </c>
      <c r="G88" s="95">
        <f>SUM(G83:G87)/5</f>
        <v>-0.13100000000000023</v>
      </c>
      <c r="H88" s="63"/>
      <c r="I88" s="63"/>
      <c r="N88" s="93">
        <f>R56</f>
        <v>149.91999999999999</v>
      </c>
      <c r="O88" s="403">
        <f>G72</f>
        <v>-0.20299999999997453</v>
      </c>
      <c r="P88" s="404"/>
      <c r="Q88" s="406">
        <f t="shared" si="18"/>
        <v>149.71700000000001</v>
      </c>
      <c r="R88" s="407"/>
      <c r="S88" s="138" t="s">
        <v>35</v>
      </c>
      <c r="T88" s="94">
        <f>IF(N88&lt;$AA$97,MAX($O$97,R76),IF(N88&lt;$AA$98,MAX($O$98,R76),MAX($O$99,R76)))</f>
        <v>0.71040036700238141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199.62</v>
      </c>
      <c r="O89" s="403">
        <f>G80</f>
        <v>-0.15299999999999159</v>
      </c>
      <c r="P89" s="404"/>
      <c r="Q89" s="406">
        <f t="shared" si="18"/>
        <v>199.46700000000001</v>
      </c>
      <c r="R89" s="407"/>
      <c r="S89" s="138" t="s">
        <v>35</v>
      </c>
      <c r="T89" s="94">
        <f>IF(N89&lt;$AA$97,MAX($O$97,S76),IF(N89&lt;$AA$98,MAX($O$98,S76),MAX($O$99,S76)))</f>
        <v>0.70985937577839231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249.61000000000004</v>
      </c>
      <c r="O90" s="403">
        <f>G88</f>
        <v>-0.13100000000000023</v>
      </c>
      <c r="P90" s="404"/>
      <c r="Q90" s="406">
        <f t="shared" si="18"/>
        <v>249.47900000000004</v>
      </c>
      <c r="R90" s="407"/>
      <c r="S90" s="138" t="s">
        <v>35</v>
      </c>
      <c r="T90" s="94">
        <f>IF(N90&lt;$AA$97,MAX($O$97,T76),IF(N90&lt;$AA$98,MAX($O$98,T76),MAX($O$99,T76)))</f>
        <v>0.71652994238343304</v>
      </c>
      <c r="AB90" s="1"/>
    </row>
    <row r="91" spans="1:28">
      <c r="A91" s="105">
        <v>7</v>
      </c>
      <c r="B91" s="196">
        <v>260</v>
      </c>
      <c r="C91" s="327">
        <v>259.66000000000003</v>
      </c>
      <c r="D91" s="327"/>
      <c r="E91" s="90">
        <v>259.55700000000002</v>
      </c>
      <c r="F91" s="37">
        <f>IF('PERHITUNGAN 6'!$E$11="Burn Engr",'PERHITUNGAN 6'!E91,E91+('regresi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259.55700000000002</v>
      </c>
      <c r="G91" s="40">
        <f>F91-C91</f>
        <v>-0.10300000000000864</v>
      </c>
      <c r="H91" s="63"/>
      <c r="I91" s="63"/>
      <c r="N91" s="93">
        <f>U56</f>
        <v>259.66000000000003</v>
      </c>
      <c r="O91" s="403">
        <f>G96</f>
        <v>-0.10300000000000864</v>
      </c>
      <c r="P91" s="404"/>
      <c r="Q91" s="406">
        <f t="shared" si="18"/>
        <v>259.55700000000002</v>
      </c>
      <c r="R91" s="407"/>
      <c r="S91" s="138" t="s">
        <v>35</v>
      </c>
      <c r="T91" s="94">
        <f>IF(N91&lt;$AA$97,MAX($O$97,U76),IF(N91&lt;$AA$98,MAX($O$98,U76),MAX($O$99,U76)))</f>
        <v>1.8</v>
      </c>
      <c r="AB91" s="1"/>
    </row>
    <row r="92" spans="1:28">
      <c r="A92" s="10"/>
      <c r="C92" s="327">
        <v>259.66000000000003</v>
      </c>
      <c r="D92" s="327"/>
      <c r="E92" s="90">
        <v>259.55700000000002</v>
      </c>
      <c r="F92" s="37">
        <f>IF('PERHITUNGAN 6'!$E$11="Burn Engr",'PERHITUNGAN 6'!E92,E92+('regresi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259.55700000000002</v>
      </c>
      <c r="G92" s="40">
        <f>F92-C92</f>
        <v>-0.10300000000000864</v>
      </c>
      <c r="H92" s="44"/>
      <c r="I92" s="63"/>
      <c r="N92" s="93" t="e">
        <f>V56</f>
        <v>#DIV/0!</v>
      </c>
      <c r="O92" s="403">
        <f>G104</f>
        <v>0</v>
      </c>
      <c r="P92" s="404"/>
      <c r="Q92" s="406" t="e">
        <f t="shared" si="18"/>
        <v>#DIV/0!</v>
      </c>
      <c r="R92" s="407"/>
      <c r="S92" s="138" t="s">
        <v>35</v>
      </c>
      <c r="T92" s="94" t="e">
        <f>IF(N92&lt;$AA$97,MAX($O$97,V76),IF(N92&lt;$AA$98,MAX($O$98,V76),MAX($O$99,V76)))</f>
        <v>#DIV/0!</v>
      </c>
      <c r="AB92" s="1"/>
    </row>
    <row r="93" spans="1:28">
      <c r="A93" s="10"/>
      <c r="C93" s="327">
        <v>259.66000000000003</v>
      </c>
      <c r="D93" s="327"/>
      <c r="E93" s="90">
        <v>259.55700000000002</v>
      </c>
      <c r="F93" s="37">
        <f>IF('PERHITUNGAN 6'!$E$11="Burn Engr",'PERHITUNGAN 6'!E93,E93+('regresi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259.55700000000002</v>
      </c>
      <c r="G93" s="40">
        <f>F93-C93</f>
        <v>-0.10300000000000864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8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259.66000000000003</v>
      </c>
      <c r="D94" s="327"/>
      <c r="E94" s="90">
        <v>259.55700000000002</v>
      </c>
      <c r="F94" s="37">
        <f>IF('PERHITUNGAN 6'!$E$11="Burn Engr",'PERHITUNGAN 6'!E94,E94+('regresi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259.55700000000002</v>
      </c>
      <c r="G94" s="40">
        <f>F94-C94</f>
        <v>-0.10300000000000864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8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259.66000000000003</v>
      </c>
      <c r="D95" s="327"/>
      <c r="E95" s="90">
        <v>259.55700000000002</v>
      </c>
      <c r="F95" s="37">
        <f>IF('PERHITUNGAN 6'!$E$11="Burn Engr",'PERHITUNGAN 6'!E95,E95+('regresi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259.55700000000002</v>
      </c>
      <c r="G95" s="41">
        <f>F95-C95</f>
        <v>-0.10300000000000864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259.66000000000003</v>
      </c>
      <c r="D96" s="334"/>
      <c r="E96" s="95">
        <f>AVERAGE(E91:E95)</f>
        <v>259.55700000000002</v>
      </c>
      <c r="F96" s="95">
        <f t="shared" ref="F96" si="20">AVERAGE(F91:F95)</f>
        <v>259.55700000000002</v>
      </c>
      <c r="G96" s="95">
        <f>SUM(G91:G95)/5</f>
        <v>-0.10300000000000864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0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0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/>
      <c r="C99" s="327"/>
      <c r="D99" s="327"/>
      <c r="E99" s="90"/>
      <c r="F99" s="37"/>
      <c r="G99" s="40"/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/>
      <c r="D100" s="327"/>
      <c r="E100" s="90"/>
      <c r="F100" s="37"/>
      <c r="G100" s="40"/>
      <c r="H100" s="44"/>
      <c r="I100" s="44"/>
      <c r="M100" s="1"/>
    </row>
    <row r="101" spans="1:27">
      <c r="A101" s="10"/>
      <c r="C101" s="327"/>
      <c r="D101" s="327"/>
      <c r="E101" s="90"/>
      <c r="F101" s="37"/>
      <c r="G101" s="40"/>
      <c r="H101" s="44"/>
      <c r="I101" s="44"/>
    </row>
    <row r="102" spans="1:27">
      <c r="A102" s="10"/>
      <c r="C102" s="327"/>
      <c r="D102" s="327"/>
      <c r="E102" s="90"/>
      <c r="F102" s="37"/>
      <c r="G102" s="40"/>
      <c r="H102" s="63"/>
      <c r="I102" s="63"/>
    </row>
    <row r="103" spans="1:27">
      <c r="A103" s="10"/>
      <c r="C103" s="327"/>
      <c r="D103" s="327"/>
      <c r="E103" s="90"/>
      <c r="F103" s="37"/>
      <c r="G103" s="41"/>
      <c r="H103" s="63"/>
      <c r="I103" s="63"/>
      <c r="N103" s="74"/>
      <c r="O103" s="129"/>
    </row>
    <row r="104" spans="1:27">
      <c r="A104" s="10"/>
      <c r="B104" s="8" t="s">
        <v>31</v>
      </c>
      <c r="C104" s="333" t="e">
        <f>AVERAGE(C99:D103)</f>
        <v>#DIV/0!</v>
      </c>
      <c r="D104" s="334"/>
      <c r="E104" s="95" t="e">
        <f>AVERAGE(E99:E103)</f>
        <v>#DIV/0!</v>
      </c>
      <c r="F104" s="95">
        <f>SUM(F99:F103)/5</f>
        <v>0</v>
      </c>
      <c r="G104" s="95">
        <f>SUM(G99:G103)/5</f>
        <v>0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 t="e">
        <f>_xlfn.STDEV.S(G99:G103)</f>
        <v>#DIV/0!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 t="e">
        <f>G105/SQRT(5)</f>
        <v>#DIV/0!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>
        <f>IF('PERHITUNGAN 6'!$E$11="Burn Engr",'PERHITUNGAN 6'!E107,E107+('regresi PRT'!$P$40+('regresi PRT'!$P$41*E107)+('regresi PRT'!$P$42*(E107^2))+('regresi PRT'!$P$43*(E107^3))+('regresi PRT'!$P$44*(E107^4))+('regresi PRT'!$P$45*(E107^5))+('regresi PRT'!$P$46*(E107^6))+('regresi PRT'!$P$47*(E107^7))+('regresi PRT'!$P$48*(E107^8))+('regresi PRT'!$P$49*(E107^9))+('regresi PRT'!$P$50*(E107^10))))</f>
        <v>0</v>
      </c>
      <c r="G107" s="40">
        <f>F107-C107</f>
        <v>0</v>
      </c>
      <c r="H107" s="63"/>
      <c r="I107" s="63"/>
      <c r="M107" s="1"/>
    </row>
    <row r="108" spans="1:27">
      <c r="A108" s="10"/>
      <c r="C108" s="327"/>
      <c r="D108" s="327"/>
      <c r="E108" s="90"/>
      <c r="F108" s="37">
        <f>IF('PERHITUNGAN 6'!$E$11="Burn Engr",'PERHITUNGAN 6'!E108,E108+('regresi PRT'!$P$40+('regresi PRT'!$P$41*E108)+('regresi PRT'!$P$42*(E108^2))+('regresi PRT'!$P$43*(E108^3))+('regresi PRT'!$P$44*(E108^4))+('regresi PRT'!$P$45*(E108^5))+('regresi PRT'!$P$46*(E108^6))+('regresi PRT'!$P$47*(E108^7))+('regresi PRT'!$P$48*(E108^8))+('regresi PRT'!$P$49*(E108^9))+('regresi PRT'!$P$50*(E108^10))))</f>
        <v>0</v>
      </c>
      <c r="G108" s="40">
        <f>F108-C108</f>
        <v>0</v>
      </c>
      <c r="H108" s="44"/>
      <c r="I108" s="44"/>
      <c r="M108" s="1"/>
    </row>
    <row r="109" spans="1:27">
      <c r="A109" s="10"/>
      <c r="C109" s="327"/>
      <c r="D109" s="327"/>
      <c r="E109" s="90"/>
      <c r="F109" s="37">
        <f>IF('PERHITUNGAN 6'!$E$11="Burn Engr",'PERHITUNGAN 6'!E109,E109+('regresi PRT'!$P$40+('regresi PRT'!$P$41*E109)+('regresi PRT'!$P$42*(E109^2))+('regresi PRT'!$P$43*(E109^3))+('regresi PRT'!$P$44*(E109^4))+('regresi PRT'!$P$45*(E109^5))+('regresi PRT'!$P$46*(E109^6))+('regresi PRT'!$P$47*(E109^7))+('regresi PRT'!$P$48*(E109^8))+('regresi PRT'!$P$49*(E109^9))+('regresi PRT'!$P$50*(E109^10))))</f>
        <v>0</v>
      </c>
      <c r="G109" s="40">
        <f>F109-C109</f>
        <v>0</v>
      </c>
      <c r="H109" s="44"/>
      <c r="I109" s="44"/>
    </row>
    <row r="110" spans="1:27">
      <c r="A110" s="10"/>
      <c r="C110" s="327"/>
      <c r="D110" s="327"/>
      <c r="E110" s="90"/>
      <c r="F110" s="37">
        <f>IF('PERHITUNGAN 6'!$E$11="Burn Engr",'PERHITUNGAN 6'!E110,E110+('regresi PRT'!$P$40+('regresi PRT'!$P$41*E110)+('regresi PRT'!$P$42*(E110^2))+('regresi PRT'!$P$43*(E110^3))+('regresi PRT'!$P$44*(E110^4))+('regresi PRT'!$P$45*(E110^5))+('regresi PRT'!$P$46*(E110^6))+('regresi PRT'!$P$47*(E110^7))+('regresi PRT'!$P$48*(E110^8))+('regresi PRT'!$P$49*(E110^9))+('regresi PRT'!$P$50*(E110^10))))</f>
        <v>0</v>
      </c>
      <c r="G110" s="40">
        <f>F110-C110</f>
        <v>0</v>
      </c>
      <c r="H110" s="63"/>
      <c r="I110" s="63"/>
    </row>
    <row r="111" spans="1:27">
      <c r="A111" s="10"/>
      <c r="C111" s="327"/>
      <c r="D111" s="327"/>
      <c r="E111" s="90"/>
      <c r="F111" s="37">
        <f>IF('PERHITUNGAN 6'!$E$11="Burn Engr",'PERHITUNGAN 6'!E111,E111+('regresi PRT'!$P$40+('regresi PRT'!$P$41*E111)+('regresi PRT'!$P$42*(E111^2))+('regresi PRT'!$P$43*(E111^3))+('regresi PRT'!$P$44*(E111^4))+('regresi PRT'!$P$45*(E111^5))+('regresi PRT'!$P$46*(E111^6))+('regresi PRT'!$P$47*(E111^7))+('regresi PRT'!$P$48*(E111^8))+('regresi PRT'!$P$49*(E111^9))+('regresi PRT'!$P$50*(E111^10))))</f>
        <v>0</v>
      </c>
      <c r="G111" s="41">
        <f>F111-C111</f>
        <v>0</v>
      </c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>
        <f>_xlfn.STDEV.S(G107:G111)</f>
        <v>0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>
        <f>G113/SQRT(5)</f>
        <v>0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>
        <f>IF('PERHITUNGAN 6'!$E$11="Burn Engr",'PERHITUNGAN 6'!E115,E115+('regresi PRT'!$P$40+('regresi PRT'!$P$41*E115)+('regresi PRT'!$P$42*(E115^2))+('regresi PRT'!$P$43*(E115^3))+('regresi PRT'!$P$44*(E115^4))+('regresi PRT'!$P$45*(E115^5))+('regresi PRT'!$P$46*(E115^6))+('regresi PRT'!$P$47*(E115^7))+('regresi PRT'!$P$48*(E115^8))+('regresi PRT'!$P$49*(E115^9))+('regresi PRT'!$P$50*(E115^10))))</f>
        <v>0</v>
      </c>
      <c r="G115" s="40">
        <f>F115-C115</f>
        <v>0</v>
      </c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>
        <f>IF('PERHITUNGAN 6'!$E$11="Burn Engr",'PERHITUNGAN 6'!E116,E116+('regresi PRT'!$P$40+('regresi PRT'!$P$41*E116)+('regresi PRT'!$P$42*(E116^2))+('regresi PRT'!$P$43*(E116^3))+('regresi PRT'!$P$44*(E116^4))+('regresi PRT'!$P$45*(E116^5))+('regresi PRT'!$P$46*(E116^6))+('regresi PRT'!$P$47*(E116^7))+('regresi PRT'!$P$48*(E116^8))+('regresi PRT'!$P$49*(E116^9))+('regresi PRT'!$P$50*(E116^10))))</f>
        <v>0</v>
      </c>
      <c r="G116" s="40">
        <f>F116-C116</f>
        <v>0</v>
      </c>
      <c r="H116" s="44"/>
      <c r="I116" s="44"/>
      <c r="U116" s="49"/>
    </row>
    <row r="117" spans="1:21">
      <c r="A117" s="10"/>
      <c r="C117" s="224"/>
      <c r="D117" s="225"/>
      <c r="E117" s="90"/>
      <c r="F117" s="37">
        <f>IF('PERHITUNGAN 6'!$E$11="Burn Engr",'PERHITUNGAN 6'!E117,E117+('regresi PRT'!$P$40+('regresi PRT'!$P$41*E117)+('regresi PRT'!$P$42*(E117^2))+('regresi PRT'!$P$43*(E117^3))+('regresi PRT'!$P$44*(E117^4))+('regresi PRT'!$P$45*(E117^5))+('regresi PRT'!$P$46*(E117^6))+('regresi PRT'!$P$47*(E117^7))+('regresi PRT'!$P$48*(E117^8))+('regresi PRT'!$P$49*(E117^9))+('regresi PRT'!$P$50*(E117^10))))</f>
        <v>0</v>
      </c>
      <c r="G117" s="40">
        <f>F117-C117</f>
        <v>0</v>
      </c>
      <c r="H117" s="44"/>
      <c r="I117" s="44"/>
      <c r="U117" s="49"/>
    </row>
    <row r="118" spans="1:21">
      <c r="A118" s="10"/>
      <c r="C118" s="224"/>
      <c r="D118" s="225"/>
      <c r="E118" s="90"/>
      <c r="F118" s="37">
        <f>IF('PERHITUNGAN 6'!$E$11="Burn Engr",'PERHITUNGAN 6'!E118,E118+('regresi PRT'!$P$40+('regresi PRT'!$P$41*E118)+('regresi PRT'!$P$42*(E118^2))+('regresi PRT'!$P$43*(E118^3))+('regresi PRT'!$P$44*(E118^4))+('regresi PRT'!$P$45*(E118^5))+('regresi PRT'!$P$46*(E118^6))+('regresi PRT'!$P$47*(E118^7))+('regresi PRT'!$P$48*(E118^8))+('regresi PRT'!$P$49*(E118^9))+('regresi PRT'!$P$50*(E118^10))))</f>
        <v>0</v>
      </c>
      <c r="G118" s="40">
        <f>F118-C118</f>
        <v>0</v>
      </c>
      <c r="H118" s="63"/>
      <c r="I118" s="63"/>
    </row>
    <row r="119" spans="1:21">
      <c r="A119" s="10"/>
      <c r="C119" s="233"/>
      <c r="D119" s="234"/>
      <c r="E119" s="90"/>
      <c r="F119" s="37">
        <f>IF('PERHITUNGAN 6'!$E$11="Burn Engr",'PERHITUNGAN 6'!E119,E119+('regresi PRT'!$P$40+('regresi PRT'!$P$41*E119)+('regresi PRT'!$P$42*(E119^2))+('regresi PRT'!$P$43*(E119^3))+('regresi PRT'!$P$44*(E119^4))+('regresi PRT'!$P$45*(E119^5))+('regresi PRT'!$P$46*(E119^6))+('regresi PRT'!$P$47*(E119^7))+('regresi PRT'!$P$48*(E119^8))+('regresi PRT'!$P$49*(E119^9))+('regresi PRT'!$P$50*(E119^10))))</f>
        <v>0</v>
      </c>
      <c r="G119" s="41">
        <f>F119-C119</f>
        <v>0</v>
      </c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>
        <f>_xlfn.STDEV.S(G115:G119)</f>
        <v>0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>
        <f>G121/SQRT(5)</f>
        <v>0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26"/>
      <c r="D125" s="26"/>
      <c r="H125" s="44"/>
      <c r="I125" s="44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1">
    <mergeCell ref="J26:K26"/>
    <mergeCell ref="J31:K31"/>
    <mergeCell ref="C51:D51"/>
    <mergeCell ref="C52:D52"/>
    <mergeCell ref="C53:D53"/>
    <mergeCell ref="C56:D56"/>
    <mergeCell ref="C185:D185"/>
    <mergeCell ref="C177:D177"/>
    <mergeCell ref="C180:D180"/>
    <mergeCell ref="C181:D181"/>
    <mergeCell ref="C182:D182"/>
    <mergeCell ref="C183:D183"/>
    <mergeCell ref="C184:D184"/>
    <mergeCell ref="C169:D169"/>
    <mergeCell ref="C172:D172"/>
    <mergeCell ref="C173:D173"/>
    <mergeCell ref="C174:D174"/>
    <mergeCell ref="C175:D175"/>
    <mergeCell ref="C176:D176"/>
    <mergeCell ref="C161:D161"/>
    <mergeCell ref="C164:D164"/>
    <mergeCell ref="C165:D165"/>
    <mergeCell ref="C166:D166"/>
    <mergeCell ref="C167:D167"/>
    <mergeCell ref="C168:D168"/>
    <mergeCell ref="C151:D151"/>
    <mergeCell ref="C156:D156"/>
    <mergeCell ref="C157:D157"/>
    <mergeCell ref="C158:D158"/>
    <mergeCell ref="C159:D159"/>
    <mergeCell ref="C160:D160"/>
    <mergeCell ref="C143:D143"/>
    <mergeCell ref="C146:D146"/>
    <mergeCell ref="C147:D147"/>
    <mergeCell ref="C148:D148"/>
    <mergeCell ref="C149:D149"/>
    <mergeCell ref="C150:D150"/>
    <mergeCell ref="C127:D127"/>
    <mergeCell ref="C138:D138"/>
    <mergeCell ref="C139:D139"/>
    <mergeCell ref="C140:D140"/>
    <mergeCell ref="C141:D141"/>
    <mergeCell ref="C142:D142"/>
    <mergeCell ref="C126:D126"/>
    <mergeCell ref="C111:D111"/>
    <mergeCell ref="C112:D112"/>
    <mergeCell ref="C107:D107"/>
    <mergeCell ref="C108:D108"/>
    <mergeCell ref="C109:D109"/>
    <mergeCell ref="C110:D110"/>
    <mergeCell ref="C99:D99"/>
    <mergeCell ref="C100:D100"/>
    <mergeCell ref="C101:D101"/>
    <mergeCell ref="C102:D102"/>
    <mergeCell ref="C103:D103"/>
    <mergeCell ref="C104:D104"/>
    <mergeCell ref="C95:D95"/>
    <mergeCell ref="C96:D96"/>
    <mergeCell ref="N96:O96"/>
    <mergeCell ref="Z96:AA96"/>
    <mergeCell ref="C93:D93"/>
    <mergeCell ref="O93:P93"/>
    <mergeCell ref="Q93:R93"/>
    <mergeCell ref="C94:D94"/>
    <mergeCell ref="O94:P94"/>
    <mergeCell ref="Q94:R94"/>
    <mergeCell ref="C91:D91"/>
    <mergeCell ref="O91:P91"/>
    <mergeCell ref="Q91:R91"/>
    <mergeCell ref="C92:D92"/>
    <mergeCell ref="O92:P92"/>
    <mergeCell ref="Q92:R92"/>
    <mergeCell ref="O89:P89"/>
    <mergeCell ref="Q89:R89"/>
    <mergeCell ref="O90:P90"/>
    <mergeCell ref="Q90:R90"/>
    <mergeCell ref="C87:D87"/>
    <mergeCell ref="O87:P87"/>
    <mergeCell ref="Q87:R87"/>
    <mergeCell ref="C88:D88"/>
    <mergeCell ref="O88:P88"/>
    <mergeCell ref="Q88:R88"/>
    <mergeCell ref="C85:D85"/>
    <mergeCell ref="O85:P85"/>
    <mergeCell ref="Q85:R85"/>
    <mergeCell ref="C86:D86"/>
    <mergeCell ref="O86:P86"/>
    <mergeCell ref="Q86:R86"/>
    <mergeCell ref="C83:D83"/>
    <mergeCell ref="N83:N84"/>
    <mergeCell ref="O83:P84"/>
    <mergeCell ref="Q83:R84"/>
    <mergeCell ref="S83:T83"/>
    <mergeCell ref="C84:D84"/>
    <mergeCell ref="S84:T84"/>
    <mergeCell ref="C76:D76"/>
    <mergeCell ref="C77:D77"/>
    <mergeCell ref="C78:D78"/>
    <mergeCell ref="C79:D79"/>
    <mergeCell ref="C80:D80"/>
    <mergeCell ref="C70:D70"/>
    <mergeCell ref="C71:D71"/>
    <mergeCell ref="C72:D72"/>
    <mergeCell ref="C75:D75"/>
    <mergeCell ref="C64:D64"/>
    <mergeCell ref="C67:D67"/>
    <mergeCell ref="C68:D68"/>
    <mergeCell ref="C69:D69"/>
    <mergeCell ref="C59:D59"/>
    <mergeCell ref="C60:D60"/>
    <mergeCell ref="C61:D61"/>
    <mergeCell ref="C62:D62"/>
    <mergeCell ref="C63:D63"/>
    <mergeCell ref="C48:D48"/>
    <mergeCell ref="N36:N37"/>
    <mergeCell ref="O36:O37"/>
    <mergeCell ref="P36:P37"/>
    <mergeCell ref="Q36:Q37"/>
    <mergeCell ref="R36:R37"/>
    <mergeCell ref="C43:D43"/>
    <mergeCell ref="C54:D54"/>
    <mergeCell ref="C55:D55"/>
    <mergeCell ref="N55:N56"/>
    <mergeCell ref="O55:X55"/>
    <mergeCell ref="C44:D44"/>
    <mergeCell ref="C45:D45"/>
    <mergeCell ref="N45:S45"/>
    <mergeCell ref="T45:Y45"/>
    <mergeCell ref="C46:D46"/>
    <mergeCell ref="C47:D47"/>
    <mergeCell ref="C50:D50"/>
    <mergeCell ref="C49:D49"/>
    <mergeCell ref="AB32:AC32"/>
    <mergeCell ref="T28:T29"/>
    <mergeCell ref="U28:U29"/>
    <mergeCell ref="AB28:AC28"/>
    <mergeCell ref="C41:D41"/>
    <mergeCell ref="C42:D42"/>
    <mergeCell ref="AB30:AC30"/>
    <mergeCell ref="C40:D40"/>
    <mergeCell ref="N28:N29"/>
    <mergeCell ref="O28:O29"/>
    <mergeCell ref="P28:P29"/>
    <mergeCell ref="Q28:Q29"/>
    <mergeCell ref="S28:S29"/>
    <mergeCell ref="S36:S37"/>
    <mergeCell ref="T36:T37"/>
    <mergeCell ref="U36:U37"/>
    <mergeCell ref="V36:V37"/>
    <mergeCell ref="W36:W37"/>
    <mergeCell ref="X36:X37"/>
    <mergeCell ref="E16:F16"/>
    <mergeCell ref="N16:N20"/>
    <mergeCell ref="E17:F17"/>
    <mergeCell ref="E18:F18"/>
    <mergeCell ref="AB18:AC18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  <mergeCell ref="F21:G21"/>
  </mergeCells>
  <conditionalFormatting sqref="C56">
    <cfRule type="expression" dxfId="369" priority="18" stopIfTrue="1">
      <formula>COUNT(C51:C55)&lt;&gt;5</formula>
    </cfRule>
  </conditionalFormatting>
  <conditionalFormatting sqref="C64">
    <cfRule type="expression" dxfId="368" priority="2" stopIfTrue="1">
      <formula>COUNT(C59:C63)&lt;&gt;5</formula>
    </cfRule>
  </conditionalFormatting>
  <conditionalFormatting sqref="C72">
    <cfRule type="expression" dxfId="367" priority="8" stopIfTrue="1">
      <formula>COUNT(C67:C71)&lt;&gt;5</formula>
    </cfRule>
  </conditionalFormatting>
  <conditionalFormatting sqref="C80">
    <cfRule type="expression" dxfId="366" priority="7" stopIfTrue="1">
      <formula>COUNT(C75:C79)&lt;&gt;5</formula>
    </cfRule>
  </conditionalFormatting>
  <conditionalFormatting sqref="C88">
    <cfRule type="expression" dxfId="365" priority="6" stopIfTrue="1">
      <formula>COUNT(C83:C87)&lt;&gt;5</formula>
    </cfRule>
  </conditionalFormatting>
  <conditionalFormatting sqref="C96">
    <cfRule type="expression" dxfId="364" priority="5" stopIfTrue="1">
      <formula>COUNT(C91:C95)&lt;&gt;5</formula>
    </cfRule>
  </conditionalFormatting>
  <conditionalFormatting sqref="C104">
    <cfRule type="expression" dxfId="363" priority="4" stopIfTrue="1">
      <formula>COUNT(C99:C103)&lt;&gt;5</formula>
    </cfRule>
  </conditionalFormatting>
  <conditionalFormatting sqref="C112">
    <cfRule type="expression" dxfId="362" priority="3" stopIfTrue="1">
      <formula>COUNT(C107:C111)&lt;&gt;5</formula>
    </cfRule>
  </conditionalFormatting>
  <conditionalFormatting sqref="C48:E48">
    <cfRule type="expression" dxfId="361" priority="19" stopIfTrue="1">
      <formula>COUNT(C43:C47)&lt;&gt;5</formula>
    </cfRule>
  </conditionalFormatting>
  <conditionalFormatting sqref="C120:E120">
    <cfRule type="expression" dxfId="360" priority="9" stopIfTrue="1">
      <formula>COUNT(C115:C119)&lt;&gt;5</formula>
    </cfRule>
  </conditionalFormatting>
  <conditionalFormatting sqref="E56">
    <cfRule type="expression" dxfId="359" priority="17" stopIfTrue="1">
      <formula>COUNT(E51:E55)&lt;&gt;5</formula>
    </cfRule>
  </conditionalFormatting>
  <conditionalFormatting sqref="E64">
    <cfRule type="expression" dxfId="358" priority="1" stopIfTrue="1">
      <formula>COUNT(E59:E63)&lt;&gt;5</formula>
    </cfRule>
  </conditionalFormatting>
  <conditionalFormatting sqref="E72">
    <cfRule type="expression" dxfId="357" priority="16" stopIfTrue="1">
      <formula>COUNT(E67:E71)&lt;&gt;5</formula>
    </cfRule>
  </conditionalFormatting>
  <conditionalFormatting sqref="E80">
    <cfRule type="expression" dxfId="356" priority="15" stopIfTrue="1">
      <formula>COUNT(E75:E79)&lt;&gt;5</formula>
    </cfRule>
  </conditionalFormatting>
  <conditionalFormatting sqref="E88">
    <cfRule type="expression" dxfId="355" priority="14" stopIfTrue="1">
      <formula>COUNT(E83:E87)&lt;&gt;5</formula>
    </cfRule>
  </conditionalFormatting>
  <conditionalFormatting sqref="E96">
    <cfRule type="expression" dxfId="354" priority="13" stopIfTrue="1">
      <formula>COUNT(E91:E95)&lt;&gt;5</formula>
    </cfRule>
  </conditionalFormatting>
  <conditionalFormatting sqref="E104">
    <cfRule type="expression" dxfId="353" priority="12" stopIfTrue="1">
      <formula>COUNT(E99:E103)&lt;&gt;5</formula>
    </cfRule>
  </conditionalFormatting>
  <conditionalFormatting sqref="E112">
    <cfRule type="expression" dxfId="352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34817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34817" r:id="rId4"/>
      </mc:Fallback>
    </mc:AlternateContent>
    <mc:AlternateContent xmlns:mc="http://schemas.openxmlformats.org/markup-compatibility/2006">
      <mc:Choice Requires="x14">
        <oleObject progId="Equation.3" shapeId="34818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34818" r:id="rId6"/>
      </mc:Fallback>
    </mc:AlternateContent>
    <mc:AlternateContent xmlns:mc="http://schemas.openxmlformats.org/markup-compatibility/2006">
      <mc:Choice Requires="x14">
        <oleObject progId="Equation.3" shapeId="34819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34819" r:id="rId8"/>
      </mc:Fallback>
    </mc:AlternateContent>
    <mc:AlternateContent xmlns:mc="http://schemas.openxmlformats.org/markup-compatibility/2006">
      <mc:Choice Requires="x14">
        <oleObject progId="Equation.3" shapeId="34820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34820" r:id="rId10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6'!O85</f>
        <v>-0.52200000000000002</v>
      </c>
      <c r="C2" s="37">
        <f>'PERHITUNGAN 6'!N85</f>
        <v>0.71</v>
      </c>
      <c r="D2" s="75">
        <f>C2^2</f>
        <v>0.50409999999999999</v>
      </c>
      <c r="E2" s="37">
        <f>C2^3</f>
        <v>0.35791099999999998</v>
      </c>
      <c r="F2" s="91">
        <f>C2^4</f>
        <v>0.25411680999999997</v>
      </c>
      <c r="G2" s="91">
        <f>C2^5</f>
        <v>0.18042293509999996</v>
      </c>
      <c r="H2" s="91">
        <f>C2^6</f>
        <v>0.12810028392099998</v>
      </c>
      <c r="I2" s="91">
        <f>C2^7</f>
        <v>9.0951201583909985E-2</v>
      </c>
      <c r="J2" s="91">
        <f>C2^8</f>
        <v>6.4575353124576088E-2</v>
      </c>
      <c r="K2" s="91">
        <f>C2^9</f>
        <v>4.5848500718449023E-2</v>
      </c>
      <c r="L2" s="91">
        <f>C2^10</f>
        <v>3.2552435510098808E-2</v>
      </c>
      <c r="Q2" s="12"/>
    </row>
    <row r="3" spans="1:24">
      <c r="A3" s="25">
        <v>2</v>
      </c>
      <c r="B3" s="37">
        <f>'PERHITUNGAN 6'!O86</f>
        <v>-0.13299999999999557</v>
      </c>
      <c r="C3" s="37">
        <f>'PERHITUNGAN 6'!N86</f>
        <v>50.48</v>
      </c>
      <c r="D3" s="75">
        <f t="shared" ref="D3:D9" si="0">C3^2</f>
        <v>2548.2303999999995</v>
      </c>
      <c r="E3" s="37">
        <f t="shared" ref="E3:E9" si="1">C3^3</f>
        <v>128634.67059199997</v>
      </c>
      <c r="F3" s="91">
        <f t="shared" ref="F3:F9" si="2">C3^4</f>
        <v>6493478.1714841574</v>
      </c>
      <c r="G3" s="91">
        <f t="shared" ref="G3:G9" si="3">C3^5</f>
        <v>327790778.09652025</v>
      </c>
      <c r="H3" s="91">
        <f t="shared" ref="H3:H9" si="4">C3^6</f>
        <v>16546878478.31234</v>
      </c>
      <c r="I3" s="91">
        <f t="shared" ref="I3:I9" si="5">C3^7</f>
        <v>835286425585.20691</v>
      </c>
      <c r="J3" s="91">
        <f t="shared" ref="J3:J9" si="6">C3^8</f>
        <v>42165258763541.234</v>
      </c>
      <c r="K3" s="91">
        <f t="shared" ref="K3:K9" si="7">C3^9</f>
        <v>2128502262383561.5</v>
      </c>
      <c r="L3" s="91">
        <f t="shared" ref="L3:L9" si="8">C3^10</f>
        <v>1.0744679420512216E+17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6'!O87</f>
        <v>-0.18599999999999284</v>
      </c>
      <c r="C4" s="37">
        <f>'PERHITUNGAN 6'!N87</f>
        <v>100.07</v>
      </c>
      <c r="D4" s="75">
        <f t="shared" si="0"/>
        <v>10014.004899999998</v>
      </c>
      <c r="E4" s="37">
        <f t="shared" si="1"/>
        <v>1002101.4703429998</v>
      </c>
      <c r="F4" s="91">
        <f t="shared" si="2"/>
        <v>100280294.13722397</v>
      </c>
      <c r="G4" s="91">
        <f t="shared" si="3"/>
        <v>10035049034.312002</v>
      </c>
      <c r="H4" s="91">
        <f t="shared" si="4"/>
        <v>1004207356863.6019</v>
      </c>
      <c r="I4" s="91">
        <f t="shared" si="5"/>
        <v>100491030201340.64</v>
      </c>
      <c r="J4" s="91">
        <f t="shared" si="6"/>
        <v>1.0056137392248156E+16</v>
      </c>
      <c r="K4" s="91">
        <f t="shared" si="7"/>
        <v>1.0063176688422729E+18</v>
      </c>
      <c r="L4" s="91">
        <f t="shared" si="8"/>
        <v>1.0070220912104623E+20</v>
      </c>
      <c r="R4" s="414" t="str">
        <f>IF('PERHITUNGAN 1'!$C$2="Celcius","(°C)","(°F)")</f>
        <v>(°C)</v>
      </c>
      <c r="S4" s="415"/>
      <c r="T4" s="5" t="str">
        <f>IF('PERHITUNGAN 1'!$C$2="Celcius","(°C)","(°F)")</f>
        <v>(°C)</v>
      </c>
      <c r="U4" s="14"/>
      <c r="V4" s="1"/>
    </row>
    <row r="5" spans="1:24">
      <c r="A5" s="25">
        <v>4</v>
      </c>
      <c r="B5" s="37">
        <f>'PERHITUNGAN 6'!O88</f>
        <v>-0.20299999999997453</v>
      </c>
      <c r="C5" s="37">
        <f>'PERHITUNGAN 6'!N88</f>
        <v>149.91999999999999</v>
      </c>
      <c r="D5" s="75">
        <f t="shared" si="0"/>
        <v>22476.006399999995</v>
      </c>
      <c r="E5" s="37">
        <f t="shared" si="1"/>
        <v>3369602.8794879988</v>
      </c>
      <c r="F5" s="91">
        <f t="shared" si="2"/>
        <v>505170863.6928407</v>
      </c>
      <c r="G5" s="91">
        <f t="shared" si="3"/>
        <v>75735215884.830673</v>
      </c>
      <c r="H5" s="91">
        <f t="shared" si="4"/>
        <v>11354223565453.813</v>
      </c>
      <c r="I5" s="91">
        <f t="shared" si="5"/>
        <v>1702225196932835.3</v>
      </c>
      <c r="J5" s="91">
        <f t="shared" si="6"/>
        <v>2.5519760152417062E+17</v>
      </c>
      <c r="K5" s="91">
        <f t="shared" si="7"/>
        <v>3.8259224420503658E+19</v>
      </c>
      <c r="L5" s="91">
        <f t="shared" si="8"/>
        <v>5.7358229251219071E+21</v>
      </c>
      <c r="R5" s="412"/>
      <c r="S5" s="413"/>
      <c r="T5" s="21"/>
      <c r="U5" s="32"/>
    </row>
    <row r="6" spans="1:24">
      <c r="A6" s="25">
        <v>5</v>
      </c>
      <c r="B6" s="37">
        <f>'PERHITUNGAN 6'!O89</f>
        <v>-0.15299999999999159</v>
      </c>
      <c r="C6" s="37">
        <f>'PERHITUNGAN 6'!N89</f>
        <v>199.62</v>
      </c>
      <c r="D6" s="75">
        <f t="shared" si="0"/>
        <v>39848.144400000005</v>
      </c>
      <c r="E6" s="37">
        <f t="shared" si="1"/>
        <v>7954486.5851280009</v>
      </c>
      <c r="F6" s="91">
        <f t="shared" si="2"/>
        <v>1587874612.1232517</v>
      </c>
      <c r="G6" s="91">
        <f t="shared" si="3"/>
        <v>316971530072.04352</v>
      </c>
      <c r="H6" s="91">
        <f t="shared" si="4"/>
        <v>63273856832981.328</v>
      </c>
      <c r="I6" s="91">
        <f t="shared" si="5"/>
        <v>1.2630727300999734E+16</v>
      </c>
      <c r="J6" s="91">
        <f t="shared" si="6"/>
        <v>2.5213457838255667E+18</v>
      </c>
      <c r="K6" s="91">
        <f t="shared" si="7"/>
        <v>5.0331104536725966E+20</v>
      </c>
      <c r="L6" s="91">
        <f t="shared" si="8"/>
        <v>1.0047095087621237E+23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6'!O90</f>
        <v>-0.13100000000000023</v>
      </c>
      <c r="C7" s="37">
        <f>'PERHITUNGAN 6'!N90</f>
        <v>249.61000000000004</v>
      </c>
      <c r="D7" s="75">
        <f t="shared" si="0"/>
        <v>62305.152100000021</v>
      </c>
      <c r="E7" s="37">
        <f t="shared" si="1"/>
        <v>15551989.015681008</v>
      </c>
      <c r="F7" s="91">
        <f t="shared" si="2"/>
        <v>3881931978.2041368</v>
      </c>
      <c r="G7" s="91">
        <f t="shared" si="3"/>
        <v>968969041079.53479</v>
      </c>
      <c r="H7" s="91">
        <f t="shared" si="4"/>
        <v>241864362343862.72</v>
      </c>
      <c r="I7" s="91">
        <f t="shared" si="5"/>
        <v>6.0371763484651584E+16</v>
      </c>
      <c r="J7" s="91">
        <f t="shared" si="6"/>
        <v>1.5069395883403882E+19</v>
      </c>
      <c r="K7" s="91">
        <f t="shared" si="7"/>
        <v>3.7614719064564438E+21</v>
      </c>
      <c r="L7" s="91">
        <f t="shared" si="8"/>
        <v>9.3890100257059307E+23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6'!O91</f>
        <v>-0.10300000000000864</v>
      </c>
      <c r="C8" s="37">
        <f>'PERHITUNGAN 6'!N91</f>
        <v>259.66000000000003</v>
      </c>
      <c r="D8" s="75">
        <f t="shared" si="0"/>
        <v>67423.315600000016</v>
      </c>
      <c r="E8" s="37">
        <f t="shared" si="1"/>
        <v>17507138.128696006</v>
      </c>
      <c r="F8" s="91">
        <f t="shared" si="2"/>
        <v>4545903486.4972057</v>
      </c>
      <c r="G8" s="91">
        <f t="shared" si="3"/>
        <v>1180389299303.8645</v>
      </c>
      <c r="H8" s="91">
        <f t="shared" si="4"/>
        <v>306499885457241.5</v>
      </c>
      <c r="I8" s="91">
        <f t="shared" si="5"/>
        <v>7.9585760257827344E+16</v>
      </c>
      <c r="J8" s="91">
        <f t="shared" si="6"/>
        <v>2.0665238508547449E+19</v>
      </c>
      <c r="K8" s="91">
        <f t="shared" si="7"/>
        <v>5.3659358311294309E+21</v>
      </c>
      <c r="L8" s="91">
        <f t="shared" si="8"/>
        <v>1.3933188979110684E+24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6'!O92</f>
        <v>0</v>
      </c>
      <c r="C9" s="37" t="e">
        <f>'PERHITUNGAN 6'!N92</f>
        <v>#DIV/0!</v>
      </c>
      <c r="D9" s="75" t="e">
        <f t="shared" si="0"/>
        <v>#DIV/0!</v>
      </c>
      <c r="E9" s="37" t="e">
        <f t="shared" si="1"/>
        <v>#DIV/0!</v>
      </c>
      <c r="F9" s="91" t="e">
        <f t="shared" si="2"/>
        <v>#DIV/0!</v>
      </c>
      <c r="G9" s="91" t="e">
        <f t="shared" si="3"/>
        <v>#DIV/0!</v>
      </c>
      <c r="H9" s="91" t="e">
        <f t="shared" si="4"/>
        <v>#DIV/0!</v>
      </c>
      <c r="I9" s="91" t="e">
        <f t="shared" si="5"/>
        <v>#DIV/0!</v>
      </c>
      <c r="J9" s="91" t="e">
        <f t="shared" si="6"/>
        <v>#DIV/0!</v>
      </c>
      <c r="K9" s="91" t="e">
        <f t="shared" si="7"/>
        <v>#DIV/0!</v>
      </c>
      <c r="L9" s="91" t="e">
        <f t="shared" si="8"/>
        <v>#DIV/0!</v>
      </c>
      <c r="R9" s="408"/>
      <c r="S9" s="409"/>
      <c r="T9" s="23"/>
      <c r="U9" s="27"/>
      <c r="V9" s="88"/>
    </row>
    <row r="10" spans="1:24">
      <c r="A10" s="25">
        <v>9</v>
      </c>
      <c r="B10" s="37"/>
      <c r="C10" s="37"/>
      <c r="D10" s="75"/>
      <c r="E10" s="37"/>
      <c r="F10" s="91"/>
      <c r="G10" s="91"/>
      <c r="H10" s="91"/>
      <c r="I10" s="91"/>
      <c r="J10" s="91"/>
      <c r="K10" s="91"/>
      <c r="L10" s="91"/>
      <c r="R10" s="408"/>
      <c r="S10" s="409"/>
      <c r="T10" s="23"/>
      <c r="U10" s="27"/>
      <c r="V10" s="88"/>
    </row>
    <row r="11" spans="1:24">
      <c r="A11" s="25">
        <v>10</v>
      </c>
      <c r="B11" s="37"/>
      <c r="C11" s="37"/>
      <c r="D11" s="75"/>
      <c r="E11" s="37"/>
      <c r="F11" s="91"/>
      <c r="G11" s="91"/>
      <c r="H11" s="91"/>
      <c r="I11" s="91"/>
      <c r="J11" s="91"/>
      <c r="K11" s="91"/>
      <c r="L11" s="91"/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f>'REGRESI 5'!R19:S19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-0.86499779019454837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5'!R20:S20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-0.42335772439406361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5'!R21:S21</f>
        <v>25</v>
      </c>
      <c r="S21" s="409"/>
      <c r="T21" s="23">
        <f t="shared" si="9"/>
        <v>0.29205016319645655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5'!R22:S22</f>
        <v>50</v>
      </c>
      <c r="S22" s="409"/>
      <c r="T22" s="23">
        <f t="shared" si="9"/>
        <v>0.54734563851425522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5'!R23:S23</f>
        <v>100</v>
      </c>
      <c r="S23" s="409"/>
      <c r="T23" s="23">
        <f t="shared" si="9"/>
        <v>0.15341069747302116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5'!R24:S24</f>
        <v>125</v>
      </c>
      <c r="S24" s="409"/>
      <c r="T24" s="23">
        <f t="shared" si="9"/>
        <v>-0.25791404631534487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5'!R25:S25</f>
        <v>150</v>
      </c>
      <c r="S25" s="409"/>
      <c r="T25" s="23">
        <f t="shared" si="9"/>
        <v>-0.65353985723509922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5'!R26:S26</f>
        <v>200</v>
      </c>
      <c r="S26" s="409"/>
      <c r="T26" s="23">
        <f t="shared" si="9"/>
        <v>-0.92188333532744338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5'!R27:S27</f>
        <v>0</v>
      </c>
      <c r="S27" s="409"/>
      <c r="T27" s="23">
        <f t="shared" si="9"/>
        <v>-0.42335772439406361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5'!R28:S28</f>
        <v>0</v>
      </c>
      <c r="S28" s="409"/>
      <c r="T28" s="23">
        <f t="shared" si="9"/>
        <v>-0.42335772439406361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0.89429743453456101</v>
      </c>
      <c r="Q33" s="31" t="s">
        <v>100</v>
      </c>
      <c r="U33" s="70"/>
    </row>
    <row r="34" spans="2:24">
      <c r="B34" t="s">
        <v>76</v>
      </c>
      <c r="C34">
        <v>0.79976790141509735</v>
      </c>
      <c r="X34" s="46"/>
    </row>
    <row r="35" spans="2:24">
      <c r="B35" t="s">
        <v>77</v>
      </c>
      <c r="C35">
        <v>0.64959382747642036</v>
      </c>
      <c r="Q35" t="s">
        <v>99</v>
      </c>
    </row>
    <row r="36" spans="2:24">
      <c r="B36" t="s">
        <v>78</v>
      </c>
      <c r="C36">
        <v>0.36041503871600872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-0.42335772439406361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0"/>
        <v>3.9404601566213011E-2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-4.6325219884644369E-4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2.0753725594693786</v>
      </c>
      <c r="E41">
        <v>0.6917908531564595</v>
      </c>
      <c r="F41">
        <v>5.3256056817215969</v>
      </c>
      <c r="G41">
        <v>6.9951496864333357E-2</v>
      </c>
      <c r="R41" s="26" t="s">
        <v>112</v>
      </c>
      <c r="S41">
        <f t="shared" si="10"/>
        <v>1.2688302537102208E-6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0.51959600053064825</v>
      </c>
      <c r="E42">
        <v>0.12989900013266206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2.594968560000027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-0.42335772439406361</v>
      </c>
      <c r="D46">
        <v>0.21621936579208098</v>
      </c>
      <c r="E46">
        <v>-1.9580009535370169</v>
      </c>
      <c r="F46">
        <v>0.12183361468228679</v>
      </c>
      <c r="G46">
        <v>-1.0236789241964579</v>
      </c>
      <c r="H46">
        <v>0.17696347540833079</v>
      </c>
      <c r="I46">
        <v>-1.0236789241964579</v>
      </c>
      <c r="J46">
        <v>0.17696347540833079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3.9404601566213011E-2</v>
      </c>
      <c r="D47">
        <v>1.2347893894069062E-2</v>
      </c>
      <c r="E47">
        <v>3.1912002082508839</v>
      </c>
      <c r="F47">
        <v>3.317817985549721E-2</v>
      </c>
      <c r="G47">
        <v>5.1213520045232455E-3</v>
      </c>
      <c r="H47">
        <v>7.368785112790277E-2</v>
      </c>
      <c r="I47">
        <v>5.1213520045232455E-3</v>
      </c>
      <c r="J47">
        <v>7.368785112790277E-2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-4.6325219884644369E-4</v>
      </c>
      <c r="D48">
        <v>1.6355546902663848E-4</v>
      </c>
      <c r="E48">
        <v>-2.8323858664181585</v>
      </c>
      <c r="F48">
        <v>4.7230634077685948E-2</v>
      </c>
      <c r="G48">
        <v>-9.1735498025378342E-4</v>
      </c>
      <c r="H48">
        <v>-9.149417439103971E-6</v>
      </c>
      <c r="I48">
        <v>-9.1735498025378342E-4</v>
      </c>
      <c r="J48">
        <v>-9.149417439103971E-6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1.2688302537102208E-6</v>
      </c>
      <c r="D49" s="67">
        <v>5.4923662965550531E-7</v>
      </c>
      <c r="E49" s="67">
        <v>2.3101704897323807</v>
      </c>
      <c r="F49" s="67">
        <v>8.2016925737637428E-2</v>
      </c>
      <c r="G49" s="67">
        <v>-2.5609509829214016E-7</v>
      </c>
      <c r="H49" s="67">
        <v>2.7937556057125818E-6</v>
      </c>
      <c r="I49" s="67">
        <v>-2.5609509829214016E-7</v>
      </c>
      <c r="J49" s="67">
        <v>2.7937556057125818E-6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56" spans="2:21" ht="13.5" thickBot="1">
      <c r="B56" s="67"/>
      <c r="C56" s="67"/>
      <c r="D56" s="67"/>
      <c r="E56" s="67"/>
      <c r="F56" s="67"/>
      <c r="G56" s="67"/>
      <c r="H56" s="67"/>
      <c r="I56" s="67"/>
      <c r="J56" s="67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0EBE1-F03D-40AD-9E15-67141EB0BC73}">
  <dimension ref="A1:AH187"/>
  <sheetViews>
    <sheetView topLeftCell="B1" zoomScale="102" workbookViewId="0">
      <selection activeCell="I105" sqref="I105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1'!E5</f>
        <v>Termometer Digital</v>
      </c>
      <c r="F5" s="11"/>
      <c r="G5" s="11" t="s">
        <v>127</v>
      </c>
      <c r="H5" s="11" t="s">
        <v>16</v>
      </c>
      <c r="I5" s="66" t="str">
        <f>'PERHITUNGAN 1'!I5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1'!E6</f>
        <v>Hioki / LR 8431-20</v>
      </c>
      <c r="F6" s="11"/>
      <c r="G6" s="11" t="s">
        <v>128</v>
      </c>
      <c r="H6" s="11" t="s">
        <v>16</v>
      </c>
      <c r="I6" s="129">
        <f>'PERHITUNGAN 1'!I6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1'!E7</f>
        <v>210149173</v>
      </c>
      <c r="F7" s="11"/>
      <c r="G7" s="11" t="s">
        <v>44</v>
      </c>
      <c r="H7" s="11" t="s">
        <v>16</v>
      </c>
      <c r="I7" s="31">
        <v>7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1'!D24</f>
        <v>22</v>
      </c>
      <c r="E23" s="244">
        <f>'PERHITUNGAN 1'!E24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1'!D25</f>
        <v>22</v>
      </c>
      <c r="E24" s="244">
        <f>'PERHITUNGAN 1'!E25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1'!D28</f>
        <v>20</v>
      </c>
      <c r="E27" s="244">
        <f>'PERHITUNGAN 1'!E28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1'!D29</f>
        <v>20</v>
      </c>
      <c r="E28" s="244">
        <f>'PERHITUNGAN 1'!E29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1'!D33</f>
        <v>55</v>
      </c>
      <c r="E32" s="244">
        <f>'PERHITUNGAN 1'!E33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1'!D34</f>
        <v>55</v>
      </c>
      <c r="E33" s="244">
        <f>'PERHITUNGAN 1'!E34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0.19800000000000001</v>
      </c>
      <c r="P36" s="380">
        <f>F56</f>
        <v>50.347000000000001</v>
      </c>
      <c r="Q36" s="380">
        <f>F64</f>
        <v>99.882999999999996</v>
      </c>
      <c r="R36" s="380">
        <f>F72</f>
        <v>149.72</v>
      </c>
      <c r="S36" s="380">
        <f>F80</f>
        <v>199.465</v>
      </c>
      <c r="T36" s="380">
        <f>F88</f>
        <v>249.477</v>
      </c>
      <c r="U36" s="380">
        <f>F96</f>
        <v>259.55599999999998</v>
      </c>
      <c r="V36" s="380">
        <f>F104</f>
        <v>0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7'!$E$11="Burn Engr",IF(O36&lt;=$AA$38,$AB$38,$AB$39),IF(O36&lt;=$AC$38,$AD$38,IF(O36&lt;=$AC$39,$AD$39,$AD$40)))</f>
        <v>7.0000000000000007E-2</v>
      </c>
      <c r="P38" s="54">
        <f>IF('PERHITUNGAN 7'!$E$11="Burn Engr",IF(P36&lt;=$AA$38,$AB$38,$AB$39),IF(P36&lt;=$AC$38,$AD$38,IF(P36&lt;=$AC$39,$AD$39,$AD$40)))</f>
        <v>7.0000000000000007E-2</v>
      </c>
      <c r="Q38" s="54">
        <f>IF('PERHITUNGAN 7'!$E$11="Burn Engr",IF(Q36&lt;=$AA$38,$AB$38,$AB$39),IF(Q36&lt;=$AC$38,$AD$38,IF(Q36&lt;=$AC$39,$AD$39,$AD$40)))</f>
        <v>7.0000000000000007E-2</v>
      </c>
      <c r="R38" s="54">
        <f>IF('PERHITUNGAN 7'!$E$11="Burn Engr",IF(R36&lt;=$AA$38,$AB$38,$AB$39),IF(R36&lt;=$AC$38,$AD$38,IF(R36&lt;=$AC$39,$AD$39,$AD$40)))</f>
        <v>7.0000000000000007E-2</v>
      </c>
      <c r="S38" s="54">
        <f>IF('PERHITUNGAN 7'!$E$11="Burn Engr",IF(S36&lt;=$AA$38,$AB$38,$AB$39),IF(S36&lt;=$AC$38,$AD$38,IF(S36&lt;=$AC$39,$AD$39,$AD$40)))</f>
        <v>7.0000000000000007E-2</v>
      </c>
      <c r="T38" s="54">
        <f>IF('PERHITUNGAN 7'!$E$11="Burn Engr",IF(T36&lt;=$AA$38,$AB$38,$AB$39),IF(T36&lt;=$AC$38,$AD$38,IF(T36&lt;=$AC$39,$AD$39,$AD$40)))</f>
        <v>7.0000000000000007E-2</v>
      </c>
      <c r="U38" s="54">
        <f>IF('PERHITUNGAN 7'!$E$11="Burn Engr",IF(U36&lt;=$AA$38,$AB$38,$AB$39),IF(U36&lt;=$AC$38,$AD$38,IF(U36&lt;=$AC$39,$AD$39,$AD$40)))</f>
        <v>7.0000000000000007E-2</v>
      </c>
      <c r="V38" s="54">
        <f>IF('PERHITUNGAN 7'!$E$11="Burn Engr",IF(V36&lt;=$AA$38,$AB$38,$AB$39),IF(V36&lt;=$AC$38,$AD$38,IF(V36&lt;=$AC$39,$AD$39,$AD$40)))</f>
        <v>0.02</v>
      </c>
      <c r="W38" s="54">
        <f>IF('PERHITUNGAN 7'!$E$11="Burn Engr",IF(W36&lt;=$AA$38,$AB$38,$AB$39),IF(W36&lt;=$AC$38,$AD$38,IF(W36&lt;=$AC$39,$AD$39,$AD$40)))</f>
        <v>0.02</v>
      </c>
      <c r="X38" s="54">
        <f>IF('PERHITUNGAN 7'!$E$11="Burn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3.5000000000000003E-2</v>
      </c>
      <c r="P40" s="37">
        <f t="shared" ref="P40:X40" si="1">P38/P39</f>
        <v>3.5000000000000003E-2</v>
      </c>
      <c r="Q40" s="37">
        <f t="shared" si="1"/>
        <v>3.5000000000000003E-2</v>
      </c>
      <c r="R40" s="37">
        <f>R38/R39</f>
        <v>3.5000000000000003E-2</v>
      </c>
      <c r="S40" s="37">
        <f t="shared" si="1"/>
        <v>3.5000000000000003E-2</v>
      </c>
      <c r="T40" s="37">
        <f t="shared" si="1"/>
        <v>3.5000000000000003E-2</v>
      </c>
      <c r="U40" s="37">
        <f t="shared" si="1"/>
        <v>3.5000000000000003E-2</v>
      </c>
      <c r="V40" s="37">
        <f t="shared" si="1"/>
        <v>0.01</v>
      </c>
      <c r="W40" s="37">
        <f t="shared" si="1"/>
        <v>0.01</v>
      </c>
      <c r="X40" s="37">
        <f t="shared" si="1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0</v>
      </c>
      <c r="C43" s="373">
        <v>0.28000000000000003</v>
      </c>
      <c r="D43" s="374"/>
      <c r="E43" s="90">
        <v>0.19800000000000001</v>
      </c>
      <c r="F43" s="37">
        <f>IF('PERHITUNGAN 7'!$E$11="Burn Engr",'PERHITUNGAN 7'!E43,E43+('regresi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0.19800000000000001</v>
      </c>
      <c r="G43" s="90">
        <f>F43-C43</f>
        <v>-8.2000000000000017E-2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0.28000000000000003</v>
      </c>
      <c r="D44" s="374"/>
      <c r="E44" s="90">
        <v>0.19800000000000001</v>
      </c>
      <c r="F44" s="37">
        <f>IF('PERHITUNGAN 7'!$E$11="Burn Engr",'PERHITUNGAN 7'!E44,E44+('regresi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0.19800000000000001</v>
      </c>
      <c r="G44" s="90">
        <f>F44-C44</f>
        <v>-8.2000000000000017E-2</v>
      </c>
      <c r="H44" s="63"/>
      <c r="I44" s="63"/>
      <c r="AB44" s="1"/>
    </row>
    <row r="45" spans="1:30" ht="13.5" customHeight="1">
      <c r="A45" s="105"/>
      <c r="C45" s="373">
        <v>0.28000000000000003</v>
      </c>
      <c r="D45" s="374"/>
      <c r="E45" s="90">
        <v>0.19800000000000001</v>
      </c>
      <c r="F45" s="37">
        <f>IF('PERHITUNGAN 7'!$E$11="Burn Engr",'PERHITUNGAN 7'!E45,E45+('regresi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0.19800000000000001</v>
      </c>
      <c r="G45" s="90">
        <f>F45-C45</f>
        <v>-8.2000000000000017E-2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0.28000000000000003</v>
      </c>
      <c r="D46" s="374"/>
      <c r="E46" s="90">
        <v>0.19800000000000001</v>
      </c>
      <c r="F46" s="37">
        <f>IF('PERHITUNGAN 7'!$E$11="Burn Engr",'PERHITUNGAN 7'!E46,E46+('regresi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0.19800000000000001</v>
      </c>
      <c r="G46" s="90">
        <f>F46-C46</f>
        <v>-8.2000000000000017E-2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0.28000000000000003</v>
      </c>
      <c r="D47" s="374"/>
      <c r="E47" s="90">
        <v>0.19800000000000001</v>
      </c>
      <c r="F47" s="37">
        <f>IF('PERHITUNGAN 7'!$E$11="Burn Engr",'PERHITUNGAN 7'!E47,E47+('regresi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0.19800000000000001</v>
      </c>
      <c r="G47" s="90">
        <f>F47-C47</f>
        <v>-8.2000000000000017E-2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0.28000000000000003</v>
      </c>
      <c r="D48" s="357"/>
      <c r="E48" s="95">
        <f>AVERAGE(E43:E47)</f>
        <v>0.19800000000000001</v>
      </c>
      <c r="F48" s="95">
        <f>AVERAGE(F43:F47)</f>
        <v>0.19800000000000001</v>
      </c>
      <c r="G48" s="95">
        <f>SUM(G43:G47)/5</f>
        <v>-8.2000000000000017E-2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0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0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>
        <v>50</v>
      </c>
      <c r="C51" s="373">
        <v>50.6</v>
      </c>
      <c r="D51" s="374"/>
      <c r="E51" s="90">
        <v>50.347000000000001</v>
      </c>
      <c r="F51" s="37">
        <f>IF('PERHITUNGAN 7'!$E$11="Burn Engr",'PERHITUNGAN 7'!E51,E51+('regresi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50.347000000000001</v>
      </c>
      <c r="G51" s="90">
        <f>F51-C51</f>
        <v>-0.25300000000000011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>
        <v>50.6</v>
      </c>
      <c r="D52" s="374"/>
      <c r="E52" s="90">
        <v>50.347000000000001</v>
      </c>
      <c r="F52" s="37">
        <f>IF('PERHITUNGAN 7'!$E$11="Burn Engr",'PERHITUNGAN 7'!E52,E52+('regresi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50.347000000000001</v>
      </c>
      <c r="G52" s="90">
        <f>F52-C52</f>
        <v>-0.25300000000000011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>
        <v>50.6</v>
      </c>
      <c r="D53" s="374"/>
      <c r="E53" s="90">
        <v>50.347000000000001</v>
      </c>
      <c r="F53" s="37">
        <f>IF('PERHITUNGAN 7'!$E$11="Burn Engr",'PERHITUNGAN 7'!E53,E53+('regresi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50.347000000000001</v>
      </c>
      <c r="G53" s="90">
        <f>F53-C53</f>
        <v>-0.25300000000000011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50.6</v>
      </c>
      <c r="D54" s="374"/>
      <c r="E54" s="90">
        <v>50.347000000000001</v>
      </c>
      <c r="F54" s="37">
        <f>IF('PERHITUNGAN 7'!$E$11="Burn Engr",'PERHITUNGAN 7'!E54,E54+('regresi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50.347000000000001</v>
      </c>
      <c r="G54" s="90">
        <f>F54-C54</f>
        <v>-0.25300000000000011</v>
      </c>
      <c r="H54" s="63"/>
      <c r="I54" s="63"/>
      <c r="AB54" s="1"/>
    </row>
    <row r="55" spans="1:28" ht="13.5" customHeight="1">
      <c r="A55" s="10"/>
      <c r="C55" s="373">
        <v>50.6</v>
      </c>
      <c r="D55" s="374"/>
      <c r="E55" s="90">
        <v>50.347000000000001</v>
      </c>
      <c r="F55" s="37">
        <f>IF('PERHITUNGAN 7'!$E$11="Burn Engr",'PERHITUNGAN 7'!E55,E55+('regresi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50.347000000000001</v>
      </c>
      <c r="G55" s="90">
        <f>F55-C55</f>
        <v>-0.25300000000000011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50.6</v>
      </c>
      <c r="D56" s="334"/>
      <c r="E56" s="95">
        <f>AVERAGE(E51:E55)</f>
        <v>50.347000000000001</v>
      </c>
      <c r="F56" s="95">
        <f t="shared" ref="F56" si="3">AVERAGE(F51:F55)</f>
        <v>50.347000000000001</v>
      </c>
      <c r="G56" s="95">
        <f>SUM(G51:G55)/5</f>
        <v>-0.25300000000000011</v>
      </c>
      <c r="H56" s="63"/>
      <c r="I56" s="63"/>
      <c r="N56" s="390"/>
      <c r="O56" s="115">
        <f>C48</f>
        <v>0.28000000000000003</v>
      </c>
      <c r="P56" s="115">
        <f>C56</f>
        <v>50.6</v>
      </c>
      <c r="Q56" s="115">
        <f>C64</f>
        <v>100.4</v>
      </c>
      <c r="R56" s="115">
        <f>C72</f>
        <v>149.97999999999999</v>
      </c>
      <c r="S56" s="115">
        <f>C80</f>
        <v>199.46</v>
      </c>
      <c r="T56" s="115">
        <f>C88</f>
        <v>249.38999999999996</v>
      </c>
      <c r="U56" s="115">
        <f>C96</f>
        <v>259.47000000000003</v>
      </c>
      <c r="V56" s="115" t="e">
        <f>C104</f>
        <v>#DIV/0!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0</v>
      </c>
      <c r="H57" s="44"/>
      <c r="I57" s="63"/>
      <c r="N57" s="25" t="s">
        <v>152</v>
      </c>
      <c r="O57" s="112">
        <f>$G$49/5^0.5</f>
        <v>0</v>
      </c>
      <c r="P57" s="112">
        <f>$G$57/5^0.5</f>
        <v>0</v>
      </c>
      <c r="Q57" s="112">
        <f>$G$65/5^0.5</f>
        <v>0</v>
      </c>
      <c r="R57" s="112">
        <f>$G$73/5^0.5</f>
        <v>0</v>
      </c>
      <c r="S57" s="112">
        <f>$G$81/5^0.5</f>
        <v>0</v>
      </c>
      <c r="T57" s="112">
        <f>$G$89/5^0.5</f>
        <v>0</v>
      </c>
      <c r="U57" s="112">
        <f>$G$97/5^0.5</f>
        <v>0</v>
      </c>
      <c r="V57" s="112" t="e">
        <f>$G$105/5^0.5</f>
        <v>#DIV/0!</v>
      </c>
      <c r="W57" s="112">
        <f>$G$113/5^0.5</f>
        <v>0</v>
      </c>
      <c r="X57" s="112">
        <f>$G$121/5^0.5</f>
        <v>0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0</v>
      </c>
      <c r="H58" s="44"/>
      <c r="I58" s="63"/>
      <c r="N58" s="25" t="s">
        <v>153</v>
      </c>
      <c r="O58" s="113">
        <f>IF('DRAFT-SERTIF'!$O$27="Ya",'REGRESI 7'!$C$36,0)</f>
        <v>0.65530257529049363</v>
      </c>
      <c r="P58" s="113">
        <f>IF('DRAFT-SERTIF'!$O$27="Ya",'REGRESI 7'!$C$36,0)</f>
        <v>0.65530257529049363</v>
      </c>
      <c r="Q58" s="113">
        <f>IF('DRAFT-SERTIF'!$O$27="Ya",'REGRESI 7'!$C$36,0)</f>
        <v>0.65530257529049363</v>
      </c>
      <c r="R58" s="113">
        <f>IF('DRAFT-SERTIF'!$O$27="Ya",'REGRESI 7'!$C$36,0)</f>
        <v>0.65530257529049363</v>
      </c>
      <c r="S58" s="113">
        <f>IF('DRAFT-SERTIF'!$O$27="Ya",'REGRESI 7'!$C$36,0)</f>
        <v>0.65530257529049363</v>
      </c>
      <c r="T58" s="113">
        <f>IF('DRAFT-SERTIF'!$O$27="Ya",'REGRESI 7'!$C$36,0)</f>
        <v>0.65530257529049363</v>
      </c>
      <c r="U58" s="113">
        <f>IF('DRAFT-SERTIF'!$O$27="Ya",'REGRESI 7'!$C$36,0)</f>
        <v>0.65530257529049363</v>
      </c>
      <c r="V58" s="113">
        <f>IF('DRAFT-SERTIF'!$O$27="Ya",'REGRESI 7'!$C$36,0)</f>
        <v>0.65530257529049363</v>
      </c>
      <c r="W58" s="113">
        <f>IF('DRAFT-SERTIF'!$O$27="Ya",'REGRESI 7'!$C$36,0)</f>
        <v>0.65530257529049363</v>
      </c>
      <c r="X58" s="113">
        <f>IF('DRAFT-SERTIF'!$O$27="Ya",'REGRESI 7'!$C$36,0)</f>
        <v>0.65530257529049363</v>
      </c>
      <c r="AB58" s="1"/>
    </row>
    <row r="59" spans="1:28" ht="13.5" customHeight="1">
      <c r="A59" s="105">
        <v>3</v>
      </c>
      <c r="B59" s="196">
        <v>100</v>
      </c>
      <c r="C59" s="327">
        <v>100.4</v>
      </c>
      <c r="D59" s="327"/>
      <c r="E59" s="15">
        <v>99.882999999999996</v>
      </c>
      <c r="F59" s="37">
        <f>IF('PERHITUNGAN 7'!$E$11="Burn Engr",'PERHITUNGAN 7'!E59,E59+('regresi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99.882999999999996</v>
      </c>
      <c r="G59" s="90">
        <f>F59-C59</f>
        <v>-0.51700000000001012</v>
      </c>
      <c r="H59" s="63"/>
      <c r="I59" s="63"/>
      <c r="N59" s="25" t="s">
        <v>154</v>
      </c>
      <c r="O59" s="91">
        <f t="shared" ref="O59:X59" si="4">O40</f>
        <v>3.5000000000000003E-2</v>
      </c>
      <c r="P59" s="91">
        <f t="shared" si="4"/>
        <v>3.5000000000000003E-2</v>
      </c>
      <c r="Q59" s="91">
        <f t="shared" si="4"/>
        <v>3.5000000000000003E-2</v>
      </c>
      <c r="R59" s="91">
        <f t="shared" si="4"/>
        <v>3.5000000000000003E-2</v>
      </c>
      <c r="S59" s="91">
        <f t="shared" si="4"/>
        <v>3.5000000000000003E-2</v>
      </c>
      <c r="T59" s="91">
        <f t="shared" si="4"/>
        <v>3.5000000000000003E-2</v>
      </c>
      <c r="U59" s="91">
        <f t="shared" si="4"/>
        <v>3.5000000000000003E-2</v>
      </c>
      <c r="V59" s="91">
        <f t="shared" si="4"/>
        <v>0.01</v>
      </c>
      <c r="W59" s="91">
        <f t="shared" si="4"/>
        <v>0.01</v>
      </c>
      <c r="X59" s="91">
        <f t="shared" si="4"/>
        <v>0.01</v>
      </c>
    </row>
    <row r="60" spans="1:28">
      <c r="A60" s="10"/>
      <c r="C60" s="327">
        <v>100.4</v>
      </c>
      <c r="D60" s="327"/>
      <c r="E60" s="15">
        <v>99.882999999999996</v>
      </c>
      <c r="F60" s="37">
        <f>IF('PERHITUNGAN 7'!$E$11="Burn Engr",'PERHITUNGAN 7'!E60,E60+('regresi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99.882999999999996</v>
      </c>
      <c r="G60" s="90">
        <f>F60-C60</f>
        <v>-0.51700000000001012</v>
      </c>
      <c r="H60" s="63"/>
      <c r="I60" s="63"/>
      <c r="N60" s="133" t="s">
        <v>155</v>
      </c>
      <c r="O60" s="134">
        <f>'PERHITUNGAN 1'!O61</f>
        <v>1.5000000000000003E-2</v>
      </c>
      <c r="P60" s="134">
        <f>'PERHITUNGAN 1'!P61</f>
        <v>0.01</v>
      </c>
      <c r="Q60" s="134">
        <f>'PERHITUNGAN 1'!Q61</f>
        <v>5.0000000000000001E-3</v>
      </c>
      <c r="R60" s="134">
        <f>'PERHITUNGAN 1'!R61</f>
        <v>1.4999999999999999E-2</v>
      </c>
      <c r="S60" s="134">
        <f>'PERHITUNGAN 1'!S61</f>
        <v>5.0000000000000001E-3</v>
      </c>
      <c r="T60" s="134">
        <f>'PERHITUNGAN 1'!T61</f>
        <v>0.05</v>
      </c>
      <c r="U60" s="134">
        <f>'PERHITUNGAN 1'!U61</f>
        <v>0.05</v>
      </c>
      <c r="V60" s="134">
        <f>'PERHITUNGAN 1'!V61</f>
        <v>1.5000000000000003E-2</v>
      </c>
      <c r="W60" s="134">
        <f>'PERHITUNGAN 1'!W61</f>
        <v>1.4999999999999999E-2</v>
      </c>
      <c r="X60" s="134">
        <f>'PERHITUNGAN 1'!X61</f>
        <v>1.4999999999999999E-2</v>
      </c>
    </row>
    <row r="61" spans="1:28">
      <c r="A61" s="10"/>
      <c r="C61" s="327">
        <v>100.4</v>
      </c>
      <c r="D61" s="327"/>
      <c r="E61" s="15">
        <v>99.882999999999996</v>
      </c>
      <c r="F61" s="37">
        <f>IF('PERHITUNGAN 7'!$E$11="Burn Engr",'PERHITUNGAN 7'!E61,E61+('regresi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99.882999999999996</v>
      </c>
      <c r="G61" s="90">
        <f>F61-C61</f>
        <v>-0.51700000000001012</v>
      </c>
      <c r="H61" s="63"/>
      <c r="I61" s="63"/>
      <c r="N61" s="25" t="s">
        <v>156</v>
      </c>
      <c r="O61" s="114">
        <f>(0.1*O38)/SQRT(3)</f>
        <v>4.041451884327381E-3</v>
      </c>
      <c r="P61" s="114">
        <f t="shared" ref="P61:X61" si="5">(0.1*P38)/SQRT(3)</f>
        <v>4.041451884327381E-3</v>
      </c>
      <c r="Q61" s="114">
        <f t="shared" si="5"/>
        <v>4.041451884327381E-3</v>
      </c>
      <c r="R61" s="114">
        <f t="shared" si="5"/>
        <v>4.041451884327381E-3</v>
      </c>
      <c r="S61" s="114">
        <f t="shared" si="5"/>
        <v>4.041451884327381E-3</v>
      </c>
      <c r="T61" s="114">
        <f t="shared" si="5"/>
        <v>4.041451884327381E-3</v>
      </c>
      <c r="U61" s="114">
        <f t="shared" si="5"/>
        <v>4.041451884327381E-3</v>
      </c>
      <c r="V61" s="114">
        <f t="shared" si="5"/>
        <v>1.1547005383792516E-3</v>
      </c>
      <c r="W61" s="114">
        <f t="shared" si="5"/>
        <v>1.1547005383792516E-3</v>
      </c>
      <c r="X61" s="114">
        <f t="shared" si="5"/>
        <v>1.1547005383792516E-3</v>
      </c>
    </row>
    <row r="62" spans="1:28">
      <c r="A62" s="10"/>
      <c r="C62" s="327">
        <v>100.4</v>
      </c>
      <c r="D62" s="327"/>
      <c r="E62" s="15">
        <v>99.882999999999996</v>
      </c>
      <c r="F62" s="37">
        <f>IF('PERHITUNGAN 7'!$E$11="Burn Engr",'PERHITUNGAN 7'!E62,E62+('regresi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99.882999999999996</v>
      </c>
      <c r="G62" s="90">
        <f>F62-C62</f>
        <v>-0.51700000000001012</v>
      </c>
      <c r="H62" s="63"/>
      <c r="I62" s="63"/>
      <c r="N62" s="25" t="s">
        <v>157</v>
      </c>
      <c r="O62" s="114">
        <f t="shared" ref="O62:X62" si="6">$T$28</f>
        <v>2.886751345948129E-3</v>
      </c>
      <c r="P62" s="114">
        <f t="shared" si="6"/>
        <v>2.886751345948129E-3</v>
      </c>
      <c r="Q62" s="114">
        <f t="shared" si="6"/>
        <v>2.886751345948129E-3</v>
      </c>
      <c r="R62" s="114">
        <f t="shared" si="6"/>
        <v>2.886751345948129E-3</v>
      </c>
      <c r="S62" s="114">
        <f t="shared" si="6"/>
        <v>2.886751345948129E-3</v>
      </c>
      <c r="T62" s="114">
        <f t="shared" si="6"/>
        <v>2.886751345948129E-3</v>
      </c>
      <c r="U62" s="114">
        <f t="shared" si="6"/>
        <v>2.886751345948129E-3</v>
      </c>
      <c r="V62" s="114">
        <f t="shared" si="6"/>
        <v>2.886751345948129E-3</v>
      </c>
      <c r="W62" s="114">
        <f t="shared" si="6"/>
        <v>2.886751345948129E-3</v>
      </c>
      <c r="X62" s="114">
        <f t="shared" si="6"/>
        <v>2.886751345948129E-3</v>
      </c>
    </row>
    <row r="63" spans="1:28">
      <c r="A63" s="10"/>
      <c r="C63" s="327">
        <v>100.4</v>
      </c>
      <c r="D63" s="327"/>
      <c r="E63" s="15">
        <v>99.882999999999996</v>
      </c>
      <c r="F63" s="37">
        <f>IF('PERHITUNGAN 7'!$E$11="Burn Engr",'PERHITUNGAN 7'!E63,E63+('regresi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99.882999999999996</v>
      </c>
      <c r="G63" s="90">
        <f>F63-C63</f>
        <v>-0.51700000000001012</v>
      </c>
      <c r="H63" s="63"/>
      <c r="I63" s="63"/>
      <c r="N63" s="25" t="s">
        <v>158</v>
      </c>
      <c r="O63" s="114">
        <f t="shared" ref="O63:X63" si="7">$T$26</f>
        <v>2.886751345948129E-4</v>
      </c>
      <c r="P63" s="114">
        <f t="shared" si="7"/>
        <v>2.886751345948129E-4</v>
      </c>
      <c r="Q63" s="114">
        <f t="shared" si="7"/>
        <v>2.886751345948129E-4</v>
      </c>
      <c r="R63" s="114">
        <f t="shared" si="7"/>
        <v>2.886751345948129E-4</v>
      </c>
      <c r="S63" s="114">
        <f t="shared" si="7"/>
        <v>2.886751345948129E-4</v>
      </c>
      <c r="T63" s="114">
        <f t="shared" si="7"/>
        <v>2.886751345948129E-4</v>
      </c>
      <c r="U63" s="114">
        <f t="shared" si="7"/>
        <v>2.886751345948129E-4</v>
      </c>
      <c r="V63" s="114">
        <f t="shared" si="7"/>
        <v>2.886751345948129E-4</v>
      </c>
      <c r="W63" s="114">
        <f t="shared" si="7"/>
        <v>2.886751345948129E-4</v>
      </c>
      <c r="X63" s="114">
        <f t="shared" si="7"/>
        <v>2.886751345948129E-4</v>
      </c>
    </row>
    <row r="64" spans="1:28">
      <c r="A64" s="10"/>
      <c r="B64" s="8" t="s">
        <v>31</v>
      </c>
      <c r="C64" s="333">
        <f>AVERAGE(C59:D63)</f>
        <v>100.4</v>
      </c>
      <c r="D64" s="334"/>
      <c r="E64" s="95">
        <f>AVERAGE(E59:E63)</f>
        <v>99.882999999999996</v>
      </c>
      <c r="F64" s="95">
        <f t="shared" ref="F64" si="8">AVERAGE(F59:F63)</f>
        <v>99.882999999999996</v>
      </c>
      <c r="G64" s="95">
        <f>SUM(G59:G63)/5</f>
        <v>-0.51700000000001012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9">10^10</f>
        <v>10000000000</v>
      </c>
      <c r="Q66" s="53">
        <f t="shared" si="9"/>
        <v>10000000000</v>
      </c>
      <c r="R66" s="53">
        <f t="shared" si="9"/>
        <v>10000000000</v>
      </c>
      <c r="S66" s="53">
        <f t="shared" si="9"/>
        <v>10000000000</v>
      </c>
      <c r="T66" s="53">
        <f t="shared" si="9"/>
        <v>10000000000</v>
      </c>
      <c r="U66" s="53">
        <f t="shared" si="9"/>
        <v>10000000000</v>
      </c>
      <c r="V66" s="53">
        <f t="shared" si="9"/>
        <v>10000000000</v>
      </c>
      <c r="W66" s="53">
        <f t="shared" si="9"/>
        <v>10000000000</v>
      </c>
      <c r="X66" s="53">
        <f t="shared" si="9"/>
        <v>10000000000</v>
      </c>
    </row>
    <row r="67" spans="1:28">
      <c r="A67" s="105">
        <v>4</v>
      </c>
      <c r="B67" s="196">
        <v>150</v>
      </c>
      <c r="C67" s="327">
        <v>149.97999999999999</v>
      </c>
      <c r="D67" s="327"/>
      <c r="E67" s="90">
        <v>149.72</v>
      </c>
      <c r="F67" s="37">
        <f>IF('PERHITUNGAN 7'!$E$11="Burn Engr",'PERHITUNGAN 7'!E67,E67+('regresi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149.72</v>
      </c>
      <c r="G67" s="90">
        <f>F67-C67</f>
        <v>-0.25999999999999091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149.97999999999999</v>
      </c>
      <c r="D68" s="327"/>
      <c r="E68" s="90">
        <v>149.72</v>
      </c>
      <c r="F68" s="37">
        <f>IF('PERHITUNGAN 7'!$E$11="Burn Engr",'PERHITUNGAN 7'!E68,E68+('regresi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149.72</v>
      </c>
      <c r="G68" s="90">
        <f>F68-C68</f>
        <v>-0.25999999999999091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149.97999999999999</v>
      </c>
      <c r="D69" s="327"/>
      <c r="E69" s="90">
        <v>149.72</v>
      </c>
      <c r="F69" s="37">
        <f>IF('PERHITUNGAN 7'!$E$11="Burn Engr",'PERHITUNGAN 7'!E69,E69+('regresi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149.72</v>
      </c>
      <c r="G69" s="90">
        <f>F69-C69</f>
        <v>-0.25999999999999091</v>
      </c>
      <c r="H69" s="63"/>
      <c r="I69" s="63"/>
      <c r="N69" s="25" t="s">
        <v>163</v>
      </c>
      <c r="O69" s="53">
        <f t="shared" ref="O69:X71" si="10">10^10</f>
        <v>10000000000</v>
      </c>
      <c r="P69" s="53">
        <f t="shared" si="10"/>
        <v>10000000000</v>
      </c>
      <c r="Q69" s="53">
        <f t="shared" si="10"/>
        <v>10000000000</v>
      </c>
      <c r="R69" s="53">
        <f t="shared" si="10"/>
        <v>10000000000</v>
      </c>
      <c r="S69" s="53">
        <f t="shared" si="10"/>
        <v>10000000000</v>
      </c>
      <c r="T69" s="53">
        <f t="shared" si="10"/>
        <v>10000000000</v>
      </c>
      <c r="U69" s="53">
        <f t="shared" si="10"/>
        <v>10000000000</v>
      </c>
      <c r="V69" s="53">
        <f t="shared" si="10"/>
        <v>10000000000</v>
      </c>
      <c r="W69" s="53">
        <f t="shared" si="10"/>
        <v>10000000000</v>
      </c>
      <c r="X69" s="53">
        <f t="shared" si="10"/>
        <v>10000000000</v>
      </c>
      <c r="AB69" s="1"/>
    </row>
    <row r="70" spans="1:28">
      <c r="A70" s="10"/>
      <c r="C70" s="327">
        <v>149.97999999999999</v>
      </c>
      <c r="D70" s="327"/>
      <c r="E70" s="90">
        <v>149.72</v>
      </c>
      <c r="F70" s="37">
        <f>IF('PERHITUNGAN 7'!$E$11="Burn Engr",'PERHITUNGAN 7'!E70,E70+('regresi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149.72</v>
      </c>
      <c r="G70" s="90">
        <f>F70-C70</f>
        <v>-0.25999999999999091</v>
      </c>
      <c r="H70" s="63"/>
      <c r="I70" s="63"/>
      <c r="N70" s="25" t="s">
        <v>164</v>
      </c>
      <c r="O70" s="53">
        <f t="shared" si="10"/>
        <v>10000000000</v>
      </c>
      <c r="P70" s="53">
        <f t="shared" si="10"/>
        <v>10000000000</v>
      </c>
      <c r="Q70" s="53">
        <f t="shared" si="10"/>
        <v>10000000000</v>
      </c>
      <c r="R70" s="53">
        <f t="shared" si="10"/>
        <v>10000000000</v>
      </c>
      <c r="S70" s="53">
        <f t="shared" si="10"/>
        <v>10000000000</v>
      </c>
      <c r="T70" s="53">
        <f t="shared" si="10"/>
        <v>10000000000</v>
      </c>
      <c r="U70" s="53">
        <f t="shared" si="10"/>
        <v>10000000000</v>
      </c>
      <c r="V70" s="53">
        <f t="shared" si="10"/>
        <v>10000000000</v>
      </c>
      <c r="W70" s="53">
        <f t="shared" si="10"/>
        <v>10000000000</v>
      </c>
      <c r="X70" s="53">
        <f t="shared" si="10"/>
        <v>10000000000</v>
      </c>
      <c r="AB70" s="1"/>
    </row>
    <row r="71" spans="1:28">
      <c r="A71" s="10"/>
      <c r="C71" s="327">
        <v>149.97999999999999</v>
      </c>
      <c r="D71" s="327"/>
      <c r="E71" s="90">
        <v>149.72</v>
      </c>
      <c r="F71" s="37">
        <f>IF('PERHITUNGAN 7'!$E$11="Burn Engr",'PERHITUNGAN 7'!E71,E71+('regresi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149.72</v>
      </c>
      <c r="G71" s="90">
        <f>F71-C71</f>
        <v>-0.25999999999999091</v>
      </c>
      <c r="H71" s="63"/>
      <c r="I71" s="63"/>
      <c r="N71" s="25" t="s">
        <v>165</v>
      </c>
      <c r="O71" s="53">
        <f t="shared" si="10"/>
        <v>10000000000</v>
      </c>
      <c r="P71" s="53">
        <f t="shared" si="10"/>
        <v>10000000000</v>
      </c>
      <c r="Q71" s="53">
        <f t="shared" si="10"/>
        <v>10000000000</v>
      </c>
      <c r="R71" s="53">
        <f t="shared" si="10"/>
        <v>10000000000</v>
      </c>
      <c r="S71" s="53">
        <f t="shared" si="10"/>
        <v>10000000000</v>
      </c>
      <c r="T71" s="53">
        <f t="shared" si="10"/>
        <v>10000000000</v>
      </c>
      <c r="U71" s="53">
        <f t="shared" si="10"/>
        <v>10000000000</v>
      </c>
      <c r="V71" s="53">
        <f t="shared" si="10"/>
        <v>10000000000</v>
      </c>
      <c r="W71" s="53">
        <f t="shared" si="10"/>
        <v>10000000000</v>
      </c>
      <c r="X71" s="53">
        <f t="shared" si="10"/>
        <v>10000000000</v>
      </c>
      <c r="AB71" s="1"/>
    </row>
    <row r="72" spans="1:28">
      <c r="A72" s="10"/>
      <c r="B72" s="8" t="s">
        <v>31</v>
      </c>
      <c r="C72" s="333">
        <f>AVERAGE(C67:D71)</f>
        <v>149.97999999999999</v>
      </c>
      <c r="D72" s="334"/>
      <c r="E72" s="95">
        <f>AVERAGE(E67:E71)</f>
        <v>149.72</v>
      </c>
      <c r="F72" s="95">
        <f t="shared" ref="F72" si="11">AVERAGE(F67:F71)</f>
        <v>149.72</v>
      </c>
      <c r="G72" s="95">
        <f>SUM(G67:G71)/5</f>
        <v>-0.25999999999999091</v>
      </c>
      <c r="H72" s="63"/>
      <c r="I72" s="63"/>
      <c r="N72" s="111" t="s">
        <v>168</v>
      </c>
      <c r="O72" s="118">
        <f>SQRT((O57^2)+(O58^2)+(O59^2)+(O60^2)+(O61^2)+(O62^2)+(O63^2))</f>
        <v>0.65642685440371273</v>
      </c>
      <c r="P72" s="118">
        <f t="shared" ref="P72:X72" si="12">SQRT((P57^2)+(P58^2)+(P59^2)+(P60^2)+(P61^2)+(P62^2)+(P63^2))</f>
        <v>0.65633163506138648</v>
      </c>
      <c r="Q72" s="118">
        <f t="shared" si="12"/>
        <v>0.65627449682457806</v>
      </c>
      <c r="R72" s="118">
        <f t="shared" si="12"/>
        <v>0.65642685440371273</v>
      </c>
      <c r="S72" s="118">
        <f t="shared" si="12"/>
        <v>0.65627449682457806</v>
      </c>
      <c r="T72" s="118">
        <f t="shared" si="12"/>
        <v>0.65815743950999528</v>
      </c>
      <c r="U72" s="118">
        <f t="shared" si="12"/>
        <v>0.65815743950999528</v>
      </c>
      <c r="V72" s="118" t="e">
        <f t="shared" si="12"/>
        <v>#DIV/0!</v>
      </c>
      <c r="W72" s="118">
        <f t="shared" si="12"/>
        <v>0.65555794189556815</v>
      </c>
      <c r="X72" s="118">
        <f t="shared" si="12"/>
        <v>0.65555794189556815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7176375.7183316043</v>
      </c>
      <c r="P73" s="120">
        <f t="shared" ref="P73:X73" si="13">(P72^4)/((P57^4/P65)+(P58^4/P66)+(P59^4/P67)+(P60^4/P68)+(P61^4/P69)+(P62^4/P70)+(P63^4/P71))</f>
        <v>7364952.7067218302</v>
      </c>
      <c r="Q73" s="120">
        <f t="shared" si="13"/>
        <v>7408331.1137771737</v>
      </c>
      <c r="R73" s="120">
        <f t="shared" si="13"/>
        <v>7176375.7183316043</v>
      </c>
      <c r="S73" s="120">
        <f t="shared" si="13"/>
        <v>7408331.1137771737</v>
      </c>
      <c r="T73" s="120">
        <f t="shared" si="13"/>
        <v>1452351.4160199894</v>
      </c>
      <c r="U73" s="120">
        <f t="shared" si="13"/>
        <v>1452351.4160199894</v>
      </c>
      <c r="V73" s="120" t="e">
        <f t="shared" si="13"/>
        <v>#DIV/0!</v>
      </c>
      <c r="W73" s="120">
        <f t="shared" si="13"/>
        <v>179510285.83616495</v>
      </c>
      <c r="X73" s="120">
        <f t="shared" si="13"/>
        <v>179510285.83616495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1.9599643148261705</v>
      </c>
      <c r="P74" s="123">
        <f t="shared" ref="P74:X74" si="14">_xlfn.T.INV.2T(0.05,P73)</f>
        <v>1.9599643068489017</v>
      </c>
      <c r="Q74" s="123">
        <f t="shared" si="14"/>
        <v>1.9599643046479507</v>
      </c>
      <c r="R74" s="123">
        <f t="shared" si="14"/>
        <v>1.9599643148261705</v>
      </c>
      <c r="S74" s="123">
        <f t="shared" si="14"/>
        <v>1.9599643046479507</v>
      </c>
      <c r="T74" s="123">
        <f t="shared" si="14"/>
        <v>1.9599656179480249</v>
      </c>
      <c r="U74" s="123">
        <f t="shared" si="14"/>
        <v>1.9599656179480249</v>
      </c>
      <c r="V74" s="123" t="e">
        <f t="shared" si="14"/>
        <v>#DIV/0!</v>
      </c>
      <c r="W74" s="123">
        <f t="shared" si="14"/>
        <v>1.959963998165414</v>
      </c>
      <c r="X74" s="123">
        <f t="shared" si="14"/>
        <v>1.959963998165414</v>
      </c>
      <c r="Z74" s="124"/>
      <c r="AB74" s="1"/>
    </row>
    <row r="75" spans="1:28">
      <c r="A75" s="105">
        <v>5</v>
      </c>
      <c r="B75" s="196">
        <v>200</v>
      </c>
      <c r="C75" s="327">
        <v>199.46</v>
      </c>
      <c r="D75" s="327"/>
      <c r="E75" s="90">
        <v>199.465</v>
      </c>
      <c r="F75" s="37">
        <f>IF('PERHITUNGAN 7'!$E$11="Burn Engr",'PERHITUNGAN 7'!E75,E75+('regresi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199.465</v>
      </c>
      <c r="G75" s="90">
        <f>F75-C75</f>
        <v>4.9999999999954525E-3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199.46</v>
      </c>
      <c r="D76" s="327"/>
      <c r="E76" s="90">
        <v>199.465</v>
      </c>
      <c r="F76" s="37">
        <f>IF('PERHITUNGAN 7'!$E$11="Burn Engr",'PERHITUNGAN 7'!E76,E76+('regresi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199.465</v>
      </c>
      <c r="G76" s="90">
        <f>F76-C76</f>
        <v>4.9999999999954525E-3</v>
      </c>
      <c r="H76" s="63"/>
      <c r="I76" s="63"/>
      <c r="N76" s="111" t="s">
        <v>166</v>
      </c>
      <c r="O76" s="121">
        <f t="shared" ref="O76:X76" si="15">O72*O74</f>
        <v>1.2865732099248712</v>
      </c>
      <c r="P76" s="121">
        <f t="shared" si="15"/>
        <v>1.2863865781760966</v>
      </c>
      <c r="Q76" s="121">
        <f t="shared" si="15"/>
        <v>1.2862745878269679</v>
      </c>
      <c r="R76" s="121">
        <f t="shared" si="15"/>
        <v>1.2865732099248712</v>
      </c>
      <c r="S76" s="121">
        <f t="shared" si="15"/>
        <v>1.2862745878269679</v>
      </c>
      <c r="T76" s="121">
        <f t="shared" si="15"/>
        <v>1.2899659526362977</v>
      </c>
      <c r="U76" s="121">
        <f t="shared" si="15"/>
        <v>1.2899659526362977</v>
      </c>
      <c r="V76" s="121" t="e">
        <f t="shared" si="15"/>
        <v>#DIV/0!</v>
      </c>
      <c r="W76" s="121">
        <f t="shared" si="15"/>
        <v>1.2848699648267279</v>
      </c>
      <c r="X76" s="121">
        <f t="shared" si="15"/>
        <v>1.2848699648267279</v>
      </c>
      <c r="AB76" s="1"/>
    </row>
    <row r="77" spans="1:28">
      <c r="A77" s="10"/>
      <c r="C77" s="327">
        <v>199.46</v>
      </c>
      <c r="D77" s="327"/>
      <c r="E77" s="90">
        <v>199.465</v>
      </c>
      <c r="F77" s="37">
        <f>IF('PERHITUNGAN 7'!$E$11="Burn Engr",'PERHITUNGAN 7'!E77,E77+('regresi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199.465</v>
      </c>
      <c r="G77" s="90">
        <f>F77-C77</f>
        <v>4.9999999999954525E-3</v>
      </c>
      <c r="H77" s="63"/>
      <c r="I77" s="63"/>
      <c r="AB77" s="1"/>
    </row>
    <row r="78" spans="1:28">
      <c r="A78" s="10"/>
      <c r="C78" s="327">
        <v>199.46</v>
      </c>
      <c r="D78" s="327"/>
      <c r="E78" s="90">
        <v>199.465</v>
      </c>
      <c r="F78" s="37">
        <f>IF('PERHITUNGAN 7'!$E$11="Burn Engr",'PERHITUNGAN 7'!E78,E78+('regresi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199.465</v>
      </c>
      <c r="G78" s="90">
        <f>F78-C78</f>
        <v>4.9999999999954525E-3</v>
      </c>
      <c r="H78" s="26"/>
      <c r="I78" s="26"/>
      <c r="AB78" s="1"/>
    </row>
    <row r="79" spans="1:28">
      <c r="A79" s="10"/>
      <c r="C79" s="327">
        <v>199.46</v>
      </c>
      <c r="D79" s="327"/>
      <c r="E79" s="90">
        <v>199.465</v>
      </c>
      <c r="F79" s="37">
        <f>IF('PERHITUNGAN 7'!$E$11="Burn Engr",'PERHITUNGAN 7'!E79,E79+('regresi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199.465</v>
      </c>
      <c r="G79" s="90">
        <f>F79-C79</f>
        <v>4.9999999999954525E-3</v>
      </c>
      <c r="AB79" s="1"/>
    </row>
    <row r="80" spans="1:28">
      <c r="A80" s="10"/>
      <c r="B80" s="8" t="s">
        <v>31</v>
      </c>
      <c r="C80" s="333">
        <f>AVERAGE(C75:D79)</f>
        <v>199.46</v>
      </c>
      <c r="D80" s="334"/>
      <c r="E80" s="95">
        <f>AVERAGE(E75:E79)</f>
        <v>199.465</v>
      </c>
      <c r="F80" s="95">
        <f t="shared" ref="F80" si="16">AVERAGE(F75:F79)</f>
        <v>199.465</v>
      </c>
      <c r="G80" s="95">
        <f>SUM(G75:G79)/5</f>
        <v>4.9999999999954525E-3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250</v>
      </c>
      <c r="C83" s="327">
        <v>249.39</v>
      </c>
      <c r="D83" s="327"/>
      <c r="E83" s="90">
        <v>249.477</v>
      </c>
      <c r="F83" s="37">
        <f>IF('PERHITUNGAN 7'!$E$11="Burn Engr",'PERHITUNGAN 7'!E83,E83+('regresi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249.477</v>
      </c>
      <c r="G83" s="40">
        <f>F83-C83</f>
        <v>8.7000000000017508E-2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249.39</v>
      </c>
      <c r="D84" s="327"/>
      <c r="E84" s="90">
        <v>249.477</v>
      </c>
      <c r="F84" s="37">
        <f>IF('PERHITUNGAN 7'!$E$11="Burn Engr",'PERHITUNGAN 7'!E84,E84+('regresi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249.477</v>
      </c>
      <c r="G84" s="40">
        <f>F84-C84</f>
        <v>8.7000000000017508E-2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249.39</v>
      </c>
      <c r="D85" s="327"/>
      <c r="E85" s="90">
        <v>249.477</v>
      </c>
      <c r="F85" s="37">
        <f>IF('PERHITUNGAN 7'!$E$11="Burn Engr",'PERHITUNGAN 7'!E85,E85+('regresi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249.477</v>
      </c>
      <c r="G85" s="40">
        <f>F85-C85</f>
        <v>8.7000000000017508E-2</v>
      </c>
      <c r="H85" s="26"/>
      <c r="I85" s="26"/>
      <c r="N85" s="93">
        <f>O56</f>
        <v>0.28000000000000003</v>
      </c>
      <c r="O85" s="403">
        <f>G48</f>
        <v>-8.2000000000000017E-2</v>
      </c>
      <c r="P85" s="404"/>
      <c r="Q85" s="387">
        <f t="shared" ref="Q85:Q94" si="17">N85+O85</f>
        <v>0.19800000000000001</v>
      </c>
      <c r="R85" s="405"/>
      <c r="S85" s="138" t="s">
        <v>35</v>
      </c>
      <c r="T85" s="94">
        <f>IF(N85&lt;$AA$97,MAX($O$97,O76),IF(N85&lt;$AA$98,MAX($O$98,O76),MAX($O$99,O76)))</f>
        <v>1.2865732099248712</v>
      </c>
      <c r="AB85" s="1"/>
    </row>
    <row r="86" spans="1:28">
      <c r="A86" s="10"/>
      <c r="C86" s="327">
        <v>249.39</v>
      </c>
      <c r="D86" s="327"/>
      <c r="E86" s="90">
        <v>249.477</v>
      </c>
      <c r="F86" s="37">
        <f>IF('PERHITUNGAN 7'!$E$11="Burn Engr",'PERHITUNGAN 7'!E86,E86+('regresi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249.477</v>
      </c>
      <c r="G86" s="40">
        <f>F86-C86</f>
        <v>8.7000000000017508E-2</v>
      </c>
      <c r="H86" s="63"/>
      <c r="I86" s="63"/>
      <c r="N86" s="93">
        <f>P56</f>
        <v>50.6</v>
      </c>
      <c r="O86" s="403">
        <f>G56</f>
        <v>-0.25300000000000011</v>
      </c>
      <c r="P86" s="404"/>
      <c r="Q86" s="406">
        <f t="shared" si="17"/>
        <v>50.347000000000001</v>
      </c>
      <c r="R86" s="407"/>
      <c r="S86" s="138" t="s">
        <v>35</v>
      </c>
      <c r="T86" s="94">
        <f>IF(N86&lt;$AA$97,MAX($O$97,P76),IF(N86&lt;$AA$98,MAX($O$98,P76),MAX($O$99,P76)))</f>
        <v>1.2863865781760966</v>
      </c>
      <c r="AB86" s="1"/>
    </row>
    <row r="87" spans="1:28">
      <c r="A87" s="10"/>
      <c r="C87" s="327">
        <v>249.39</v>
      </c>
      <c r="D87" s="327"/>
      <c r="E87" s="90">
        <v>249.477</v>
      </c>
      <c r="F87" s="37">
        <f>IF('PERHITUNGAN 7'!$E$11="Burn Engr",'PERHITUNGAN 7'!E87,E87+('regresi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249.477</v>
      </c>
      <c r="G87" s="41">
        <f>F87-C87</f>
        <v>8.7000000000017508E-2</v>
      </c>
      <c r="H87" s="63"/>
      <c r="I87" s="63"/>
      <c r="N87" s="93">
        <f>Q56</f>
        <v>100.4</v>
      </c>
      <c r="O87" s="403">
        <f>G64</f>
        <v>-0.51700000000001012</v>
      </c>
      <c r="P87" s="404"/>
      <c r="Q87" s="406">
        <f t="shared" si="17"/>
        <v>99.882999999999996</v>
      </c>
      <c r="R87" s="407"/>
      <c r="S87" s="138" t="s">
        <v>35</v>
      </c>
      <c r="T87" s="94">
        <f>IF(N87&lt;$AA$97,MAX($O$97,Q76),IF(N87&lt;$AA$98,MAX($O$98,Q76),MAX($O$99,Q76)))</f>
        <v>1.2862745878269679</v>
      </c>
      <c r="AB87" s="1"/>
    </row>
    <row r="88" spans="1:28">
      <c r="A88" s="10"/>
      <c r="B88" s="8" t="s">
        <v>31</v>
      </c>
      <c r="C88" s="333">
        <f>AVERAGE(C83:D87)</f>
        <v>249.38999999999996</v>
      </c>
      <c r="D88" s="334"/>
      <c r="E88" s="95">
        <f>AVERAGE(E83:E87)</f>
        <v>249.477</v>
      </c>
      <c r="F88" s="95">
        <f t="shared" ref="F88" si="18">AVERAGE(F83:F87)</f>
        <v>249.477</v>
      </c>
      <c r="G88" s="95">
        <f>SUM(G83:G87)/5</f>
        <v>8.7000000000017508E-2</v>
      </c>
      <c r="H88" s="63"/>
      <c r="I88" s="63"/>
      <c r="N88" s="93">
        <f>R56</f>
        <v>149.97999999999999</v>
      </c>
      <c r="O88" s="403">
        <f>G72</f>
        <v>-0.25999999999999091</v>
      </c>
      <c r="P88" s="404"/>
      <c r="Q88" s="406">
        <f t="shared" si="17"/>
        <v>149.72</v>
      </c>
      <c r="R88" s="407"/>
      <c r="S88" s="138" t="s">
        <v>35</v>
      </c>
      <c r="T88" s="94">
        <f>IF(N88&lt;$AA$97,MAX($O$97,R76),IF(N88&lt;$AA$98,MAX($O$98,R76),MAX($O$99,R76)))</f>
        <v>1.2865732099248712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199.46</v>
      </c>
      <c r="O89" s="403">
        <f>G80</f>
        <v>4.9999999999954525E-3</v>
      </c>
      <c r="P89" s="404"/>
      <c r="Q89" s="406">
        <f t="shared" si="17"/>
        <v>199.465</v>
      </c>
      <c r="R89" s="407"/>
      <c r="S89" s="138" t="s">
        <v>35</v>
      </c>
      <c r="T89" s="94">
        <f>IF(N89&lt;$AA$97,MAX($O$97,S76),IF(N89&lt;$AA$98,MAX($O$98,S76),MAX($O$99,S76)))</f>
        <v>1.2862745878269679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249.38999999999996</v>
      </c>
      <c r="O90" s="403">
        <f>G88</f>
        <v>8.7000000000017508E-2</v>
      </c>
      <c r="P90" s="404"/>
      <c r="Q90" s="406">
        <f t="shared" si="17"/>
        <v>249.47699999999998</v>
      </c>
      <c r="R90" s="407"/>
      <c r="S90" s="138" t="s">
        <v>35</v>
      </c>
      <c r="T90" s="94">
        <f>IF(N90&lt;$AA$97,MAX($O$97,T76),IF(N90&lt;$AA$98,MAX($O$98,T76),MAX($O$99,T76)))</f>
        <v>1.2899659526362977</v>
      </c>
      <c r="AB90" s="1"/>
    </row>
    <row r="91" spans="1:28">
      <c r="A91" s="105">
        <v>7</v>
      </c>
      <c r="B91" s="196">
        <v>260</v>
      </c>
      <c r="C91" s="327">
        <v>259.47000000000003</v>
      </c>
      <c r="D91" s="327"/>
      <c r="E91" s="90">
        <v>259.55599999999998</v>
      </c>
      <c r="F91" s="37">
        <f>IF('PERHITUNGAN 7'!$E$11="Burn Engr",'PERHITUNGAN 7'!E91,E91+('regresi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259.55599999999998</v>
      </c>
      <c r="G91" s="40">
        <f>F91-C91</f>
        <v>8.599999999995589E-2</v>
      </c>
      <c r="H91" s="63"/>
      <c r="I91" s="63">
        <f>E91-1</f>
        <v>258.55599999999998</v>
      </c>
      <c r="N91" s="93">
        <f>U56</f>
        <v>259.47000000000003</v>
      </c>
      <c r="O91" s="403">
        <f>G96</f>
        <v>8.599999999995589E-2</v>
      </c>
      <c r="P91" s="404"/>
      <c r="Q91" s="406">
        <f t="shared" si="17"/>
        <v>259.55599999999998</v>
      </c>
      <c r="R91" s="407"/>
      <c r="S91" s="138" t="s">
        <v>35</v>
      </c>
      <c r="T91" s="94">
        <f>IF(N91&lt;$AA$97,MAX($O$97,U76),IF(N91&lt;$AA$98,MAX($O$98,U76),MAX($O$99,U76)))</f>
        <v>1.8</v>
      </c>
      <c r="AB91" s="1"/>
    </row>
    <row r="92" spans="1:28">
      <c r="A92" s="10"/>
      <c r="C92" s="327">
        <v>259.47000000000003</v>
      </c>
      <c r="D92" s="327"/>
      <c r="E92" s="90">
        <v>259.55599999999998</v>
      </c>
      <c r="F92" s="37">
        <f>IF('PERHITUNGAN 7'!$E$11="Burn Engr",'PERHITUNGAN 7'!E92,E92+('regresi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259.55599999999998</v>
      </c>
      <c r="G92" s="40">
        <f>F92-C92</f>
        <v>8.599999999995589E-2</v>
      </c>
      <c r="H92" s="44"/>
      <c r="I92" s="63">
        <f t="shared" ref="I92:I95" si="19">E92-1</f>
        <v>258.55599999999998</v>
      </c>
      <c r="N92" s="93" t="e">
        <f>V56</f>
        <v>#DIV/0!</v>
      </c>
      <c r="O92" s="403">
        <f>G104</f>
        <v>0</v>
      </c>
      <c r="P92" s="404"/>
      <c r="Q92" s="406" t="e">
        <f t="shared" si="17"/>
        <v>#DIV/0!</v>
      </c>
      <c r="R92" s="407"/>
      <c r="S92" s="138" t="s">
        <v>35</v>
      </c>
      <c r="T92" s="94" t="e">
        <f>IF(N92&lt;$AA$97,MAX($O$97,V76),IF(N92&lt;$AA$98,MAX($O$98,V76),MAX($O$99,V76)))</f>
        <v>#DIV/0!</v>
      </c>
      <c r="AB92" s="1"/>
    </row>
    <row r="93" spans="1:28">
      <c r="A93" s="10"/>
      <c r="C93" s="327">
        <v>259.47000000000003</v>
      </c>
      <c r="D93" s="327"/>
      <c r="E93" s="90">
        <v>259.55599999999998</v>
      </c>
      <c r="F93" s="37">
        <f>IF('PERHITUNGAN 7'!$E$11="Burn Engr",'PERHITUNGAN 7'!E93,E93+('regresi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259.55599999999998</v>
      </c>
      <c r="G93" s="40">
        <f>F93-C93</f>
        <v>8.599999999995589E-2</v>
      </c>
      <c r="H93" s="44"/>
      <c r="I93" s="63">
        <f t="shared" si="19"/>
        <v>258.55599999999998</v>
      </c>
      <c r="N93" s="93" t="e">
        <f>W56</f>
        <v>#DIV/0!</v>
      </c>
      <c r="O93" s="403">
        <f>G112</f>
        <v>0</v>
      </c>
      <c r="P93" s="404"/>
      <c r="Q93" s="406" t="e">
        <f t="shared" si="17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259.47000000000003</v>
      </c>
      <c r="D94" s="327"/>
      <c r="E94" s="90">
        <v>259.55599999999998</v>
      </c>
      <c r="F94" s="37">
        <f>IF('PERHITUNGAN 7'!$E$11="Burn Engr",'PERHITUNGAN 7'!E94,E94+('regresi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259.55599999999998</v>
      </c>
      <c r="G94" s="40">
        <f>F94-C94</f>
        <v>8.599999999995589E-2</v>
      </c>
      <c r="H94" s="63"/>
      <c r="I94" s="63">
        <f t="shared" si="19"/>
        <v>258.55599999999998</v>
      </c>
      <c r="N94" s="93" t="e">
        <f>X56</f>
        <v>#DIV/0!</v>
      </c>
      <c r="O94" s="403">
        <f>G120</f>
        <v>0</v>
      </c>
      <c r="P94" s="404"/>
      <c r="Q94" s="406" t="e">
        <f t="shared" si="17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259.47000000000003</v>
      </c>
      <c r="D95" s="327"/>
      <c r="E95" s="90">
        <v>259.55599999999998</v>
      </c>
      <c r="F95" s="37">
        <f>IF('PERHITUNGAN 7'!$E$11="Burn Engr",'PERHITUNGAN 7'!E95,E95+('regresi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259.55599999999998</v>
      </c>
      <c r="G95" s="41">
        <f>F95-C95</f>
        <v>8.599999999995589E-2</v>
      </c>
      <c r="H95" s="63"/>
      <c r="I95" s="63">
        <f t="shared" si="19"/>
        <v>258.55599999999998</v>
      </c>
      <c r="U95" s="47"/>
      <c r="AB95" s="1"/>
    </row>
    <row r="96" spans="1:28">
      <c r="A96" s="10"/>
      <c r="B96" s="8" t="s">
        <v>31</v>
      </c>
      <c r="C96" s="333">
        <f>AVERAGE(C91:D95)</f>
        <v>259.47000000000003</v>
      </c>
      <c r="D96" s="334"/>
      <c r="E96" s="95">
        <f>AVERAGE(E91:E95)</f>
        <v>259.55599999999998</v>
      </c>
      <c r="F96" s="95">
        <f t="shared" ref="F96" si="20">AVERAGE(F91:F95)</f>
        <v>259.55599999999998</v>
      </c>
      <c r="G96" s="95">
        <f>SUM(G91:G95)/5</f>
        <v>8.599999999995589E-2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0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0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/>
      <c r="C99" s="327"/>
      <c r="D99" s="327"/>
      <c r="E99" s="90"/>
      <c r="F99" s="37"/>
      <c r="G99" s="40"/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/>
      <c r="D100" s="327"/>
      <c r="E100" s="90"/>
      <c r="F100" s="37"/>
      <c r="G100" s="40"/>
      <c r="H100" s="44"/>
      <c r="I100" s="44"/>
      <c r="M100" s="1"/>
    </row>
    <row r="101" spans="1:27">
      <c r="A101" s="10"/>
      <c r="C101" s="327"/>
      <c r="D101" s="327"/>
      <c r="E101" s="90"/>
      <c r="F101" s="37"/>
      <c r="G101" s="40"/>
      <c r="H101" s="44"/>
      <c r="I101" s="44"/>
    </row>
    <row r="102" spans="1:27">
      <c r="A102" s="10"/>
      <c r="C102" s="327"/>
      <c r="D102" s="327"/>
      <c r="E102" s="90"/>
      <c r="F102" s="37"/>
      <c r="G102" s="40"/>
      <c r="H102" s="63"/>
      <c r="I102" s="63"/>
    </row>
    <row r="103" spans="1:27">
      <c r="A103" s="10"/>
      <c r="C103" s="327"/>
      <c r="D103" s="327"/>
      <c r="E103" s="90"/>
      <c r="F103" s="37"/>
      <c r="G103" s="41"/>
      <c r="H103" s="63"/>
      <c r="I103" s="63"/>
      <c r="N103" s="74"/>
      <c r="O103" s="129"/>
    </row>
    <row r="104" spans="1:27">
      <c r="A104" s="10"/>
      <c r="B104" s="8" t="s">
        <v>31</v>
      </c>
      <c r="C104" s="333" t="e">
        <f>AVERAGE(C99:D103)</f>
        <v>#DIV/0!</v>
      </c>
      <c r="D104" s="334"/>
      <c r="E104" s="95" t="e">
        <f>AVERAGE(E99:E103)</f>
        <v>#DIV/0!</v>
      </c>
      <c r="F104" s="95">
        <f>SUM(F99:F103)/5</f>
        <v>0</v>
      </c>
      <c r="G104" s="95">
        <f>SUM(G99:G103)/5</f>
        <v>0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 t="e">
        <f>_xlfn.STDEV.S(G99:G103)</f>
        <v>#DIV/0!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 t="e">
        <f>G105/SQRT(5)</f>
        <v>#DIV/0!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>
        <f>IF('PERHITUNGAN 7'!$E$11="Burn Engr",'PERHITUNGAN 7'!E107,E107+('regresi PRT'!$P$40+('regresi PRT'!$P$41*E107)+('regresi PRT'!$P$42*(E107^2))+('regresi PRT'!$P$43*(E107^3))+('regresi PRT'!$P$44*(E107^4))+('regresi PRT'!$P$45*(E107^5))+('regresi PRT'!$P$46*(E107^6))+('regresi PRT'!$P$47*(E107^7))+('regresi PRT'!$P$48*(E107^8))+('regresi PRT'!$P$49*(E107^9))+('regresi PRT'!$P$50*(E107^10))))</f>
        <v>0</v>
      </c>
      <c r="G107" s="40">
        <f>F107-C107</f>
        <v>0</v>
      </c>
      <c r="H107" s="63"/>
      <c r="I107" s="63"/>
      <c r="M107" s="1"/>
    </row>
    <row r="108" spans="1:27">
      <c r="A108" s="10"/>
      <c r="C108" s="327"/>
      <c r="D108" s="327"/>
      <c r="E108" s="90"/>
      <c r="F108" s="37">
        <f>IF('PERHITUNGAN 7'!$E$11="Burn Engr",'PERHITUNGAN 7'!E108,E108+('regresi PRT'!$P$40+('regresi PRT'!$P$41*E108)+('regresi PRT'!$P$42*(E108^2))+('regresi PRT'!$P$43*(E108^3))+('regresi PRT'!$P$44*(E108^4))+('regresi PRT'!$P$45*(E108^5))+('regresi PRT'!$P$46*(E108^6))+('regresi PRT'!$P$47*(E108^7))+('regresi PRT'!$P$48*(E108^8))+('regresi PRT'!$P$49*(E108^9))+('regresi PRT'!$P$50*(E108^10))))</f>
        <v>0</v>
      </c>
      <c r="G108" s="40">
        <f>F108-C108</f>
        <v>0</v>
      </c>
      <c r="H108" s="44"/>
      <c r="I108" s="44"/>
      <c r="M108" s="1"/>
    </row>
    <row r="109" spans="1:27">
      <c r="A109" s="10"/>
      <c r="C109" s="327"/>
      <c r="D109" s="327"/>
      <c r="E109" s="90"/>
      <c r="F109" s="37">
        <f>IF('PERHITUNGAN 7'!$E$11="Burn Engr",'PERHITUNGAN 7'!E109,E109+('regresi PRT'!$P$40+('regresi PRT'!$P$41*E109)+('regresi PRT'!$P$42*(E109^2))+('regresi PRT'!$P$43*(E109^3))+('regresi PRT'!$P$44*(E109^4))+('regresi PRT'!$P$45*(E109^5))+('regresi PRT'!$P$46*(E109^6))+('regresi PRT'!$P$47*(E109^7))+('regresi PRT'!$P$48*(E109^8))+('regresi PRT'!$P$49*(E109^9))+('regresi PRT'!$P$50*(E109^10))))</f>
        <v>0</v>
      </c>
      <c r="G109" s="40">
        <f>F109-C109</f>
        <v>0</v>
      </c>
      <c r="H109" s="44"/>
      <c r="I109" s="44"/>
    </row>
    <row r="110" spans="1:27">
      <c r="A110" s="10"/>
      <c r="C110" s="327"/>
      <c r="D110" s="327"/>
      <c r="E110" s="90"/>
      <c r="F110" s="37">
        <f>IF('PERHITUNGAN 7'!$E$11="Burn Engr",'PERHITUNGAN 7'!E110,E110+('regresi PRT'!$P$40+('regresi PRT'!$P$41*E110)+('regresi PRT'!$P$42*(E110^2))+('regresi PRT'!$P$43*(E110^3))+('regresi PRT'!$P$44*(E110^4))+('regresi PRT'!$P$45*(E110^5))+('regresi PRT'!$P$46*(E110^6))+('regresi PRT'!$P$47*(E110^7))+('regresi PRT'!$P$48*(E110^8))+('regresi PRT'!$P$49*(E110^9))+('regresi PRT'!$P$50*(E110^10))))</f>
        <v>0</v>
      </c>
      <c r="G110" s="40">
        <f>F110-C110</f>
        <v>0</v>
      </c>
      <c r="H110" s="63"/>
      <c r="I110" s="63"/>
    </row>
    <row r="111" spans="1:27">
      <c r="A111" s="10"/>
      <c r="C111" s="327"/>
      <c r="D111" s="327"/>
      <c r="E111" s="90"/>
      <c r="F111" s="37">
        <f>IF('PERHITUNGAN 7'!$E$11="Burn Engr",'PERHITUNGAN 7'!E111,E111+('regresi PRT'!$P$40+('regresi PRT'!$P$41*E111)+('regresi PRT'!$P$42*(E111^2))+('regresi PRT'!$P$43*(E111^3))+('regresi PRT'!$P$44*(E111^4))+('regresi PRT'!$P$45*(E111^5))+('regresi PRT'!$P$46*(E111^6))+('regresi PRT'!$P$47*(E111^7))+('regresi PRT'!$P$48*(E111^8))+('regresi PRT'!$P$49*(E111^9))+('regresi PRT'!$P$50*(E111^10))))</f>
        <v>0</v>
      </c>
      <c r="G111" s="41">
        <f>F111-C111</f>
        <v>0</v>
      </c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>
        <f>_xlfn.STDEV.S(G107:G111)</f>
        <v>0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>
        <f>G113/SQRT(5)</f>
        <v>0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>
        <f>IF('PERHITUNGAN 7'!$E$11="Burn Engr",'PERHITUNGAN 7'!E115,E115+('regresi PRT'!$P$40+('regresi PRT'!$P$41*E115)+('regresi PRT'!$P$42*(E115^2))+('regresi PRT'!$P$43*(E115^3))+('regresi PRT'!$P$44*(E115^4))+('regresi PRT'!$P$45*(E115^5))+('regresi PRT'!$P$46*(E115^6))+('regresi PRT'!$P$47*(E115^7))+('regresi PRT'!$P$48*(E115^8))+('regresi PRT'!$P$49*(E115^9))+('regresi PRT'!$P$50*(E115^10))))</f>
        <v>0</v>
      </c>
      <c r="G115" s="40">
        <f>F115-C115</f>
        <v>0</v>
      </c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>
        <f>IF('PERHITUNGAN 7'!$E$11="Burn Engr",'PERHITUNGAN 7'!E116,E116+('regresi PRT'!$P$40+('regresi PRT'!$P$41*E116)+('regresi PRT'!$P$42*(E116^2))+('regresi PRT'!$P$43*(E116^3))+('regresi PRT'!$P$44*(E116^4))+('regresi PRT'!$P$45*(E116^5))+('regresi PRT'!$P$46*(E116^6))+('regresi PRT'!$P$47*(E116^7))+('regresi PRT'!$P$48*(E116^8))+('regresi PRT'!$P$49*(E116^9))+('regresi PRT'!$P$50*(E116^10))))</f>
        <v>0</v>
      </c>
      <c r="G116" s="40">
        <f>F116-C116</f>
        <v>0</v>
      </c>
      <c r="H116" s="44"/>
      <c r="I116" s="44"/>
      <c r="U116" s="49"/>
    </row>
    <row r="117" spans="1:21">
      <c r="A117" s="10"/>
      <c r="C117" s="224"/>
      <c r="D117" s="225"/>
      <c r="E117" s="90"/>
      <c r="F117" s="37">
        <f>IF('PERHITUNGAN 7'!$E$11="Burn Engr",'PERHITUNGAN 7'!E117,E117+('regresi PRT'!$P$40+('regresi PRT'!$P$41*E117)+('regresi PRT'!$P$42*(E117^2))+('regresi PRT'!$P$43*(E117^3))+('regresi PRT'!$P$44*(E117^4))+('regresi PRT'!$P$45*(E117^5))+('regresi PRT'!$P$46*(E117^6))+('regresi PRT'!$P$47*(E117^7))+('regresi PRT'!$P$48*(E117^8))+('regresi PRT'!$P$49*(E117^9))+('regresi PRT'!$P$50*(E117^10))))</f>
        <v>0</v>
      </c>
      <c r="G117" s="40">
        <f>F117-C117</f>
        <v>0</v>
      </c>
      <c r="H117" s="44"/>
      <c r="I117" s="44"/>
      <c r="U117" s="49"/>
    </row>
    <row r="118" spans="1:21">
      <c r="A118" s="10"/>
      <c r="C118" s="224"/>
      <c r="D118" s="225"/>
      <c r="E118" s="90"/>
      <c r="F118" s="37">
        <f>IF('PERHITUNGAN 7'!$E$11="Burn Engr",'PERHITUNGAN 7'!E118,E118+('regresi PRT'!$P$40+('regresi PRT'!$P$41*E118)+('regresi PRT'!$P$42*(E118^2))+('regresi PRT'!$P$43*(E118^3))+('regresi PRT'!$P$44*(E118^4))+('regresi PRT'!$P$45*(E118^5))+('regresi PRT'!$P$46*(E118^6))+('regresi PRT'!$P$47*(E118^7))+('regresi PRT'!$P$48*(E118^8))+('regresi PRT'!$P$49*(E118^9))+('regresi PRT'!$P$50*(E118^10))))</f>
        <v>0</v>
      </c>
      <c r="G118" s="40">
        <f>F118-C118</f>
        <v>0</v>
      </c>
      <c r="H118" s="63"/>
      <c r="I118" s="63"/>
    </row>
    <row r="119" spans="1:21">
      <c r="A119" s="10"/>
      <c r="C119" s="233"/>
      <c r="D119" s="234"/>
      <c r="E119" s="90"/>
      <c r="F119" s="37">
        <f>IF('PERHITUNGAN 7'!$E$11="Burn Engr",'PERHITUNGAN 7'!E119,E119+('regresi PRT'!$P$40+('regresi PRT'!$P$41*E119)+('regresi PRT'!$P$42*(E119^2))+('regresi PRT'!$P$43*(E119^3))+('regresi PRT'!$P$44*(E119^4))+('regresi PRT'!$P$45*(E119^5))+('regresi PRT'!$P$46*(E119^6))+('regresi PRT'!$P$47*(E119^7))+('regresi PRT'!$P$48*(E119^8))+('regresi PRT'!$P$49*(E119^9))+('regresi PRT'!$P$50*(E119^10))))</f>
        <v>0</v>
      </c>
      <c r="G119" s="41">
        <f>F119-C119</f>
        <v>0</v>
      </c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>
        <f>_xlfn.STDEV.S(G115:G119)</f>
        <v>0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>
        <f>G121/SQRT(5)</f>
        <v>0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330"/>
      <c r="D124" s="330"/>
      <c r="E124" s="63"/>
      <c r="F124" s="63"/>
      <c r="G124" s="63"/>
      <c r="H124" s="63"/>
      <c r="I124" s="63"/>
    </row>
    <row r="125" spans="1:21">
      <c r="C125" s="330"/>
      <c r="D125" s="330"/>
      <c r="E125" s="63"/>
      <c r="F125" s="63"/>
      <c r="G125" s="63"/>
      <c r="H125" s="63"/>
      <c r="I125" s="63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3">
    <mergeCell ref="J26:K26"/>
    <mergeCell ref="J31:K31"/>
    <mergeCell ref="C51:D51"/>
    <mergeCell ref="C52:D52"/>
    <mergeCell ref="C53:D53"/>
    <mergeCell ref="C56:D56"/>
    <mergeCell ref="E16:F16"/>
    <mergeCell ref="N16:N20"/>
    <mergeCell ref="E17:F17"/>
    <mergeCell ref="E18:F18"/>
    <mergeCell ref="F21:G21"/>
    <mergeCell ref="C43:D43"/>
    <mergeCell ref="C44:D44"/>
    <mergeCell ref="C48:D48"/>
    <mergeCell ref="AB18:AC18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  <mergeCell ref="AB32:AC32"/>
    <mergeCell ref="C45:D45"/>
    <mergeCell ref="C46:D46"/>
    <mergeCell ref="C47:D47"/>
    <mergeCell ref="T28:T29"/>
    <mergeCell ref="U28:U29"/>
    <mergeCell ref="AB28:AC28"/>
    <mergeCell ref="C41:D41"/>
    <mergeCell ref="C42:D42"/>
    <mergeCell ref="AB30:AC30"/>
    <mergeCell ref="C40:D40"/>
    <mergeCell ref="N28:N29"/>
    <mergeCell ref="O28:O29"/>
    <mergeCell ref="P28:P29"/>
    <mergeCell ref="Q28:Q29"/>
    <mergeCell ref="S28:S29"/>
    <mergeCell ref="S36:S37"/>
    <mergeCell ref="T36:T37"/>
    <mergeCell ref="U36:U37"/>
    <mergeCell ref="V36:V37"/>
    <mergeCell ref="W36:W37"/>
    <mergeCell ref="X36:X37"/>
    <mergeCell ref="N36:N37"/>
    <mergeCell ref="O36:O37"/>
    <mergeCell ref="P36:P37"/>
    <mergeCell ref="Q36:Q37"/>
    <mergeCell ref="R36:R37"/>
    <mergeCell ref="C49:D49"/>
    <mergeCell ref="N45:S45"/>
    <mergeCell ref="T45:Y45"/>
    <mergeCell ref="C50:D50"/>
    <mergeCell ref="O55:X55"/>
    <mergeCell ref="C59:D59"/>
    <mergeCell ref="C60:D60"/>
    <mergeCell ref="C61:D61"/>
    <mergeCell ref="C62:D62"/>
    <mergeCell ref="C63:D63"/>
    <mergeCell ref="C54:D54"/>
    <mergeCell ref="C55:D55"/>
    <mergeCell ref="N55:N56"/>
    <mergeCell ref="C70:D70"/>
    <mergeCell ref="C71:D71"/>
    <mergeCell ref="C72:D72"/>
    <mergeCell ref="C75:D75"/>
    <mergeCell ref="C64:D64"/>
    <mergeCell ref="C67:D67"/>
    <mergeCell ref="C68:D68"/>
    <mergeCell ref="C69:D69"/>
    <mergeCell ref="C83:D83"/>
    <mergeCell ref="N83:N84"/>
    <mergeCell ref="O83:P84"/>
    <mergeCell ref="Q83:R84"/>
    <mergeCell ref="S83:T83"/>
    <mergeCell ref="C84:D84"/>
    <mergeCell ref="S84:T84"/>
    <mergeCell ref="C76:D76"/>
    <mergeCell ref="C77:D77"/>
    <mergeCell ref="C78:D78"/>
    <mergeCell ref="C79:D79"/>
    <mergeCell ref="C80:D80"/>
    <mergeCell ref="C87:D87"/>
    <mergeCell ref="O87:P87"/>
    <mergeCell ref="Q87:R87"/>
    <mergeCell ref="C88:D88"/>
    <mergeCell ref="O88:P88"/>
    <mergeCell ref="Q88:R88"/>
    <mergeCell ref="C85:D85"/>
    <mergeCell ref="O85:P85"/>
    <mergeCell ref="Q85:R85"/>
    <mergeCell ref="C86:D86"/>
    <mergeCell ref="O86:P86"/>
    <mergeCell ref="Q86:R86"/>
    <mergeCell ref="C91:D91"/>
    <mergeCell ref="O91:P91"/>
    <mergeCell ref="Q91:R91"/>
    <mergeCell ref="C92:D92"/>
    <mergeCell ref="O92:P92"/>
    <mergeCell ref="Q92:R92"/>
    <mergeCell ref="O89:P89"/>
    <mergeCell ref="Q89:R89"/>
    <mergeCell ref="O90:P90"/>
    <mergeCell ref="Q90:R90"/>
    <mergeCell ref="C95:D95"/>
    <mergeCell ref="C96:D96"/>
    <mergeCell ref="N96:O96"/>
    <mergeCell ref="Z96:AA96"/>
    <mergeCell ref="C93:D93"/>
    <mergeCell ref="O93:P93"/>
    <mergeCell ref="Q93:R93"/>
    <mergeCell ref="C94:D94"/>
    <mergeCell ref="O94:P94"/>
    <mergeCell ref="Q94:R94"/>
    <mergeCell ref="C107:D107"/>
    <mergeCell ref="C108:D108"/>
    <mergeCell ref="C109:D109"/>
    <mergeCell ref="C110:D110"/>
    <mergeCell ref="C99:D99"/>
    <mergeCell ref="C100:D100"/>
    <mergeCell ref="C101:D101"/>
    <mergeCell ref="C102:D102"/>
    <mergeCell ref="C103:D103"/>
    <mergeCell ref="C104:D104"/>
    <mergeCell ref="C124:D124"/>
    <mergeCell ref="C125:D125"/>
    <mergeCell ref="C126:D126"/>
    <mergeCell ref="C111:D111"/>
    <mergeCell ref="C112:D112"/>
    <mergeCell ref="C143:D143"/>
    <mergeCell ref="C146:D146"/>
    <mergeCell ref="C147:D147"/>
    <mergeCell ref="C148:D148"/>
    <mergeCell ref="C149:D149"/>
    <mergeCell ref="C150:D150"/>
    <mergeCell ref="C127:D127"/>
    <mergeCell ref="C138:D138"/>
    <mergeCell ref="C139:D139"/>
    <mergeCell ref="C140:D140"/>
    <mergeCell ref="C141:D141"/>
    <mergeCell ref="C142:D142"/>
    <mergeCell ref="C161:D161"/>
    <mergeCell ref="C164:D164"/>
    <mergeCell ref="C165:D165"/>
    <mergeCell ref="C166:D166"/>
    <mergeCell ref="C167:D167"/>
    <mergeCell ref="C168:D168"/>
    <mergeCell ref="C151:D151"/>
    <mergeCell ref="C156:D156"/>
    <mergeCell ref="C157:D157"/>
    <mergeCell ref="C158:D158"/>
    <mergeCell ref="C159:D159"/>
    <mergeCell ref="C160:D160"/>
    <mergeCell ref="C185:D185"/>
    <mergeCell ref="C177:D177"/>
    <mergeCell ref="C180:D180"/>
    <mergeCell ref="C181:D181"/>
    <mergeCell ref="C182:D182"/>
    <mergeCell ref="C183:D183"/>
    <mergeCell ref="C184:D184"/>
    <mergeCell ref="C169:D169"/>
    <mergeCell ref="C172:D172"/>
    <mergeCell ref="C173:D173"/>
    <mergeCell ref="C174:D174"/>
    <mergeCell ref="C175:D175"/>
    <mergeCell ref="C176:D176"/>
  </mergeCells>
  <conditionalFormatting sqref="C56">
    <cfRule type="expression" dxfId="351" priority="18" stopIfTrue="1">
      <formula>COUNT(C51:C55)&lt;&gt;5</formula>
    </cfRule>
  </conditionalFormatting>
  <conditionalFormatting sqref="C64">
    <cfRule type="expression" dxfId="350" priority="2" stopIfTrue="1">
      <formula>COUNT(C59:C63)&lt;&gt;5</formula>
    </cfRule>
  </conditionalFormatting>
  <conditionalFormatting sqref="C72">
    <cfRule type="expression" dxfId="349" priority="8" stopIfTrue="1">
      <formula>COUNT(C67:C71)&lt;&gt;5</formula>
    </cfRule>
  </conditionalFormatting>
  <conditionalFormatting sqref="C80">
    <cfRule type="expression" dxfId="348" priority="7" stopIfTrue="1">
      <formula>COUNT(C75:C79)&lt;&gt;5</formula>
    </cfRule>
  </conditionalFormatting>
  <conditionalFormatting sqref="C88">
    <cfRule type="expression" dxfId="347" priority="6" stopIfTrue="1">
      <formula>COUNT(C83:C87)&lt;&gt;5</formula>
    </cfRule>
  </conditionalFormatting>
  <conditionalFormatting sqref="C96">
    <cfRule type="expression" dxfId="346" priority="5" stopIfTrue="1">
      <formula>COUNT(C91:C95)&lt;&gt;5</formula>
    </cfRule>
  </conditionalFormatting>
  <conditionalFormatting sqref="C104">
    <cfRule type="expression" dxfId="345" priority="4" stopIfTrue="1">
      <formula>COUNT(C99:C103)&lt;&gt;5</formula>
    </cfRule>
  </conditionalFormatting>
  <conditionalFormatting sqref="C112">
    <cfRule type="expression" dxfId="344" priority="3" stopIfTrue="1">
      <formula>COUNT(C107:C111)&lt;&gt;5</formula>
    </cfRule>
  </conditionalFormatting>
  <conditionalFormatting sqref="C48:E48">
    <cfRule type="expression" dxfId="343" priority="19" stopIfTrue="1">
      <formula>COUNT(C43:C47)&lt;&gt;5</formula>
    </cfRule>
  </conditionalFormatting>
  <conditionalFormatting sqref="C120:E120">
    <cfRule type="expression" dxfId="342" priority="9" stopIfTrue="1">
      <formula>COUNT(C115:C119)&lt;&gt;5</formula>
    </cfRule>
  </conditionalFormatting>
  <conditionalFormatting sqref="E56">
    <cfRule type="expression" dxfId="341" priority="17" stopIfTrue="1">
      <formula>COUNT(E51:E55)&lt;&gt;5</formula>
    </cfRule>
  </conditionalFormatting>
  <conditionalFormatting sqref="E64">
    <cfRule type="expression" dxfId="340" priority="1" stopIfTrue="1">
      <formula>COUNT(E59:E63)&lt;&gt;5</formula>
    </cfRule>
  </conditionalFormatting>
  <conditionalFormatting sqref="E72">
    <cfRule type="expression" dxfId="339" priority="16" stopIfTrue="1">
      <formula>COUNT(E67:E71)&lt;&gt;5</formula>
    </cfRule>
  </conditionalFormatting>
  <conditionalFormatting sqref="E80">
    <cfRule type="expression" dxfId="338" priority="15" stopIfTrue="1">
      <formula>COUNT(E75:E79)&lt;&gt;5</formula>
    </cfRule>
  </conditionalFormatting>
  <conditionalFormatting sqref="E88">
    <cfRule type="expression" dxfId="337" priority="14" stopIfTrue="1">
      <formula>COUNT(E83:E87)&lt;&gt;5</formula>
    </cfRule>
  </conditionalFormatting>
  <conditionalFormatting sqref="E96">
    <cfRule type="expression" dxfId="336" priority="13" stopIfTrue="1">
      <formula>COUNT(E91:E95)&lt;&gt;5</formula>
    </cfRule>
  </conditionalFormatting>
  <conditionalFormatting sqref="E104">
    <cfRule type="expression" dxfId="335" priority="12" stopIfTrue="1">
      <formula>COUNT(E99:E103)&lt;&gt;5</formula>
    </cfRule>
  </conditionalFormatting>
  <conditionalFormatting sqref="E112">
    <cfRule type="expression" dxfId="334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57345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57345" r:id="rId4"/>
      </mc:Fallback>
    </mc:AlternateContent>
    <mc:AlternateContent xmlns:mc="http://schemas.openxmlformats.org/markup-compatibility/2006">
      <mc:Choice Requires="x14">
        <oleObject progId="Equation.3" shapeId="57346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57346" r:id="rId6"/>
      </mc:Fallback>
    </mc:AlternateContent>
    <mc:AlternateContent xmlns:mc="http://schemas.openxmlformats.org/markup-compatibility/2006">
      <mc:Choice Requires="x14">
        <oleObject progId="Equation.3" shapeId="57347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57347" r:id="rId8"/>
      </mc:Fallback>
    </mc:AlternateContent>
    <mc:AlternateContent xmlns:mc="http://schemas.openxmlformats.org/markup-compatibility/2006">
      <mc:Choice Requires="x14">
        <oleObject progId="Equation.3" shapeId="57348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57348" r:id="rId10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7'!O85</f>
        <v>-8.2000000000000017E-2</v>
      </c>
      <c r="C2" s="37">
        <f>'PERHITUNGAN 7'!N85</f>
        <v>0.28000000000000003</v>
      </c>
      <c r="D2" s="75">
        <f>C2^2</f>
        <v>7.8400000000000011E-2</v>
      </c>
      <c r="E2" s="37">
        <f>C2^3</f>
        <v>2.1952000000000006E-2</v>
      </c>
      <c r="F2" s="91">
        <f>C2^4</f>
        <v>6.1465600000000014E-3</v>
      </c>
      <c r="G2" s="91">
        <f>C2^5</f>
        <v>1.7210368000000005E-3</v>
      </c>
      <c r="H2" s="91">
        <f>C2^6</f>
        <v>4.818903040000002E-4</v>
      </c>
      <c r="I2" s="91">
        <f>C2^7</f>
        <v>1.3492928512000006E-4</v>
      </c>
      <c r="J2" s="91">
        <f>C2^8</f>
        <v>3.778019983360002E-5</v>
      </c>
      <c r="K2" s="91">
        <f>C2^9</f>
        <v>1.0578455953408006E-5</v>
      </c>
      <c r="L2" s="91">
        <f>C2^10</f>
        <v>2.9619676669542419E-6</v>
      </c>
      <c r="Q2" s="12"/>
    </row>
    <row r="3" spans="1:24">
      <c r="A3" s="25">
        <v>2</v>
      </c>
      <c r="B3" s="37">
        <f>'PERHITUNGAN 7'!O86</f>
        <v>-0.25300000000000011</v>
      </c>
      <c r="C3" s="37">
        <f>'PERHITUNGAN 7'!N86</f>
        <v>50.6</v>
      </c>
      <c r="D3" s="75">
        <f t="shared" ref="D3:D9" si="0">C3^2</f>
        <v>2560.36</v>
      </c>
      <c r="E3" s="37">
        <f t="shared" ref="E3:E9" si="1">C3^3</f>
        <v>129554.21600000001</v>
      </c>
      <c r="F3" s="91">
        <f t="shared" ref="F3:F9" si="2">C3^4</f>
        <v>6555443.3296000008</v>
      </c>
      <c r="G3" s="91">
        <f t="shared" ref="G3:G9" si="3">C3^5</f>
        <v>331705432.47776008</v>
      </c>
      <c r="H3" s="91">
        <f t="shared" ref="H3:H9" si="4">C3^6</f>
        <v>16784294883.374659</v>
      </c>
      <c r="I3" s="91">
        <f t="shared" ref="I3:I9" si="5">C3^7</f>
        <v>849285321098.75781</v>
      </c>
      <c r="J3" s="91">
        <f t="shared" ref="J3:J9" si="6">C3^8</f>
        <v>42973837247597.141</v>
      </c>
      <c r="K3" s="91">
        <f t="shared" ref="K3:K9" si="7">C3^9</f>
        <v>2174476164728415.5</v>
      </c>
      <c r="L3" s="91">
        <f t="shared" ref="L3:L9" si="8">C3^10</f>
        <v>1.1002849393525782E+17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7'!O87</f>
        <v>-0.51700000000001012</v>
      </c>
      <c r="C4" s="37">
        <f>'PERHITUNGAN 7'!N87</f>
        <v>100.4</v>
      </c>
      <c r="D4" s="75">
        <f t="shared" si="0"/>
        <v>10080.160000000002</v>
      </c>
      <c r="E4" s="37">
        <f t="shared" si="1"/>
        <v>1012048.0640000002</v>
      </c>
      <c r="F4" s="91">
        <f t="shared" si="2"/>
        <v>101609625.62560004</v>
      </c>
      <c r="G4" s="91">
        <f t="shared" si="3"/>
        <v>10201606412.810246</v>
      </c>
      <c r="H4" s="91">
        <f t="shared" si="4"/>
        <v>1024241283846.1487</v>
      </c>
      <c r="I4" s="91">
        <f t="shared" si="5"/>
        <v>102833824898153.33</v>
      </c>
      <c r="J4" s="91">
        <f t="shared" si="6"/>
        <v>1.0324516019774596E+16</v>
      </c>
      <c r="K4" s="91">
        <f t="shared" si="7"/>
        <v>1.0365814083853695E+18</v>
      </c>
      <c r="L4" s="91">
        <f t="shared" si="8"/>
        <v>1.0407277340189111E+20</v>
      </c>
      <c r="R4" s="414" t="str">
        <f>IF('PERHITUNGAN 1'!$C$2="Celcius","(°C)","(°F)")</f>
        <v>(°C)</v>
      </c>
      <c r="S4" s="415"/>
      <c r="T4" s="5" t="str">
        <f>IF('PERHITUNGAN 1'!$C$2="Celcius","(°C)","(°F)")</f>
        <v>(°C)</v>
      </c>
      <c r="U4" s="14"/>
      <c r="V4" s="1"/>
    </row>
    <row r="5" spans="1:24">
      <c r="A5" s="25">
        <v>4</v>
      </c>
      <c r="B5" s="37">
        <f>'PERHITUNGAN 7'!O88</f>
        <v>-0.25999999999999091</v>
      </c>
      <c r="C5" s="37">
        <f>'PERHITUNGAN 7'!N88</f>
        <v>149.97999999999999</v>
      </c>
      <c r="D5" s="75">
        <f t="shared" si="0"/>
        <v>22494.000399999997</v>
      </c>
      <c r="E5" s="37">
        <f t="shared" si="1"/>
        <v>3373650.1799919992</v>
      </c>
      <c r="F5" s="91">
        <f t="shared" si="2"/>
        <v>505980053.99520004</v>
      </c>
      <c r="G5" s="91">
        <f t="shared" si="3"/>
        <v>75886888498.200104</v>
      </c>
      <c r="H5" s="91">
        <f t="shared" si="4"/>
        <v>11381515536960.051</v>
      </c>
      <c r="I5" s="91">
        <f t="shared" si="5"/>
        <v>1706999700233268</v>
      </c>
      <c r="J5" s="91">
        <f t="shared" si="6"/>
        <v>2.5601581504098554E+17</v>
      </c>
      <c r="K5" s="91">
        <f t="shared" si="7"/>
        <v>3.8397251939847004E+19</v>
      </c>
      <c r="L5" s="91">
        <f t="shared" si="8"/>
        <v>5.7588198459382537E+21</v>
      </c>
      <c r="R5" s="412"/>
      <c r="S5" s="413"/>
      <c r="T5" s="21"/>
      <c r="U5" s="32"/>
    </row>
    <row r="6" spans="1:24">
      <c r="A6" s="25">
        <v>5</v>
      </c>
      <c r="B6" s="37">
        <f>'PERHITUNGAN 7'!O89</f>
        <v>4.9999999999954525E-3</v>
      </c>
      <c r="C6" s="37">
        <f>'PERHITUNGAN 7'!N89</f>
        <v>199.46</v>
      </c>
      <c r="D6" s="75">
        <f t="shared" si="0"/>
        <v>39784.291600000004</v>
      </c>
      <c r="E6" s="37">
        <f t="shared" si="1"/>
        <v>7935374.8025360014</v>
      </c>
      <c r="F6" s="91">
        <f t="shared" si="2"/>
        <v>1582789858.1138308</v>
      </c>
      <c r="G6" s="91">
        <f t="shared" si="3"/>
        <v>315703265099.3847</v>
      </c>
      <c r="H6" s="91">
        <f t="shared" si="4"/>
        <v>62970173256723.273</v>
      </c>
      <c r="I6" s="91">
        <f t="shared" si="5"/>
        <v>1.2560030757786026E+16</v>
      </c>
      <c r="J6" s="91">
        <f t="shared" si="6"/>
        <v>2.5052237349480008E+18</v>
      </c>
      <c r="K6" s="91">
        <f t="shared" si="7"/>
        <v>4.9969192617272823E+20</v>
      </c>
      <c r="L6" s="91">
        <f t="shared" si="8"/>
        <v>9.9668551594412383E+22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7'!O90</f>
        <v>8.7000000000017508E-2</v>
      </c>
      <c r="C7" s="37">
        <f>'PERHITUNGAN 7'!N90</f>
        <v>249.38999999999996</v>
      </c>
      <c r="D7" s="75">
        <f t="shared" si="0"/>
        <v>62195.372099999979</v>
      </c>
      <c r="E7" s="37">
        <f t="shared" si="1"/>
        <v>15510903.848018993</v>
      </c>
      <c r="F7" s="91">
        <f t="shared" si="2"/>
        <v>3868264310.6574559</v>
      </c>
      <c r="G7" s="91">
        <f t="shared" si="3"/>
        <v>964706436434.86279</v>
      </c>
      <c r="H7" s="91">
        <f t="shared" si="4"/>
        <v>240588138182490.38</v>
      </c>
      <c r="I7" s="91">
        <f t="shared" si="5"/>
        <v>6.0000275781331272E+16</v>
      </c>
      <c r="J7" s="91">
        <f t="shared" si="6"/>
        <v>1.4963468777106203E+19</v>
      </c>
      <c r="K7" s="91">
        <f t="shared" si="7"/>
        <v>3.731739478322515E+21</v>
      </c>
      <c r="L7" s="91">
        <f t="shared" si="8"/>
        <v>9.3065850849885196E+23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7'!O91</f>
        <v>8.599999999995589E-2</v>
      </c>
      <c r="C8" s="37">
        <f>'PERHITUNGAN 7'!N91</f>
        <v>259.47000000000003</v>
      </c>
      <c r="D8" s="75">
        <f t="shared" si="0"/>
        <v>67324.680900000021</v>
      </c>
      <c r="E8" s="37">
        <f t="shared" si="1"/>
        <v>17468734.953123007</v>
      </c>
      <c r="F8" s="91">
        <f t="shared" si="2"/>
        <v>4532612658.286828</v>
      </c>
      <c r="G8" s="91">
        <f t="shared" si="3"/>
        <v>1176077006445.6833</v>
      </c>
      <c r="H8" s="91">
        <f t="shared" si="4"/>
        <v>305156700862461.56</v>
      </c>
      <c r="I8" s="91">
        <f t="shared" si="5"/>
        <v>7.9179009172782896E+16</v>
      </c>
      <c r="J8" s="91">
        <f t="shared" si="6"/>
        <v>2.0544577510061986E+19</v>
      </c>
      <c r="K8" s="91">
        <f t="shared" si="7"/>
        <v>5.3307015265357838E+21</v>
      </c>
      <c r="L8" s="91">
        <f t="shared" si="8"/>
        <v>1.3831571250902402E+24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7'!O92</f>
        <v>0</v>
      </c>
      <c r="C9" s="37" t="e">
        <f>'PERHITUNGAN 7'!N92</f>
        <v>#DIV/0!</v>
      </c>
      <c r="D9" s="75" t="e">
        <f t="shared" si="0"/>
        <v>#DIV/0!</v>
      </c>
      <c r="E9" s="37" t="e">
        <f t="shared" si="1"/>
        <v>#DIV/0!</v>
      </c>
      <c r="F9" s="91" t="e">
        <f t="shared" si="2"/>
        <v>#DIV/0!</v>
      </c>
      <c r="G9" s="91" t="e">
        <f t="shared" si="3"/>
        <v>#DIV/0!</v>
      </c>
      <c r="H9" s="91" t="e">
        <f t="shared" si="4"/>
        <v>#DIV/0!</v>
      </c>
      <c r="I9" s="91" t="e">
        <f t="shared" si="5"/>
        <v>#DIV/0!</v>
      </c>
      <c r="J9" s="91" t="e">
        <f t="shared" si="6"/>
        <v>#DIV/0!</v>
      </c>
      <c r="K9" s="91" t="e">
        <f t="shared" si="7"/>
        <v>#DIV/0!</v>
      </c>
      <c r="L9" s="91" t="e">
        <f t="shared" si="8"/>
        <v>#DIV/0!</v>
      </c>
      <c r="R9" s="408"/>
      <c r="S9" s="409"/>
      <c r="T9" s="23"/>
      <c r="U9" s="27"/>
      <c r="V9" s="88"/>
    </row>
    <row r="10" spans="1:24">
      <c r="A10" s="25">
        <v>9</v>
      </c>
      <c r="B10" s="37"/>
      <c r="C10" s="37"/>
      <c r="D10" s="75"/>
      <c r="E10" s="37"/>
      <c r="F10" s="91"/>
      <c r="G10" s="91"/>
      <c r="H10" s="91"/>
      <c r="I10" s="91"/>
      <c r="J10" s="91"/>
      <c r="K10" s="91"/>
      <c r="L10" s="91"/>
      <c r="R10" s="408"/>
      <c r="S10" s="409"/>
      <c r="T10" s="23"/>
      <c r="U10" s="27"/>
      <c r="V10" s="88"/>
    </row>
    <row r="11" spans="1:24">
      <c r="A11" s="25">
        <v>10</v>
      </c>
      <c r="B11" s="37"/>
      <c r="C11" s="37"/>
      <c r="D11" s="75"/>
      <c r="E11" s="37"/>
      <c r="F11" s="91"/>
      <c r="G11" s="91"/>
      <c r="H11" s="91"/>
      <c r="I11" s="91"/>
      <c r="J11" s="91"/>
      <c r="K11" s="91"/>
      <c r="L11" s="91"/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f>'REGRESI 6'!R19:S19</f>
        <v>-10</v>
      </c>
      <c r="S19" s="409"/>
      <c r="T19" s="23">
        <f>$S$38+($S$39*R19)+($S$40*(R19^2))+($S$41*(R19^3))+($S$42*(R19^4))+($S$43*(R19^5))+($S$44*(R19^6))+($S$45*(R19^7))+($S$46*(R19^8))+($S$47*(R19^9))+($S$48*(R19^10))</f>
        <v>-1.1794323883463611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6'!R20:S20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-0.58680129590184071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6'!R21:S21</f>
        <v>25</v>
      </c>
      <c r="S21" s="409"/>
      <c r="T21" s="23">
        <f t="shared" si="9"/>
        <v>0.39771227005650883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6'!R22:S22</f>
        <v>50</v>
      </c>
      <c r="S22" s="409"/>
      <c r="T22" s="23">
        <f t="shared" si="9"/>
        <v>0.78794635006896052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6'!R23:S23</f>
        <v>100</v>
      </c>
      <c r="S23" s="409"/>
      <c r="T23" s="23">
        <f t="shared" si="9"/>
        <v>0.36463694504776134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6'!R24:S24</f>
        <v>125</v>
      </c>
      <c r="S24" s="409"/>
      <c r="T24" s="23">
        <f t="shared" si="9"/>
        <v>-0.15937609359009519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6'!R25:S25</f>
        <v>150</v>
      </c>
      <c r="S25" s="409"/>
      <c r="T25" s="23">
        <f t="shared" si="9"/>
        <v>-0.69860772538225735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6'!R26:S26</f>
        <v>200</v>
      </c>
      <c r="S26" s="409"/>
      <c r="T26" s="23">
        <f t="shared" si="9"/>
        <v>-1.2436658756379124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6'!R27:S27</f>
        <v>0</v>
      </c>
      <c r="S27" s="409"/>
      <c r="T27" s="23">
        <f t="shared" si="9"/>
        <v>-0.58680129590184071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6'!R28:S28</f>
        <v>0</v>
      </c>
      <c r="S28" s="409"/>
      <c r="T28" s="23">
        <f t="shared" si="9"/>
        <v>-0.58680129590184071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0.83493304969433679</v>
      </c>
      <c r="Q33" s="31" t="s">
        <v>100</v>
      </c>
      <c r="U33" s="70"/>
    </row>
    <row r="34" spans="2:24">
      <c r="B34" t="s">
        <v>76</v>
      </c>
      <c r="C34">
        <v>0.69711319747188594</v>
      </c>
      <c r="X34" s="46"/>
    </row>
    <row r="35" spans="2:24">
      <c r="B35" t="s">
        <v>77</v>
      </c>
      <c r="C35">
        <v>0.46994809557580042</v>
      </c>
      <c r="Q35" t="s">
        <v>99</v>
      </c>
    </row>
    <row r="36" spans="2:24">
      <c r="B36" t="s">
        <v>78</v>
      </c>
      <c r="C36">
        <v>0.65530257529049363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-0.58680129590184071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0"/>
        <v>5.3196335333223911E-2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-5.9123576731503656E-4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3.9533630142706002</v>
      </c>
      <c r="E41">
        <v>1.3177876714235335</v>
      </c>
      <c r="F41">
        <v>3.0687512811310849</v>
      </c>
      <c r="G41">
        <v>0.15351750632892258</v>
      </c>
      <c r="R41" s="26" t="s">
        <v>112</v>
      </c>
      <c r="S41">
        <f t="shared" si="10"/>
        <v>1.5441623807775761E-6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1.7176858607294123</v>
      </c>
      <c r="E42">
        <v>0.42942146518235308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5.6710488750000128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-0.58680129590184071</v>
      </c>
      <c r="D46">
        <v>0.3944644867426132</v>
      </c>
      <c r="E46">
        <v>-1.4875896706126721</v>
      </c>
      <c r="F46">
        <v>0.21107276845196091</v>
      </c>
      <c r="G46">
        <v>-1.6820102892927289</v>
      </c>
      <c r="H46">
        <v>0.50840769748904746</v>
      </c>
      <c r="I46">
        <v>-1.6820102892927289</v>
      </c>
      <c r="J46">
        <v>0.50840769748904746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5.3196335333223911E-2</v>
      </c>
      <c r="D47">
        <v>2.2518607624858328E-2</v>
      </c>
      <c r="E47">
        <v>2.3623279120730531</v>
      </c>
      <c r="F47">
        <v>7.7465984168384461E-2</v>
      </c>
      <c r="G47">
        <v>-9.3253425826837003E-3</v>
      </c>
      <c r="H47">
        <v>0.11571801324913153</v>
      </c>
      <c r="I47">
        <v>-9.3253425826837003E-3</v>
      </c>
      <c r="J47">
        <v>0.11571801324913153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-5.9123576731503656E-4</v>
      </c>
      <c r="D48">
        <v>2.9780938204472296E-4</v>
      </c>
      <c r="E48">
        <v>-1.9852825430001022</v>
      </c>
      <c r="F48">
        <v>0.11808586021932668</v>
      </c>
      <c r="G48">
        <v>-1.4180871683750873E-3</v>
      </c>
      <c r="H48">
        <v>2.3561563374501415E-4</v>
      </c>
      <c r="I48">
        <v>-1.4180871683750873E-3</v>
      </c>
      <c r="J48">
        <v>2.3561563374501415E-4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1.5441623807775761E-6</v>
      </c>
      <c r="D49" s="67">
        <v>9.9907862498407828E-7</v>
      </c>
      <c r="E49" s="67">
        <v>1.5455864455134194</v>
      </c>
      <c r="F49" s="67">
        <v>0.19709840407336907</v>
      </c>
      <c r="G49" s="67">
        <v>-1.2297245772672101E-6</v>
      </c>
      <c r="H49" s="67">
        <v>4.3180493388223623E-6</v>
      </c>
      <c r="I49" s="67">
        <v>-1.2297245772672101E-6</v>
      </c>
      <c r="J49" s="67">
        <v>4.3180493388223623E-6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70D7A-2FB1-4A96-A7E1-A27BED896305}">
  <dimension ref="A1:AH187"/>
  <sheetViews>
    <sheetView topLeftCell="A81" workbookViewId="0">
      <selection activeCell="K121" sqref="K121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1'!E5</f>
        <v>Termometer Digital</v>
      </c>
      <c r="F5" s="11"/>
      <c r="G5" s="11" t="s">
        <v>127</v>
      </c>
      <c r="H5" s="11" t="s">
        <v>16</v>
      </c>
      <c r="I5" s="66" t="str">
        <f>'PERHITUNGAN 1'!I5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1'!E6</f>
        <v>Hioki / LR 8431-20</v>
      </c>
      <c r="F6" s="11"/>
      <c r="G6" s="11" t="s">
        <v>128</v>
      </c>
      <c r="H6" s="11" t="s">
        <v>16</v>
      </c>
      <c r="I6" s="129">
        <f>'PERHITUNGAN 1'!I6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1'!E7</f>
        <v>210149173</v>
      </c>
      <c r="F7" s="11"/>
      <c r="G7" s="11" t="s">
        <v>44</v>
      </c>
      <c r="H7" s="11" t="s">
        <v>16</v>
      </c>
      <c r="I7" s="31">
        <v>8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1'!D24</f>
        <v>22</v>
      </c>
      <c r="E23" s="244">
        <f>'PERHITUNGAN 1'!E24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1'!D25</f>
        <v>22</v>
      </c>
      <c r="E24" s="244">
        <f>'PERHITUNGAN 1'!E25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1'!D28</f>
        <v>20</v>
      </c>
      <c r="E27" s="244">
        <f>'PERHITUNGAN 1'!E28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1'!D29</f>
        <v>20</v>
      </c>
      <c r="E28" s="244">
        <f>'PERHITUNGAN 1'!E29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1'!D33</f>
        <v>55</v>
      </c>
      <c r="E32" s="244">
        <f>'PERHITUNGAN 1'!E33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1'!D34</f>
        <v>55</v>
      </c>
      <c r="E33" s="244">
        <f>'PERHITUNGAN 1'!E34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0.19800000000000001</v>
      </c>
      <c r="P36" s="380">
        <f>F56</f>
        <v>50.345999999999997</v>
      </c>
      <c r="Q36" s="380">
        <f>F64</f>
        <v>99.884600000000006</v>
      </c>
      <c r="R36" s="380">
        <f>F72</f>
        <v>149.71899999999999</v>
      </c>
      <c r="S36" s="380">
        <f>F80</f>
        <v>199.464</v>
      </c>
      <c r="T36" s="380">
        <f>F88</f>
        <v>249.477</v>
      </c>
      <c r="U36" s="380">
        <f>F96</f>
        <v>259.55599999999998</v>
      </c>
      <c r="V36" s="380">
        <f>F104</f>
        <v>0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8'!$E$11="Burn Engr",IF(O36&lt;=$AA$38,$AB$38,$AB$39),IF(O36&lt;=$AC$38,$AD$38,IF(O36&lt;=$AC$39,$AD$39,$AD$40)))</f>
        <v>7.0000000000000007E-2</v>
      </c>
      <c r="P38" s="54">
        <f>IF('PERHITUNGAN 8'!$E$11="Burn Engr",IF(P36&lt;=$AA$38,$AB$38,$AB$39),IF(P36&lt;=$AC$38,$AD$38,IF(P36&lt;=$AC$39,$AD$39,$AD$40)))</f>
        <v>7.0000000000000007E-2</v>
      </c>
      <c r="Q38" s="54">
        <f>IF('PERHITUNGAN 8'!$E$11="Burn Engr",IF(Q36&lt;=$AA$38,$AB$38,$AB$39),IF(Q36&lt;=$AC$38,$AD$38,IF(Q36&lt;=$AC$39,$AD$39,$AD$40)))</f>
        <v>7.0000000000000007E-2</v>
      </c>
      <c r="R38" s="54">
        <f>IF('PERHITUNGAN 8'!$E$11="Burn Engr",IF(R36&lt;=$AA$38,$AB$38,$AB$39),IF(R36&lt;=$AC$38,$AD$38,IF(R36&lt;=$AC$39,$AD$39,$AD$40)))</f>
        <v>7.0000000000000007E-2</v>
      </c>
      <c r="S38" s="54">
        <f>IF('PERHITUNGAN 8'!$E$11="Burn Engr",IF(S36&lt;=$AA$38,$AB$38,$AB$39),IF(S36&lt;=$AC$38,$AD$38,IF(S36&lt;=$AC$39,$AD$39,$AD$40)))</f>
        <v>7.0000000000000007E-2</v>
      </c>
      <c r="T38" s="54">
        <f>IF('PERHITUNGAN 8'!$E$11="Burn Engr",IF(T36&lt;=$AA$38,$AB$38,$AB$39),IF(T36&lt;=$AC$38,$AD$38,IF(T36&lt;=$AC$39,$AD$39,$AD$40)))</f>
        <v>7.0000000000000007E-2</v>
      </c>
      <c r="U38" s="54">
        <f>IF('PERHITUNGAN 8'!$E$11="Burn Engr",IF(U36&lt;=$AA$38,$AB$38,$AB$39),IF(U36&lt;=$AC$38,$AD$38,IF(U36&lt;=$AC$39,$AD$39,$AD$40)))</f>
        <v>7.0000000000000007E-2</v>
      </c>
      <c r="V38" s="54">
        <f>IF('PERHITUNGAN 8'!$E$11="Burn Engr",IF(V36&lt;=$AA$38,$AB$38,$AB$39),IF(V36&lt;=$AC$38,$AD$38,IF(V36&lt;=$AC$39,$AD$39,$AD$40)))</f>
        <v>0.02</v>
      </c>
      <c r="W38" s="54">
        <f>IF('PERHITUNGAN 8'!$E$11="Burn Engr",IF(W36&lt;=$AA$38,$AB$38,$AB$39),IF(W36&lt;=$AC$38,$AD$38,IF(W36&lt;=$AC$39,$AD$39,$AD$40)))</f>
        <v>0.02</v>
      </c>
      <c r="X38" s="54">
        <f>IF('PERHITUNGAN 8'!$E$11="Burn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3.5000000000000003E-2</v>
      </c>
      <c r="P40" s="37">
        <f t="shared" ref="P40:X40" si="1">P38/P39</f>
        <v>3.5000000000000003E-2</v>
      </c>
      <c r="Q40" s="37">
        <f t="shared" si="1"/>
        <v>3.5000000000000003E-2</v>
      </c>
      <c r="R40" s="37">
        <f>R38/R39</f>
        <v>3.5000000000000003E-2</v>
      </c>
      <c r="S40" s="37">
        <f t="shared" si="1"/>
        <v>3.5000000000000003E-2</v>
      </c>
      <c r="T40" s="37">
        <f t="shared" si="1"/>
        <v>3.5000000000000003E-2</v>
      </c>
      <c r="U40" s="37">
        <f t="shared" si="1"/>
        <v>3.5000000000000003E-2</v>
      </c>
      <c r="V40" s="37">
        <f t="shared" si="1"/>
        <v>0.01</v>
      </c>
      <c r="W40" s="37">
        <f t="shared" si="1"/>
        <v>0.01</v>
      </c>
      <c r="X40" s="37">
        <f t="shared" si="1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0</v>
      </c>
      <c r="C43" s="373">
        <v>0.98</v>
      </c>
      <c r="D43" s="374"/>
      <c r="E43" s="90">
        <v>0.19800000000000001</v>
      </c>
      <c r="F43" s="37">
        <f>IF('PERHITUNGAN 8'!$E$11="Burn Engr",'PERHITUNGAN 8'!E43,E43+('regresi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0.19800000000000001</v>
      </c>
      <c r="G43" s="90">
        <f>F43-C43</f>
        <v>-0.78200000000000003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0.98</v>
      </c>
      <c r="D44" s="374"/>
      <c r="E44" s="90">
        <v>0.19800000000000001</v>
      </c>
      <c r="F44" s="37">
        <f>IF('PERHITUNGAN 8'!$E$11="Burn Engr",'PERHITUNGAN 8'!E44,E44+('regresi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0.19800000000000001</v>
      </c>
      <c r="G44" s="90">
        <f>F44-C44</f>
        <v>-0.78200000000000003</v>
      </c>
      <c r="H44" s="63"/>
      <c r="I44" s="63"/>
      <c r="AB44" s="1"/>
    </row>
    <row r="45" spans="1:30" ht="13.5" customHeight="1">
      <c r="A45" s="105"/>
      <c r="C45" s="373">
        <v>0.98</v>
      </c>
      <c r="D45" s="374"/>
      <c r="E45" s="90">
        <v>0.19800000000000001</v>
      </c>
      <c r="F45" s="37">
        <f>IF('PERHITUNGAN 8'!$E$11="Burn Engr",'PERHITUNGAN 8'!E45,E45+('regresi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0.19800000000000001</v>
      </c>
      <c r="G45" s="90">
        <f>F45-C45</f>
        <v>-0.78200000000000003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0.98</v>
      </c>
      <c r="D46" s="374"/>
      <c r="E46" s="90">
        <v>0.19800000000000001</v>
      </c>
      <c r="F46" s="37">
        <f>IF('PERHITUNGAN 8'!$E$11="Burn Engr",'PERHITUNGAN 8'!E46,E46+('regresi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0.19800000000000001</v>
      </c>
      <c r="G46" s="90">
        <f>F46-C46</f>
        <v>-0.78200000000000003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0.98</v>
      </c>
      <c r="D47" s="374"/>
      <c r="E47" s="90">
        <v>0.19800000000000001</v>
      </c>
      <c r="F47" s="37">
        <f>IF('PERHITUNGAN 8'!$E$11="Burn Engr",'PERHITUNGAN 8'!E47,E47+('regresi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0.19800000000000001</v>
      </c>
      <c r="G47" s="90">
        <f>F47-C47</f>
        <v>-0.78200000000000003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0.98000000000000009</v>
      </c>
      <c r="D48" s="357"/>
      <c r="E48" s="95">
        <f>AVERAGE(E43:E47)</f>
        <v>0.19800000000000001</v>
      </c>
      <c r="F48" s="95">
        <f>AVERAGE(F43:F47)</f>
        <v>0.19800000000000001</v>
      </c>
      <c r="G48" s="95">
        <f>SUM(G43:G47)/5</f>
        <v>-0.78200000000000003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0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0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>
        <v>50</v>
      </c>
      <c r="C51" s="373">
        <v>50.52</v>
      </c>
      <c r="D51" s="374"/>
      <c r="E51" s="90">
        <v>50.345999999999997</v>
      </c>
      <c r="F51" s="37">
        <f>IF('PERHITUNGAN 8'!$E$11="Burn Engr",'PERHITUNGAN 8'!E51,E51+('regresi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50.345999999999997</v>
      </c>
      <c r="G51" s="90">
        <f>F51-C51</f>
        <v>-0.17400000000000659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>
        <v>50.52</v>
      </c>
      <c r="D52" s="374"/>
      <c r="E52" s="90">
        <v>50.345999999999997</v>
      </c>
      <c r="F52" s="37">
        <f>IF('PERHITUNGAN 8'!$E$11="Burn Engr",'PERHITUNGAN 8'!E52,E52+('regresi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50.345999999999997</v>
      </c>
      <c r="G52" s="90">
        <f>F52-C52</f>
        <v>-0.17400000000000659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>
        <v>50.52</v>
      </c>
      <c r="D53" s="374"/>
      <c r="E53" s="90">
        <v>50.345999999999997</v>
      </c>
      <c r="F53" s="37">
        <f>IF('PERHITUNGAN 8'!$E$11="Burn Engr",'PERHITUNGAN 8'!E53,E53+('regresi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50.345999999999997</v>
      </c>
      <c r="G53" s="90">
        <f>F53-C53</f>
        <v>-0.17400000000000659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50.52</v>
      </c>
      <c r="D54" s="374"/>
      <c r="E54" s="90">
        <v>50.345999999999997</v>
      </c>
      <c r="F54" s="37">
        <f>IF('PERHITUNGAN 8'!$E$11="Burn Engr",'PERHITUNGAN 8'!E54,E54+('regresi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50.345999999999997</v>
      </c>
      <c r="G54" s="90">
        <f>F54-C54</f>
        <v>-0.17400000000000659</v>
      </c>
      <c r="H54" s="63"/>
      <c r="I54" s="63"/>
      <c r="AB54" s="1"/>
    </row>
    <row r="55" spans="1:28" ht="13.5" customHeight="1">
      <c r="A55" s="10"/>
      <c r="C55" s="373">
        <v>50.52</v>
      </c>
      <c r="D55" s="374"/>
      <c r="E55" s="90">
        <v>50.345999999999997</v>
      </c>
      <c r="F55" s="37">
        <f>IF('PERHITUNGAN 8'!$E$11="Burn Engr",'PERHITUNGAN 8'!E55,E55+('regresi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50.345999999999997</v>
      </c>
      <c r="G55" s="90">
        <f>F55-C55</f>
        <v>-0.17400000000000659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50.52</v>
      </c>
      <c r="D56" s="334"/>
      <c r="E56" s="95">
        <f>AVERAGE(E51:E55)</f>
        <v>50.345999999999997</v>
      </c>
      <c r="F56" s="95">
        <f t="shared" ref="F56" si="3">AVERAGE(F51:F55)</f>
        <v>50.345999999999997</v>
      </c>
      <c r="G56" s="95">
        <f>SUM(G51:G55)/5</f>
        <v>-0.17400000000000659</v>
      </c>
      <c r="H56" s="63"/>
      <c r="I56" s="63"/>
      <c r="N56" s="390"/>
      <c r="O56" s="115">
        <f>C48</f>
        <v>0.98000000000000009</v>
      </c>
      <c r="P56" s="115">
        <f>C56</f>
        <v>50.52</v>
      </c>
      <c r="Q56" s="115">
        <f>C64</f>
        <v>100.33</v>
      </c>
      <c r="R56" s="115">
        <f>C72</f>
        <v>149.88</v>
      </c>
      <c r="S56" s="115">
        <f>C80</f>
        <v>199.45</v>
      </c>
      <c r="T56" s="115">
        <f>C88</f>
        <v>249.36999999999998</v>
      </c>
      <c r="U56" s="115">
        <f>C96</f>
        <v>259.48</v>
      </c>
      <c r="V56" s="115" t="e">
        <f>C104</f>
        <v>#DIV/0!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0</v>
      </c>
      <c r="H57" s="44"/>
      <c r="I57" s="63"/>
      <c r="N57" s="25" t="s">
        <v>152</v>
      </c>
      <c r="O57" s="112">
        <f>$G$49/5^0.5</f>
        <v>0</v>
      </c>
      <c r="P57" s="112">
        <f>$G$57/5^0.5</f>
        <v>0</v>
      </c>
      <c r="Q57" s="112">
        <f>$G$65/5^0.5</f>
        <v>2.4494897427948742E-4</v>
      </c>
      <c r="R57" s="112">
        <f>$G$73/5^0.5</f>
        <v>0</v>
      </c>
      <c r="S57" s="112">
        <f>$G$81/5^0.5</f>
        <v>0</v>
      </c>
      <c r="T57" s="112">
        <f>$G$89/5^0.5</f>
        <v>0</v>
      </c>
      <c r="U57" s="112">
        <f>$G$97/5^0.5</f>
        <v>0</v>
      </c>
      <c r="V57" s="112" t="e">
        <f>$G$105/5^0.5</f>
        <v>#DIV/0!</v>
      </c>
      <c r="W57" s="112" t="e">
        <f>$G$113/5^0.5</f>
        <v>#DIV/0!</v>
      </c>
      <c r="X57" s="112" t="e">
        <f>$G$121/5^0.5</f>
        <v>#DIV/0!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0</v>
      </c>
      <c r="H58" s="44"/>
      <c r="I58" s="63"/>
      <c r="N58" s="25" t="s">
        <v>153</v>
      </c>
      <c r="O58" s="113">
        <f>IF('DRAFT-SERTIF'!$O$27="Ya",'REGRESI 8'!$C$36,0)</f>
        <v>0.28120336902561072</v>
      </c>
      <c r="P58" s="113">
        <f>IF('DRAFT-SERTIF'!$O$27="Ya",'REGRESI 8'!$C$36,0)</f>
        <v>0.28120336902561072</v>
      </c>
      <c r="Q58" s="113">
        <f>IF('DRAFT-SERTIF'!$O$27="Ya",'REGRESI 8'!$C$36,0)</f>
        <v>0.28120336902561072</v>
      </c>
      <c r="R58" s="113">
        <f>IF('DRAFT-SERTIF'!$O$27="Ya",'REGRESI 8'!$C$36,0)</f>
        <v>0.28120336902561072</v>
      </c>
      <c r="S58" s="113">
        <f>IF('DRAFT-SERTIF'!$O$27="Ya",'REGRESI 8'!$C$36,0)</f>
        <v>0.28120336902561072</v>
      </c>
      <c r="T58" s="113">
        <f>IF('DRAFT-SERTIF'!$O$27="Ya",'REGRESI 8'!$C$36,0)</f>
        <v>0.28120336902561072</v>
      </c>
      <c r="U58" s="113">
        <f>IF('DRAFT-SERTIF'!$O$27="Ya",'REGRESI 8'!$C$36,0)</f>
        <v>0.28120336902561072</v>
      </c>
      <c r="V58" s="113">
        <f>IF('DRAFT-SERTIF'!$O$27="Ya",'REGRESI 8'!$C$36,0)</f>
        <v>0.28120336902561072</v>
      </c>
      <c r="W58" s="113">
        <f>IF('DRAFT-SERTIF'!$O$27="Ya",'REGRESI 8'!$C$36,0)</f>
        <v>0.28120336902561072</v>
      </c>
      <c r="X58" s="113">
        <f>IF('DRAFT-SERTIF'!$O$27="Ya",'REGRESI 8'!$C$36,0)</f>
        <v>0.28120336902561072</v>
      </c>
      <c r="AB58" s="1"/>
    </row>
    <row r="59" spans="1:28" ht="13.5" customHeight="1">
      <c r="A59" s="105">
        <v>3</v>
      </c>
      <c r="B59" s="196">
        <v>100</v>
      </c>
      <c r="C59" s="327">
        <v>100.33</v>
      </c>
      <c r="D59" s="327"/>
      <c r="E59" s="15">
        <v>99.884</v>
      </c>
      <c r="F59" s="37">
        <f>IF('PERHITUNGAN 8'!$E$11="Burn Engr",'PERHITUNGAN 8'!E59,E59+('regresi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99.884</v>
      </c>
      <c r="G59" s="90">
        <f>F59-C59</f>
        <v>-0.44599999999999795</v>
      </c>
      <c r="H59" s="63"/>
      <c r="I59" s="63"/>
      <c r="N59" s="25" t="s">
        <v>154</v>
      </c>
      <c r="O59" s="91">
        <f t="shared" ref="O59:X59" si="4">O40</f>
        <v>3.5000000000000003E-2</v>
      </c>
      <c r="P59" s="91">
        <f t="shared" si="4"/>
        <v>3.5000000000000003E-2</v>
      </c>
      <c r="Q59" s="91">
        <f t="shared" si="4"/>
        <v>3.5000000000000003E-2</v>
      </c>
      <c r="R59" s="91">
        <f t="shared" si="4"/>
        <v>3.5000000000000003E-2</v>
      </c>
      <c r="S59" s="91">
        <f t="shared" si="4"/>
        <v>3.5000000000000003E-2</v>
      </c>
      <c r="T59" s="91">
        <f t="shared" si="4"/>
        <v>3.5000000000000003E-2</v>
      </c>
      <c r="U59" s="91">
        <f t="shared" si="4"/>
        <v>3.5000000000000003E-2</v>
      </c>
      <c r="V59" s="91">
        <f t="shared" si="4"/>
        <v>0.01</v>
      </c>
      <c r="W59" s="91">
        <f t="shared" si="4"/>
        <v>0.01</v>
      </c>
      <c r="X59" s="91">
        <f t="shared" si="4"/>
        <v>0.01</v>
      </c>
    </row>
    <row r="60" spans="1:28">
      <c r="A60" s="10"/>
      <c r="C60" s="327">
        <v>100.33</v>
      </c>
      <c r="D60" s="327"/>
      <c r="E60" s="15">
        <v>99.884</v>
      </c>
      <c r="F60" s="37">
        <f>IF('PERHITUNGAN 8'!$E$11="Burn Engr",'PERHITUNGAN 8'!E60,E60+('regresi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99.884</v>
      </c>
      <c r="G60" s="90">
        <f>F60-C60</f>
        <v>-0.44599999999999795</v>
      </c>
      <c r="H60" s="63"/>
      <c r="I60" s="63"/>
      <c r="N60" s="133" t="s">
        <v>155</v>
      </c>
      <c r="O60" s="134">
        <f>'PERHITUNGAN 1'!O61</f>
        <v>1.5000000000000003E-2</v>
      </c>
      <c r="P60" s="134">
        <f>'PERHITUNGAN 1'!P61</f>
        <v>0.01</v>
      </c>
      <c r="Q60" s="134">
        <f>'PERHITUNGAN 1'!Q61</f>
        <v>5.0000000000000001E-3</v>
      </c>
      <c r="R60" s="134">
        <f>'PERHITUNGAN 1'!R61</f>
        <v>1.4999999999999999E-2</v>
      </c>
      <c r="S60" s="134">
        <f>'PERHITUNGAN 1'!S61</f>
        <v>5.0000000000000001E-3</v>
      </c>
      <c r="T60" s="134">
        <f>'PERHITUNGAN 1'!T61</f>
        <v>0.05</v>
      </c>
      <c r="U60" s="134">
        <f>'PERHITUNGAN 1'!U61</f>
        <v>0.05</v>
      </c>
      <c r="V60" s="134">
        <f>'PERHITUNGAN 1'!V61</f>
        <v>1.5000000000000003E-2</v>
      </c>
      <c r="W60" s="134">
        <f>'PERHITUNGAN 1'!W61</f>
        <v>1.4999999999999999E-2</v>
      </c>
      <c r="X60" s="134">
        <f>'PERHITUNGAN 1'!X61</f>
        <v>1.4999999999999999E-2</v>
      </c>
    </row>
    <row r="61" spans="1:28">
      <c r="A61" s="10"/>
      <c r="C61" s="327">
        <v>100.33</v>
      </c>
      <c r="D61" s="327"/>
      <c r="E61" s="15">
        <v>99.885000000000005</v>
      </c>
      <c r="F61" s="37">
        <f>IF('PERHITUNGAN 8'!$E$11="Burn Engr",'PERHITUNGAN 8'!E61,E61+('regresi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99.885000000000005</v>
      </c>
      <c r="G61" s="90">
        <f>F61-C61</f>
        <v>-0.44499999999999318</v>
      </c>
      <c r="H61" s="63"/>
      <c r="I61" s="63"/>
      <c r="N61" s="25" t="s">
        <v>156</v>
      </c>
      <c r="O61" s="114">
        <f>(0.1*O38)/SQRT(3)</f>
        <v>4.041451884327381E-3</v>
      </c>
      <c r="P61" s="114">
        <f t="shared" ref="P61:X61" si="5">(0.1*P38)/SQRT(3)</f>
        <v>4.041451884327381E-3</v>
      </c>
      <c r="Q61" s="114">
        <f t="shared" si="5"/>
        <v>4.041451884327381E-3</v>
      </c>
      <c r="R61" s="114">
        <f t="shared" si="5"/>
        <v>4.041451884327381E-3</v>
      </c>
      <c r="S61" s="114">
        <f t="shared" si="5"/>
        <v>4.041451884327381E-3</v>
      </c>
      <c r="T61" s="114">
        <f t="shared" si="5"/>
        <v>4.041451884327381E-3</v>
      </c>
      <c r="U61" s="114">
        <f t="shared" si="5"/>
        <v>4.041451884327381E-3</v>
      </c>
      <c r="V61" s="114">
        <f t="shared" si="5"/>
        <v>1.1547005383792516E-3</v>
      </c>
      <c r="W61" s="114">
        <f t="shared" si="5"/>
        <v>1.1547005383792516E-3</v>
      </c>
      <c r="X61" s="114">
        <f t="shared" si="5"/>
        <v>1.1547005383792516E-3</v>
      </c>
    </row>
    <row r="62" spans="1:28">
      <c r="A62" s="10"/>
      <c r="C62" s="327">
        <v>100.33</v>
      </c>
      <c r="D62" s="327"/>
      <c r="E62" s="15">
        <v>99.885000000000005</v>
      </c>
      <c r="F62" s="37">
        <f>IF('PERHITUNGAN 8'!$E$11="Burn Engr",'PERHITUNGAN 8'!E62,E62+('regresi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99.885000000000005</v>
      </c>
      <c r="G62" s="90">
        <f>F62-C62</f>
        <v>-0.44499999999999318</v>
      </c>
      <c r="H62" s="63"/>
      <c r="I62" s="63"/>
      <c r="N62" s="25" t="s">
        <v>157</v>
      </c>
      <c r="O62" s="114">
        <f t="shared" ref="O62:X62" si="6">$T$28</f>
        <v>2.886751345948129E-3</v>
      </c>
      <c r="P62" s="114">
        <f t="shared" si="6"/>
        <v>2.886751345948129E-3</v>
      </c>
      <c r="Q62" s="114">
        <f t="shared" si="6"/>
        <v>2.886751345948129E-3</v>
      </c>
      <c r="R62" s="114">
        <f t="shared" si="6"/>
        <v>2.886751345948129E-3</v>
      </c>
      <c r="S62" s="114">
        <f t="shared" si="6"/>
        <v>2.886751345948129E-3</v>
      </c>
      <c r="T62" s="114">
        <f t="shared" si="6"/>
        <v>2.886751345948129E-3</v>
      </c>
      <c r="U62" s="114">
        <f t="shared" si="6"/>
        <v>2.886751345948129E-3</v>
      </c>
      <c r="V62" s="114">
        <f t="shared" si="6"/>
        <v>2.886751345948129E-3</v>
      </c>
      <c r="W62" s="114">
        <f t="shared" si="6"/>
        <v>2.886751345948129E-3</v>
      </c>
      <c r="X62" s="114">
        <f t="shared" si="6"/>
        <v>2.886751345948129E-3</v>
      </c>
    </row>
    <row r="63" spans="1:28">
      <c r="A63" s="10"/>
      <c r="C63" s="327">
        <v>100.33</v>
      </c>
      <c r="D63" s="327"/>
      <c r="E63" s="15">
        <v>99.885000000000005</v>
      </c>
      <c r="F63" s="37">
        <f>IF('PERHITUNGAN 8'!$E$11="Burn Engr",'PERHITUNGAN 8'!E63,E63+('regresi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99.885000000000005</v>
      </c>
      <c r="G63" s="90">
        <f>F63-C63</f>
        <v>-0.44499999999999318</v>
      </c>
      <c r="H63" s="63"/>
      <c r="I63" s="63"/>
      <c r="N63" s="25" t="s">
        <v>158</v>
      </c>
      <c r="O63" s="114">
        <f t="shared" ref="O63:X63" si="7">$T$26</f>
        <v>2.886751345948129E-4</v>
      </c>
      <c r="P63" s="114">
        <f t="shared" si="7"/>
        <v>2.886751345948129E-4</v>
      </c>
      <c r="Q63" s="114">
        <f t="shared" si="7"/>
        <v>2.886751345948129E-4</v>
      </c>
      <c r="R63" s="114">
        <f t="shared" si="7"/>
        <v>2.886751345948129E-4</v>
      </c>
      <c r="S63" s="114">
        <f t="shared" si="7"/>
        <v>2.886751345948129E-4</v>
      </c>
      <c r="T63" s="114">
        <f t="shared" si="7"/>
        <v>2.886751345948129E-4</v>
      </c>
      <c r="U63" s="114">
        <f t="shared" si="7"/>
        <v>2.886751345948129E-4</v>
      </c>
      <c r="V63" s="114">
        <f t="shared" si="7"/>
        <v>2.886751345948129E-4</v>
      </c>
      <c r="W63" s="114">
        <f t="shared" si="7"/>
        <v>2.886751345948129E-4</v>
      </c>
      <c r="X63" s="114">
        <f t="shared" si="7"/>
        <v>2.886751345948129E-4</v>
      </c>
    </row>
    <row r="64" spans="1:28">
      <c r="A64" s="10"/>
      <c r="B64" s="8" t="s">
        <v>31</v>
      </c>
      <c r="C64" s="333">
        <f>AVERAGE(C59:D63)</f>
        <v>100.33</v>
      </c>
      <c r="D64" s="334"/>
      <c r="E64" s="95">
        <f>AVERAGE(E59:E63)</f>
        <v>99.884600000000006</v>
      </c>
      <c r="F64" s="95">
        <f t="shared" ref="F64" si="8">AVERAGE(F59:F63)</f>
        <v>99.884600000000006</v>
      </c>
      <c r="G64" s="95">
        <f>SUM(G59:G63)/5</f>
        <v>-0.44539999999999508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5.4772255750778142E-4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2.4494897427948742E-4</v>
      </c>
      <c r="H66" s="44"/>
      <c r="I66" s="63"/>
      <c r="N66" s="25" t="s">
        <v>160</v>
      </c>
      <c r="O66" s="53">
        <f>10^10</f>
        <v>10000000000</v>
      </c>
      <c r="P66" s="53">
        <f t="shared" ref="P66:X66" si="9">10^10</f>
        <v>10000000000</v>
      </c>
      <c r="Q66" s="53">
        <f t="shared" si="9"/>
        <v>10000000000</v>
      </c>
      <c r="R66" s="53">
        <f t="shared" si="9"/>
        <v>10000000000</v>
      </c>
      <c r="S66" s="53">
        <f t="shared" si="9"/>
        <v>10000000000</v>
      </c>
      <c r="T66" s="53">
        <f t="shared" si="9"/>
        <v>10000000000</v>
      </c>
      <c r="U66" s="53">
        <f t="shared" si="9"/>
        <v>10000000000</v>
      </c>
      <c r="V66" s="53">
        <f t="shared" si="9"/>
        <v>10000000000</v>
      </c>
      <c r="W66" s="53">
        <f t="shared" si="9"/>
        <v>10000000000</v>
      </c>
      <c r="X66" s="53">
        <f t="shared" si="9"/>
        <v>10000000000</v>
      </c>
    </row>
    <row r="67" spans="1:28">
      <c r="A67" s="105">
        <v>4</v>
      </c>
      <c r="B67" s="196">
        <v>150</v>
      </c>
      <c r="C67" s="327">
        <v>149.88</v>
      </c>
      <c r="D67" s="327"/>
      <c r="E67" s="90">
        <v>149.71899999999999</v>
      </c>
      <c r="F67" s="37">
        <f>IF('PERHITUNGAN 8'!$E$11="Burn Engr",'PERHITUNGAN 8'!E67,E67+('regresi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149.71899999999999</v>
      </c>
      <c r="G67" s="90">
        <f>F67-C67</f>
        <v>-0.16100000000000136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149.88</v>
      </c>
      <c r="D68" s="327"/>
      <c r="E68" s="90">
        <v>149.71899999999999</v>
      </c>
      <c r="F68" s="37">
        <f>IF('PERHITUNGAN 8'!$E$11="Burn Engr",'PERHITUNGAN 8'!E68,E68+('regresi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149.71899999999999</v>
      </c>
      <c r="G68" s="90">
        <f>F68-C68</f>
        <v>-0.16100000000000136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149.88</v>
      </c>
      <c r="D69" s="327"/>
      <c r="E69" s="90">
        <v>149.71899999999999</v>
      </c>
      <c r="F69" s="37">
        <f>IF('PERHITUNGAN 8'!$E$11="Burn Engr",'PERHITUNGAN 8'!E69,E69+('regresi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149.71899999999999</v>
      </c>
      <c r="G69" s="90">
        <f>F69-C69</f>
        <v>-0.16100000000000136</v>
      </c>
      <c r="H69" s="63"/>
      <c r="I69" s="63"/>
      <c r="N69" s="25" t="s">
        <v>163</v>
      </c>
      <c r="O69" s="53">
        <f t="shared" ref="O69:X71" si="10">10^10</f>
        <v>10000000000</v>
      </c>
      <c r="P69" s="53">
        <f t="shared" si="10"/>
        <v>10000000000</v>
      </c>
      <c r="Q69" s="53">
        <f t="shared" si="10"/>
        <v>10000000000</v>
      </c>
      <c r="R69" s="53">
        <f t="shared" si="10"/>
        <v>10000000000</v>
      </c>
      <c r="S69" s="53">
        <f t="shared" si="10"/>
        <v>10000000000</v>
      </c>
      <c r="T69" s="53">
        <f t="shared" si="10"/>
        <v>10000000000</v>
      </c>
      <c r="U69" s="53">
        <f t="shared" si="10"/>
        <v>10000000000</v>
      </c>
      <c r="V69" s="53">
        <f t="shared" si="10"/>
        <v>10000000000</v>
      </c>
      <c r="W69" s="53">
        <f t="shared" si="10"/>
        <v>10000000000</v>
      </c>
      <c r="X69" s="53">
        <f t="shared" si="10"/>
        <v>10000000000</v>
      </c>
      <c r="AB69" s="1"/>
    </row>
    <row r="70" spans="1:28">
      <c r="A70" s="10"/>
      <c r="C70" s="327">
        <v>149.88</v>
      </c>
      <c r="D70" s="327"/>
      <c r="E70" s="90">
        <v>149.71899999999999</v>
      </c>
      <c r="F70" s="37">
        <f>IF('PERHITUNGAN 8'!$E$11="Burn Engr",'PERHITUNGAN 8'!E70,E70+('regresi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149.71899999999999</v>
      </c>
      <c r="G70" s="90">
        <f>F70-C70</f>
        <v>-0.16100000000000136</v>
      </c>
      <c r="H70" s="63"/>
      <c r="I70" s="63"/>
      <c r="N70" s="25" t="s">
        <v>164</v>
      </c>
      <c r="O70" s="53">
        <f t="shared" si="10"/>
        <v>10000000000</v>
      </c>
      <c r="P70" s="53">
        <f t="shared" si="10"/>
        <v>10000000000</v>
      </c>
      <c r="Q70" s="53">
        <f t="shared" si="10"/>
        <v>10000000000</v>
      </c>
      <c r="R70" s="53">
        <f t="shared" si="10"/>
        <v>10000000000</v>
      </c>
      <c r="S70" s="53">
        <f t="shared" si="10"/>
        <v>10000000000</v>
      </c>
      <c r="T70" s="53">
        <f t="shared" si="10"/>
        <v>10000000000</v>
      </c>
      <c r="U70" s="53">
        <f t="shared" si="10"/>
        <v>10000000000</v>
      </c>
      <c r="V70" s="53">
        <f t="shared" si="10"/>
        <v>10000000000</v>
      </c>
      <c r="W70" s="53">
        <f t="shared" si="10"/>
        <v>10000000000</v>
      </c>
      <c r="X70" s="53">
        <f t="shared" si="10"/>
        <v>10000000000</v>
      </c>
      <c r="AB70" s="1"/>
    </row>
    <row r="71" spans="1:28">
      <c r="A71" s="10"/>
      <c r="C71" s="327">
        <v>149.88</v>
      </c>
      <c r="D71" s="327"/>
      <c r="E71" s="90">
        <v>149.71899999999999</v>
      </c>
      <c r="F71" s="37">
        <f>IF('PERHITUNGAN 8'!$E$11="Burn Engr",'PERHITUNGAN 8'!E71,E71+('regresi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149.71899999999999</v>
      </c>
      <c r="G71" s="90">
        <f>F71-C71</f>
        <v>-0.16100000000000136</v>
      </c>
      <c r="H71" s="63"/>
      <c r="I71" s="63"/>
      <c r="N71" s="25" t="s">
        <v>165</v>
      </c>
      <c r="O71" s="53">
        <f t="shared" si="10"/>
        <v>10000000000</v>
      </c>
      <c r="P71" s="53">
        <f t="shared" si="10"/>
        <v>10000000000</v>
      </c>
      <c r="Q71" s="53">
        <f t="shared" si="10"/>
        <v>10000000000</v>
      </c>
      <c r="R71" s="53">
        <f t="shared" si="10"/>
        <v>10000000000</v>
      </c>
      <c r="S71" s="53">
        <f t="shared" si="10"/>
        <v>10000000000</v>
      </c>
      <c r="T71" s="53">
        <f t="shared" si="10"/>
        <v>10000000000</v>
      </c>
      <c r="U71" s="53">
        <f t="shared" si="10"/>
        <v>10000000000</v>
      </c>
      <c r="V71" s="53">
        <f t="shared" si="10"/>
        <v>10000000000</v>
      </c>
      <c r="W71" s="53">
        <f t="shared" si="10"/>
        <v>10000000000</v>
      </c>
      <c r="X71" s="53">
        <f t="shared" si="10"/>
        <v>10000000000</v>
      </c>
      <c r="AB71" s="1"/>
    </row>
    <row r="72" spans="1:28">
      <c r="A72" s="10"/>
      <c r="B72" s="8" t="s">
        <v>31</v>
      </c>
      <c r="C72" s="333">
        <f>AVERAGE(C67:D71)</f>
        <v>149.88</v>
      </c>
      <c r="D72" s="334"/>
      <c r="E72" s="95">
        <f>AVERAGE(E67:E71)</f>
        <v>149.71899999999999</v>
      </c>
      <c r="F72" s="95">
        <f t="shared" ref="F72" si="11">AVERAGE(F67:F71)</f>
        <v>149.71899999999999</v>
      </c>
      <c r="G72" s="95">
        <f>SUM(G67:G71)/5</f>
        <v>-0.16100000000000136</v>
      </c>
      <c r="H72" s="63"/>
      <c r="I72" s="63"/>
      <c r="N72" s="111" t="s">
        <v>168</v>
      </c>
      <c r="O72" s="118">
        <f>SQRT((O57^2)+(O58^2)+(O59^2)+(O60^2)+(O61^2)+(O62^2)+(O63^2))</f>
        <v>0.28381346823460263</v>
      </c>
      <c r="P72" s="118">
        <f t="shared" ref="P72:X72" si="12">SQRT((P57^2)+(P58^2)+(P59^2)+(P60^2)+(P61^2)+(P62^2)+(P63^2))</f>
        <v>0.28359316767396531</v>
      </c>
      <c r="Q72" s="118">
        <f t="shared" si="12"/>
        <v>0.28346101098978987</v>
      </c>
      <c r="R72" s="118">
        <f t="shared" si="12"/>
        <v>0.28381346823460263</v>
      </c>
      <c r="S72" s="118">
        <f t="shared" si="12"/>
        <v>0.28346090515510913</v>
      </c>
      <c r="T72" s="118">
        <f t="shared" si="12"/>
        <v>0.28779347586655574</v>
      </c>
      <c r="U72" s="118">
        <f t="shared" si="12"/>
        <v>0.28779347586655574</v>
      </c>
      <c r="V72" s="118" t="e">
        <f t="shared" si="12"/>
        <v>#DIV/0!</v>
      </c>
      <c r="W72" s="118" t="e">
        <f t="shared" si="12"/>
        <v>#DIV/0!</v>
      </c>
      <c r="X72" s="118" t="e">
        <f t="shared" si="12"/>
        <v>#DIV/0!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250952.17026311668</v>
      </c>
      <c r="P73" s="120">
        <f t="shared" ref="P73:X73" si="13">(P72^4)/((P57^4/P65)+(P58^4/P66)+(P59^4/P67)+(P60^4/P68)+(P61^4/P69)+(P62^4/P70)+(P63^4/P71))</f>
        <v>256901.62491750217</v>
      </c>
      <c r="Q73" s="120">
        <f t="shared" si="13"/>
        <v>258024.3472733169</v>
      </c>
      <c r="R73" s="120">
        <f t="shared" si="13"/>
        <v>250952.17026311668</v>
      </c>
      <c r="S73" s="120">
        <f t="shared" si="13"/>
        <v>258023.97120443944</v>
      </c>
      <c r="T73" s="120">
        <f t="shared" si="13"/>
        <v>53105.096360120318</v>
      </c>
      <c r="U73" s="120">
        <f t="shared" si="13"/>
        <v>53105.096360120318</v>
      </c>
      <c r="V73" s="120" t="e">
        <f t="shared" si="13"/>
        <v>#DIV/0!</v>
      </c>
      <c r="W73" s="120" t="e">
        <f t="shared" si="13"/>
        <v>#DIV/0!</v>
      </c>
      <c r="X73" s="120" t="e">
        <f t="shared" si="13"/>
        <v>#DIV/0!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1.959973437667313</v>
      </c>
      <c r="P74" s="123">
        <f t="shared" ref="P74:X74" si="14">_xlfn.T.INV.2T(0.05,P73)</f>
        <v>1.9599732187674308</v>
      </c>
      <c r="Q74" s="123">
        <f t="shared" si="14"/>
        <v>1.9599731785717751</v>
      </c>
      <c r="R74" s="123">
        <f t="shared" si="14"/>
        <v>1.959973437667313</v>
      </c>
      <c r="S74" s="123">
        <f t="shared" si="14"/>
        <v>1.9599731786121093</v>
      </c>
      <c r="T74" s="123">
        <f t="shared" si="14"/>
        <v>1.9600086568761783</v>
      </c>
      <c r="U74" s="123">
        <f t="shared" si="14"/>
        <v>1.9600086568761783</v>
      </c>
      <c r="V74" s="123" t="e">
        <f t="shared" si="14"/>
        <v>#DIV/0!</v>
      </c>
      <c r="W74" s="123" t="e">
        <f t="shared" si="14"/>
        <v>#DIV/0!</v>
      </c>
      <c r="X74" s="123" t="e">
        <f t="shared" si="14"/>
        <v>#DIV/0!</v>
      </c>
      <c r="Z74" s="124"/>
      <c r="AB74" s="1"/>
    </row>
    <row r="75" spans="1:28">
      <c r="A75" s="105">
        <v>5</v>
      </c>
      <c r="B75" s="196">
        <v>200</v>
      </c>
      <c r="C75" s="327">
        <v>199.45</v>
      </c>
      <c r="D75" s="327"/>
      <c r="E75" s="90">
        <v>199.464</v>
      </c>
      <c r="F75" s="37">
        <f>IF('PERHITUNGAN 8'!$E$11="Burn Engr",'PERHITUNGAN 8'!E75,E75+('regresi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199.464</v>
      </c>
      <c r="G75" s="90">
        <f>F75-C75</f>
        <v>1.4000000000010004E-2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199.45</v>
      </c>
      <c r="D76" s="327"/>
      <c r="E76" s="90">
        <v>199.464</v>
      </c>
      <c r="F76" s="37">
        <f>IF('PERHITUNGAN 8'!$E$11="Burn Engr",'PERHITUNGAN 8'!E76,E76+('regresi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199.464</v>
      </c>
      <c r="G76" s="90">
        <f>F76-C76</f>
        <v>1.4000000000010004E-2</v>
      </c>
      <c r="H76" s="63"/>
      <c r="I76" s="63"/>
      <c r="N76" s="111" t="s">
        <v>166</v>
      </c>
      <c r="O76" s="121">
        <f t="shared" ref="O76:X76" si="15">O72*O74</f>
        <v>0.55626685899205686</v>
      </c>
      <c r="P76" s="121">
        <f t="shared" si="15"/>
        <v>0.55583501366639354</v>
      </c>
      <c r="Q76" s="121">
        <f t="shared" si="15"/>
        <v>0.55557597871082731</v>
      </c>
      <c r="R76" s="121">
        <f t="shared" si="15"/>
        <v>0.55626685899205686</v>
      </c>
      <c r="S76" s="121">
        <f t="shared" si="15"/>
        <v>0.55557577128912483</v>
      </c>
      <c r="T76" s="121">
        <f t="shared" si="15"/>
        <v>0.56407770409093472</v>
      </c>
      <c r="U76" s="121">
        <f t="shared" si="15"/>
        <v>0.56407770409093472</v>
      </c>
      <c r="V76" s="121" t="e">
        <f t="shared" si="15"/>
        <v>#DIV/0!</v>
      </c>
      <c r="W76" s="121" t="e">
        <f t="shared" si="15"/>
        <v>#DIV/0!</v>
      </c>
      <c r="X76" s="121" t="e">
        <f t="shared" si="15"/>
        <v>#DIV/0!</v>
      </c>
      <c r="AB76" s="1"/>
    </row>
    <row r="77" spans="1:28">
      <c r="A77" s="10"/>
      <c r="C77" s="327">
        <v>199.45</v>
      </c>
      <c r="D77" s="327"/>
      <c r="E77" s="90">
        <v>199.464</v>
      </c>
      <c r="F77" s="37">
        <f>IF('PERHITUNGAN 8'!$E$11="Burn Engr",'PERHITUNGAN 8'!E77,E77+('regresi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199.464</v>
      </c>
      <c r="G77" s="90">
        <f>F77-C77</f>
        <v>1.4000000000010004E-2</v>
      </c>
      <c r="H77" s="63"/>
      <c r="I77" s="63"/>
      <c r="AB77" s="1"/>
    </row>
    <row r="78" spans="1:28">
      <c r="A78" s="10"/>
      <c r="C78" s="327">
        <v>199.45</v>
      </c>
      <c r="D78" s="327"/>
      <c r="E78" s="90">
        <v>199.464</v>
      </c>
      <c r="F78" s="37">
        <f>IF('PERHITUNGAN 8'!$E$11="Burn Engr",'PERHITUNGAN 8'!E78,E78+('regresi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199.464</v>
      </c>
      <c r="G78" s="90">
        <f>F78-C78</f>
        <v>1.4000000000010004E-2</v>
      </c>
      <c r="H78" s="26"/>
      <c r="I78" s="26"/>
      <c r="AB78" s="1"/>
    </row>
    <row r="79" spans="1:28">
      <c r="A79" s="10"/>
      <c r="C79" s="327">
        <v>199.45</v>
      </c>
      <c r="D79" s="327"/>
      <c r="E79" s="90">
        <v>199.464</v>
      </c>
      <c r="F79" s="37">
        <f>IF('PERHITUNGAN 8'!$E$11="Burn Engr",'PERHITUNGAN 8'!E79,E79+('regresi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199.464</v>
      </c>
      <c r="G79" s="90">
        <f>F79-C79</f>
        <v>1.4000000000010004E-2</v>
      </c>
      <c r="AB79" s="1"/>
    </row>
    <row r="80" spans="1:28">
      <c r="A80" s="10"/>
      <c r="B80" s="8" t="s">
        <v>31</v>
      </c>
      <c r="C80" s="333">
        <f>AVERAGE(C75:D79)</f>
        <v>199.45</v>
      </c>
      <c r="D80" s="334"/>
      <c r="E80" s="95">
        <f>AVERAGE(E75:E79)</f>
        <v>199.464</v>
      </c>
      <c r="F80" s="95">
        <f t="shared" ref="F80" si="16">AVERAGE(F75:F79)</f>
        <v>199.464</v>
      </c>
      <c r="G80" s="95">
        <f>SUM(G75:G79)/5</f>
        <v>1.4000000000010004E-2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250</v>
      </c>
      <c r="C83" s="327">
        <v>249.37</v>
      </c>
      <c r="D83" s="327"/>
      <c r="E83" s="90">
        <v>249.477</v>
      </c>
      <c r="F83" s="37">
        <f>IF('PERHITUNGAN 8'!$E$11="Burn Engr",'PERHITUNGAN 8'!E83,E83+('regresi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249.477</v>
      </c>
      <c r="G83" s="40">
        <f>F83-C83</f>
        <v>0.10699999999999932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249.37</v>
      </c>
      <c r="D84" s="327"/>
      <c r="E84" s="90">
        <v>249.477</v>
      </c>
      <c r="F84" s="37">
        <f>IF('PERHITUNGAN 8'!$E$11="Burn Engr",'PERHITUNGAN 8'!E84,E84+('regresi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249.477</v>
      </c>
      <c r="G84" s="40">
        <f>F84-C84</f>
        <v>0.10699999999999932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249.37</v>
      </c>
      <c r="D85" s="327"/>
      <c r="E85" s="90">
        <v>249.477</v>
      </c>
      <c r="F85" s="37">
        <f>IF('PERHITUNGAN 8'!$E$11="Burn Engr",'PERHITUNGAN 8'!E85,E85+('regresi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249.477</v>
      </c>
      <c r="G85" s="40">
        <f>F85-C85</f>
        <v>0.10699999999999932</v>
      </c>
      <c r="H85" s="26"/>
      <c r="I85" s="26"/>
      <c r="N85" s="93">
        <f>O56</f>
        <v>0.98000000000000009</v>
      </c>
      <c r="O85" s="403">
        <f>G48</f>
        <v>-0.78200000000000003</v>
      </c>
      <c r="P85" s="404"/>
      <c r="Q85" s="387">
        <f t="shared" ref="Q85:Q94" si="17">N85+O85</f>
        <v>0.19800000000000006</v>
      </c>
      <c r="R85" s="405"/>
      <c r="S85" s="138" t="s">
        <v>35</v>
      </c>
      <c r="T85" s="94">
        <f>IF(N85&lt;$AA$97,MAX($O$97,O76),IF(N85&lt;$AA$98,MAX($O$98,O76),MAX($O$99,O76)))</f>
        <v>0.55626685899205686</v>
      </c>
      <c r="AB85" s="1"/>
    </row>
    <row r="86" spans="1:28">
      <c r="A86" s="10"/>
      <c r="C86" s="327">
        <v>249.37</v>
      </c>
      <c r="D86" s="327"/>
      <c r="E86" s="90">
        <v>249.477</v>
      </c>
      <c r="F86" s="37">
        <f>IF('PERHITUNGAN 8'!$E$11="Burn Engr",'PERHITUNGAN 8'!E86,E86+('regresi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249.477</v>
      </c>
      <c r="G86" s="40">
        <f>F86-C86</f>
        <v>0.10699999999999932</v>
      </c>
      <c r="H86" s="63"/>
      <c r="I86" s="63"/>
      <c r="N86" s="93">
        <f>P56</f>
        <v>50.52</v>
      </c>
      <c r="O86" s="403">
        <f>G56</f>
        <v>-0.17400000000000659</v>
      </c>
      <c r="P86" s="404"/>
      <c r="Q86" s="406">
        <f t="shared" si="17"/>
        <v>50.345999999999997</v>
      </c>
      <c r="R86" s="407"/>
      <c r="S86" s="138" t="s">
        <v>35</v>
      </c>
      <c r="T86" s="94">
        <f>IF(N86&lt;$AA$97,MAX($O$97,P76),IF(N86&lt;$AA$98,MAX($O$98,P76),MAX($O$99,P76)))</f>
        <v>0.55583501366639354</v>
      </c>
      <c r="AB86" s="1"/>
    </row>
    <row r="87" spans="1:28">
      <c r="A87" s="10"/>
      <c r="C87" s="327">
        <v>249.37</v>
      </c>
      <c r="D87" s="327"/>
      <c r="E87" s="90">
        <v>249.477</v>
      </c>
      <c r="F87" s="37">
        <f>IF('PERHITUNGAN 8'!$E$11="Burn Engr",'PERHITUNGAN 8'!E87,E87+('regresi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249.477</v>
      </c>
      <c r="G87" s="41">
        <f>F87-C87</f>
        <v>0.10699999999999932</v>
      </c>
      <c r="H87" s="63"/>
      <c r="I87" s="63"/>
      <c r="N87" s="93">
        <f>Q56</f>
        <v>100.33</v>
      </c>
      <c r="O87" s="403">
        <f>G64</f>
        <v>-0.44539999999999508</v>
      </c>
      <c r="P87" s="404"/>
      <c r="Q87" s="406">
        <f t="shared" si="17"/>
        <v>99.884600000000006</v>
      </c>
      <c r="R87" s="407"/>
      <c r="S87" s="138" t="s">
        <v>35</v>
      </c>
      <c r="T87" s="94">
        <f>IF(N87&lt;$AA$97,MAX($O$97,Q76),IF(N87&lt;$AA$98,MAX($O$98,Q76),MAX($O$99,Q76)))</f>
        <v>0.55557597871082731</v>
      </c>
      <c r="AB87" s="1"/>
    </row>
    <row r="88" spans="1:28">
      <c r="A88" s="10"/>
      <c r="B88" s="8" t="s">
        <v>31</v>
      </c>
      <c r="C88" s="333">
        <f>AVERAGE(C83:D87)</f>
        <v>249.36999999999998</v>
      </c>
      <c r="D88" s="334"/>
      <c r="E88" s="95">
        <f>AVERAGE(E83:E87)</f>
        <v>249.477</v>
      </c>
      <c r="F88" s="95">
        <f t="shared" ref="F88" si="18">AVERAGE(F83:F87)</f>
        <v>249.477</v>
      </c>
      <c r="G88" s="95">
        <f>SUM(G83:G87)/5</f>
        <v>0.10699999999999932</v>
      </c>
      <c r="H88" s="63"/>
      <c r="I88" s="63"/>
      <c r="N88" s="93">
        <f>R56</f>
        <v>149.88</v>
      </c>
      <c r="O88" s="403">
        <f>G72</f>
        <v>-0.16100000000000136</v>
      </c>
      <c r="P88" s="404"/>
      <c r="Q88" s="406">
        <f t="shared" si="17"/>
        <v>149.71899999999999</v>
      </c>
      <c r="R88" s="407"/>
      <c r="S88" s="138" t="s">
        <v>35</v>
      </c>
      <c r="T88" s="94">
        <f>IF(N88&lt;$AA$97,MAX($O$97,R76),IF(N88&lt;$AA$98,MAX($O$98,R76),MAX($O$99,R76)))</f>
        <v>0.55626685899205686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199.45</v>
      </c>
      <c r="O89" s="403">
        <f>G80</f>
        <v>1.4000000000010004E-2</v>
      </c>
      <c r="P89" s="404"/>
      <c r="Q89" s="406">
        <f t="shared" si="17"/>
        <v>199.464</v>
      </c>
      <c r="R89" s="407"/>
      <c r="S89" s="138" t="s">
        <v>35</v>
      </c>
      <c r="T89" s="94">
        <f>IF(N89&lt;$AA$97,MAX($O$97,S76),IF(N89&lt;$AA$98,MAX($O$98,S76),MAX($O$99,S76)))</f>
        <v>0.55557577128912483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249.36999999999998</v>
      </c>
      <c r="O90" s="403">
        <f>G88</f>
        <v>0.10699999999999932</v>
      </c>
      <c r="P90" s="404"/>
      <c r="Q90" s="406">
        <f t="shared" si="17"/>
        <v>249.47699999999998</v>
      </c>
      <c r="R90" s="407"/>
      <c r="S90" s="138" t="s">
        <v>35</v>
      </c>
      <c r="T90" s="94">
        <f>IF(N90&lt;$AA$97,MAX($O$97,T76),IF(N90&lt;$AA$98,MAX($O$98,T76),MAX($O$99,T76)))</f>
        <v>0.56407770409093472</v>
      </c>
      <c r="AB90" s="1"/>
    </row>
    <row r="91" spans="1:28">
      <c r="A91" s="105">
        <v>7</v>
      </c>
      <c r="B91" s="196">
        <v>260</v>
      </c>
      <c r="C91" s="327">
        <v>259.48</v>
      </c>
      <c r="D91" s="327"/>
      <c r="E91" s="90">
        <v>259.55599999999998</v>
      </c>
      <c r="F91" s="37">
        <f>IF('PERHITUNGAN 8'!$E$11="Burn Engr",'PERHITUNGAN 8'!E91,E91+('regresi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259.55599999999998</v>
      </c>
      <c r="G91" s="40">
        <f>F91-C91</f>
        <v>7.5999999999964984E-2</v>
      </c>
      <c r="H91" s="63"/>
      <c r="N91" s="93">
        <f>U56</f>
        <v>259.48</v>
      </c>
      <c r="O91" s="403">
        <f>G96</f>
        <v>7.5999999999964984E-2</v>
      </c>
      <c r="P91" s="404"/>
      <c r="Q91" s="406">
        <f t="shared" si="17"/>
        <v>259.55599999999998</v>
      </c>
      <c r="R91" s="407"/>
      <c r="S91" s="138" t="s">
        <v>35</v>
      </c>
      <c r="T91" s="94">
        <f>IF(N91&lt;$AA$97,MAX($O$97,U76),IF(N91&lt;$AA$98,MAX($O$98,U76),MAX($O$99,U76)))</f>
        <v>1.8</v>
      </c>
      <c r="AB91" s="1"/>
    </row>
    <row r="92" spans="1:28">
      <c r="A92" s="10"/>
      <c r="C92" s="327">
        <v>259.48</v>
      </c>
      <c r="D92" s="327"/>
      <c r="E92" s="90">
        <v>259.55599999999998</v>
      </c>
      <c r="F92" s="37">
        <f>IF('PERHITUNGAN 8'!$E$11="Burn Engr",'PERHITUNGAN 8'!E92,E92+('regresi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259.55599999999998</v>
      </c>
      <c r="G92" s="40">
        <f>F92-C92</f>
        <v>7.5999999999964984E-2</v>
      </c>
      <c r="H92" s="44"/>
      <c r="N92" s="93" t="e">
        <f>V56</f>
        <v>#DIV/0!</v>
      </c>
      <c r="O92" s="403">
        <f>G104</f>
        <v>0</v>
      </c>
      <c r="P92" s="404"/>
      <c r="Q92" s="406" t="e">
        <f t="shared" si="17"/>
        <v>#DIV/0!</v>
      </c>
      <c r="R92" s="407"/>
      <c r="S92" s="138" t="s">
        <v>35</v>
      </c>
      <c r="T92" s="94" t="e">
        <f>IF(N92&lt;$AA$97,MAX($O$97,V76),IF(N92&lt;$AA$98,MAX($O$98,V76),MAX($O$99,V76)))</f>
        <v>#DIV/0!</v>
      </c>
      <c r="AB92" s="1"/>
    </row>
    <row r="93" spans="1:28">
      <c r="A93" s="10"/>
      <c r="C93" s="327">
        <v>259.48</v>
      </c>
      <c r="D93" s="327"/>
      <c r="E93" s="90">
        <v>259.55599999999998</v>
      </c>
      <c r="F93" s="37">
        <f>IF('PERHITUNGAN 8'!$E$11="Burn Engr",'PERHITUNGAN 8'!E93,E93+('regresi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259.55599999999998</v>
      </c>
      <c r="G93" s="40">
        <f>F93-C93</f>
        <v>7.5999999999964984E-2</v>
      </c>
      <c r="H93" s="44"/>
      <c r="N93" s="93" t="e">
        <f>W56</f>
        <v>#DIV/0!</v>
      </c>
      <c r="O93" s="403">
        <f>G112</f>
        <v>0</v>
      </c>
      <c r="P93" s="404"/>
      <c r="Q93" s="406" t="e">
        <f t="shared" si="17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259.48</v>
      </c>
      <c r="D94" s="327"/>
      <c r="E94" s="90">
        <v>259.55599999999998</v>
      </c>
      <c r="F94" s="37">
        <f>IF('PERHITUNGAN 8'!$E$11="Burn Engr",'PERHITUNGAN 8'!E94,E94+('regresi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259.55599999999998</v>
      </c>
      <c r="G94" s="40">
        <f>F94-C94</f>
        <v>7.5999999999964984E-2</v>
      </c>
      <c r="H94" s="63"/>
      <c r="N94" s="93" t="e">
        <f>X56</f>
        <v>#DIV/0!</v>
      </c>
      <c r="O94" s="403">
        <f>G120</f>
        <v>0</v>
      </c>
      <c r="P94" s="404"/>
      <c r="Q94" s="406" t="e">
        <f t="shared" si="17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259.48</v>
      </c>
      <c r="D95" s="327"/>
      <c r="E95" s="90">
        <v>259.55599999999998</v>
      </c>
      <c r="F95" s="37">
        <f>IF('PERHITUNGAN 8'!$E$11="Burn Engr",'PERHITUNGAN 8'!E95,E95+('regresi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259.55599999999998</v>
      </c>
      <c r="G95" s="41">
        <f>F95-C95</f>
        <v>7.5999999999964984E-2</v>
      </c>
      <c r="H95" s="63"/>
      <c r="U95" s="47"/>
      <c r="AB95" s="1"/>
    </row>
    <row r="96" spans="1:28">
      <c r="A96" s="10"/>
      <c r="B96" s="8" t="s">
        <v>31</v>
      </c>
      <c r="C96" s="333">
        <f>AVERAGE(C91:D95)</f>
        <v>259.48</v>
      </c>
      <c r="D96" s="334"/>
      <c r="E96" s="95">
        <f>AVERAGE(E91:E95)</f>
        <v>259.55599999999998</v>
      </c>
      <c r="F96" s="95">
        <f t="shared" ref="F96" si="19">AVERAGE(F91:F95)</f>
        <v>259.55599999999998</v>
      </c>
      <c r="G96" s="95">
        <f>SUM(G91:G95)/5</f>
        <v>7.5999999999964984E-2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0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0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/>
      <c r="C99" s="327"/>
      <c r="D99" s="327"/>
      <c r="E99" s="90"/>
      <c r="F99" s="37"/>
      <c r="G99" s="40"/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/>
      <c r="D100" s="327"/>
      <c r="E100" s="90"/>
      <c r="F100" s="37"/>
      <c r="G100" s="40"/>
      <c r="H100" s="44"/>
      <c r="I100" s="44"/>
      <c r="M100" s="1"/>
    </row>
    <row r="101" spans="1:27">
      <c r="A101" s="10"/>
      <c r="C101" s="327"/>
      <c r="D101" s="327"/>
      <c r="E101" s="90"/>
      <c r="F101" s="37"/>
      <c r="G101" s="40"/>
      <c r="H101" s="44"/>
      <c r="I101" s="44"/>
    </row>
    <row r="102" spans="1:27">
      <c r="A102" s="10"/>
      <c r="C102" s="327"/>
      <c r="D102" s="327"/>
      <c r="E102" s="90"/>
      <c r="F102" s="37"/>
      <c r="G102" s="40"/>
      <c r="H102" s="63"/>
      <c r="I102" s="63"/>
    </row>
    <row r="103" spans="1:27">
      <c r="A103" s="10"/>
      <c r="C103" s="327"/>
      <c r="D103" s="327"/>
      <c r="E103" s="90"/>
      <c r="F103" s="37"/>
      <c r="G103" s="41"/>
      <c r="H103" s="63"/>
      <c r="I103" s="63"/>
      <c r="N103" s="74"/>
      <c r="O103" s="129"/>
    </row>
    <row r="104" spans="1:27">
      <c r="A104" s="10"/>
      <c r="B104" s="8" t="s">
        <v>31</v>
      </c>
      <c r="C104" s="333" t="e">
        <f>AVERAGE(C99:D103)</f>
        <v>#DIV/0!</v>
      </c>
      <c r="D104" s="334"/>
      <c r="E104" s="95" t="e">
        <f>AVERAGE(E99:E103)</f>
        <v>#DIV/0!</v>
      </c>
      <c r="F104" s="95">
        <f>SUM(F99:F103)/5</f>
        <v>0</v>
      </c>
      <c r="G104" s="95">
        <f>SUM(G99:G103)/5</f>
        <v>0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 t="e">
        <f>_xlfn.STDEV.S(G99:G103)</f>
        <v>#DIV/0!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 t="e">
        <f>G105/SQRT(5)</f>
        <v>#DIV/0!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/>
      <c r="G107" s="40"/>
      <c r="H107" s="63"/>
      <c r="I107" s="63"/>
      <c r="M107" s="1"/>
    </row>
    <row r="108" spans="1:27">
      <c r="A108" s="10"/>
      <c r="C108" s="327"/>
      <c r="D108" s="327"/>
      <c r="E108" s="90"/>
      <c r="F108" s="37"/>
      <c r="G108" s="40"/>
      <c r="H108" s="44"/>
      <c r="I108" s="44"/>
      <c r="M108" s="1"/>
    </row>
    <row r="109" spans="1:27">
      <c r="A109" s="10"/>
      <c r="C109" s="327"/>
      <c r="D109" s="327"/>
      <c r="E109" s="90"/>
      <c r="F109" s="37"/>
      <c r="G109" s="40"/>
      <c r="H109" s="44"/>
      <c r="I109" s="44"/>
    </row>
    <row r="110" spans="1:27">
      <c r="A110" s="10"/>
      <c r="C110" s="327"/>
      <c r="D110" s="327"/>
      <c r="E110" s="90"/>
      <c r="F110" s="37"/>
      <c r="G110" s="40"/>
      <c r="H110" s="63"/>
      <c r="I110" s="63"/>
    </row>
    <row r="111" spans="1:27">
      <c r="A111" s="10"/>
      <c r="C111" s="327"/>
      <c r="D111" s="327"/>
      <c r="E111" s="90"/>
      <c r="F111" s="37"/>
      <c r="G111" s="41"/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 t="e">
        <f>_xlfn.STDEV.S(G107:G111)</f>
        <v>#DIV/0!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 t="e">
        <f>G113/SQRT(5)</f>
        <v>#DIV/0!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/>
      <c r="G115" s="40"/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/>
      <c r="G116" s="40"/>
      <c r="H116" s="44"/>
      <c r="I116" s="44"/>
      <c r="U116" s="49"/>
    </row>
    <row r="117" spans="1:21">
      <c r="A117" s="10"/>
      <c r="C117" s="224"/>
      <c r="D117" s="225"/>
      <c r="E117" s="90"/>
      <c r="F117" s="37"/>
      <c r="G117" s="40"/>
      <c r="H117" s="44"/>
      <c r="I117" s="44"/>
      <c r="U117" s="49"/>
    </row>
    <row r="118" spans="1:21">
      <c r="A118" s="10"/>
      <c r="C118" s="224"/>
      <c r="D118" s="225"/>
      <c r="E118" s="90"/>
      <c r="F118" s="37"/>
      <c r="G118" s="40"/>
      <c r="H118" s="63"/>
      <c r="I118" s="63"/>
    </row>
    <row r="119" spans="1:21">
      <c r="A119" s="10"/>
      <c r="C119" s="233"/>
      <c r="D119" s="234"/>
      <c r="E119" s="90"/>
      <c r="F119" s="37"/>
      <c r="G119" s="41"/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 t="e">
        <f>_xlfn.STDEV.S(G115:G119)</f>
        <v>#DIV/0!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 t="e">
        <f>G121/SQRT(5)</f>
        <v>#DIV/0!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26"/>
      <c r="D125" s="26"/>
      <c r="H125" s="44"/>
      <c r="I125" s="44"/>
    </row>
    <row r="126" spans="1:21">
      <c r="C126" s="26"/>
      <c r="D126" s="26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0">
    <mergeCell ref="J26:K26"/>
    <mergeCell ref="J31:K31"/>
    <mergeCell ref="C51:D51"/>
    <mergeCell ref="C52:D52"/>
    <mergeCell ref="C53:D53"/>
    <mergeCell ref="C56:D56"/>
    <mergeCell ref="E16:F16"/>
    <mergeCell ref="N16:N20"/>
    <mergeCell ref="E17:F17"/>
    <mergeCell ref="E18:F18"/>
    <mergeCell ref="F21:G21"/>
    <mergeCell ref="C43:D43"/>
    <mergeCell ref="C44:D44"/>
    <mergeCell ref="C48:D48"/>
    <mergeCell ref="AB18:AC18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  <mergeCell ref="AB32:AC32"/>
    <mergeCell ref="C45:D45"/>
    <mergeCell ref="C46:D46"/>
    <mergeCell ref="C47:D47"/>
    <mergeCell ref="T28:T29"/>
    <mergeCell ref="U28:U29"/>
    <mergeCell ref="AB28:AC28"/>
    <mergeCell ref="C41:D41"/>
    <mergeCell ref="C42:D42"/>
    <mergeCell ref="AB30:AC30"/>
    <mergeCell ref="C40:D40"/>
    <mergeCell ref="N28:N29"/>
    <mergeCell ref="O28:O29"/>
    <mergeCell ref="P28:P29"/>
    <mergeCell ref="Q28:Q29"/>
    <mergeCell ref="S28:S29"/>
    <mergeCell ref="S36:S37"/>
    <mergeCell ref="T36:T37"/>
    <mergeCell ref="U36:U37"/>
    <mergeCell ref="V36:V37"/>
    <mergeCell ref="W36:W37"/>
    <mergeCell ref="X36:X37"/>
    <mergeCell ref="N36:N37"/>
    <mergeCell ref="O36:O37"/>
    <mergeCell ref="P36:P37"/>
    <mergeCell ref="Q36:Q37"/>
    <mergeCell ref="R36:R37"/>
    <mergeCell ref="C49:D49"/>
    <mergeCell ref="N45:S45"/>
    <mergeCell ref="T45:Y45"/>
    <mergeCell ref="C50:D50"/>
    <mergeCell ref="O55:X55"/>
    <mergeCell ref="C59:D59"/>
    <mergeCell ref="C60:D60"/>
    <mergeCell ref="C61:D61"/>
    <mergeCell ref="C62:D62"/>
    <mergeCell ref="C63:D63"/>
    <mergeCell ref="C54:D54"/>
    <mergeCell ref="C55:D55"/>
    <mergeCell ref="N55:N56"/>
    <mergeCell ref="C70:D70"/>
    <mergeCell ref="C71:D71"/>
    <mergeCell ref="C72:D72"/>
    <mergeCell ref="C75:D75"/>
    <mergeCell ref="C64:D64"/>
    <mergeCell ref="C67:D67"/>
    <mergeCell ref="C68:D68"/>
    <mergeCell ref="C69:D69"/>
    <mergeCell ref="C83:D83"/>
    <mergeCell ref="N83:N84"/>
    <mergeCell ref="O83:P84"/>
    <mergeCell ref="Q83:R84"/>
    <mergeCell ref="S83:T83"/>
    <mergeCell ref="C84:D84"/>
    <mergeCell ref="S84:T84"/>
    <mergeCell ref="C76:D76"/>
    <mergeCell ref="C77:D77"/>
    <mergeCell ref="C78:D78"/>
    <mergeCell ref="C79:D79"/>
    <mergeCell ref="C80:D80"/>
    <mergeCell ref="C87:D87"/>
    <mergeCell ref="O87:P87"/>
    <mergeCell ref="Q87:R87"/>
    <mergeCell ref="C88:D88"/>
    <mergeCell ref="O88:P88"/>
    <mergeCell ref="Q88:R88"/>
    <mergeCell ref="C85:D85"/>
    <mergeCell ref="O85:P85"/>
    <mergeCell ref="Q85:R85"/>
    <mergeCell ref="C86:D86"/>
    <mergeCell ref="O86:P86"/>
    <mergeCell ref="Q86:R86"/>
    <mergeCell ref="C91:D91"/>
    <mergeCell ref="O91:P91"/>
    <mergeCell ref="Q91:R91"/>
    <mergeCell ref="C92:D92"/>
    <mergeCell ref="O92:P92"/>
    <mergeCell ref="Q92:R92"/>
    <mergeCell ref="O89:P89"/>
    <mergeCell ref="Q89:R89"/>
    <mergeCell ref="O90:P90"/>
    <mergeCell ref="Q90:R90"/>
    <mergeCell ref="C95:D95"/>
    <mergeCell ref="C96:D96"/>
    <mergeCell ref="N96:O96"/>
    <mergeCell ref="Z96:AA96"/>
    <mergeCell ref="C93:D93"/>
    <mergeCell ref="O93:P93"/>
    <mergeCell ref="Q93:R93"/>
    <mergeCell ref="C94:D94"/>
    <mergeCell ref="O94:P94"/>
    <mergeCell ref="Q94:R94"/>
    <mergeCell ref="C107:D107"/>
    <mergeCell ref="C108:D108"/>
    <mergeCell ref="C109:D109"/>
    <mergeCell ref="C110:D110"/>
    <mergeCell ref="C99:D99"/>
    <mergeCell ref="C100:D100"/>
    <mergeCell ref="C101:D101"/>
    <mergeCell ref="C102:D102"/>
    <mergeCell ref="C103:D103"/>
    <mergeCell ref="C104:D104"/>
    <mergeCell ref="C111:D111"/>
    <mergeCell ref="C112:D112"/>
    <mergeCell ref="C143:D143"/>
    <mergeCell ref="C146:D146"/>
    <mergeCell ref="C147:D147"/>
    <mergeCell ref="C148:D148"/>
    <mergeCell ref="C149:D149"/>
    <mergeCell ref="C150:D150"/>
    <mergeCell ref="C127:D127"/>
    <mergeCell ref="C138:D138"/>
    <mergeCell ref="C139:D139"/>
    <mergeCell ref="C140:D140"/>
    <mergeCell ref="C141:D141"/>
    <mergeCell ref="C142:D142"/>
    <mergeCell ref="C161:D161"/>
    <mergeCell ref="C164:D164"/>
    <mergeCell ref="C165:D165"/>
    <mergeCell ref="C166:D166"/>
    <mergeCell ref="C167:D167"/>
    <mergeCell ref="C168:D168"/>
    <mergeCell ref="C151:D151"/>
    <mergeCell ref="C156:D156"/>
    <mergeCell ref="C157:D157"/>
    <mergeCell ref="C158:D158"/>
    <mergeCell ref="C159:D159"/>
    <mergeCell ref="C160:D160"/>
    <mergeCell ref="C185:D185"/>
    <mergeCell ref="C177:D177"/>
    <mergeCell ref="C180:D180"/>
    <mergeCell ref="C181:D181"/>
    <mergeCell ref="C182:D182"/>
    <mergeCell ref="C183:D183"/>
    <mergeCell ref="C184:D184"/>
    <mergeCell ref="C169:D169"/>
    <mergeCell ref="C172:D172"/>
    <mergeCell ref="C173:D173"/>
    <mergeCell ref="C174:D174"/>
    <mergeCell ref="C175:D175"/>
    <mergeCell ref="C176:D176"/>
  </mergeCells>
  <conditionalFormatting sqref="C56">
    <cfRule type="expression" dxfId="333" priority="18" stopIfTrue="1">
      <formula>COUNT(C51:C55)&lt;&gt;5</formula>
    </cfRule>
  </conditionalFormatting>
  <conditionalFormatting sqref="C64">
    <cfRule type="expression" dxfId="332" priority="2" stopIfTrue="1">
      <formula>COUNT(C59:C63)&lt;&gt;5</formula>
    </cfRule>
  </conditionalFormatting>
  <conditionalFormatting sqref="C72">
    <cfRule type="expression" dxfId="331" priority="8" stopIfTrue="1">
      <formula>COUNT(C67:C71)&lt;&gt;5</formula>
    </cfRule>
  </conditionalFormatting>
  <conditionalFormatting sqref="C80">
    <cfRule type="expression" dxfId="330" priority="7" stopIfTrue="1">
      <formula>COUNT(C75:C79)&lt;&gt;5</formula>
    </cfRule>
  </conditionalFormatting>
  <conditionalFormatting sqref="C88">
    <cfRule type="expression" dxfId="329" priority="6" stopIfTrue="1">
      <formula>COUNT(C83:C87)&lt;&gt;5</formula>
    </cfRule>
  </conditionalFormatting>
  <conditionalFormatting sqref="C96">
    <cfRule type="expression" dxfId="328" priority="5" stopIfTrue="1">
      <formula>COUNT(C91:C95)&lt;&gt;5</formula>
    </cfRule>
  </conditionalFormatting>
  <conditionalFormatting sqref="C104">
    <cfRule type="expression" dxfId="327" priority="4" stopIfTrue="1">
      <formula>COUNT(C99:C103)&lt;&gt;5</formula>
    </cfRule>
  </conditionalFormatting>
  <conditionalFormatting sqref="C112">
    <cfRule type="expression" dxfId="326" priority="3" stopIfTrue="1">
      <formula>COUNT(C107:C111)&lt;&gt;5</formula>
    </cfRule>
  </conditionalFormatting>
  <conditionalFormatting sqref="C48:E48">
    <cfRule type="expression" dxfId="325" priority="19" stopIfTrue="1">
      <formula>COUNT(C43:C47)&lt;&gt;5</formula>
    </cfRule>
  </conditionalFormatting>
  <conditionalFormatting sqref="C120:E120">
    <cfRule type="expression" dxfId="324" priority="9" stopIfTrue="1">
      <formula>COUNT(C115:C119)&lt;&gt;5</formula>
    </cfRule>
  </conditionalFormatting>
  <conditionalFormatting sqref="E56">
    <cfRule type="expression" dxfId="323" priority="17" stopIfTrue="1">
      <formula>COUNT(E51:E55)&lt;&gt;5</formula>
    </cfRule>
  </conditionalFormatting>
  <conditionalFormatting sqref="E64">
    <cfRule type="expression" dxfId="322" priority="1" stopIfTrue="1">
      <formula>COUNT(E59:E63)&lt;&gt;5</formula>
    </cfRule>
  </conditionalFormatting>
  <conditionalFormatting sqref="E72">
    <cfRule type="expression" dxfId="321" priority="16" stopIfTrue="1">
      <formula>COUNT(E67:E71)&lt;&gt;5</formula>
    </cfRule>
  </conditionalFormatting>
  <conditionalFormatting sqref="E80">
    <cfRule type="expression" dxfId="320" priority="15" stopIfTrue="1">
      <formula>COUNT(E75:E79)&lt;&gt;5</formula>
    </cfRule>
  </conditionalFormatting>
  <conditionalFormatting sqref="E88">
    <cfRule type="expression" dxfId="319" priority="14" stopIfTrue="1">
      <formula>COUNT(E83:E87)&lt;&gt;5</formula>
    </cfRule>
  </conditionalFormatting>
  <conditionalFormatting sqref="E96">
    <cfRule type="expression" dxfId="318" priority="13" stopIfTrue="1">
      <formula>COUNT(E91:E95)&lt;&gt;5</formula>
    </cfRule>
  </conditionalFormatting>
  <conditionalFormatting sqref="E104">
    <cfRule type="expression" dxfId="317" priority="12" stopIfTrue="1">
      <formula>COUNT(E99:E103)&lt;&gt;5</formula>
    </cfRule>
  </conditionalFormatting>
  <conditionalFormatting sqref="E112">
    <cfRule type="expression" dxfId="316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58369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58369" r:id="rId4"/>
      </mc:Fallback>
    </mc:AlternateContent>
    <mc:AlternateContent xmlns:mc="http://schemas.openxmlformats.org/markup-compatibility/2006">
      <mc:Choice Requires="x14">
        <oleObject progId="Equation.3" shapeId="58370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58370" r:id="rId6"/>
      </mc:Fallback>
    </mc:AlternateContent>
    <mc:AlternateContent xmlns:mc="http://schemas.openxmlformats.org/markup-compatibility/2006">
      <mc:Choice Requires="x14">
        <oleObject progId="Equation.3" shapeId="58371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58371" r:id="rId8"/>
      </mc:Fallback>
    </mc:AlternateContent>
    <mc:AlternateContent xmlns:mc="http://schemas.openxmlformats.org/markup-compatibility/2006">
      <mc:Choice Requires="x14">
        <oleObject progId="Equation.3" shapeId="58372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58372" r:id="rId10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8'!O85</f>
        <v>-0.78200000000000003</v>
      </c>
      <c r="C2" s="37">
        <f>'PERHITUNGAN 8'!N85</f>
        <v>0.98000000000000009</v>
      </c>
      <c r="D2" s="75">
        <f>C2^2</f>
        <v>0.96040000000000014</v>
      </c>
      <c r="E2" s="37">
        <f>C2^3</f>
        <v>0.94119200000000025</v>
      </c>
      <c r="F2" s="91">
        <f>C2^4</f>
        <v>0.92236816000000033</v>
      </c>
      <c r="G2" s="91">
        <f>C2^5</f>
        <v>0.90392079680000037</v>
      </c>
      <c r="H2" s="91">
        <f>C2^6</f>
        <v>0.88584238086400047</v>
      </c>
      <c r="I2" s="91">
        <f>C2^7</f>
        <v>0.86812553324672048</v>
      </c>
      <c r="J2" s="91">
        <f>C2^8</f>
        <v>0.85076302258178615</v>
      </c>
      <c r="K2" s="91">
        <f>C2^9</f>
        <v>0.83374776213015056</v>
      </c>
      <c r="L2" s="91">
        <f>C2^10</f>
        <v>0.81707280688754758</v>
      </c>
      <c r="Q2" s="12"/>
    </row>
    <row r="3" spans="1:24">
      <c r="A3" s="25">
        <v>2</v>
      </c>
      <c r="B3" s="37">
        <f>'PERHITUNGAN 8'!O86</f>
        <v>-0.17400000000000659</v>
      </c>
      <c r="C3" s="37">
        <f>'PERHITUNGAN 8'!N86</f>
        <v>50.52</v>
      </c>
      <c r="D3" s="75">
        <f t="shared" ref="D3:D9" si="0">C3^2</f>
        <v>2552.2704000000003</v>
      </c>
      <c r="E3" s="37">
        <f t="shared" ref="E3:E9" si="1">C3^3</f>
        <v>128940.70060800003</v>
      </c>
      <c r="F3" s="91">
        <f t="shared" ref="F3:F9" si="2">C3^4</f>
        <v>6514084.194716162</v>
      </c>
      <c r="G3" s="91">
        <f t="shared" ref="G3:G9" si="3">C3^5</f>
        <v>329091533.51706052</v>
      </c>
      <c r="H3" s="91">
        <f t="shared" ref="H3:H9" si="4">C3^6</f>
        <v>16625704273.281898</v>
      </c>
      <c r="I3" s="91">
        <f t="shared" ref="I3:I9" si="5">C3^7</f>
        <v>839930579886.20166</v>
      </c>
      <c r="J3" s="91">
        <f t="shared" ref="J3:J9" si="6">C3^8</f>
        <v>42433292895850.906</v>
      </c>
      <c r="K3" s="91">
        <f t="shared" ref="K3:K9" si="7">C3^9</f>
        <v>2143729957098388</v>
      </c>
      <c r="L3" s="91">
        <f t="shared" ref="L3:L9" si="8">C3^10</f>
        <v>1.0830123743261056E+17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8'!O87</f>
        <v>-0.44539999999999508</v>
      </c>
      <c r="C4" s="37">
        <f>'PERHITUNGAN 8'!N87</f>
        <v>100.33</v>
      </c>
      <c r="D4" s="75">
        <f t="shared" si="0"/>
        <v>10066.108899999999</v>
      </c>
      <c r="E4" s="37">
        <f t="shared" si="1"/>
        <v>1009932.7059369999</v>
      </c>
      <c r="F4" s="91">
        <f t="shared" si="2"/>
        <v>101326548.38665919</v>
      </c>
      <c r="G4" s="91">
        <f t="shared" si="3"/>
        <v>10166092599.633516</v>
      </c>
      <c r="H4" s="91">
        <f t="shared" si="4"/>
        <v>1019964070521.2306</v>
      </c>
      <c r="I4" s="91">
        <f t="shared" si="5"/>
        <v>102332995195395.06</v>
      </c>
      <c r="J4" s="91">
        <f t="shared" si="6"/>
        <v>1.0267069407953986E+16</v>
      </c>
      <c r="K4" s="91">
        <f t="shared" si="7"/>
        <v>1.0300950737000234E+18</v>
      </c>
      <c r="L4" s="91">
        <f t="shared" si="8"/>
        <v>1.0334943874432334E+20</v>
      </c>
      <c r="R4" s="414" t="str">
        <f>IF('PERHITUNGAN 1'!$C$2="Celcius","(°C)","(°F)")</f>
        <v>(°C)</v>
      </c>
      <c r="S4" s="415"/>
      <c r="T4" s="5" t="str">
        <f>IF('PERHITUNGAN 1'!$C$2="Celcius","(°C)","(°F)")</f>
        <v>(°C)</v>
      </c>
      <c r="U4" s="14"/>
      <c r="V4" s="1"/>
    </row>
    <row r="5" spans="1:24">
      <c r="A5" s="25">
        <v>4</v>
      </c>
      <c r="B5" s="37">
        <f>'PERHITUNGAN 8'!O88</f>
        <v>-0.16100000000000136</v>
      </c>
      <c r="C5" s="37">
        <f>'PERHITUNGAN 8'!N88</f>
        <v>149.88</v>
      </c>
      <c r="D5" s="75">
        <f t="shared" si="0"/>
        <v>22464.0144</v>
      </c>
      <c r="E5" s="37">
        <f t="shared" si="1"/>
        <v>3366906.4782719999</v>
      </c>
      <c r="F5" s="91">
        <f t="shared" si="2"/>
        <v>504631942.96340734</v>
      </c>
      <c r="G5" s="91">
        <f t="shared" si="3"/>
        <v>75634235611.355484</v>
      </c>
      <c r="H5" s="91">
        <f t="shared" si="4"/>
        <v>11336059233429.961</v>
      </c>
      <c r="I5" s="91">
        <f t="shared" si="5"/>
        <v>1699048557906482.5</v>
      </c>
      <c r="J5" s="91">
        <f t="shared" si="6"/>
        <v>2.5465339785902358E+17</v>
      </c>
      <c r="K5" s="91">
        <f t="shared" si="7"/>
        <v>3.8167451271110451E+19</v>
      </c>
      <c r="L5" s="91">
        <f t="shared" si="8"/>
        <v>5.7205375965140353E+21</v>
      </c>
      <c r="R5" s="412"/>
      <c r="S5" s="413"/>
      <c r="T5" s="21"/>
      <c r="U5" s="32"/>
    </row>
    <row r="6" spans="1:24">
      <c r="A6" s="25">
        <v>5</v>
      </c>
      <c r="B6" s="37">
        <f>'PERHITUNGAN 8'!O89</f>
        <v>1.4000000000010004E-2</v>
      </c>
      <c r="C6" s="37">
        <f>'PERHITUNGAN 8'!N89</f>
        <v>199.45</v>
      </c>
      <c r="D6" s="75">
        <f t="shared" si="0"/>
        <v>39780.302499999998</v>
      </c>
      <c r="E6" s="37">
        <f t="shared" si="1"/>
        <v>7934181.333624999</v>
      </c>
      <c r="F6" s="91">
        <f t="shared" si="2"/>
        <v>1582472466.9915061</v>
      </c>
      <c r="G6" s="91">
        <f t="shared" si="3"/>
        <v>315624133541.45587</v>
      </c>
      <c r="H6" s="91">
        <f t="shared" si="4"/>
        <v>62951233434843.375</v>
      </c>
      <c r="I6" s="91">
        <f t="shared" si="5"/>
        <v>1.255562350857951E+16</v>
      </c>
      <c r="J6" s="91">
        <f t="shared" si="6"/>
        <v>2.5042191087861832E+18</v>
      </c>
      <c r="K6" s="91">
        <f t="shared" si="7"/>
        <v>4.9946650124740421E+20</v>
      </c>
      <c r="L6" s="91">
        <f t="shared" si="8"/>
        <v>9.961859367379477E+22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8'!O90</f>
        <v>0.10699999999999932</v>
      </c>
      <c r="C7" s="37">
        <f>'PERHITUNGAN 8'!N90</f>
        <v>249.36999999999998</v>
      </c>
      <c r="D7" s="75">
        <f t="shared" si="0"/>
        <v>62185.396899999985</v>
      </c>
      <c r="E7" s="37">
        <f t="shared" si="1"/>
        <v>15507172.424952995</v>
      </c>
      <c r="F7" s="91">
        <f t="shared" si="2"/>
        <v>3867023587.610528</v>
      </c>
      <c r="G7" s="91">
        <f t="shared" si="3"/>
        <v>964319672042.43726</v>
      </c>
      <c r="H7" s="91">
        <f t="shared" si="4"/>
        <v>240472396617222.56</v>
      </c>
      <c r="I7" s="91">
        <f t="shared" si="5"/>
        <v>5.9966601544436784E+16</v>
      </c>
      <c r="J7" s="91">
        <f t="shared" si="6"/>
        <v>1.4953871427136199E+19</v>
      </c>
      <c r="K7" s="91">
        <f t="shared" si="7"/>
        <v>3.7290469177849534E+21</v>
      </c>
      <c r="L7" s="91">
        <f t="shared" si="8"/>
        <v>9.2991242988803375E+23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8'!O91</f>
        <v>7.5999999999964984E-2</v>
      </c>
      <c r="C8" s="37">
        <f>'PERHITUNGAN 8'!N91</f>
        <v>259.48</v>
      </c>
      <c r="D8" s="75">
        <f t="shared" si="0"/>
        <v>67329.870400000014</v>
      </c>
      <c r="E8" s="37">
        <f t="shared" si="1"/>
        <v>17470754.771392006</v>
      </c>
      <c r="F8" s="91">
        <f t="shared" si="2"/>
        <v>4533311448.0807981</v>
      </c>
      <c r="G8" s="91">
        <f t="shared" si="3"/>
        <v>1176303654548.0056</v>
      </c>
      <c r="H8" s="91">
        <f t="shared" si="4"/>
        <v>305227272282116.56</v>
      </c>
      <c r="I8" s="91">
        <f t="shared" si="5"/>
        <v>7.9200372611763616E+16</v>
      </c>
      <c r="J8" s="91">
        <f t="shared" si="6"/>
        <v>2.0550912685300425E+19</v>
      </c>
      <c r="K8" s="91">
        <f t="shared" si="7"/>
        <v>5.3325508235817543E+21</v>
      </c>
      <c r="L8" s="91">
        <f t="shared" si="8"/>
        <v>1.3836902877029939E+24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8'!O92</f>
        <v>0</v>
      </c>
      <c r="C9" s="37" t="e">
        <f>'PERHITUNGAN 8'!N92</f>
        <v>#DIV/0!</v>
      </c>
      <c r="D9" s="75" t="e">
        <f t="shared" si="0"/>
        <v>#DIV/0!</v>
      </c>
      <c r="E9" s="37" t="e">
        <f t="shared" si="1"/>
        <v>#DIV/0!</v>
      </c>
      <c r="F9" s="91" t="e">
        <f t="shared" si="2"/>
        <v>#DIV/0!</v>
      </c>
      <c r="G9" s="91" t="e">
        <f t="shared" si="3"/>
        <v>#DIV/0!</v>
      </c>
      <c r="H9" s="91" t="e">
        <f t="shared" si="4"/>
        <v>#DIV/0!</v>
      </c>
      <c r="I9" s="91" t="e">
        <f t="shared" si="5"/>
        <v>#DIV/0!</v>
      </c>
      <c r="J9" s="91" t="e">
        <f t="shared" si="6"/>
        <v>#DIV/0!</v>
      </c>
      <c r="K9" s="91" t="e">
        <f t="shared" si="7"/>
        <v>#DIV/0!</v>
      </c>
      <c r="L9" s="91" t="e">
        <f t="shared" si="8"/>
        <v>#DIV/0!</v>
      </c>
      <c r="R9" s="408"/>
      <c r="S9" s="409"/>
      <c r="T9" s="23"/>
      <c r="U9" s="27"/>
      <c r="V9" s="88"/>
    </row>
    <row r="10" spans="1:24">
      <c r="A10" s="25">
        <v>9</v>
      </c>
      <c r="B10" s="37"/>
      <c r="C10" s="37"/>
      <c r="D10" s="75"/>
      <c r="E10" s="37"/>
      <c r="F10" s="91"/>
      <c r="G10" s="91"/>
      <c r="H10" s="91"/>
      <c r="I10" s="91"/>
      <c r="J10" s="91"/>
      <c r="K10" s="91"/>
      <c r="L10" s="91"/>
      <c r="R10" s="408"/>
      <c r="S10" s="409"/>
      <c r="T10" s="23"/>
      <c r="U10" s="27"/>
      <c r="V10" s="88"/>
    </row>
    <row r="11" spans="1:24">
      <c r="A11" s="25">
        <v>10</v>
      </c>
      <c r="B11" s="37"/>
      <c r="C11" s="37"/>
      <c r="D11" s="75"/>
      <c r="E11" s="37"/>
      <c r="F11" s="91"/>
      <c r="G11" s="91"/>
      <c r="H11" s="91"/>
      <c r="I11" s="91"/>
      <c r="J11" s="91"/>
      <c r="K11" s="91"/>
      <c r="L11" s="91"/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f>'REGRESI 7'!R19:S19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-0.93892622241169799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7'!R20:S20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-0.4943100732290624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7'!R21:S21</f>
        <v>25</v>
      </c>
      <c r="S21" s="409"/>
      <c r="T21" s="23">
        <f t="shared" si="9"/>
        <v>0.20003125733013849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7'!R22:S22</f>
        <v>50</v>
      </c>
      <c r="S22" s="409"/>
      <c r="T22" s="23">
        <f t="shared" si="9"/>
        <v>0.4084524299543556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7'!R23:S23</f>
        <v>100</v>
      </c>
      <c r="S23" s="409"/>
      <c r="T23" s="23">
        <f t="shared" si="9"/>
        <v>-8.2073328295736436E-2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7'!R24:S24</f>
        <v>125</v>
      </c>
      <c r="S24" s="409"/>
      <c r="T24" s="23">
        <f t="shared" si="9"/>
        <v>-0.50582407401683449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7'!R25:S25</f>
        <v>150</v>
      </c>
      <c r="S25" s="409"/>
      <c r="T25" s="23">
        <f t="shared" si="9"/>
        <v>-0.86510260736648981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7'!R26:S26</f>
        <v>200</v>
      </c>
      <c r="S26" s="409"/>
      <c r="T26" s="23">
        <f t="shared" si="9"/>
        <v>-0.83985066664505226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7'!R27:S27</f>
        <v>0</v>
      </c>
      <c r="S27" s="409"/>
      <c r="T27" s="23">
        <f t="shared" si="9"/>
        <v>-0.4943100732290624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7'!R28:S28</f>
        <v>0</v>
      </c>
      <c r="S28" s="409"/>
      <c r="T28" s="23">
        <f t="shared" si="9"/>
        <v>-0.4943100732290624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0.92186955850828278</v>
      </c>
      <c r="Q33" s="31" t="s">
        <v>100</v>
      </c>
      <c r="U33" s="70"/>
    </row>
    <row r="34" spans="2:24">
      <c r="B34" t="s">
        <v>76</v>
      </c>
      <c r="C34">
        <v>0.84984348290425615</v>
      </c>
      <c r="X34" s="46"/>
    </row>
    <row r="35" spans="2:24">
      <c r="B35" t="s">
        <v>77</v>
      </c>
      <c r="C35">
        <v>0.7372260950824483</v>
      </c>
      <c r="Q35" t="s">
        <v>99</v>
      </c>
    </row>
    <row r="36" spans="2:24">
      <c r="B36" t="s">
        <v>78</v>
      </c>
      <c r="C36">
        <v>0.28120336902561072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-0.4943100732290624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0"/>
        <v>3.9326697615422457E-2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-4.9881460040927198E-4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1.7901762559945611</v>
      </c>
      <c r="E41">
        <v>0.59672541866485374</v>
      </c>
      <c r="F41">
        <v>7.5462901363770385</v>
      </c>
      <c r="G41">
        <v>4.0096141661342219E-2</v>
      </c>
      <c r="R41" s="26" t="s">
        <v>112</v>
      </c>
      <c r="S41">
        <f t="shared" si="10"/>
        <v>1.4677129874837995E-6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0.31630133900541524</v>
      </c>
      <c r="E42">
        <v>7.907533475135381E-2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2.1064775949999763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-0.4943100732290624</v>
      </c>
      <c r="D46">
        <v>0.16905275057581165</v>
      </c>
      <c r="E46">
        <v>-2.9239989976228706</v>
      </c>
      <c r="F46">
        <v>4.3071047483707915E-2</v>
      </c>
      <c r="G46">
        <v>-0.96367575508549819</v>
      </c>
      <c r="H46">
        <v>-2.4944391372626662E-2</v>
      </c>
      <c r="I46">
        <v>-0.96367575508549819</v>
      </c>
      <c r="J46">
        <v>-2.4944391372626662E-2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3.9326697615422457E-2</v>
      </c>
      <c r="D47">
        <v>9.6825346425717107E-3</v>
      </c>
      <c r="E47">
        <v>4.0616118678793764</v>
      </c>
      <c r="F47">
        <v>1.5328354668499387E-2</v>
      </c>
      <c r="G47">
        <v>1.2443671701146165E-2</v>
      </c>
      <c r="H47">
        <v>6.6209723529698755E-2</v>
      </c>
      <c r="I47">
        <v>1.2443671701146165E-2</v>
      </c>
      <c r="J47">
        <v>6.6209723529698755E-2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-4.9881460040927198E-4</v>
      </c>
      <c r="D48">
        <v>1.2805501900419827E-4</v>
      </c>
      <c r="E48">
        <v>-3.8953147193154405</v>
      </c>
      <c r="F48">
        <v>1.7611157318250276E-2</v>
      </c>
      <c r="G48">
        <v>-8.5435233111948866E-4</v>
      </c>
      <c r="H48">
        <v>-1.4327686969905525E-4</v>
      </c>
      <c r="I48">
        <v>-8.5435233111948866E-4</v>
      </c>
      <c r="J48">
        <v>-1.4327686969905525E-4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1.4677129874837995E-6</v>
      </c>
      <c r="D49" s="67">
        <v>4.2971889936380133E-7</v>
      </c>
      <c r="E49" s="67">
        <v>3.4155188185968735</v>
      </c>
      <c r="F49" s="67">
        <v>2.6890627159051557E-2</v>
      </c>
      <c r="G49" s="67">
        <v>2.746220527341902E-7</v>
      </c>
      <c r="H49" s="67">
        <v>2.6608039222334089E-6</v>
      </c>
      <c r="I49" s="67">
        <v>2.746220527341902E-7</v>
      </c>
      <c r="J49" s="67">
        <v>2.6608039222334089E-6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BAAF8-7D58-4F3D-AA5D-6FAD0EE56B2C}">
  <dimension ref="A1:AH187"/>
  <sheetViews>
    <sheetView topLeftCell="B1" workbookViewId="0">
      <selection activeCell="F115" sqref="F115:G119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1'!E5</f>
        <v>Termometer Digital</v>
      </c>
      <c r="F5" s="11"/>
      <c r="G5" s="11" t="s">
        <v>127</v>
      </c>
      <c r="H5" s="11" t="s">
        <v>16</v>
      </c>
      <c r="I5" s="66" t="str">
        <f>'PERHITUNGAN 1'!I5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1'!E6</f>
        <v>Hioki / LR 8431-20</v>
      </c>
      <c r="F6" s="11"/>
      <c r="G6" s="11" t="s">
        <v>128</v>
      </c>
      <c r="H6" s="11" t="s">
        <v>16</v>
      </c>
      <c r="I6" s="129">
        <f>'PERHITUNGAN 1'!I6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1'!E7</f>
        <v>210149173</v>
      </c>
      <c r="F7" s="11"/>
      <c r="G7" s="11" t="s">
        <v>44</v>
      </c>
      <c r="H7" s="11" t="s">
        <v>16</v>
      </c>
      <c r="I7" s="31">
        <v>9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1'!D24</f>
        <v>22</v>
      </c>
      <c r="E23" s="244">
        <f>'PERHITUNGAN 1'!E24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1'!D25</f>
        <v>22</v>
      </c>
      <c r="E24" s="244">
        <f>'PERHITUNGAN 1'!E25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1'!D28</f>
        <v>20</v>
      </c>
      <c r="E27" s="244">
        <f>'PERHITUNGAN 1'!E28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1'!D29</f>
        <v>20</v>
      </c>
      <c r="E28" s="244">
        <f>'PERHITUNGAN 1'!E29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1'!D33</f>
        <v>55</v>
      </c>
      <c r="E32" s="244">
        <f>'PERHITUNGAN 1'!E33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1'!D34</f>
        <v>55</v>
      </c>
      <c r="E33" s="244">
        <f>'PERHITUNGAN 1'!E34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0.19800000000000001</v>
      </c>
      <c r="P36" s="380">
        <f>F56</f>
        <v>50.347000000000001</v>
      </c>
      <c r="Q36" s="380">
        <f>F64</f>
        <v>99.885000000000005</v>
      </c>
      <c r="R36" s="380">
        <f>F72</f>
        <v>149.71899999999999</v>
      </c>
      <c r="S36" s="380">
        <f>F80</f>
        <v>199.46600000000001</v>
      </c>
      <c r="T36" s="380">
        <f>F88</f>
        <v>249.47800000000001</v>
      </c>
      <c r="U36" s="380">
        <f>F96</f>
        <v>259.553</v>
      </c>
      <c r="V36" s="380">
        <f>F104</f>
        <v>0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9'!$E$11="Burn Engr",IF(O36&lt;=$AA$38,$AB$38,$AB$39),IF(O36&lt;=$AC$38,$AD$38,IF(O36&lt;=$AC$39,$AD$39,$AD$40)))</f>
        <v>7.0000000000000007E-2</v>
      </c>
      <c r="P38" s="54">
        <f>IF('PERHITUNGAN 9'!$E$11="Burn Engr",IF(P36&lt;=$AA$38,$AB$38,$AB$39),IF(P36&lt;=$AC$38,$AD$38,IF(P36&lt;=$AC$39,$AD$39,$AD$40)))</f>
        <v>7.0000000000000007E-2</v>
      </c>
      <c r="Q38" s="54">
        <f>IF('PERHITUNGAN 9'!$E$11="Burn Engr",IF(Q36&lt;=$AA$38,$AB$38,$AB$39),IF(Q36&lt;=$AC$38,$AD$38,IF(Q36&lt;=$AC$39,$AD$39,$AD$40)))</f>
        <v>7.0000000000000007E-2</v>
      </c>
      <c r="R38" s="54">
        <f>IF('PERHITUNGAN 9'!$E$11="Burn Engr",IF(R36&lt;=$AA$38,$AB$38,$AB$39),IF(R36&lt;=$AC$38,$AD$38,IF(R36&lt;=$AC$39,$AD$39,$AD$40)))</f>
        <v>7.0000000000000007E-2</v>
      </c>
      <c r="S38" s="54">
        <f>IF('PERHITUNGAN 9'!$E$11="Burn Engr",IF(S36&lt;=$AA$38,$AB$38,$AB$39),IF(S36&lt;=$AC$38,$AD$38,IF(S36&lt;=$AC$39,$AD$39,$AD$40)))</f>
        <v>7.0000000000000007E-2</v>
      </c>
      <c r="T38" s="54">
        <f>IF('PERHITUNGAN 9'!$E$11="Burn Engr",IF(T36&lt;=$AA$38,$AB$38,$AB$39),IF(T36&lt;=$AC$38,$AD$38,IF(T36&lt;=$AC$39,$AD$39,$AD$40)))</f>
        <v>7.0000000000000007E-2</v>
      </c>
      <c r="U38" s="54">
        <f>IF('PERHITUNGAN 9'!$E$11="Burn Engr",IF(U36&lt;=$AA$38,$AB$38,$AB$39),IF(U36&lt;=$AC$38,$AD$38,IF(U36&lt;=$AC$39,$AD$39,$AD$40)))</f>
        <v>7.0000000000000007E-2</v>
      </c>
      <c r="V38" s="54">
        <f>IF('PERHITUNGAN 9'!$E$11="Burn Engr",IF(V36&lt;=$AA$38,$AB$38,$AB$39),IF(V36&lt;=$AC$38,$AD$38,IF(V36&lt;=$AC$39,$AD$39,$AD$40)))</f>
        <v>0.02</v>
      </c>
      <c r="W38" s="54">
        <f>IF('PERHITUNGAN 9'!$E$11="Burn Engr",IF(W36&lt;=$AA$38,$AB$38,$AB$39),IF(W36&lt;=$AC$38,$AD$38,IF(W36&lt;=$AC$39,$AD$39,$AD$40)))</f>
        <v>0.02</v>
      </c>
      <c r="X38" s="54">
        <f>IF('PERHITUNGAN 9'!$E$11="Burn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3.5000000000000003E-2</v>
      </c>
      <c r="P40" s="37">
        <f t="shared" ref="P40:X40" si="1">P38/P39</f>
        <v>3.5000000000000003E-2</v>
      </c>
      <c r="Q40" s="37">
        <f t="shared" si="1"/>
        <v>3.5000000000000003E-2</v>
      </c>
      <c r="R40" s="37">
        <f>R38/R39</f>
        <v>3.5000000000000003E-2</v>
      </c>
      <c r="S40" s="37">
        <f t="shared" si="1"/>
        <v>3.5000000000000003E-2</v>
      </c>
      <c r="T40" s="37">
        <f t="shared" si="1"/>
        <v>3.5000000000000003E-2</v>
      </c>
      <c r="U40" s="37">
        <f t="shared" si="1"/>
        <v>3.5000000000000003E-2</v>
      </c>
      <c r="V40" s="37">
        <f t="shared" si="1"/>
        <v>0.01</v>
      </c>
      <c r="W40" s="37">
        <f t="shared" si="1"/>
        <v>0.01</v>
      </c>
      <c r="X40" s="37">
        <f t="shared" si="1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0</v>
      </c>
      <c r="C43" s="373">
        <v>1.88</v>
      </c>
      <c r="D43" s="374"/>
      <c r="E43" s="90">
        <v>0.19800000000000001</v>
      </c>
      <c r="F43" s="37">
        <f>IF('PERHITUNGAN 9'!$E$11="Burn Engr",'PERHITUNGAN 9'!E43,E43+('regresi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0.19800000000000001</v>
      </c>
      <c r="G43" s="90">
        <f>F43-C43</f>
        <v>-1.6819999999999999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1.88</v>
      </c>
      <c r="D44" s="374"/>
      <c r="E44" s="90">
        <v>0.19800000000000001</v>
      </c>
      <c r="F44" s="37">
        <f>IF('PERHITUNGAN 9'!$E$11="Burn Engr",'PERHITUNGAN 9'!E44,E44+('regresi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0.19800000000000001</v>
      </c>
      <c r="G44" s="90">
        <f>F44-C44</f>
        <v>-1.6819999999999999</v>
      </c>
      <c r="H44" s="63"/>
      <c r="I44" s="63"/>
      <c r="AB44" s="1"/>
    </row>
    <row r="45" spans="1:30" ht="13.5" customHeight="1">
      <c r="A45" s="105"/>
      <c r="C45" s="373">
        <v>1.88</v>
      </c>
      <c r="D45" s="374"/>
      <c r="E45" s="90">
        <v>0.19800000000000001</v>
      </c>
      <c r="F45" s="37">
        <f>IF('PERHITUNGAN 9'!$E$11="Burn Engr",'PERHITUNGAN 9'!E45,E45+('regresi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0.19800000000000001</v>
      </c>
      <c r="G45" s="90">
        <f>F45-C45</f>
        <v>-1.6819999999999999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1.88</v>
      </c>
      <c r="D46" s="374"/>
      <c r="E46" s="90">
        <v>0.19800000000000001</v>
      </c>
      <c r="F46" s="37">
        <f>IF('PERHITUNGAN 9'!$E$11="Burn Engr",'PERHITUNGAN 9'!E46,E46+('regresi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0.19800000000000001</v>
      </c>
      <c r="G46" s="90">
        <f>F46-C46</f>
        <v>-1.6819999999999999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1.88</v>
      </c>
      <c r="D47" s="374"/>
      <c r="E47" s="90">
        <v>0.19800000000000001</v>
      </c>
      <c r="F47" s="37">
        <f>IF('PERHITUNGAN 9'!$E$11="Burn Engr",'PERHITUNGAN 9'!E47,E47+('regresi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0.19800000000000001</v>
      </c>
      <c r="G47" s="90">
        <f>F47-C47</f>
        <v>-1.6819999999999999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1.8799999999999997</v>
      </c>
      <c r="D48" s="357"/>
      <c r="E48" s="95">
        <f>AVERAGE(E43:E47)</f>
        <v>0.19800000000000001</v>
      </c>
      <c r="F48" s="95">
        <f>AVERAGE(F43:F47)</f>
        <v>0.19800000000000001</v>
      </c>
      <c r="G48" s="95">
        <f>SUM(G43:G47)/5</f>
        <v>-1.6819999999999999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0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0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>
        <v>50</v>
      </c>
      <c r="C51" s="373">
        <v>50.56</v>
      </c>
      <c r="D51" s="374"/>
      <c r="E51" s="90">
        <v>50.347000000000001</v>
      </c>
      <c r="F51" s="37">
        <f>IF('PERHITUNGAN 9'!$E$11="Burn Engr",'PERHITUNGAN 9'!E51,E51+('regresi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50.347000000000001</v>
      </c>
      <c r="G51" s="90">
        <f>F51-C51</f>
        <v>-0.21300000000000097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>
        <v>50.56</v>
      </c>
      <c r="D52" s="374"/>
      <c r="E52" s="90">
        <v>50.347000000000001</v>
      </c>
      <c r="F52" s="37">
        <f>IF('PERHITUNGAN 9'!$E$11="Burn Engr",'PERHITUNGAN 9'!E52,E52+('regresi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50.347000000000001</v>
      </c>
      <c r="G52" s="90">
        <f>F52-C52</f>
        <v>-0.21300000000000097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>
        <v>50.56</v>
      </c>
      <c r="D53" s="374"/>
      <c r="E53" s="90">
        <v>50.347000000000001</v>
      </c>
      <c r="F53" s="37">
        <f>IF('PERHITUNGAN 9'!$E$11="Burn Engr",'PERHITUNGAN 9'!E53,E53+('regresi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50.347000000000001</v>
      </c>
      <c r="G53" s="90">
        <f>F53-C53</f>
        <v>-0.21300000000000097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50.56</v>
      </c>
      <c r="D54" s="374"/>
      <c r="E54" s="90">
        <v>50.347000000000001</v>
      </c>
      <c r="F54" s="37">
        <f>IF('PERHITUNGAN 9'!$E$11="Burn Engr",'PERHITUNGAN 9'!E54,E54+('regresi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50.347000000000001</v>
      </c>
      <c r="G54" s="90">
        <f>F54-C54</f>
        <v>-0.21300000000000097</v>
      </c>
      <c r="H54" s="63"/>
      <c r="I54" s="63"/>
      <c r="AB54" s="1"/>
    </row>
    <row r="55" spans="1:28" ht="13.5" customHeight="1">
      <c r="A55" s="10"/>
      <c r="C55" s="373">
        <v>50.56</v>
      </c>
      <c r="D55" s="374"/>
      <c r="E55" s="90">
        <v>50.347000000000001</v>
      </c>
      <c r="F55" s="37">
        <f>IF('PERHITUNGAN 9'!$E$11="Burn Engr",'PERHITUNGAN 9'!E55,E55+('regresi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50.347000000000001</v>
      </c>
      <c r="G55" s="90">
        <f>F55-C55</f>
        <v>-0.21300000000000097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50.56</v>
      </c>
      <c r="D56" s="334"/>
      <c r="E56" s="95">
        <f>AVERAGE(E51:E55)</f>
        <v>50.347000000000001</v>
      </c>
      <c r="F56" s="95">
        <f t="shared" ref="F56" si="3">AVERAGE(F51:F55)</f>
        <v>50.347000000000001</v>
      </c>
      <c r="G56" s="95">
        <f>SUM(G51:G55)/5</f>
        <v>-0.21300000000000097</v>
      </c>
      <c r="H56" s="63"/>
      <c r="I56" s="63"/>
      <c r="N56" s="390"/>
      <c r="O56" s="115">
        <f>C48</f>
        <v>1.8799999999999997</v>
      </c>
      <c r="P56" s="115">
        <f>C56</f>
        <v>50.56</v>
      </c>
      <c r="Q56" s="115">
        <f>C64</f>
        <v>100.33</v>
      </c>
      <c r="R56" s="115">
        <f>C72</f>
        <v>149.93</v>
      </c>
      <c r="S56" s="115">
        <f>C80</f>
        <v>199.21</v>
      </c>
      <c r="T56" s="115">
        <f>C88</f>
        <v>249.24</v>
      </c>
      <c r="U56" s="115">
        <f>C96</f>
        <v>259.37</v>
      </c>
      <c r="V56" s="115" t="e">
        <f>C104</f>
        <v>#DIV/0!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0</v>
      </c>
      <c r="H57" s="44"/>
      <c r="I57" s="63"/>
      <c r="N57" s="25" t="s">
        <v>152</v>
      </c>
      <c r="O57" s="112">
        <f>$G$49/5^0.5</f>
        <v>0</v>
      </c>
      <c r="P57" s="112">
        <f>$G$57/5^0.5</f>
        <v>0</v>
      </c>
      <c r="Q57" s="112">
        <f>$G$65/5^0.5</f>
        <v>0</v>
      </c>
      <c r="R57" s="112">
        <f>$G$73/5^0.5</f>
        <v>0</v>
      </c>
      <c r="S57" s="112">
        <f>$G$81/5^0.5</f>
        <v>0</v>
      </c>
      <c r="T57" s="112">
        <f>$G$89/5^0.5</f>
        <v>0</v>
      </c>
      <c r="U57" s="112">
        <f>$G$97/5^0.5</f>
        <v>0</v>
      </c>
      <c r="V57" s="112" t="e">
        <f>$G$105/5^0.5</f>
        <v>#DIV/0!</v>
      </c>
      <c r="W57" s="112" t="e">
        <f>$G$113/5^0.5</f>
        <v>#DIV/0!</v>
      </c>
      <c r="X57" s="112" t="e">
        <f>$G$121/5^0.5</f>
        <v>#DIV/0!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0</v>
      </c>
      <c r="H58" s="44"/>
      <c r="I58" s="63"/>
      <c r="N58" s="25" t="s">
        <v>153</v>
      </c>
      <c r="O58" s="113">
        <f>IF('DRAFT-SERTIF'!$O$27="Ya",'REGRESI 9'!$C$36,0)</f>
        <v>0.26893484904419435</v>
      </c>
      <c r="P58" s="113">
        <f>IF('DRAFT-SERTIF'!$O$27="Ya",'REGRESI 9'!$C$36,0)</f>
        <v>0.26893484904419435</v>
      </c>
      <c r="Q58" s="113">
        <f>IF('DRAFT-SERTIF'!$O$27="Ya",'REGRESI 9'!$C$36,0)</f>
        <v>0.26893484904419435</v>
      </c>
      <c r="R58" s="113">
        <f>IF('DRAFT-SERTIF'!$O$27="Ya",'REGRESI 9'!$C$36,0)</f>
        <v>0.26893484904419435</v>
      </c>
      <c r="S58" s="113">
        <f>IF('DRAFT-SERTIF'!$O$27="Ya",'REGRESI 9'!$C$36,0)</f>
        <v>0.26893484904419435</v>
      </c>
      <c r="T58" s="113">
        <f>IF('DRAFT-SERTIF'!$O$27="Ya",'REGRESI 9'!$C$36,0)</f>
        <v>0.26893484904419435</v>
      </c>
      <c r="U58" s="113">
        <f>IF('DRAFT-SERTIF'!$O$27="Ya",'REGRESI 9'!$C$36,0)</f>
        <v>0.26893484904419435</v>
      </c>
      <c r="V58" s="113">
        <f>IF('DRAFT-SERTIF'!$O$27="Ya",'REGRESI 9'!$C$36,0)</f>
        <v>0.26893484904419435</v>
      </c>
      <c r="W58" s="113">
        <f>IF('DRAFT-SERTIF'!$O$27="Ya",'REGRESI 9'!$C$36,0)</f>
        <v>0.26893484904419435</v>
      </c>
      <c r="X58" s="113">
        <f>IF('DRAFT-SERTIF'!$O$27="Ya",'REGRESI 9'!$C$36,0)</f>
        <v>0.26893484904419435</v>
      </c>
      <c r="AB58" s="1"/>
    </row>
    <row r="59" spans="1:28" ht="13.5" customHeight="1">
      <c r="A59" s="105">
        <v>3</v>
      </c>
      <c r="B59" s="196">
        <v>100</v>
      </c>
      <c r="C59" s="327">
        <v>100.33</v>
      </c>
      <c r="D59" s="327"/>
      <c r="E59" s="15">
        <v>99.885000000000005</v>
      </c>
      <c r="F59" s="37">
        <f>IF('PERHITUNGAN 9'!$E$11="Burn Engr",'PERHITUNGAN 9'!E59,E59+('regresi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99.885000000000005</v>
      </c>
      <c r="G59" s="90">
        <f>F59-C59</f>
        <v>-0.44499999999999318</v>
      </c>
      <c r="H59" s="63"/>
      <c r="I59" s="63"/>
      <c r="N59" s="25" t="s">
        <v>154</v>
      </c>
      <c r="O59" s="91">
        <f t="shared" ref="O59:X59" si="4">O40</f>
        <v>3.5000000000000003E-2</v>
      </c>
      <c r="P59" s="91">
        <f t="shared" si="4"/>
        <v>3.5000000000000003E-2</v>
      </c>
      <c r="Q59" s="91">
        <f t="shared" si="4"/>
        <v>3.5000000000000003E-2</v>
      </c>
      <c r="R59" s="91">
        <f t="shared" si="4"/>
        <v>3.5000000000000003E-2</v>
      </c>
      <c r="S59" s="91">
        <f t="shared" si="4"/>
        <v>3.5000000000000003E-2</v>
      </c>
      <c r="T59" s="91">
        <f t="shared" si="4"/>
        <v>3.5000000000000003E-2</v>
      </c>
      <c r="U59" s="91">
        <f t="shared" si="4"/>
        <v>3.5000000000000003E-2</v>
      </c>
      <c r="V59" s="91">
        <f t="shared" si="4"/>
        <v>0.01</v>
      </c>
      <c r="W59" s="91">
        <f t="shared" si="4"/>
        <v>0.01</v>
      </c>
      <c r="X59" s="91">
        <f t="shared" si="4"/>
        <v>0.01</v>
      </c>
    </row>
    <row r="60" spans="1:28">
      <c r="A60" s="10"/>
      <c r="C60" s="327">
        <v>100.33</v>
      </c>
      <c r="D60" s="327"/>
      <c r="E60" s="15">
        <v>99.885000000000005</v>
      </c>
      <c r="F60" s="37">
        <f>IF('PERHITUNGAN 9'!$E$11="Burn Engr",'PERHITUNGAN 9'!E60,E60+('regresi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99.885000000000005</v>
      </c>
      <c r="G60" s="90">
        <f>F60-C60</f>
        <v>-0.44499999999999318</v>
      </c>
      <c r="H60" s="63"/>
      <c r="I60" s="63"/>
      <c r="N60" s="133" t="s">
        <v>155</v>
      </c>
      <c r="O60" s="134">
        <f>'PERHITUNGAN 1'!O61</f>
        <v>1.5000000000000003E-2</v>
      </c>
      <c r="P60" s="134">
        <f>'PERHITUNGAN 1'!P61</f>
        <v>0.01</v>
      </c>
      <c r="Q60" s="134">
        <f>'PERHITUNGAN 1'!Q61</f>
        <v>5.0000000000000001E-3</v>
      </c>
      <c r="R60" s="134">
        <f>'PERHITUNGAN 1'!R61</f>
        <v>1.4999999999999999E-2</v>
      </c>
      <c r="S60" s="134">
        <f>'PERHITUNGAN 1'!S61</f>
        <v>5.0000000000000001E-3</v>
      </c>
      <c r="T60" s="134">
        <f>'PERHITUNGAN 1'!T61</f>
        <v>0.05</v>
      </c>
      <c r="U60" s="134">
        <f>'PERHITUNGAN 1'!U61</f>
        <v>0.05</v>
      </c>
      <c r="V60" s="134">
        <f>'PERHITUNGAN 1'!V61</f>
        <v>1.5000000000000003E-2</v>
      </c>
      <c r="W60" s="134">
        <f>'PERHITUNGAN 1'!W61</f>
        <v>1.4999999999999999E-2</v>
      </c>
      <c r="X60" s="134">
        <f>'PERHITUNGAN 1'!X61</f>
        <v>1.4999999999999999E-2</v>
      </c>
    </row>
    <row r="61" spans="1:28">
      <c r="A61" s="10"/>
      <c r="C61" s="327">
        <v>100.33</v>
      </c>
      <c r="D61" s="327"/>
      <c r="E61" s="15">
        <v>99.885000000000005</v>
      </c>
      <c r="F61" s="37">
        <f>IF('PERHITUNGAN 9'!$E$11="Burn Engr",'PERHITUNGAN 9'!E61,E61+('regresi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99.885000000000005</v>
      </c>
      <c r="G61" s="90">
        <f>F61-C61</f>
        <v>-0.44499999999999318</v>
      </c>
      <c r="H61" s="63"/>
      <c r="I61" s="63"/>
      <c r="N61" s="25" t="s">
        <v>156</v>
      </c>
      <c r="O61" s="114">
        <f>(0.1*O38)/SQRT(3)</f>
        <v>4.041451884327381E-3</v>
      </c>
      <c r="P61" s="114">
        <f t="shared" ref="P61:X61" si="5">(0.1*P38)/SQRT(3)</f>
        <v>4.041451884327381E-3</v>
      </c>
      <c r="Q61" s="114">
        <f t="shared" si="5"/>
        <v>4.041451884327381E-3</v>
      </c>
      <c r="R61" s="114">
        <f t="shared" si="5"/>
        <v>4.041451884327381E-3</v>
      </c>
      <c r="S61" s="114">
        <f t="shared" si="5"/>
        <v>4.041451884327381E-3</v>
      </c>
      <c r="T61" s="114">
        <f t="shared" si="5"/>
        <v>4.041451884327381E-3</v>
      </c>
      <c r="U61" s="114">
        <f t="shared" si="5"/>
        <v>4.041451884327381E-3</v>
      </c>
      <c r="V61" s="114">
        <f t="shared" si="5"/>
        <v>1.1547005383792516E-3</v>
      </c>
      <c r="W61" s="114">
        <f t="shared" si="5"/>
        <v>1.1547005383792516E-3</v>
      </c>
      <c r="X61" s="114">
        <f t="shared" si="5"/>
        <v>1.1547005383792516E-3</v>
      </c>
    </row>
    <row r="62" spans="1:28">
      <c r="A62" s="10"/>
      <c r="C62" s="327">
        <v>100.33</v>
      </c>
      <c r="D62" s="327"/>
      <c r="E62" s="15">
        <v>99.885000000000005</v>
      </c>
      <c r="F62" s="37">
        <f>IF('PERHITUNGAN 9'!$E$11="Burn Engr",'PERHITUNGAN 9'!E62,E62+('regresi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99.885000000000005</v>
      </c>
      <c r="G62" s="90">
        <f>F62-C62</f>
        <v>-0.44499999999999318</v>
      </c>
      <c r="H62" s="63"/>
      <c r="I62" s="63"/>
      <c r="N62" s="25" t="s">
        <v>157</v>
      </c>
      <c r="O62" s="114">
        <f t="shared" ref="O62:X62" si="6">$T$28</f>
        <v>2.886751345948129E-3</v>
      </c>
      <c r="P62" s="114">
        <f t="shared" si="6"/>
        <v>2.886751345948129E-3</v>
      </c>
      <c r="Q62" s="114">
        <f t="shared" si="6"/>
        <v>2.886751345948129E-3</v>
      </c>
      <c r="R62" s="114">
        <f t="shared" si="6"/>
        <v>2.886751345948129E-3</v>
      </c>
      <c r="S62" s="114">
        <f t="shared" si="6"/>
        <v>2.886751345948129E-3</v>
      </c>
      <c r="T62" s="114">
        <f t="shared" si="6"/>
        <v>2.886751345948129E-3</v>
      </c>
      <c r="U62" s="114">
        <f t="shared" si="6"/>
        <v>2.886751345948129E-3</v>
      </c>
      <c r="V62" s="114">
        <f t="shared" si="6"/>
        <v>2.886751345948129E-3</v>
      </c>
      <c r="W62" s="114">
        <f t="shared" si="6"/>
        <v>2.886751345948129E-3</v>
      </c>
      <c r="X62" s="114">
        <f t="shared" si="6"/>
        <v>2.886751345948129E-3</v>
      </c>
    </row>
    <row r="63" spans="1:28">
      <c r="A63" s="10"/>
      <c r="C63" s="327">
        <v>100.33</v>
      </c>
      <c r="D63" s="327"/>
      <c r="E63" s="15">
        <v>99.885000000000005</v>
      </c>
      <c r="F63" s="37">
        <f>IF('PERHITUNGAN 9'!$E$11="Burn Engr",'PERHITUNGAN 9'!E63,E63+('regresi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99.885000000000005</v>
      </c>
      <c r="G63" s="90">
        <f>F63-C63</f>
        <v>-0.44499999999999318</v>
      </c>
      <c r="H63" s="63"/>
      <c r="I63" s="63"/>
      <c r="N63" s="25" t="s">
        <v>158</v>
      </c>
      <c r="O63" s="114">
        <f t="shared" ref="O63:X63" si="7">$T$26</f>
        <v>2.886751345948129E-4</v>
      </c>
      <c r="P63" s="114">
        <f t="shared" si="7"/>
        <v>2.886751345948129E-4</v>
      </c>
      <c r="Q63" s="114">
        <f t="shared" si="7"/>
        <v>2.886751345948129E-4</v>
      </c>
      <c r="R63" s="114">
        <f t="shared" si="7"/>
        <v>2.886751345948129E-4</v>
      </c>
      <c r="S63" s="114">
        <f t="shared" si="7"/>
        <v>2.886751345948129E-4</v>
      </c>
      <c r="T63" s="114">
        <f t="shared" si="7"/>
        <v>2.886751345948129E-4</v>
      </c>
      <c r="U63" s="114">
        <f t="shared" si="7"/>
        <v>2.886751345948129E-4</v>
      </c>
      <c r="V63" s="114">
        <f t="shared" si="7"/>
        <v>2.886751345948129E-4</v>
      </c>
      <c r="W63" s="114">
        <f t="shared" si="7"/>
        <v>2.886751345948129E-4</v>
      </c>
      <c r="X63" s="114">
        <f t="shared" si="7"/>
        <v>2.886751345948129E-4</v>
      </c>
    </row>
    <row r="64" spans="1:28">
      <c r="A64" s="10"/>
      <c r="B64" s="8" t="s">
        <v>31</v>
      </c>
      <c r="C64" s="333">
        <f>AVERAGE(C59:D63)</f>
        <v>100.33</v>
      </c>
      <c r="D64" s="334"/>
      <c r="E64" s="95">
        <f>AVERAGE(E59:E63)</f>
        <v>99.885000000000005</v>
      </c>
      <c r="F64" s="95">
        <f t="shared" ref="F64" si="8">AVERAGE(F59:F63)</f>
        <v>99.885000000000005</v>
      </c>
      <c r="G64" s="95">
        <f>SUM(G59:G63)/5</f>
        <v>-0.44499999999999318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9">10^10</f>
        <v>10000000000</v>
      </c>
      <c r="Q66" s="53">
        <f t="shared" si="9"/>
        <v>10000000000</v>
      </c>
      <c r="R66" s="53">
        <f t="shared" si="9"/>
        <v>10000000000</v>
      </c>
      <c r="S66" s="53">
        <f t="shared" si="9"/>
        <v>10000000000</v>
      </c>
      <c r="T66" s="53">
        <f t="shared" si="9"/>
        <v>10000000000</v>
      </c>
      <c r="U66" s="53">
        <f t="shared" si="9"/>
        <v>10000000000</v>
      </c>
      <c r="V66" s="53">
        <f t="shared" si="9"/>
        <v>10000000000</v>
      </c>
      <c r="W66" s="53">
        <f t="shared" si="9"/>
        <v>10000000000</v>
      </c>
      <c r="X66" s="53">
        <f t="shared" si="9"/>
        <v>10000000000</v>
      </c>
    </row>
    <row r="67" spans="1:28">
      <c r="A67" s="105">
        <v>4</v>
      </c>
      <c r="B67" s="196">
        <v>150</v>
      </c>
      <c r="C67" s="327">
        <v>149.93</v>
      </c>
      <c r="D67" s="327"/>
      <c r="E67" s="90">
        <v>149.71899999999999</v>
      </c>
      <c r="F67" s="37">
        <f>IF('PERHITUNGAN 9'!$E$11="Burn Engr",'PERHITUNGAN 9'!E67,E67+('regresi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149.71899999999999</v>
      </c>
      <c r="G67" s="90">
        <f>F67-C67</f>
        <v>-0.21100000000001273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149.93</v>
      </c>
      <c r="D68" s="327"/>
      <c r="E68" s="90">
        <v>149.71899999999999</v>
      </c>
      <c r="F68" s="37">
        <f>IF('PERHITUNGAN 9'!$E$11="Burn Engr",'PERHITUNGAN 9'!E68,E68+('regresi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149.71899999999999</v>
      </c>
      <c r="G68" s="90">
        <f>F68-C68</f>
        <v>-0.21100000000001273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149.93</v>
      </c>
      <c r="D69" s="327"/>
      <c r="E69" s="90">
        <v>149.71899999999999</v>
      </c>
      <c r="F69" s="37">
        <f>IF('PERHITUNGAN 9'!$E$11="Burn Engr",'PERHITUNGAN 9'!E69,E69+('regresi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149.71899999999999</v>
      </c>
      <c r="G69" s="90">
        <f>F69-C69</f>
        <v>-0.21100000000001273</v>
      </c>
      <c r="H69" s="63"/>
      <c r="I69" s="63"/>
      <c r="N69" s="25" t="s">
        <v>163</v>
      </c>
      <c r="O69" s="53">
        <f t="shared" ref="O69:X71" si="10">10^10</f>
        <v>10000000000</v>
      </c>
      <c r="P69" s="53">
        <f t="shared" si="10"/>
        <v>10000000000</v>
      </c>
      <c r="Q69" s="53">
        <f t="shared" si="10"/>
        <v>10000000000</v>
      </c>
      <c r="R69" s="53">
        <f t="shared" si="10"/>
        <v>10000000000</v>
      </c>
      <c r="S69" s="53">
        <f t="shared" si="10"/>
        <v>10000000000</v>
      </c>
      <c r="T69" s="53">
        <f t="shared" si="10"/>
        <v>10000000000</v>
      </c>
      <c r="U69" s="53">
        <f t="shared" si="10"/>
        <v>10000000000</v>
      </c>
      <c r="V69" s="53">
        <f t="shared" si="10"/>
        <v>10000000000</v>
      </c>
      <c r="W69" s="53">
        <f t="shared" si="10"/>
        <v>10000000000</v>
      </c>
      <c r="X69" s="53">
        <f t="shared" si="10"/>
        <v>10000000000</v>
      </c>
      <c r="AB69" s="1"/>
    </row>
    <row r="70" spans="1:28">
      <c r="A70" s="10"/>
      <c r="C70" s="327">
        <v>149.93</v>
      </c>
      <c r="D70" s="327"/>
      <c r="E70" s="90">
        <v>149.71899999999999</v>
      </c>
      <c r="F70" s="37">
        <f>IF('PERHITUNGAN 9'!$E$11="Burn Engr",'PERHITUNGAN 9'!E70,E70+('regresi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149.71899999999999</v>
      </c>
      <c r="G70" s="90">
        <f>F70-C70</f>
        <v>-0.21100000000001273</v>
      </c>
      <c r="H70" s="63"/>
      <c r="I70" s="63"/>
      <c r="N70" s="25" t="s">
        <v>164</v>
      </c>
      <c r="O70" s="53">
        <f t="shared" si="10"/>
        <v>10000000000</v>
      </c>
      <c r="P70" s="53">
        <f t="shared" si="10"/>
        <v>10000000000</v>
      </c>
      <c r="Q70" s="53">
        <f t="shared" si="10"/>
        <v>10000000000</v>
      </c>
      <c r="R70" s="53">
        <f t="shared" si="10"/>
        <v>10000000000</v>
      </c>
      <c r="S70" s="53">
        <f t="shared" si="10"/>
        <v>10000000000</v>
      </c>
      <c r="T70" s="53">
        <f t="shared" si="10"/>
        <v>10000000000</v>
      </c>
      <c r="U70" s="53">
        <f t="shared" si="10"/>
        <v>10000000000</v>
      </c>
      <c r="V70" s="53">
        <f t="shared" si="10"/>
        <v>10000000000</v>
      </c>
      <c r="W70" s="53">
        <f t="shared" si="10"/>
        <v>10000000000</v>
      </c>
      <c r="X70" s="53">
        <f t="shared" si="10"/>
        <v>10000000000</v>
      </c>
      <c r="AB70" s="1"/>
    </row>
    <row r="71" spans="1:28">
      <c r="A71" s="10"/>
      <c r="C71" s="327">
        <v>149.93</v>
      </c>
      <c r="D71" s="327"/>
      <c r="E71" s="90">
        <v>149.71899999999999</v>
      </c>
      <c r="F71" s="37">
        <f>IF('PERHITUNGAN 9'!$E$11="Burn Engr",'PERHITUNGAN 9'!E71,E71+('regresi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149.71899999999999</v>
      </c>
      <c r="G71" s="90">
        <f>F71-C71</f>
        <v>-0.21100000000001273</v>
      </c>
      <c r="H71" s="63"/>
      <c r="I71" s="63"/>
      <c r="N71" s="25" t="s">
        <v>165</v>
      </c>
      <c r="O71" s="53">
        <f t="shared" si="10"/>
        <v>10000000000</v>
      </c>
      <c r="P71" s="53">
        <f t="shared" si="10"/>
        <v>10000000000</v>
      </c>
      <c r="Q71" s="53">
        <f t="shared" si="10"/>
        <v>10000000000</v>
      </c>
      <c r="R71" s="53">
        <f t="shared" si="10"/>
        <v>10000000000</v>
      </c>
      <c r="S71" s="53">
        <f t="shared" si="10"/>
        <v>10000000000</v>
      </c>
      <c r="T71" s="53">
        <f t="shared" si="10"/>
        <v>10000000000</v>
      </c>
      <c r="U71" s="53">
        <f t="shared" si="10"/>
        <v>10000000000</v>
      </c>
      <c r="V71" s="53">
        <f t="shared" si="10"/>
        <v>10000000000</v>
      </c>
      <c r="W71" s="53">
        <f t="shared" si="10"/>
        <v>10000000000</v>
      </c>
      <c r="X71" s="53">
        <f t="shared" si="10"/>
        <v>10000000000</v>
      </c>
      <c r="AB71" s="1"/>
    </row>
    <row r="72" spans="1:28">
      <c r="A72" s="10"/>
      <c r="B72" s="8" t="s">
        <v>31</v>
      </c>
      <c r="C72" s="333">
        <f>AVERAGE(C67:D71)</f>
        <v>149.93</v>
      </c>
      <c r="D72" s="334"/>
      <c r="E72" s="95">
        <f>AVERAGE(E67:E71)</f>
        <v>149.71899999999999</v>
      </c>
      <c r="F72" s="95">
        <f t="shared" ref="F72" si="11">AVERAGE(F67:F71)</f>
        <v>149.71899999999999</v>
      </c>
      <c r="G72" s="95">
        <f>SUM(G67:G71)/5</f>
        <v>-0.21100000000001273</v>
      </c>
      <c r="H72" s="63"/>
      <c r="I72" s="63"/>
      <c r="N72" s="111" t="s">
        <v>168</v>
      </c>
      <c r="O72" s="118">
        <f>SQRT((O57^2)+(O58^2)+(O59^2)+(O60^2)+(O61^2)+(O62^2)+(O63^2))</f>
        <v>0.27166284808641683</v>
      </c>
      <c r="P72" s="118">
        <f t="shared" ref="P72:X72" si="12">SQRT((P57^2)+(P58^2)+(P59^2)+(P60^2)+(P61^2)+(P62^2)+(P63^2))</f>
        <v>0.27143268600230075</v>
      </c>
      <c r="Q72" s="118">
        <f t="shared" si="12"/>
        <v>0.27129449502417774</v>
      </c>
      <c r="R72" s="118">
        <f t="shared" si="12"/>
        <v>0.27166284808641683</v>
      </c>
      <c r="S72" s="118">
        <f t="shared" si="12"/>
        <v>0.27129449502417774</v>
      </c>
      <c r="T72" s="118">
        <f t="shared" si="12"/>
        <v>0.27581824274406436</v>
      </c>
      <c r="U72" s="118">
        <f t="shared" si="12"/>
        <v>0.27581824274406436</v>
      </c>
      <c r="V72" s="118" t="e">
        <f t="shared" si="12"/>
        <v>#DIV/0!</v>
      </c>
      <c r="W72" s="118" t="e">
        <f t="shared" si="12"/>
        <v>#DIV/0!</v>
      </c>
      <c r="X72" s="118" t="e">
        <f t="shared" si="12"/>
        <v>#DIV/0!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210659.79967331485</v>
      </c>
      <c r="P73" s="120">
        <f t="shared" ref="P73:X73" si="13">(P72^4)/((P57^4/P65)+(P58^4/P66)+(P59^4/P67)+(P60^4/P68)+(P61^4/P69)+(P62^4/P70)+(P63^4/P71))</f>
        <v>215592.7423226402</v>
      </c>
      <c r="Q73" s="120">
        <f t="shared" si="13"/>
        <v>216497.59476697948</v>
      </c>
      <c r="R73" s="120">
        <f t="shared" si="13"/>
        <v>210659.79967331485</v>
      </c>
      <c r="S73" s="120">
        <f t="shared" si="13"/>
        <v>216497.59476697948</v>
      </c>
      <c r="T73" s="120">
        <f t="shared" si="13"/>
        <v>44802.754526681347</v>
      </c>
      <c r="U73" s="120">
        <f t="shared" si="13"/>
        <v>44802.754526681347</v>
      </c>
      <c r="V73" s="120" t="e">
        <f t="shared" si="13"/>
        <v>#DIV/0!</v>
      </c>
      <c r="W73" s="120" t="e">
        <f t="shared" si="13"/>
        <v>#DIV/0!</v>
      </c>
      <c r="X73" s="120" t="e">
        <f t="shared" si="13"/>
        <v>#DIV/0!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1.9599752457919193</v>
      </c>
      <c r="P74" s="123">
        <f t="shared" ref="P74:X74" si="14">_xlfn.T.INV.2T(0.05,P73)</f>
        <v>1.9599749881278536</v>
      </c>
      <c r="Q74" s="123">
        <f t="shared" si="14"/>
        <v>1.959974942124725</v>
      </c>
      <c r="R74" s="123">
        <f t="shared" si="14"/>
        <v>1.9599752457919193</v>
      </c>
      <c r="S74" s="123">
        <f t="shared" si="14"/>
        <v>1.959974942124725</v>
      </c>
      <c r="T74" s="123">
        <f t="shared" si="14"/>
        <v>1.9600169360646802</v>
      </c>
      <c r="U74" s="123">
        <f t="shared" si="14"/>
        <v>1.9600169360646802</v>
      </c>
      <c r="V74" s="123" t="e">
        <f t="shared" si="14"/>
        <v>#DIV/0!</v>
      </c>
      <c r="W74" s="123" t="e">
        <f t="shared" si="14"/>
        <v>#DIV/0!</v>
      </c>
      <c r="X74" s="123" t="e">
        <f t="shared" si="14"/>
        <v>#DIV/0!</v>
      </c>
      <c r="Z74" s="124"/>
      <c r="AB74" s="1"/>
    </row>
    <row r="75" spans="1:28">
      <c r="A75" s="105">
        <v>5</v>
      </c>
      <c r="B75" s="196">
        <v>200</v>
      </c>
      <c r="C75" s="327">
        <v>199.21</v>
      </c>
      <c r="D75" s="327"/>
      <c r="E75" s="90">
        <v>199.46600000000001</v>
      </c>
      <c r="F75" s="37">
        <f>IF('PERHITUNGAN 9'!$E$11="Burn Engr",'PERHITUNGAN 9'!E75,E75+('regresi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199.46600000000001</v>
      </c>
      <c r="G75" s="90">
        <f>F75-C75</f>
        <v>0.25600000000000023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199.21</v>
      </c>
      <c r="D76" s="327"/>
      <c r="E76" s="90">
        <v>199.46600000000001</v>
      </c>
      <c r="F76" s="37">
        <f>IF('PERHITUNGAN 9'!$E$11="Burn Engr",'PERHITUNGAN 9'!E76,E76+('regresi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199.46600000000001</v>
      </c>
      <c r="G76" s="90">
        <f>F76-C76</f>
        <v>0.25600000000000023</v>
      </c>
      <c r="H76" s="63"/>
      <c r="I76" s="63"/>
      <c r="N76" s="111" t="s">
        <v>166</v>
      </c>
      <c r="O76" s="121">
        <f t="shared" ref="O76:X76" si="15">O72*O74</f>
        <v>0.53245245745070768</v>
      </c>
      <c r="P76" s="121">
        <f t="shared" si="15"/>
        <v>0.53200127552487086</v>
      </c>
      <c r="Q76" s="121">
        <f t="shared" si="15"/>
        <v>0.53173041218376926</v>
      </c>
      <c r="R76" s="121">
        <f t="shared" si="15"/>
        <v>0.53245245745070768</v>
      </c>
      <c r="S76" s="121">
        <f t="shared" si="15"/>
        <v>0.53173041218376926</v>
      </c>
      <c r="T76" s="121">
        <f t="shared" si="15"/>
        <v>0.54060842705396528</v>
      </c>
      <c r="U76" s="121">
        <f t="shared" si="15"/>
        <v>0.54060842705396528</v>
      </c>
      <c r="V76" s="121" t="e">
        <f t="shared" si="15"/>
        <v>#DIV/0!</v>
      </c>
      <c r="W76" s="121" t="e">
        <f t="shared" si="15"/>
        <v>#DIV/0!</v>
      </c>
      <c r="X76" s="121" t="e">
        <f t="shared" si="15"/>
        <v>#DIV/0!</v>
      </c>
      <c r="AB76" s="1"/>
    </row>
    <row r="77" spans="1:28">
      <c r="A77" s="10"/>
      <c r="C77" s="327">
        <v>199.21</v>
      </c>
      <c r="D77" s="327"/>
      <c r="E77" s="90">
        <v>199.46600000000001</v>
      </c>
      <c r="F77" s="37">
        <f>IF('PERHITUNGAN 9'!$E$11="Burn Engr",'PERHITUNGAN 9'!E77,E77+('regresi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199.46600000000001</v>
      </c>
      <c r="G77" s="90">
        <f>F77-C77</f>
        <v>0.25600000000000023</v>
      </c>
      <c r="H77" s="63"/>
      <c r="I77" s="63"/>
      <c r="AB77" s="1"/>
    </row>
    <row r="78" spans="1:28">
      <c r="A78" s="10"/>
      <c r="C78" s="327">
        <v>199.21</v>
      </c>
      <c r="D78" s="327"/>
      <c r="E78" s="90">
        <v>199.46600000000001</v>
      </c>
      <c r="F78" s="37">
        <f>IF('PERHITUNGAN 9'!$E$11="Burn Engr",'PERHITUNGAN 9'!E78,E78+('regresi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199.46600000000001</v>
      </c>
      <c r="G78" s="90">
        <f>F78-C78</f>
        <v>0.25600000000000023</v>
      </c>
      <c r="H78" s="26"/>
      <c r="I78" s="26"/>
      <c r="AB78" s="1"/>
    </row>
    <row r="79" spans="1:28">
      <c r="A79" s="10"/>
      <c r="C79" s="327">
        <v>199.21</v>
      </c>
      <c r="D79" s="327"/>
      <c r="E79" s="90">
        <v>199.46600000000001</v>
      </c>
      <c r="F79" s="37">
        <f>IF('PERHITUNGAN 9'!$E$11="Burn Engr",'PERHITUNGAN 9'!E79,E79+('regresi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199.46600000000001</v>
      </c>
      <c r="G79" s="90">
        <f>F79-C79</f>
        <v>0.25600000000000023</v>
      </c>
      <c r="AB79" s="1"/>
    </row>
    <row r="80" spans="1:28">
      <c r="A80" s="10"/>
      <c r="B80" s="8" t="s">
        <v>31</v>
      </c>
      <c r="C80" s="333">
        <f>AVERAGE(C75:D79)</f>
        <v>199.21</v>
      </c>
      <c r="D80" s="334"/>
      <c r="E80" s="95">
        <f>AVERAGE(E75:E79)</f>
        <v>199.46600000000001</v>
      </c>
      <c r="F80" s="95">
        <f t="shared" ref="F80" si="16">AVERAGE(F75:F79)</f>
        <v>199.46600000000001</v>
      </c>
      <c r="G80" s="95">
        <f>SUM(G75:G79)/5</f>
        <v>0.25600000000000023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250</v>
      </c>
      <c r="C83" s="327">
        <v>249.24</v>
      </c>
      <c r="D83" s="327"/>
      <c r="E83" s="90">
        <v>249.47800000000001</v>
      </c>
      <c r="F83" s="37">
        <f>IF('PERHITUNGAN 9'!$E$11="Burn Engr",'PERHITUNGAN 9'!E83,E83+('regresi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249.47800000000001</v>
      </c>
      <c r="G83" s="40">
        <f>F83-C83</f>
        <v>0.23799999999999955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249.24</v>
      </c>
      <c r="D84" s="327"/>
      <c r="E84" s="90">
        <v>249.47800000000001</v>
      </c>
      <c r="F84" s="37">
        <f>IF('PERHITUNGAN 9'!$E$11="Burn Engr",'PERHITUNGAN 9'!E84,E84+('regresi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249.47800000000001</v>
      </c>
      <c r="G84" s="40">
        <f>F84-C84</f>
        <v>0.23799999999999955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249.24</v>
      </c>
      <c r="D85" s="327"/>
      <c r="E85" s="90">
        <v>249.47800000000001</v>
      </c>
      <c r="F85" s="37">
        <f>IF('PERHITUNGAN 9'!$E$11="Burn Engr",'PERHITUNGAN 9'!E85,E85+('regresi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249.47800000000001</v>
      </c>
      <c r="G85" s="40">
        <f>F85-C85</f>
        <v>0.23799999999999955</v>
      </c>
      <c r="H85" s="26"/>
      <c r="I85" s="26"/>
      <c r="N85" s="93">
        <f>O56</f>
        <v>1.8799999999999997</v>
      </c>
      <c r="O85" s="403">
        <f>G48</f>
        <v>-1.6819999999999999</v>
      </c>
      <c r="P85" s="404"/>
      <c r="Q85" s="387">
        <f t="shared" ref="Q85:Q94" si="17">N85+O85</f>
        <v>0.19799999999999973</v>
      </c>
      <c r="R85" s="405"/>
      <c r="S85" s="138" t="s">
        <v>35</v>
      </c>
      <c r="T85" s="94">
        <f>IF(N85&lt;$AA$97,MAX($O$97,O76),IF(N85&lt;$AA$98,MAX($O$98,O76),MAX($O$99,O76)))</f>
        <v>0.53245245745070768</v>
      </c>
      <c r="AB85" s="1"/>
    </row>
    <row r="86" spans="1:28">
      <c r="A86" s="10"/>
      <c r="C86" s="327">
        <v>249.24</v>
      </c>
      <c r="D86" s="327"/>
      <c r="E86" s="90">
        <v>249.47800000000001</v>
      </c>
      <c r="F86" s="37">
        <f>IF('PERHITUNGAN 9'!$E$11="Burn Engr",'PERHITUNGAN 9'!E86,E86+('regresi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249.47800000000001</v>
      </c>
      <c r="G86" s="40">
        <f>F86-C86</f>
        <v>0.23799999999999955</v>
      </c>
      <c r="H86" s="63"/>
      <c r="I86" s="63"/>
      <c r="N86" s="93">
        <f>P56</f>
        <v>50.56</v>
      </c>
      <c r="O86" s="403">
        <f>G56</f>
        <v>-0.21300000000000097</v>
      </c>
      <c r="P86" s="404"/>
      <c r="Q86" s="406">
        <f t="shared" si="17"/>
        <v>50.347000000000001</v>
      </c>
      <c r="R86" s="407"/>
      <c r="S86" s="138" t="s">
        <v>35</v>
      </c>
      <c r="T86" s="94">
        <f>IF(N86&lt;$AA$97,MAX($O$97,P76),IF(N86&lt;$AA$98,MAX($O$98,P76),MAX($O$99,P76)))</f>
        <v>0.53200127552487086</v>
      </c>
      <c r="AB86" s="1"/>
    </row>
    <row r="87" spans="1:28">
      <c r="A87" s="10"/>
      <c r="C87" s="327">
        <v>249.24</v>
      </c>
      <c r="D87" s="327"/>
      <c r="E87" s="90">
        <v>249.47800000000001</v>
      </c>
      <c r="F87" s="37">
        <f>IF('PERHITUNGAN 9'!$E$11="Burn Engr",'PERHITUNGAN 9'!E87,E87+('regresi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249.47800000000001</v>
      </c>
      <c r="G87" s="41">
        <f>F87-C87</f>
        <v>0.23799999999999955</v>
      </c>
      <c r="H87" s="63"/>
      <c r="I87" s="63"/>
      <c r="N87" s="93">
        <f>Q56</f>
        <v>100.33</v>
      </c>
      <c r="O87" s="403">
        <f>G64</f>
        <v>-0.44499999999999318</v>
      </c>
      <c r="P87" s="404"/>
      <c r="Q87" s="406">
        <f t="shared" si="17"/>
        <v>99.885000000000005</v>
      </c>
      <c r="R87" s="407"/>
      <c r="S87" s="138" t="s">
        <v>35</v>
      </c>
      <c r="T87" s="94">
        <f>IF(N87&lt;$AA$97,MAX($O$97,Q76),IF(N87&lt;$AA$98,MAX($O$98,Q76),MAX($O$99,Q76)))</f>
        <v>0.53173041218376926</v>
      </c>
      <c r="AB87" s="1"/>
    </row>
    <row r="88" spans="1:28">
      <c r="A88" s="10"/>
      <c r="B88" s="8" t="s">
        <v>31</v>
      </c>
      <c r="C88" s="333">
        <f>AVERAGE(C83:D87)</f>
        <v>249.24</v>
      </c>
      <c r="D88" s="334"/>
      <c r="E88" s="95">
        <f>AVERAGE(E83:E87)</f>
        <v>249.47800000000001</v>
      </c>
      <c r="F88" s="95">
        <f t="shared" ref="F88" si="18">AVERAGE(F83:F87)</f>
        <v>249.47800000000001</v>
      </c>
      <c r="G88" s="95">
        <f>SUM(G83:G87)/5</f>
        <v>0.23799999999999955</v>
      </c>
      <c r="H88" s="63"/>
      <c r="I88" s="63"/>
      <c r="N88" s="93">
        <f>R56</f>
        <v>149.93</v>
      </c>
      <c r="O88" s="403">
        <f>G72</f>
        <v>-0.21100000000001273</v>
      </c>
      <c r="P88" s="404"/>
      <c r="Q88" s="406">
        <f t="shared" si="17"/>
        <v>149.71899999999999</v>
      </c>
      <c r="R88" s="407"/>
      <c r="S88" s="138" t="s">
        <v>35</v>
      </c>
      <c r="T88" s="94">
        <f>IF(N88&lt;$AA$97,MAX($O$97,R76),IF(N88&lt;$AA$98,MAX($O$98,R76),MAX($O$99,R76)))</f>
        <v>0.53245245745070768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199.21</v>
      </c>
      <c r="O89" s="403">
        <f>G80</f>
        <v>0.25600000000000023</v>
      </c>
      <c r="P89" s="404"/>
      <c r="Q89" s="406">
        <f t="shared" si="17"/>
        <v>199.46600000000001</v>
      </c>
      <c r="R89" s="407"/>
      <c r="S89" s="138" t="s">
        <v>35</v>
      </c>
      <c r="T89" s="94">
        <f>IF(N89&lt;$AA$97,MAX($O$97,S76),IF(N89&lt;$AA$98,MAX($O$98,S76),MAX($O$99,S76)))</f>
        <v>0.53173041218376926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249.24</v>
      </c>
      <c r="O90" s="403">
        <f>G88</f>
        <v>0.23799999999999955</v>
      </c>
      <c r="P90" s="404"/>
      <c r="Q90" s="406">
        <f t="shared" si="17"/>
        <v>249.47800000000001</v>
      </c>
      <c r="R90" s="407"/>
      <c r="S90" s="138" t="s">
        <v>35</v>
      </c>
      <c r="T90" s="94">
        <f>IF(N90&lt;$AA$97,MAX($O$97,T76),IF(N90&lt;$AA$98,MAX($O$98,T76),MAX($O$99,T76)))</f>
        <v>0.54060842705396528</v>
      </c>
      <c r="AB90" s="1"/>
    </row>
    <row r="91" spans="1:28">
      <c r="A91" s="105">
        <v>7</v>
      </c>
      <c r="B91" s="196">
        <v>260</v>
      </c>
      <c r="C91" s="327">
        <v>259.37</v>
      </c>
      <c r="D91" s="327"/>
      <c r="E91" s="90">
        <v>259.553</v>
      </c>
      <c r="F91" s="37">
        <f>IF('PERHITUNGAN 9'!$E$11="Burn Engr",'PERHITUNGAN 9'!E91,E91+('regresi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259.553</v>
      </c>
      <c r="G91" s="40">
        <f>F91-C91</f>
        <v>0.18299999999999272</v>
      </c>
      <c r="H91" s="63"/>
      <c r="I91" s="63"/>
      <c r="N91" s="93">
        <f>U56</f>
        <v>259.37</v>
      </c>
      <c r="O91" s="403">
        <f>G96</f>
        <v>0.18299999999999272</v>
      </c>
      <c r="P91" s="404"/>
      <c r="Q91" s="406">
        <f t="shared" si="17"/>
        <v>259.553</v>
      </c>
      <c r="R91" s="407"/>
      <c r="S91" s="138" t="s">
        <v>35</v>
      </c>
      <c r="T91" s="94">
        <f>IF(N91&lt;$AA$97,MAX($O$97,U76),IF(N91&lt;$AA$98,MAX($O$98,U76),MAX($O$99,U76)))</f>
        <v>1.8</v>
      </c>
      <c r="AB91" s="1"/>
    </row>
    <row r="92" spans="1:28">
      <c r="A92" s="10"/>
      <c r="C92" s="327">
        <v>259.37</v>
      </c>
      <c r="D92" s="327"/>
      <c r="E92" s="90">
        <v>259.553</v>
      </c>
      <c r="F92" s="37">
        <f>IF('PERHITUNGAN 9'!$E$11="Burn Engr",'PERHITUNGAN 9'!E92,E92+('regresi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259.553</v>
      </c>
      <c r="G92" s="40">
        <f>F92-C92</f>
        <v>0.18299999999999272</v>
      </c>
      <c r="H92" s="44"/>
      <c r="I92" s="63"/>
      <c r="N92" s="93" t="e">
        <f>V56</f>
        <v>#DIV/0!</v>
      </c>
      <c r="O92" s="403">
        <f>G104</f>
        <v>0</v>
      </c>
      <c r="P92" s="404"/>
      <c r="Q92" s="406" t="e">
        <f t="shared" si="17"/>
        <v>#DIV/0!</v>
      </c>
      <c r="R92" s="407"/>
      <c r="S92" s="138" t="s">
        <v>35</v>
      </c>
      <c r="T92" s="94" t="e">
        <f>IF(N92&lt;$AA$97,MAX($O$97,V76),IF(N92&lt;$AA$98,MAX($O$98,V76),MAX($O$99,V76)))</f>
        <v>#DIV/0!</v>
      </c>
      <c r="AB92" s="1"/>
    </row>
    <row r="93" spans="1:28">
      <c r="A93" s="10"/>
      <c r="C93" s="327">
        <v>259.37</v>
      </c>
      <c r="D93" s="327"/>
      <c r="E93" s="90">
        <v>259.553</v>
      </c>
      <c r="F93" s="37">
        <f>IF('PERHITUNGAN 9'!$E$11="Burn Engr",'PERHITUNGAN 9'!E93,E93+('regresi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259.553</v>
      </c>
      <c r="G93" s="40">
        <f>F93-C93</f>
        <v>0.18299999999999272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7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259.37</v>
      </c>
      <c r="D94" s="327"/>
      <c r="E94" s="90">
        <v>259.553</v>
      </c>
      <c r="F94" s="37">
        <f>IF('PERHITUNGAN 9'!$E$11="Burn Engr",'PERHITUNGAN 9'!E94,E94+('regresi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259.553</v>
      </c>
      <c r="G94" s="40">
        <f>F94-C94</f>
        <v>0.18299999999999272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7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259.37</v>
      </c>
      <c r="D95" s="327"/>
      <c r="E95" s="90">
        <v>259.553</v>
      </c>
      <c r="F95" s="37">
        <f>IF('PERHITUNGAN 9'!$E$11="Burn Engr",'PERHITUNGAN 9'!E95,E95+('regresi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259.553</v>
      </c>
      <c r="G95" s="41">
        <f>F95-C95</f>
        <v>0.18299999999999272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259.37</v>
      </c>
      <c r="D96" s="334"/>
      <c r="E96" s="95">
        <f>AVERAGE(E91:E95)</f>
        <v>259.553</v>
      </c>
      <c r="F96" s="95">
        <f t="shared" ref="F96" si="19">AVERAGE(F91:F95)</f>
        <v>259.553</v>
      </c>
      <c r="G96" s="95">
        <f>SUM(G91:G95)/5</f>
        <v>0.18299999999999272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0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0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/>
      <c r="C99" s="327"/>
      <c r="D99" s="327"/>
      <c r="E99" s="90"/>
      <c r="F99" s="37"/>
      <c r="G99" s="40"/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/>
      <c r="D100" s="327"/>
      <c r="E100" s="90"/>
      <c r="F100" s="37"/>
      <c r="G100" s="40"/>
      <c r="H100" s="44"/>
      <c r="I100" s="44"/>
      <c r="M100" s="1"/>
    </row>
    <row r="101" spans="1:27">
      <c r="A101" s="10"/>
      <c r="C101" s="327"/>
      <c r="D101" s="327"/>
      <c r="E101" s="90"/>
      <c r="F101" s="37"/>
      <c r="G101" s="40"/>
      <c r="H101" s="44"/>
      <c r="I101" s="44"/>
    </row>
    <row r="102" spans="1:27">
      <c r="A102" s="10"/>
      <c r="C102" s="327"/>
      <c r="D102" s="327"/>
      <c r="E102" s="90"/>
      <c r="F102" s="37"/>
      <c r="G102" s="40"/>
      <c r="H102" s="63"/>
      <c r="I102" s="63"/>
    </row>
    <row r="103" spans="1:27">
      <c r="A103" s="10"/>
      <c r="C103" s="327"/>
      <c r="D103" s="327"/>
      <c r="E103" s="90"/>
      <c r="F103" s="37"/>
      <c r="G103" s="41"/>
      <c r="H103" s="63"/>
      <c r="I103" s="63"/>
      <c r="N103" s="74"/>
      <c r="O103" s="129"/>
    </row>
    <row r="104" spans="1:27">
      <c r="A104" s="10"/>
      <c r="B104" s="8" t="s">
        <v>31</v>
      </c>
      <c r="C104" s="333" t="e">
        <f>AVERAGE(C99:D103)</f>
        <v>#DIV/0!</v>
      </c>
      <c r="D104" s="334"/>
      <c r="E104" s="95" t="e">
        <f>AVERAGE(E99:E103)</f>
        <v>#DIV/0!</v>
      </c>
      <c r="F104" s="95">
        <f>SUM(F99:F103)/5</f>
        <v>0</v>
      </c>
      <c r="G104" s="95">
        <f>SUM(G99:G103)/5</f>
        <v>0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 t="e">
        <f>_xlfn.STDEV.S(G99:G103)</f>
        <v>#DIV/0!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 t="e">
        <f>G105/SQRT(5)</f>
        <v>#DIV/0!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/>
      <c r="G107" s="40"/>
      <c r="H107" s="63"/>
      <c r="I107" s="63"/>
      <c r="M107" s="1"/>
    </row>
    <row r="108" spans="1:27">
      <c r="A108" s="10"/>
      <c r="C108" s="327"/>
      <c r="D108" s="327"/>
      <c r="E108" s="90"/>
      <c r="F108" s="37"/>
      <c r="G108" s="40"/>
      <c r="H108" s="44"/>
      <c r="I108" s="44"/>
      <c r="M108" s="1"/>
    </row>
    <row r="109" spans="1:27">
      <c r="A109" s="10"/>
      <c r="C109" s="327"/>
      <c r="D109" s="327"/>
      <c r="E109" s="90"/>
      <c r="F109" s="37"/>
      <c r="G109" s="40"/>
      <c r="H109" s="44"/>
      <c r="I109" s="44"/>
    </row>
    <row r="110" spans="1:27">
      <c r="A110" s="10"/>
      <c r="C110" s="327"/>
      <c r="D110" s="327"/>
      <c r="E110" s="90"/>
      <c r="F110" s="37"/>
      <c r="G110" s="40"/>
      <c r="H110" s="63"/>
      <c r="I110" s="63"/>
    </row>
    <row r="111" spans="1:27">
      <c r="A111" s="10"/>
      <c r="C111" s="327"/>
      <c r="D111" s="327"/>
      <c r="E111" s="90"/>
      <c r="F111" s="37"/>
      <c r="G111" s="41"/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 t="e">
        <f>_xlfn.STDEV.S(G107:G111)</f>
        <v>#DIV/0!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 t="e">
        <f>G113/SQRT(5)</f>
        <v>#DIV/0!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/>
      <c r="G115" s="40"/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/>
      <c r="G116" s="40"/>
      <c r="H116" s="44"/>
      <c r="I116" s="44"/>
      <c r="U116" s="49"/>
    </row>
    <row r="117" spans="1:21">
      <c r="A117" s="10"/>
      <c r="C117" s="224"/>
      <c r="D117" s="225"/>
      <c r="E117" s="90"/>
      <c r="F117" s="37"/>
      <c r="G117" s="40"/>
      <c r="H117" s="44"/>
      <c r="I117" s="44"/>
      <c r="U117" s="49"/>
    </row>
    <row r="118" spans="1:21">
      <c r="A118" s="10"/>
      <c r="C118" s="224"/>
      <c r="D118" s="225"/>
      <c r="E118" s="90"/>
      <c r="F118" s="37"/>
      <c r="G118" s="40"/>
      <c r="H118" s="63"/>
      <c r="I118" s="63"/>
    </row>
    <row r="119" spans="1:21">
      <c r="A119" s="10"/>
      <c r="C119" s="233"/>
      <c r="D119" s="234"/>
      <c r="E119" s="90"/>
      <c r="F119" s="37"/>
      <c r="G119" s="41"/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 t="e">
        <f>_xlfn.STDEV.S(G115:G119)</f>
        <v>#DIV/0!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 t="e">
        <f>G121/SQRT(5)</f>
        <v>#DIV/0!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330"/>
      <c r="D125" s="330"/>
      <c r="E125" s="63"/>
      <c r="F125" s="63"/>
      <c r="G125" s="63"/>
      <c r="H125" s="63"/>
      <c r="I125" s="63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2">
    <mergeCell ref="J26:K26"/>
    <mergeCell ref="J31:K31"/>
    <mergeCell ref="C51:D51"/>
    <mergeCell ref="C52:D52"/>
    <mergeCell ref="C53:D53"/>
    <mergeCell ref="C56:D56"/>
    <mergeCell ref="E16:F16"/>
    <mergeCell ref="N16:N20"/>
    <mergeCell ref="E17:F17"/>
    <mergeCell ref="E18:F18"/>
    <mergeCell ref="F21:G21"/>
    <mergeCell ref="C43:D43"/>
    <mergeCell ref="C44:D44"/>
    <mergeCell ref="C48:D48"/>
    <mergeCell ref="AB18:AC18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  <mergeCell ref="AB32:AC32"/>
    <mergeCell ref="C45:D45"/>
    <mergeCell ref="C46:D46"/>
    <mergeCell ref="C47:D47"/>
    <mergeCell ref="T28:T29"/>
    <mergeCell ref="U28:U29"/>
    <mergeCell ref="AB28:AC28"/>
    <mergeCell ref="C41:D41"/>
    <mergeCell ref="C42:D42"/>
    <mergeCell ref="AB30:AC30"/>
    <mergeCell ref="C40:D40"/>
    <mergeCell ref="N28:N29"/>
    <mergeCell ref="O28:O29"/>
    <mergeCell ref="P28:P29"/>
    <mergeCell ref="Q28:Q29"/>
    <mergeCell ref="S28:S29"/>
    <mergeCell ref="S36:S37"/>
    <mergeCell ref="T36:T37"/>
    <mergeCell ref="U36:U37"/>
    <mergeCell ref="V36:V37"/>
    <mergeCell ref="W36:W37"/>
    <mergeCell ref="X36:X37"/>
    <mergeCell ref="N36:N37"/>
    <mergeCell ref="O36:O37"/>
    <mergeCell ref="P36:P37"/>
    <mergeCell ref="Q36:Q37"/>
    <mergeCell ref="R36:R37"/>
    <mergeCell ref="C49:D49"/>
    <mergeCell ref="N45:S45"/>
    <mergeCell ref="T45:Y45"/>
    <mergeCell ref="C50:D50"/>
    <mergeCell ref="O55:X55"/>
    <mergeCell ref="C59:D59"/>
    <mergeCell ref="C60:D60"/>
    <mergeCell ref="C61:D61"/>
    <mergeCell ref="C62:D62"/>
    <mergeCell ref="C63:D63"/>
    <mergeCell ref="C54:D54"/>
    <mergeCell ref="C55:D55"/>
    <mergeCell ref="N55:N56"/>
    <mergeCell ref="C70:D70"/>
    <mergeCell ref="C71:D71"/>
    <mergeCell ref="C72:D72"/>
    <mergeCell ref="C75:D75"/>
    <mergeCell ref="C64:D64"/>
    <mergeCell ref="C67:D67"/>
    <mergeCell ref="C68:D68"/>
    <mergeCell ref="C69:D69"/>
    <mergeCell ref="C83:D83"/>
    <mergeCell ref="N83:N84"/>
    <mergeCell ref="O83:P84"/>
    <mergeCell ref="Q83:R84"/>
    <mergeCell ref="S83:T83"/>
    <mergeCell ref="C84:D84"/>
    <mergeCell ref="S84:T84"/>
    <mergeCell ref="C76:D76"/>
    <mergeCell ref="C77:D77"/>
    <mergeCell ref="C78:D78"/>
    <mergeCell ref="C79:D79"/>
    <mergeCell ref="C80:D80"/>
    <mergeCell ref="C87:D87"/>
    <mergeCell ref="O87:P87"/>
    <mergeCell ref="Q87:R87"/>
    <mergeCell ref="C88:D88"/>
    <mergeCell ref="O88:P88"/>
    <mergeCell ref="Q88:R88"/>
    <mergeCell ref="C85:D85"/>
    <mergeCell ref="O85:P85"/>
    <mergeCell ref="Q85:R85"/>
    <mergeCell ref="C86:D86"/>
    <mergeCell ref="O86:P86"/>
    <mergeCell ref="Q86:R86"/>
    <mergeCell ref="C91:D91"/>
    <mergeCell ref="O91:P91"/>
    <mergeCell ref="Q91:R91"/>
    <mergeCell ref="C92:D92"/>
    <mergeCell ref="O92:P92"/>
    <mergeCell ref="Q92:R92"/>
    <mergeCell ref="O89:P89"/>
    <mergeCell ref="Q89:R89"/>
    <mergeCell ref="O90:P90"/>
    <mergeCell ref="Q90:R90"/>
    <mergeCell ref="C95:D95"/>
    <mergeCell ref="C96:D96"/>
    <mergeCell ref="N96:O96"/>
    <mergeCell ref="Z96:AA96"/>
    <mergeCell ref="C93:D93"/>
    <mergeCell ref="O93:P93"/>
    <mergeCell ref="Q93:R93"/>
    <mergeCell ref="C94:D94"/>
    <mergeCell ref="O94:P94"/>
    <mergeCell ref="Q94:R94"/>
    <mergeCell ref="C107:D107"/>
    <mergeCell ref="C108:D108"/>
    <mergeCell ref="C109:D109"/>
    <mergeCell ref="C110:D110"/>
    <mergeCell ref="C99:D99"/>
    <mergeCell ref="C100:D100"/>
    <mergeCell ref="C101:D101"/>
    <mergeCell ref="C102:D102"/>
    <mergeCell ref="C103:D103"/>
    <mergeCell ref="C104:D104"/>
    <mergeCell ref="C125:D125"/>
    <mergeCell ref="C126:D126"/>
    <mergeCell ref="C111:D111"/>
    <mergeCell ref="C112:D112"/>
    <mergeCell ref="C143:D143"/>
    <mergeCell ref="C146:D146"/>
    <mergeCell ref="C147:D147"/>
    <mergeCell ref="C148:D148"/>
    <mergeCell ref="C149:D149"/>
    <mergeCell ref="C150:D150"/>
    <mergeCell ref="C127:D127"/>
    <mergeCell ref="C138:D138"/>
    <mergeCell ref="C139:D139"/>
    <mergeCell ref="C140:D140"/>
    <mergeCell ref="C141:D141"/>
    <mergeCell ref="C142:D142"/>
    <mergeCell ref="C161:D161"/>
    <mergeCell ref="C164:D164"/>
    <mergeCell ref="C165:D165"/>
    <mergeCell ref="C166:D166"/>
    <mergeCell ref="C167:D167"/>
    <mergeCell ref="C168:D168"/>
    <mergeCell ref="C151:D151"/>
    <mergeCell ref="C156:D156"/>
    <mergeCell ref="C157:D157"/>
    <mergeCell ref="C158:D158"/>
    <mergeCell ref="C159:D159"/>
    <mergeCell ref="C160:D160"/>
    <mergeCell ref="C185:D185"/>
    <mergeCell ref="C177:D177"/>
    <mergeCell ref="C180:D180"/>
    <mergeCell ref="C181:D181"/>
    <mergeCell ref="C182:D182"/>
    <mergeCell ref="C183:D183"/>
    <mergeCell ref="C184:D184"/>
    <mergeCell ref="C169:D169"/>
    <mergeCell ref="C172:D172"/>
    <mergeCell ref="C173:D173"/>
    <mergeCell ref="C174:D174"/>
    <mergeCell ref="C175:D175"/>
    <mergeCell ref="C176:D176"/>
  </mergeCells>
  <conditionalFormatting sqref="C56">
    <cfRule type="expression" dxfId="315" priority="18" stopIfTrue="1">
      <formula>COUNT(C51:C55)&lt;&gt;5</formula>
    </cfRule>
  </conditionalFormatting>
  <conditionalFormatting sqref="C64">
    <cfRule type="expression" dxfId="314" priority="2" stopIfTrue="1">
      <formula>COUNT(C59:C63)&lt;&gt;5</formula>
    </cfRule>
  </conditionalFormatting>
  <conditionalFormatting sqref="C72">
    <cfRule type="expression" dxfId="313" priority="8" stopIfTrue="1">
      <formula>COUNT(C67:C71)&lt;&gt;5</formula>
    </cfRule>
  </conditionalFormatting>
  <conditionalFormatting sqref="C80">
    <cfRule type="expression" dxfId="312" priority="7" stopIfTrue="1">
      <formula>COUNT(C75:C79)&lt;&gt;5</formula>
    </cfRule>
  </conditionalFormatting>
  <conditionalFormatting sqref="C88">
    <cfRule type="expression" dxfId="311" priority="6" stopIfTrue="1">
      <formula>COUNT(C83:C87)&lt;&gt;5</formula>
    </cfRule>
  </conditionalFormatting>
  <conditionalFormatting sqref="C96">
    <cfRule type="expression" dxfId="310" priority="5" stopIfTrue="1">
      <formula>COUNT(C91:C95)&lt;&gt;5</formula>
    </cfRule>
  </conditionalFormatting>
  <conditionalFormatting sqref="C104">
    <cfRule type="expression" dxfId="309" priority="4" stopIfTrue="1">
      <formula>COUNT(C99:C103)&lt;&gt;5</formula>
    </cfRule>
  </conditionalFormatting>
  <conditionalFormatting sqref="C112">
    <cfRule type="expression" dxfId="308" priority="3" stopIfTrue="1">
      <formula>COUNT(C107:C111)&lt;&gt;5</formula>
    </cfRule>
  </conditionalFormatting>
  <conditionalFormatting sqref="C48:E48">
    <cfRule type="expression" dxfId="307" priority="19" stopIfTrue="1">
      <formula>COUNT(C43:C47)&lt;&gt;5</formula>
    </cfRule>
  </conditionalFormatting>
  <conditionalFormatting sqref="C120:E120">
    <cfRule type="expression" dxfId="306" priority="9" stopIfTrue="1">
      <formula>COUNT(C115:C119)&lt;&gt;5</formula>
    </cfRule>
  </conditionalFormatting>
  <conditionalFormatting sqref="E56">
    <cfRule type="expression" dxfId="305" priority="17" stopIfTrue="1">
      <formula>COUNT(E51:E55)&lt;&gt;5</formula>
    </cfRule>
  </conditionalFormatting>
  <conditionalFormatting sqref="E64">
    <cfRule type="expression" dxfId="304" priority="1" stopIfTrue="1">
      <formula>COUNT(E59:E63)&lt;&gt;5</formula>
    </cfRule>
  </conditionalFormatting>
  <conditionalFormatting sqref="E72">
    <cfRule type="expression" dxfId="303" priority="16" stopIfTrue="1">
      <formula>COUNT(E67:E71)&lt;&gt;5</formula>
    </cfRule>
  </conditionalFormatting>
  <conditionalFormatting sqref="E80">
    <cfRule type="expression" dxfId="302" priority="15" stopIfTrue="1">
      <formula>COUNT(E75:E79)&lt;&gt;5</formula>
    </cfRule>
  </conditionalFormatting>
  <conditionalFormatting sqref="E88">
    <cfRule type="expression" dxfId="301" priority="14" stopIfTrue="1">
      <formula>COUNT(E83:E87)&lt;&gt;5</formula>
    </cfRule>
  </conditionalFormatting>
  <conditionalFormatting sqref="E96">
    <cfRule type="expression" dxfId="300" priority="13" stopIfTrue="1">
      <formula>COUNT(E91:E95)&lt;&gt;5</formula>
    </cfRule>
  </conditionalFormatting>
  <conditionalFormatting sqref="E104">
    <cfRule type="expression" dxfId="299" priority="12" stopIfTrue="1">
      <formula>COUNT(E99:E103)&lt;&gt;5</formula>
    </cfRule>
  </conditionalFormatting>
  <conditionalFormatting sqref="E112">
    <cfRule type="expression" dxfId="298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59393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59393" r:id="rId4"/>
      </mc:Fallback>
    </mc:AlternateContent>
    <mc:AlternateContent xmlns:mc="http://schemas.openxmlformats.org/markup-compatibility/2006">
      <mc:Choice Requires="x14">
        <oleObject progId="Equation.3" shapeId="59394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59394" r:id="rId6"/>
      </mc:Fallback>
    </mc:AlternateContent>
    <mc:AlternateContent xmlns:mc="http://schemas.openxmlformats.org/markup-compatibility/2006">
      <mc:Choice Requires="x14">
        <oleObject progId="Equation.3" shapeId="59395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59395" r:id="rId8"/>
      </mc:Fallback>
    </mc:AlternateContent>
    <mc:AlternateContent xmlns:mc="http://schemas.openxmlformats.org/markup-compatibility/2006">
      <mc:Choice Requires="x14">
        <oleObject progId="Equation.3" shapeId="59396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59396" r:id="rId10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9'!O85</f>
        <v>-1.6819999999999999</v>
      </c>
      <c r="C2" s="37">
        <f>'PERHITUNGAN 9'!N85</f>
        <v>1.8799999999999997</v>
      </c>
      <c r="D2" s="75">
        <f>C2^2</f>
        <v>3.5343999999999989</v>
      </c>
      <c r="E2" s="37">
        <f>C2^3</f>
        <v>6.6446719999999964</v>
      </c>
      <c r="F2" s="91">
        <f>C2^4</f>
        <v>12.491983359999992</v>
      </c>
      <c r="G2" s="91">
        <f>C2^5</f>
        <v>23.484928716799981</v>
      </c>
      <c r="H2" s="91">
        <f>C2^6</f>
        <v>44.151665987583961</v>
      </c>
      <c r="I2" s="91">
        <f>C2^7</f>
        <v>83.005132056657814</v>
      </c>
      <c r="J2" s="91">
        <f>C2^8</f>
        <v>156.0496482665167</v>
      </c>
      <c r="K2" s="91">
        <f>C2^9</f>
        <v>293.37333874105133</v>
      </c>
      <c r="L2" s="91">
        <f>C2^10</f>
        <v>551.54187683317639</v>
      </c>
      <c r="Q2" s="12"/>
    </row>
    <row r="3" spans="1:24">
      <c r="A3" s="25">
        <v>2</v>
      </c>
      <c r="B3" s="37">
        <f>'PERHITUNGAN 9'!O86</f>
        <v>-0.21300000000000097</v>
      </c>
      <c r="C3" s="37">
        <f>'PERHITUNGAN 9'!N86</f>
        <v>50.56</v>
      </c>
      <c r="D3" s="75">
        <f t="shared" ref="D3:D9" si="0">C3^2</f>
        <v>2556.3136000000004</v>
      </c>
      <c r="E3" s="37">
        <f t="shared" ref="E3:E9" si="1">C3^3</f>
        <v>129247.21561600003</v>
      </c>
      <c r="F3" s="91">
        <f t="shared" ref="F3:F9" si="2">C3^4</f>
        <v>6534739.2215449624</v>
      </c>
      <c r="G3" s="91">
        <f t="shared" ref="G3:G9" si="3">C3^5</f>
        <v>330396415.04131329</v>
      </c>
      <c r="H3" s="91">
        <f t="shared" ref="H3:H9" si="4">C3^6</f>
        <v>16704842744.488804</v>
      </c>
      <c r="I3" s="91">
        <f t="shared" ref="I3:I9" si="5">C3^7</f>
        <v>844596849161.354</v>
      </c>
      <c r="J3" s="91">
        <f t="shared" ref="J3:J9" si="6">C3^8</f>
        <v>42702816693598.063</v>
      </c>
      <c r="K3" s="91">
        <f t="shared" ref="K3:K9" si="7">C3^9</f>
        <v>2159054412028318.3</v>
      </c>
      <c r="L3" s="91">
        <f t="shared" ref="L3:L9" si="8">C3^10</f>
        <v>1.0916179107215178E+17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9'!O87</f>
        <v>-0.44499999999999318</v>
      </c>
      <c r="C4" s="37">
        <f>'PERHITUNGAN 9'!N87</f>
        <v>100.33</v>
      </c>
      <c r="D4" s="75">
        <f t="shared" si="0"/>
        <v>10066.108899999999</v>
      </c>
      <c r="E4" s="37">
        <f t="shared" si="1"/>
        <v>1009932.7059369999</v>
      </c>
      <c r="F4" s="91">
        <f t="shared" si="2"/>
        <v>101326548.38665919</v>
      </c>
      <c r="G4" s="91">
        <f t="shared" si="3"/>
        <v>10166092599.633516</v>
      </c>
      <c r="H4" s="91">
        <f t="shared" si="4"/>
        <v>1019964070521.2306</v>
      </c>
      <c r="I4" s="91">
        <f t="shared" si="5"/>
        <v>102332995195395.06</v>
      </c>
      <c r="J4" s="91">
        <f t="shared" si="6"/>
        <v>1.0267069407953986E+16</v>
      </c>
      <c r="K4" s="91">
        <f t="shared" si="7"/>
        <v>1.0300950737000234E+18</v>
      </c>
      <c r="L4" s="91">
        <f t="shared" si="8"/>
        <v>1.0334943874432334E+20</v>
      </c>
      <c r="R4" s="414" t="str">
        <f>IF('PERHITUNGAN 1'!$C$2="Celcius","(°C)","(°F)")</f>
        <v>(°C)</v>
      </c>
      <c r="S4" s="415"/>
      <c r="T4" s="5" t="str">
        <f>IF('PERHITUNGAN 1'!$C$2="Celcius","(°C)","(°F)")</f>
        <v>(°C)</v>
      </c>
      <c r="U4" s="14"/>
      <c r="V4" s="1"/>
    </row>
    <row r="5" spans="1:24">
      <c r="A5" s="25">
        <v>4</v>
      </c>
      <c r="B5" s="37">
        <f>'PERHITUNGAN 9'!O88</f>
        <v>-0.21100000000001273</v>
      </c>
      <c r="C5" s="37">
        <f>'PERHITUNGAN 9'!N88</f>
        <v>149.93</v>
      </c>
      <c r="D5" s="75">
        <f t="shared" si="0"/>
        <v>22479.004900000004</v>
      </c>
      <c r="E5" s="37">
        <f t="shared" si="1"/>
        <v>3370277.2046570005</v>
      </c>
      <c r="F5" s="91">
        <f t="shared" si="2"/>
        <v>505305661.29422414</v>
      </c>
      <c r="G5" s="91">
        <f t="shared" si="3"/>
        <v>75760477797.843033</v>
      </c>
      <c r="H5" s="91">
        <f t="shared" si="4"/>
        <v>11358768436230.607</v>
      </c>
      <c r="I5" s="91">
        <f t="shared" si="5"/>
        <v>1703020151644054.8</v>
      </c>
      <c r="J5" s="91">
        <f t="shared" si="6"/>
        <v>2.5533381133599318E+17</v>
      </c>
      <c r="K5" s="91">
        <f t="shared" si="7"/>
        <v>3.8282198333605462E+19</v>
      </c>
      <c r="L5" s="91">
        <f t="shared" si="8"/>
        <v>5.7396499961574672E+21</v>
      </c>
      <c r="R5" s="412"/>
      <c r="S5" s="413"/>
      <c r="T5" s="21"/>
      <c r="U5" s="32"/>
    </row>
    <row r="6" spans="1:24">
      <c r="A6" s="25">
        <v>5</v>
      </c>
      <c r="B6" s="37">
        <f>'PERHITUNGAN 9'!O89</f>
        <v>0.25600000000000023</v>
      </c>
      <c r="C6" s="37">
        <f>'PERHITUNGAN 9'!N89</f>
        <v>199.21</v>
      </c>
      <c r="D6" s="75">
        <f t="shared" si="0"/>
        <v>39684.624100000001</v>
      </c>
      <c r="E6" s="37">
        <f t="shared" si="1"/>
        <v>7905573.9669610001</v>
      </c>
      <c r="F6" s="91">
        <f t="shared" si="2"/>
        <v>1574869389.9583008</v>
      </c>
      <c r="G6" s="91">
        <f t="shared" si="3"/>
        <v>313729731173.59314</v>
      </c>
      <c r="H6" s="91">
        <f t="shared" si="4"/>
        <v>62498099747091.484</v>
      </c>
      <c r="I6" s="91">
        <f t="shared" si="5"/>
        <v>1.2450246450618094E+16</v>
      </c>
      <c r="J6" s="91">
        <f t="shared" si="6"/>
        <v>2.4802135954276306E+18</v>
      </c>
      <c r="K6" s="91">
        <f t="shared" si="7"/>
        <v>4.9408335034513831E+20</v>
      </c>
      <c r="L6" s="91">
        <f t="shared" si="8"/>
        <v>9.8426344222255005E+22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9'!O90</f>
        <v>0.23799999999999955</v>
      </c>
      <c r="C7" s="37">
        <f>'PERHITUNGAN 9'!N90</f>
        <v>249.24</v>
      </c>
      <c r="D7" s="75">
        <f t="shared" si="0"/>
        <v>62120.577600000004</v>
      </c>
      <c r="E7" s="37">
        <f t="shared" si="1"/>
        <v>15482932.761024002</v>
      </c>
      <c r="F7" s="91">
        <f t="shared" si="2"/>
        <v>3858966161.3576221</v>
      </c>
      <c r="G7" s="91">
        <f t="shared" si="3"/>
        <v>961808726056.7738</v>
      </c>
      <c r="H7" s="91">
        <f t="shared" si="4"/>
        <v>239721206882390.31</v>
      </c>
      <c r="I7" s="91">
        <f t="shared" si="5"/>
        <v>5.974811360336696E+16</v>
      </c>
      <c r="J7" s="91">
        <f t="shared" si="6"/>
        <v>1.4891619834503182E+19</v>
      </c>
      <c r="K7" s="91">
        <f t="shared" si="7"/>
        <v>3.7115873275515733E+21</v>
      </c>
      <c r="L7" s="91">
        <f t="shared" si="8"/>
        <v>9.2507602551895417E+23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9'!O91</f>
        <v>0.18299999999999272</v>
      </c>
      <c r="C8" s="37">
        <f>'PERHITUNGAN 9'!N91</f>
        <v>259.37</v>
      </c>
      <c r="D8" s="75">
        <f t="shared" si="0"/>
        <v>67272.796900000001</v>
      </c>
      <c r="E8" s="37">
        <f t="shared" si="1"/>
        <v>17448545.331953</v>
      </c>
      <c r="F8" s="91">
        <f t="shared" si="2"/>
        <v>4525629202.7486496</v>
      </c>
      <c r="G8" s="91">
        <f t="shared" si="3"/>
        <v>1173812446316.9172</v>
      </c>
      <c r="H8" s="91">
        <f t="shared" si="4"/>
        <v>304451734201218.81</v>
      </c>
      <c r="I8" s="91">
        <f t="shared" si="5"/>
        <v>7.8965646299770128E+16</v>
      </c>
      <c r="J8" s="91">
        <f t="shared" si="6"/>
        <v>2.0481319680771379E+19</v>
      </c>
      <c r="K8" s="91">
        <f t="shared" si="7"/>
        <v>5.3122398856016728E+21</v>
      </c>
      <c r="L8" s="91">
        <f t="shared" si="8"/>
        <v>1.3778356591285059E+24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9'!O92</f>
        <v>0</v>
      </c>
      <c r="C9" s="37" t="e">
        <f>'PERHITUNGAN 9'!N92</f>
        <v>#DIV/0!</v>
      </c>
      <c r="D9" s="75" t="e">
        <f t="shared" si="0"/>
        <v>#DIV/0!</v>
      </c>
      <c r="E9" s="37" t="e">
        <f t="shared" si="1"/>
        <v>#DIV/0!</v>
      </c>
      <c r="F9" s="91" t="e">
        <f t="shared" si="2"/>
        <v>#DIV/0!</v>
      </c>
      <c r="G9" s="91" t="e">
        <f t="shared" si="3"/>
        <v>#DIV/0!</v>
      </c>
      <c r="H9" s="91" t="e">
        <f t="shared" si="4"/>
        <v>#DIV/0!</v>
      </c>
      <c r="I9" s="91" t="e">
        <f t="shared" si="5"/>
        <v>#DIV/0!</v>
      </c>
      <c r="J9" s="91" t="e">
        <f t="shared" si="6"/>
        <v>#DIV/0!</v>
      </c>
      <c r="K9" s="91" t="e">
        <f t="shared" si="7"/>
        <v>#DIV/0!</v>
      </c>
      <c r="L9" s="91" t="e">
        <f t="shared" si="8"/>
        <v>#DIV/0!</v>
      </c>
      <c r="R9" s="408"/>
      <c r="S9" s="409"/>
      <c r="T9" s="23"/>
      <c r="U9" s="27"/>
      <c r="V9" s="88"/>
    </row>
    <row r="10" spans="1:24">
      <c r="A10" s="25">
        <v>9</v>
      </c>
      <c r="B10" s="37">
        <f>'PERHITUNGAN 9'!O93</f>
        <v>0</v>
      </c>
      <c r="C10" s="37" t="e">
        <f>'PERHITUNGAN 9'!N93</f>
        <v>#DIV/0!</v>
      </c>
      <c r="D10" s="75" t="e">
        <f>C10^2</f>
        <v>#DIV/0!</v>
      </c>
      <c r="E10" s="37" t="e">
        <f>C10^3</f>
        <v>#DIV/0!</v>
      </c>
      <c r="F10" s="91" t="e">
        <f>C10^4</f>
        <v>#DIV/0!</v>
      </c>
      <c r="G10" s="91" t="e">
        <f>C10^5</f>
        <v>#DIV/0!</v>
      </c>
      <c r="H10" s="91" t="e">
        <f>C10^6</f>
        <v>#DIV/0!</v>
      </c>
      <c r="I10" s="91" t="e">
        <f>C10^7</f>
        <v>#DIV/0!</v>
      </c>
      <c r="J10" s="91" t="e">
        <f>C10^8</f>
        <v>#DIV/0!</v>
      </c>
      <c r="K10" s="91" t="e">
        <f>C10^9</f>
        <v>#DIV/0!</v>
      </c>
      <c r="L10" s="91" t="e">
        <f>C10^10</f>
        <v>#DIV/0!</v>
      </c>
      <c r="R10" s="408"/>
      <c r="S10" s="409"/>
      <c r="T10" s="23"/>
      <c r="U10" s="27"/>
      <c r="V10" s="88"/>
    </row>
    <row r="11" spans="1:24">
      <c r="A11" s="25">
        <v>10</v>
      </c>
      <c r="B11" s="37">
        <f>'PERHITUNGAN 9'!O94</f>
        <v>0</v>
      </c>
      <c r="C11" s="37" t="e">
        <f>'PERHITUNGAN 9'!N94</f>
        <v>#DIV/0!</v>
      </c>
      <c r="D11" s="75" t="e">
        <f>C11^2</f>
        <v>#DIV/0!</v>
      </c>
      <c r="E11" s="37" t="e">
        <f>C11^3</f>
        <v>#DIV/0!</v>
      </c>
      <c r="F11" s="91" t="e">
        <f>C11^4</f>
        <v>#DIV/0!</v>
      </c>
      <c r="G11" s="91" t="e">
        <f>C11^5</f>
        <v>#DIV/0!</v>
      </c>
      <c r="H11" s="91" t="e">
        <f>C11^6</f>
        <v>#DIV/0!</v>
      </c>
      <c r="I11" s="91" t="e">
        <f>C11^7</f>
        <v>#DIV/0!</v>
      </c>
      <c r="J11" s="91" t="e">
        <f>C11^8</f>
        <v>#DIV/0!</v>
      </c>
      <c r="K11" s="91" t="e">
        <f>C11^9</f>
        <v>#DIV/0!</v>
      </c>
      <c r="L11" s="91" t="e">
        <f>C11^10</f>
        <v>#DIV/0!</v>
      </c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f>'REGRESI 8'!R19:S19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-0.84383395695430652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8'!R20:S20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-0.47568384008438525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8'!R21:S21</f>
        <v>25</v>
      </c>
      <c r="S21" s="409"/>
      <c r="T21" s="23">
        <f t="shared" si="9"/>
        <v>0.16880773779408209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8'!R22:S22</f>
        <v>50</v>
      </c>
      <c r="S22" s="409"/>
      <c r="T22" s="23">
        <f t="shared" si="9"/>
        <v>0.47457789091765878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8'!R23:S23</f>
        <v>100</v>
      </c>
      <c r="S23" s="409"/>
      <c r="T23" s="23">
        <f t="shared" si="9"/>
        <v>0.34694475838522654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8'!R24:S24</f>
        <v>125</v>
      </c>
      <c r="S24" s="409"/>
      <c r="T24" s="23">
        <f t="shared" si="9"/>
        <v>5.2036890471761188E-2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8'!R25:S25</f>
        <v>150</v>
      </c>
      <c r="S25" s="409"/>
      <c r="T25" s="23">
        <f t="shared" si="9"/>
        <v>-0.30460156671150873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8'!R26:S26</f>
        <v>200</v>
      </c>
      <c r="S26" s="409"/>
      <c r="T26" s="23">
        <f t="shared" si="9"/>
        <v>-0.9260794134023751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8'!R27:S27</f>
        <v>0</v>
      </c>
      <c r="S27" s="409"/>
      <c r="T27" s="23">
        <f t="shared" si="9"/>
        <v>-0.47568384008438525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8'!R28:S28</f>
        <v>0</v>
      </c>
      <c r="S28" s="409"/>
      <c r="T28" s="23">
        <f t="shared" si="9"/>
        <v>-0.47568384008438525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0.93312900601753612</v>
      </c>
      <c r="Q33" s="31" t="s">
        <v>100</v>
      </c>
      <c r="U33" s="70"/>
    </row>
    <row r="34" spans="2:24">
      <c r="B34" t="s">
        <v>76</v>
      </c>
      <c r="C34">
        <v>0.87072974187127494</v>
      </c>
      <c r="X34" s="46"/>
    </row>
    <row r="35" spans="2:24">
      <c r="B35" t="s">
        <v>77</v>
      </c>
      <c r="C35">
        <v>0.77377704827473126</v>
      </c>
      <c r="Q35" t="s">
        <v>99</v>
      </c>
    </row>
    <row r="36" spans="2:24">
      <c r="B36" t="s">
        <v>78</v>
      </c>
      <c r="C36">
        <v>0.26893484904419435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-0.47568384008438525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0"/>
        <v>3.3477394395186794E-2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-3.263753069009298E-4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1.9486727828782995</v>
      </c>
      <c r="E41">
        <v>0.64955759429276649</v>
      </c>
      <c r="F41">
        <v>8.9809752526804996</v>
      </c>
      <c r="G41">
        <v>2.9948078026902344E-2</v>
      </c>
      <c r="R41" s="26" t="s">
        <v>112</v>
      </c>
      <c r="S41">
        <f t="shared" si="10"/>
        <v>7.3864222796023052E-7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0.28930381212169437</v>
      </c>
      <c r="E42">
        <v>7.2325953030423593E-2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2.2379765949999939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-0.47568384008438525</v>
      </c>
      <c r="D46">
        <v>0.16139238249362756</v>
      </c>
      <c r="E46">
        <v>-2.9473747938702575</v>
      </c>
      <c r="F46">
        <v>4.2079087848152182E-2</v>
      </c>
      <c r="G46">
        <v>-0.92378093047502752</v>
      </c>
      <c r="H46">
        <v>-2.7586749693742973E-2</v>
      </c>
      <c r="I46">
        <v>-0.92378093047502752</v>
      </c>
      <c r="J46">
        <v>-2.7586749693742973E-2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3.3477394395186794E-2</v>
      </c>
      <c r="D47">
        <v>9.2166656371758318E-3</v>
      </c>
      <c r="E47">
        <v>3.6322674287059118</v>
      </c>
      <c r="F47">
        <v>2.211544077360994E-2</v>
      </c>
      <c r="G47">
        <v>7.8878282006052541E-3</v>
      </c>
      <c r="H47">
        <v>5.9066960589768333E-2</v>
      </c>
      <c r="I47">
        <v>7.8878282006052541E-3</v>
      </c>
      <c r="J47">
        <v>5.9066960589768333E-2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-3.263753069009298E-4</v>
      </c>
      <c r="D48">
        <v>1.2225643737037882E-4</v>
      </c>
      <c r="E48">
        <v>-2.6695960877067599</v>
      </c>
      <c r="F48">
        <v>5.5829456066778409E-2</v>
      </c>
      <c r="G48">
        <v>-6.6581359401683866E-4</v>
      </c>
      <c r="H48">
        <v>1.3062980214979055E-5</v>
      </c>
      <c r="I48">
        <v>-6.6581359401683866E-4</v>
      </c>
      <c r="J48">
        <v>1.3062980214979055E-5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7.3864222796023052E-7</v>
      </c>
      <c r="D49" s="67">
        <v>4.1085185138921751E-7</v>
      </c>
      <c r="E49" s="67">
        <v>1.7978310806259048</v>
      </c>
      <c r="F49" s="67">
        <v>0.14660794871883259</v>
      </c>
      <c r="G49" s="67">
        <v>-4.020653837908136E-7</v>
      </c>
      <c r="H49" s="67">
        <v>1.8793498397112747E-6</v>
      </c>
      <c r="I49" s="67">
        <v>-4.020653837908136E-7</v>
      </c>
      <c r="J49" s="67">
        <v>1.8793498397112747E-6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F3E2A-F056-4848-A4E6-2268F60A04B6}">
  <dimension ref="A1:AH187"/>
  <sheetViews>
    <sheetView workbookViewId="0">
      <selection activeCell="I10" sqref="I10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1'!E5</f>
        <v>Termometer Digital</v>
      </c>
      <c r="F5" s="11"/>
      <c r="G5" s="11" t="s">
        <v>127</v>
      </c>
      <c r="H5" s="11" t="s">
        <v>16</v>
      </c>
      <c r="I5" s="66" t="str">
        <f>'PERHITUNGAN 1'!I5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1'!E6</f>
        <v>Hioki / LR 8431-20</v>
      </c>
      <c r="F6" s="11"/>
      <c r="G6" s="11" t="s">
        <v>128</v>
      </c>
      <c r="H6" s="11" t="s">
        <v>16</v>
      </c>
      <c r="I6" s="129">
        <f>'PERHITUNGAN 1'!I6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1'!E7</f>
        <v>210149173</v>
      </c>
      <c r="F7" s="11"/>
      <c r="G7" s="11" t="s">
        <v>44</v>
      </c>
      <c r="H7" s="11" t="s">
        <v>16</v>
      </c>
      <c r="I7" s="31" t="s">
        <v>229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1'!D24</f>
        <v>22</v>
      </c>
      <c r="E23" s="244">
        <f>'PERHITUNGAN 1'!E24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1'!D25</f>
        <v>22</v>
      </c>
      <c r="E24" s="244">
        <f>'PERHITUNGAN 1'!E25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1'!D28</f>
        <v>20</v>
      </c>
      <c r="E27" s="244">
        <f>'PERHITUNGAN 1'!E28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1'!D29</f>
        <v>20</v>
      </c>
      <c r="E28" s="244">
        <f>'PERHITUNGAN 1'!E29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1'!D33</f>
        <v>55</v>
      </c>
      <c r="E32" s="244">
        <f>'PERHITUNGAN 1'!E33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1'!D34</f>
        <v>55</v>
      </c>
      <c r="E33" s="244">
        <f>'PERHITUNGAN 1'!E34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 t="e">
        <f>F48</f>
        <v>#DIV/0!</v>
      </c>
      <c r="P36" s="380" t="e">
        <f>F56</f>
        <v>#DIV/0!</v>
      </c>
      <c r="Q36" s="380">
        <f>F64</f>
        <v>0</v>
      </c>
      <c r="R36" s="380">
        <f>F72</f>
        <v>0</v>
      </c>
      <c r="S36" s="380">
        <f>F80</f>
        <v>0</v>
      </c>
      <c r="T36" s="380">
        <f>F88</f>
        <v>0</v>
      </c>
      <c r="U36" s="380">
        <f>F96</f>
        <v>0</v>
      </c>
      <c r="V36" s="380">
        <f>F104</f>
        <v>0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 t="e">
        <f>IF('PERHITUNGAN 10'!$E$11="Burn Engr",IF(O36&lt;=$AA$38,$AB$38,$AB$39),IF(O36&lt;=$AC$38,$AD$38,IF(O36&lt;=$AC$39,$AD$39,$AD$40)))</f>
        <v>#DIV/0!</v>
      </c>
      <c r="P38" s="54" t="e">
        <f>IF('PERHITUNGAN 10'!$E$11="Burn Engr",IF(P36&lt;=$AA$38,$AB$38,$AB$39),IF(P36&lt;=$AC$38,$AD$38,IF(P36&lt;=$AC$39,$AD$39,$AD$40)))</f>
        <v>#DIV/0!</v>
      </c>
      <c r="Q38" s="54">
        <f>IF('PERHITUNGAN 10'!$E$11="Burn Engr",IF(Q36&lt;=$AA$38,$AB$38,$AB$39),IF(Q36&lt;=$AC$38,$AD$38,IF(Q36&lt;=$AC$39,$AD$39,$AD$40)))</f>
        <v>0.02</v>
      </c>
      <c r="R38" s="54">
        <f>IF('PERHITUNGAN 10'!$E$11="Burn Engr",IF(R36&lt;=$AA$38,$AB$38,$AB$39),IF(R36&lt;=$AC$38,$AD$38,IF(R36&lt;=$AC$39,$AD$39,$AD$40)))</f>
        <v>0.02</v>
      </c>
      <c r="S38" s="54">
        <f>IF('PERHITUNGAN 10'!$E$11="Burn Engr",IF(S36&lt;=$AA$38,$AB$38,$AB$39),IF(S36&lt;=$AC$38,$AD$38,IF(S36&lt;=$AC$39,$AD$39,$AD$40)))</f>
        <v>0.02</v>
      </c>
      <c r="T38" s="54">
        <f>IF('PERHITUNGAN 10'!$E$11="Burn Engr",IF(T36&lt;=$AA$38,$AB$38,$AB$39),IF(T36&lt;=$AC$38,$AD$38,IF(T36&lt;=$AC$39,$AD$39,$AD$40)))</f>
        <v>0.02</v>
      </c>
      <c r="U38" s="54">
        <f>IF('PERHITUNGAN 10'!$E$11="Burn Engr",IF(U36&lt;=$AA$38,$AB$38,$AB$39),IF(U36&lt;=$AC$38,$AD$38,IF(U36&lt;=$AC$39,$AD$39,$AD$40)))</f>
        <v>0.02</v>
      </c>
      <c r="V38" s="54">
        <f>IF('PERHITUNGAN 10'!$E$11="Burn Engr",IF(V36&lt;=$AA$38,$AB$38,$AB$39),IF(V36&lt;=$AC$38,$AD$38,IF(V36&lt;=$AC$39,$AD$39,$AD$40)))</f>
        <v>0.02</v>
      </c>
      <c r="W38" s="54">
        <f>IF('PERHITUNGAN 10'!$E$11="Burn Engr",IF(W36&lt;=$AA$38,$AB$38,$AB$39),IF(W36&lt;=$AC$38,$AD$38,IF(W36&lt;=$AC$39,$AD$39,$AD$40)))</f>
        <v>0.02</v>
      </c>
      <c r="X38" s="54">
        <f>IF('PERHITUNGAN 10'!$E$11="Burn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 t="e">
        <f>O38/O39</f>
        <v>#DIV/0!</v>
      </c>
      <c r="P40" s="37" t="e">
        <f t="shared" ref="P40:X40" si="1">P38/P39</f>
        <v>#DIV/0!</v>
      </c>
      <c r="Q40" s="37">
        <f t="shared" si="1"/>
        <v>0.01</v>
      </c>
      <c r="R40" s="37">
        <f>R38/R39</f>
        <v>0.01</v>
      </c>
      <c r="S40" s="37">
        <f t="shared" si="1"/>
        <v>0.01</v>
      </c>
      <c r="T40" s="37">
        <f t="shared" si="1"/>
        <v>0.01</v>
      </c>
      <c r="U40" s="37">
        <f t="shared" si="1"/>
        <v>0.01</v>
      </c>
      <c r="V40" s="37">
        <f t="shared" si="1"/>
        <v>0.01</v>
      </c>
      <c r="W40" s="37">
        <f t="shared" si="1"/>
        <v>0.01</v>
      </c>
      <c r="X40" s="37">
        <f t="shared" si="1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/>
      <c r="C43" s="373"/>
      <c r="D43" s="374"/>
      <c r="E43" s="90"/>
      <c r="F43" s="37"/>
      <c r="G43" s="90"/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/>
      <c r="D44" s="374"/>
      <c r="E44" s="90"/>
      <c r="F44" s="37"/>
      <c r="G44" s="90"/>
      <c r="H44" s="63"/>
      <c r="I44" s="63"/>
      <c r="AB44" s="1"/>
    </row>
    <row r="45" spans="1:30" ht="13.5" customHeight="1">
      <c r="A45" s="105"/>
      <c r="C45" s="373"/>
      <c r="D45" s="374"/>
      <c r="E45" s="90"/>
      <c r="F45" s="37"/>
      <c r="G45" s="90"/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/>
      <c r="D46" s="374"/>
      <c r="E46" s="90"/>
      <c r="F46" s="37"/>
      <c r="G46" s="90"/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/>
      <c r="D47" s="374"/>
      <c r="E47" s="90"/>
      <c r="F47" s="37"/>
      <c r="G47" s="90"/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 t="e">
        <f>AVERAGE(C43:D47)</f>
        <v>#DIV/0!</v>
      </c>
      <c r="D48" s="357"/>
      <c r="E48" s="95" t="e">
        <f>AVERAGE(E43:E47)</f>
        <v>#DIV/0!</v>
      </c>
      <c r="F48" s="95" t="e">
        <f>AVERAGE(F43:F47)</f>
        <v>#DIV/0!</v>
      </c>
      <c r="G48" s="95">
        <f>SUM(G43:G47)/5</f>
        <v>0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 t="e">
        <f>_xlfn.STDEV.S(G43:G47)</f>
        <v>#DIV/0!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 t="e">
        <f>G49/SQRT(5)</f>
        <v>#DIV/0!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/>
      <c r="C51" s="373"/>
      <c r="D51" s="374"/>
      <c r="E51" s="90"/>
      <c r="F51" s="37"/>
      <c r="G51" s="90"/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/>
      <c r="D52" s="374"/>
      <c r="E52" s="90"/>
      <c r="F52" s="37"/>
      <c r="G52" s="90"/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/>
      <c r="D53" s="374"/>
      <c r="E53" s="90"/>
      <c r="F53" s="37"/>
      <c r="G53" s="90"/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/>
      <c r="D54" s="374"/>
      <c r="E54" s="90"/>
      <c r="F54" s="37"/>
      <c r="G54" s="90"/>
      <c r="H54" s="63"/>
      <c r="I54" s="63"/>
      <c r="AB54" s="1"/>
    </row>
    <row r="55" spans="1:28" ht="13.5" customHeight="1">
      <c r="A55" s="10"/>
      <c r="C55" s="373"/>
      <c r="D55" s="374"/>
      <c r="E55" s="90"/>
      <c r="F55" s="37"/>
      <c r="G55" s="90"/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 t="e">
        <f>AVERAGE(C51:D55)</f>
        <v>#DIV/0!</v>
      </c>
      <c r="D56" s="334"/>
      <c r="E56" s="95" t="e">
        <f>AVERAGE(E51:E55)</f>
        <v>#DIV/0!</v>
      </c>
      <c r="F56" s="95" t="e">
        <f>AVERAGE(F51:F55)</f>
        <v>#DIV/0!</v>
      </c>
      <c r="G56" s="95">
        <f>SUM(G51:G55)/5</f>
        <v>0</v>
      </c>
      <c r="H56" s="63"/>
      <c r="I56" s="63"/>
      <c r="N56" s="390"/>
      <c r="O56" s="115" t="e">
        <f>C48</f>
        <v>#DIV/0!</v>
      </c>
      <c r="P56" s="115" t="e">
        <f>C56</f>
        <v>#DIV/0!</v>
      </c>
      <c r="Q56" s="115" t="e">
        <f>C64</f>
        <v>#DIV/0!</v>
      </c>
      <c r="R56" s="115" t="e">
        <f>C72</f>
        <v>#DIV/0!</v>
      </c>
      <c r="S56" s="115" t="e">
        <f>C80</f>
        <v>#DIV/0!</v>
      </c>
      <c r="T56" s="115" t="e">
        <f>C88</f>
        <v>#DIV/0!</v>
      </c>
      <c r="U56" s="115" t="e">
        <f>C96</f>
        <v>#DIV/0!</v>
      </c>
      <c r="V56" s="115" t="e">
        <f>C104</f>
        <v>#DIV/0!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 t="e">
        <f>_xlfn.STDEV.S(G51:G55)</f>
        <v>#DIV/0!</v>
      </c>
      <c r="H57" s="44"/>
      <c r="I57" s="63"/>
      <c r="N57" s="25" t="s">
        <v>152</v>
      </c>
      <c r="O57" s="112" t="e">
        <f>$G$49/5^0.5</f>
        <v>#DIV/0!</v>
      </c>
      <c r="P57" s="112" t="e">
        <f>$G$57/5^0.5</f>
        <v>#DIV/0!</v>
      </c>
      <c r="Q57" s="112" t="e">
        <f>$G$65/5^0.5</f>
        <v>#DIV/0!</v>
      </c>
      <c r="R57" s="112" t="e">
        <f>$G$73/5^0.5</f>
        <v>#DIV/0!</v>
      </c>
      <c r="S57" s="112" t="e">
        <f>$G$81/5^0.5</f>
        <v>#DIV/0!</v>
      </c>
      <c r="T57" s="112" t="e">
        <f>$G$89/5^0.5</f>
        <v>#DIV/0!</v>
      </c>
      <c r="U57" s="112" t="e">
        <f>$G$97/5^0.5</f>
        <v>#DIV/0!</v>
      </c>
      <c r="V57" s="112" t="e">
        <f>$G$105/5^0.5</f>
        <v>#DIV/0!</v>
      </c>
      <c r="W57" s="112" t="e">
        <f>$G$113/5^0.5</f>
        <v>#DIV/0!</v>
      </c>
      <c r="X57" s="112" t="e">
        <f>$G$121/5^0.5</f>
        <v>#DIV/0!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 t="e">
        <f>G57/SQRT(5)</f>
        <v>#DIV/0!</v>
      </c>
      <c r="H58" s="44"/>
      <c r="I58" s="63"/>
      <c r="N58" s="25" t="s">
        <v>153</v>
      </c>
      <c r="O58" s="113">
        <f>IF('DRAFT-SERTIF'!$O$27="Ya",'REGRESI 10'!$C$36,0)</f>
        <v>0.92539343133017926</v>
      </c>
      <c r="P58" s="113">
        <f>IF('DRAFT-SERTIF'!$O$27="Ya",'REGRESI 10'!$C$36,0)</f>
        <v>0.92539343133017926</v>
      </c>
      <c r="Q58" s="113">
        <f>IF('DRAFT-SERTIF'!$O$27="Ya",'REGRESI 10'!$C$36,0)</f>
        <v>0.92539343133017926</v>
      </c>
      <c r="R58" s="113">
        <f>IF('DRAFT-SERTIF'!$O$27="Ya",'REGRESI 10'!$C$36,0)</f>
        <v>0.92539343133017926</v>
      </c>
      <c r="S58" s="113">
        <f>IF('DRAFT-SERTIF'!$O$27="Ya",'REGRESI 10'!$C$36,0)</f>
        <v>0.92539343133017926</v>
      </c>
      <c r="T58" s="113">
        <f>IF('DRAFT-SERTIF'!$O$27="Ya",'REGRESI 10'!$C$36,0)</f>
        <v>0.92539343133017926</v>
      </c>
      <c r="U58" s="113">
        <f>IF('DRAFT-SERTIF'!$O$27="Ya",'REGRESI 10'!$C$36,0)</f>
        <v>0.92539343133017926</v>
      </c>
      <c r="V58" s="113">
        <f>IF('DRAFT-SERTIF'!$O$27="Ya",'REGRESI 10'!$C$36,0)</f>
        <v>0.92539343133017926</v>
      </c>
      <c r="W58" s="113">
        <f>IF('DRAFT-SERTIF'!$O$27="Ya",'REGRESI 10'!$C$36,0)</f>
        <v>0.92539343133017926</v>
      </c>
      <c r="X58" s="113">
        <f>IF('DRAFT-SERTIF'!$O$27="Ya",'REGRESI 10'!$C$36,0)</f>
        <v>0.92539343133017926</v>
      </c>
      <c r="AB58" s="1"/>
    </row>
    <row r="59" spans="1:28" ht="13.5" customHeight="1">
      <c r="A59" s="105">
        <v>3</v>
      </c>
      <c r="B59" s="196"/>
      <c r="C59" s="327"/>
      <c r="D59" s="327"/>
      <c r="E59" s="15"/>
      <c r="F59" s="37"/>
      <c r="G59" s="90"/>
      <c r="H59" s="63"/>
      <c r="I59" s="63"/>
      <c r="N59" s="25" t="s">
        <v>154</v>
      </c>
      <c r="O59" s="91" t="e">
        <f t="shared" ref="O59:X59" si="3">O40</f>
        <v>#DIV/0!</v>
      </c>
      <c r="P59" s="91" t="e">
        <f t="shared" si="3"/>
        <v>#DIV/0!</v>
      </c>
      <c r="Q59" s="91">
        <f t="shared" si="3"/>
        <v>0.01</v>
      </c>
      <c r="R59" s="91">
        <f t="shared" si="3"/>
        <v>0.01</v>
      </c>
      <c r="S59" s="91">
        <f t="shared" si="3"/>
        <v>0.01</v>
      </c>
      <c r="T59" s="91">
        <f t="shared" si="3"/>
        <v>0.01</v>
      </c>
      <c r="U59" s="91">
        <f t="shared" si="3"/>
        <v>0.01</v>
      </c>
      <c r="V59" s="91">
        <f t="shared" si="3"/>
        <v>0.01</v>
      </c>
      <c r="W59" s="91">
        <f t="shared" si="3"/>
        <v>0.01</v>
      </c>
      <c r="X59" s="91">
        <f t="shared" si="3"/>
        <v>0.01</v>
      </c>
    </row>
    <row r="60" spans="1:28">
      <c r="A60" s="10"/>
      <c r="C60" s="327"/>
      <c r="D60" s="327"/>
      <c r="E60" s="15"/>
      <c r="F60" s="37"/>
      <c r="G60" s="90"/>
      <c r="H60" s="63"/>
      <c r="I60" s="63"/>
      <c r="N60" s="133" t="s">
        <v>155</v>
      </c>
      <c r="O60" s="134">
        <f>'PERHITUNGAN 1'!O61</f>
        <v>1.5000000000000003E-2</v>
      </c>
      <c r="P60" s="134">
        <f>'PERHITUNGAN 1'!P61</f>
        <v>0.01</v>
      </c>
      <c r="Q60" s="134">
        <f>'PERHITUNGAN 1'!Q61</f>
        <v>5.0000000000000001E-3</v>
      </c>
      <c r="R60" s="134">
        <f>'PERHITUNGAN 1'!R61</f>
        <v>1.4999999999999999E-2</v>
      </c>
      <c r="S60" s="134">
        <f>'PERHITUNGAN 1'!S61</f>
        <v>5.0000000000000001E-3</v>
      </c>
      <c r="T60" s="134">
        <f>'PERHITUNGAN 1'!T61</f>
        <v>0.05</v>
      </c>
      <c r="U60" s="134">
        <f>'PERHITUNGAN 1'!U61</f>
        <v>0.05</v>
      </c>
      <c r="V60" s="134">
        <f>'PERHITUNGAN 1'!V61</f>
        <v>1.5000000000000003E-2</v>
      </c>
      <c r="W60" s="134">
        <f>'PERHITUNGAN 1'!W61</f>
        <v>1.4999999999999999E-2</v>
      </c>
      <c r="X60" s="134">
        <f>'PERHITUNGAN 1'!X61</f>
        <v>1.4999999999999999E-2</v>
      </c>
    </row>
    <row r="61" spans="1:28">
      <c r="A61" s="10"/>
      <c r="C61" s="327"/>
      <c r="D61" s="327"/>
      <c r="E61" s="15"/>
      <c r="F61" s="37"/>
      <c r="G61" s="90"/>
      <c r="H61" s="63"/>
      <c r="I61" s="63"/>
      <c r="N61" s="25" t="s">
        <v>156</v>
      </c>
      <c r="O61" s="20" t="e">
        <f t="shared" ref="O61:X61" si="4">(0.1*O38)/SQRT(3)</f>
        <v>#DIV/0!</v>
      </c>
      <c r="P61" s="20" t="e">
        <f t="shared" si="4"/>
        <v>#DIV/0!</v>
      </c>
      <c r="Q61" s="20">
        <f t="shared" si="4"/>
        <v>1.1547005383792516E-3</v>
      </c>
      <c r="R61" s="20">
        <f t="shared" si="4"/>
        <v>1.1547005383792516E-3</v>
      </c>
      <c r="S61" s="20">
        <f t="shared" si="4"/>
        <v>1.1547005383792516E-3</v>
      </c>
      <c r="T61" s="20">
        <f t="shared" si="4"/>
        <v>1.1547005383792516E-3</v>
      </c>
      <c r="U61" s="20">
        <f t="shared" si="4"/>
        <v>1.1547005383792516E-3</v>
      </c>
      <c r="V61" s="20">
        <f t="shared" si="4"/>
        <v>1.1547005383792516E-3</v>
      </c>
      <c r="W61" s="20">
        <f t="shared" si="4"/>
        <v>1.1547005383792516E-3</v>
      </c>
      <c r="X61" s="20">
        <f t="shared" si="4"/>
        <v>1.1547005383792516E-3</v>
      </c>
    </row>
    <row r="62" spans="1:28">
      <c r="A62" s="10"/>
      <c r="C62" s="327"/>
      <c r="D62" s="327"/>
      <c r="E62" s="15"/>
      <c r="F62" s="37"/>
      <c r="G62" s="90"/>
      <c r="H62" s="63"/>
      <c r="I62" s="63"/>
      <c r="N62" s="25" t="s">
        <v>157</v>
      </c>
      <c r="O62" s="114">
        <f t="shared" ref="O62:X62" si="5">$T$28</f>
        <v>2.886751345948129E-3</v>
      </c>
      <c r="P62" s="114">
        <f t="shared" si="5"/>
        <v>2.886751345948129E-3</v>
      </c>
      <c r="Q62" s="114">
        <f t="shared" si="5"/>
        <v>2.886751345948129E-3</v>
      </c>
      <c r="R62" s="114">
        <f t="shared" si="5"/>
        <v>2.886751345948129E-3</v>
      </c>
      <c r="S62" s="114">
        <f t="shared" si="5"/>
        <v>2.886751345948129E-3</v>
      </c>
      <c r="T62" s="114">
        <f t="shared" si="5"/>
        <v>2.886751345948129E-3</v>
      </c>
      <c r="U62" s="114">
        <f t="shared" si="5"/>
        <v>2.886751345948129E-3</v>
      </c>
      <c r="V62" s="114">
        <f t="shared" si="5"/>
        <v>2.886751345948129E-3</v>
      </c>
      <c r="W62" s="114">
        <f t="shared" si="5"/>
        <v>2.886751345948129E-3</v>
      </c>
      <c r="X62" s="114">
        <f t="shared" si="5"/>
        <v>2.886751345948129E-3</v>
      </c>
    </row>
    <row r="63" spans="1:28">
      <c r="A63" s="10"/>
      <c r="C63" s="327"/>
      <c r="D63" s="327"/>
      <c r="E63" s="15"/>
      <c r="F63" s="37"/>
      <c r="G63" s="90"/>
      <c r="H63" s="63"/>
      <c r="I63" s="63"/>
      <c r="N63" s="25" t="s">
        <v>158</v>
      </c>
      <c r="O63" s="114">
        <f t="shared" ref="O63:X63" si="6">$T$26</f>
        <v>2.886751345948129E-4</v>
      </c>
      <c r="P63" s="114">
        <f t="shared" si="6"/>
        <v>2.886751345948129E-4</v>
      </c>
      <c r="Q63" s="114">
        <f t="shared" si="6"/>
        <v>2.886751345948129E-4</v>
      </c>
      <c r="R63" s="114">
        <f t="shared" si="6"/>
        <v>2.886751345948129E-4</v>
      </c>
      <c r="S63" s="114">
        <f t="shared" si="6"/>
        <v>2.886751345948129E-4</v>
      </c>
      <c r="T63" s="114">
        <f t="shared" si="6"/>
        <v>2.886751345948129E-4</v>
      </c>
      <c r="U63" s="114">
        <f t="shared" si="6"/>
        <v>2.886751345948129E-4</v>
      </c>
      <c r="V63" s="114">
        <f t="shared" si="6"/>
        <v>2.886751345948129E-4</v>
      </c>
      <c r="W63" s="114">
        <f t="shared" si="6"/>
        <v>2.886751345948129E-4</v>
      </c>
      <c r="X63" s="114">
        <f t="shared" si="6"/>
        <v>2.886751345948129E-4</v>
      </c>
    </row>
    <row r="64" spans="1:28">
      <c r="A64" s="10"/>
      <c r="B64" s="8" t="s">
        <v>31</v>
      </c>
      <c r="C64" s="333" t="e">
        <f>AVERAGE(C59:D63)</f>
        <v>#DIV/0!</v>
      </c>
      <c r="D64" s="334"/>
      <c r="E64" s="95" t="e">
        <f>AVERAGE(E59:E63)</f>
        <v>#DIV/0!</v>
      </c>
      <c r="F64" s="95">
        <f>SUM(F59:F63)/5</f>
        <v>0</v>
      </c>
      <c r="G64" s="95">
        <f>SUM(G59:G63)/5</f>
        <v>0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 t="e">
        <f>_xlfn.STDEV.S(G59:G63)</f>
        <v>#DIV/0!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 t="e">
        <f>G65/SQRT(5)</f>
        <v>#DIV/0!</v>
      </c>
      <c r="H66" s="44"/>
      <c r="I66" s="63"/>
      <c r="N66" s="25" t="s">
        <v>160</v>
      </c>
      <c r="O66" s="53">
        <f>10^10</f>
        <v>10000000000</v>
      </c>
      <c r="P66" s="53">
        <f t="shared" ref="P66:X66" si="7">10^10</f>
        <v>10000000000</v>
      </c>
      <c r="Q66" s="53">
        <f t="shared" si="7"/>
        <v>10000000000</v>
      </c>
      <c r="R66" s="53">
        <f t="shared" si="7"/>
        <v>10000000000</v>
      </c>
      <c r="S66" s="53">
        <f t="shared" si="7"/>
        <v>10000000000</v>
      </c>
      <c r="T66" s="53">
        <f t="shared" si="7"/>
        <v>10000000000</v>
      </c>
      <c r="U66" s="53">
        <f t="shared" si="7"/>
        <v>10000000000</v>
      </c>
      <c r="V66" s="53">
        <f t="shared" si="7"/>
        <v>10000000000</v>
      </c>
      <c r="W66" s="53">
        <f t="shared" si="7"/>
        <v>10000000000</v>
      </c>
      <c r="X66" s="53">
        <f t="shared" si="7"/>
        <v>10000000000</v>
      </c>
    </row>
    <row r="67" spans="1:28">
      <c r="A67" s="105">
        <v>4</v>
      </c>
      <c r="B67" s="196"/>
      <c r="C67" s="327"/>
      <c r="D67" s="327"/>
      <c r="E67" s="90"/>
      <c r="F67" s="37"/>
      <c r="G67" s="90"/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/>
      <c r="D68" s="327"/>
      <c r="E68" s="90"/>
      <c r="F68" s="37"/>
      <c r="G68" s="90"/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/>
      <c r="D69" s="327"/>
      <c r="E69" s="90"/>
      <c r="F69" s="37"/>
      <c r="G69" s="90"/>
      <c r="H69" s="63"/>
      <c r="I69" s="63"/>
      <c r="N69" s="25" t="s">
        <v>163</v>
      </c>
      <c r="O69" s="53">
        <f t="shared" ref="O69:X71" si="8">10^10</f>
        <v>10000000000</v>
      </c>
      <c r="P69" s="53">
        <f t="shared" si="8"/>
        <v>10000000000</v>
      </c>
      <c r="Q69" s="53">
        <f t="shared" si="8"/>
        <v>10000000000</v>
      </c>
      <c r="R69" s="53">
        <f t="shared" si="8"/>
        <v>10000000000</v>
      </c>
      <c r="S69" s="53">
        <f t="shared" si="8"/>
        <v>10000000000</v>
      </c>
      <c r="T69" s="53">
        <f t="shared" si="8"/>
        <v>10000000000</v>
      </c>
      <c r="U69" s="53">
        <f t="shared" si="8"/>
        <v>10000000000</v>
      </c>
      <c r="V69" s="53">
        <f t="shared" si="8"/>
        <v>10000000000</v>
      </c>
      <c r="W69" s="53">
        <f t="shared" si="8"/>
        <v>10000000000</v>
      </c>
      <c r="X69" s="53">
        <f t="shared" si="8"/>
        <v>10000000000</v>
      </c>
      <c r="AB69" s="1"/>
    </row>
    <row r="70" spans="1:28">
      <c r="A70" s="10"/>
      <c r="C70" s="327"/>
      <c r="D70" s="327"/>
      <c r="E70" s="90"/>
      <c r="F70" s="37"/>
      <c r="G70" s="90"/>
      <c r="H70" s="63"/>
      <c r="I70" s="63"/>
      <c r="N70" s="25" t="s">
        <v>164</v>
      </c>
      <c r="O70" s="53">
        <f t="shared" si="8"/>
        <v>10000000000</v>
      </c>
      <c r="P70" s="53">
        <f t="shared" si="8"/>
        <v>10000000000</v>
      </c>
      <c r="Q70" s="53">
        <f t="shared" si="8"/>
        <v>10000000000</v>
      </c>
      <c r="R70" s="53">
        <f t="shared" si="8"/>
        <v>10000000000</v>
      </c>
      <c r="S70" s="53">
        <f t="shared" si="8"/>
        <v>10000000000</v>
      </c>
      <c r="T70" s="53">
        <f t="shared" si="8"/>
        <v>10000000000</v>
      </c>
      <c r="U70" s="53">
        <f t="shared" si="8"/>
        <v>10000000000</v>
      </c>
      <c r="V70" s="53">
        <f t="shared" si="8"/>
        <v>10000000000</v>
      </c>
      <c r="W70" s="53">
        <f t="shared" si="8"/>
        <v>10000000000</v>
      </c>
      <c r="X70" s="53">
        <f t="shared" si="8"/>
        <v>10000000000</v>
      </c>
      <c r="AB70" s="1"/>
    </row>
    <row r="71" spans="1:28">
      <c r="A71" s="10"/>
      <c r="C71" s="327"/>
      <c r="D71" s="327"/>
      <c r="E71" s="90"/>
      <c r="F71" s="37"/>
      <c r="G71" s="90"/>
      <c r="H71" s="63"/>
      <c r="I71" s="63"/>
      <c r="N71" s="25" t="s">
        <v>165</v>
      </c>
      <c r="O71" s="53">
        <f t="shared" si="8"/>
        <v>10000000000</v>
      </c>
      <c r="P71" s="53">
        <f t="shared" si="8"/>
        <v>10000000000</v>
      </c>
      <c r="Q71" s="53">
        <f t="shared" si="8"/>
        <v>10000000000</v>
      </c>
      <c r="R71" s="53">
        <f t="shared" si="8"/>
        <v>10000000000</v>
      </c>
      <c r="S71" s="53">
        <f t="shared" si="8"/>
        <v>10000000000</v>
      </c>
      <c r="T71" s="53">
        <f t="shared" si="8"/>
        <v>10000000000</v>
      </c>
      <c r="U71" s="53">
        <f t="shared" si="8"/>
        <v>10000000000</v>
      </c>
      <c r="V71" s="53">
        <f t="shared" si="8"/>
        <v>10000000000</v>
      </c>
      <c r="W71" s="53">
        <f t="shared" si="8"/>
        <v>10000000000</v>
      </c>
      <c r="X71" s="53">
        <f t="shared" si="8"/>
        <v>10000000000</v>
      </c>
      <c r="AB71" s="1"/>
    </row>
    <row r="72" spans="1:28">
      <c r="A72" s="10"/>
      <c r="B72" s="8" t="s">
        <v>31</v>
      </c>
      <c r="C72" s="333" t="e">
        <f>AVERAGE(C67:D71)</f>
        <v>#DIV/0!</v>
      </c>
      <c r="D72" s="334"/>
      <c r="E72" s="95" t="e">
        <f>AVERAGE(E67:E71)</f>
        <v>#DIV/0!</v>
      </c>
      <c r="F72" s="95">
        <f>SUM(F67:F71)/5</f>
        <v>0</v>
      </c>
      <c r="G72" s="95">
        <f>SUM(G67:G71)/5</f>
        <v>0</v>
      </c>
      <c r="H72" s="63"/>
      <c r="I72" s="63"/>
      <c r="N72" s="111" t="s">
        <v>168</v>
      </c>
      <c r="O72" s="118" t="e">
        <f>SQRT((O57^2)+(O58^2)+(O59^2)+(O60^2)+(O61^2)+(O62^2)+(O63^2))</f>
        <v>#DIV/0!</v>
      </c>
      <c r="P72" s="118" t="e">
        <f t="shared" ref="P72:X72" si="9">SQRT((P57^2)+(P58^2)+(P59^2)+(P60^2)+(P61^2)+(P62^2)+(P63^2))</f>
        <v>#DIV/0!</v>
      </c>
      <c r="Q72" s="118" t="e">
        <f t="shared" si="9"/>
        <v>#DIV/0!</v>
      </c>
      <c r="R72" s="118" t="e">
        <f t="shared" si="9"/>
        <v>#DIV/0!</v>
      </c>
      <c r="S72" s="118" t="e">
        <f t="shared" si="9"/>
        <v>#DIV/0!</v>
      </c>
      <c r="T72" s="118" t="e">
        <f t="shared" si="9"/>
        <v>#DIV/0!</v>
      </c>
      <c r="U72" s="118" t="e">
        <f t="shared" si="9"/>
        <v>#DIV/0!</v>
      </c>
      <c r="V72" s="118" t="e">
        <f t="shared" si="9"/>
        <v>#DIV/0!</v>
      </c>
      <c r="W72" s="118" t="e">
        <f t="shared" si="9"/>
        <v>#DIV/0!</v>
      </c>
      <c r="X72" s="118" t="e">
        <f t="shared" si="9"/>
        <v>#DIV/0!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 t="e">
        <f>_xlfn.STDEV.S(G67:G71)</f>
        <v>#DIV/0!</v>
      </c>
      <c r="H73" s="63"/>
      <c r="I73" s="63"/>
      <c r="N73" s="119" t="s">
        <v>167</v>
      </c>
      <c r="O73" s="120" t="e">
        <f>(O72^4)/((O57^4/O65)+(O58^4/O66)+(O59^4/O67)+(O60^4/O68)+(O61^4/O69)+(O62^4/O70)+(O63^4/O71))</f>
        <v>#DIV/0!</v>
      </c>
      <c r="P73" s="120" t="e">
        <f t="shared" ref="P73:X73" si="10">(P72^4)/((P57^4/P65)+(P58^4/P66)+(P59^4/P67)+(P60^4/P68)+(P61^4/P69)+(P62^4/P70)+(P63^4/P71))</f>
        <v>#DIV/0!</v>
      </c>
      <c r="Q73" s="120" t="e">
        <f t="shared" si="10"/>
        <v>#DIV/0!</v>
      </c>
      <c r="R73" s="120" t="e">
        <f t="shared" si="10"/>
        <v>#DIV/0!</v>
      </c>
      <c r="S73" s="120" t="e">
        <f t="shared" si="10"/>
        <v>#DIV/0!</v>
      </c>
      <c r="T73" s="120" t="e">
        <f t="shared" si="10"/>
        <v>#DIV/0!</v>
      </c>
      <c r="U73" s="120" t="e">
        <f t="shared" si="10"/>
        <v>#DIV/0!</v>
      </c>
      <c r="V73" s="120" t="e">
        <f t="shared" si="10"/>
        <v>#DIV/0!</v>
      </c>
      <c r="W73" s="120" t="e">
        <f t="shared" si="10"/>
        <v>#DIV/0!</v>
      </c>
      <c r="X73" s="120" t="e">
        <f t="shared" si="10"/>
        <v>#DIV/0!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 t="e">
        <f>G73/SQRT(5)</f>
        <v>#DIV/0!</v>
      </c>
      <c r="H74" s="63"/>
      <c r="I74" s="63"/>
      <c r="L74" s="22"/>
      <c r="N74" s="122" t="s">
        <v>7</v>
      </c>
      <c r="O74" s="123" t="e">
        <f>_xlfn.T.INV.2T(0.05,O73)</f>
        <v>#DIV/0!</v>
      </c>
      <c r="P74" s="123" t="e">
        <f t="shared" ref="P74:X74" si="11">_xlfn.T.INV.2T(0.05,P73)</f>
        <v>#DIV/0!</v>
      </c>
      <c r="Q74" s="123" t="e">
        <f t="shared" si="11"/>
        <v>#DIV/0!</v>
      </c>
      <c r="R74" s="123" t="e">
        <f t="shared" si="11"/>
        <v>#DIV/0!</v>
      </c>
      <c r="S74" s="123" t="e">
        <f t="shared" si="11"/>
        <v>#DIV/0!</v>
      </c>
      <c r="T74" s="123" t="e">
        <f t="shared" si="11"/>
        <v>#DIV/0!</v>
      </c>
      <c r="U74" s="123" t="e">
        <f t="shared" si="11"/>
        <v>#DIV/0!</v>
      </c>
      <c r="V74" s="123" t="e">
        <f t="shared" si="11"/>
        <v>#DIV/0!</v>
      </c>
      <c r="W74" s="123" t="e">
        <f t="shared" si="11"/>
        <v>#DIV/0!</v>
      </c>
      <c r="X74" s="123" t="e">
        <f t="shared" si="11"/>
        <v>#DIV/0!</v>
      </c>
      <c r="Z74" s="124"/>
      <c r="AB74" s="1"/>
    </row>
    <row r="75" spans="1:28">
      <c r="A75" s="105">
        <v>5</v>
      </c>
      <c r="B75" s="196"/>
      <c r="C75" s="327"/>
      <c r="D75" s="327"/>
      <c r="E75" s="90"/>
      <c r="F75" s="37"/>
      <c r="G75" s="90"/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/>
      <c r="D76" s="327"/>
      <c r="E76" s="90"/>
      <c r="F76" s="37"/>
      <c r="G76" s="90"/>
      <c r="H76" s="63"/>
      <c r="I76" s="63"/>
      <c r="N76" s="111" t="s">
        <v>166</v>
      </c>
      <c r="O76" s="121" t="e">
        <f t="shared" ref="O76:X76" si="12">O72*O74</f>
        <v>#DIV/0!</v>
      </c>
      <c r="P76" s="121" t="e">
        <f t="shared" si="12"/>
        <v>#DIV/0!</v>
      </c>
      <c r="Q76" s="121" t="e">
        <f t="shared" si="12"/>
        <v>#DIV/0!</v>
      </c>
      <c r="R76" s="121" t="e">
        <f t="shared" si="12"/>
        <v>#DIV/0!</v>
      </c>
      <c r="S76" s="121" t="e">
        <f t="shared" si="12"/>
        <v>#DIV/0!</v>
      </c>
      <c r="T76" s="121" t="e">
        <f t="shared" si="12"/>
        <v>#DIV/0!</v>
      </c>
      <c r="U76" s="121" t="e">
        <f t="shared" si="12"/>
        <v>#DIV/0!</v>
      </c>
      <c r="V76" s="121" t="e">
        <f t="shared" si="12"/>
        <v>#DIV/0!</v>
      </c>
      <c r="W76" s="121" t="e">
        <f t="shared" si="12"/>
        <v>#DIV/0!</v>
      </c>
      <c r="X76" s="121" t="e">
        <f t="shared" si="12"/>
        <v>#DIV/0!</v>
      </c>
      <c r="AB76" s="1"/>
    </row>
    <row r="77" spans="1:28">
      <c r="A77" s="10"/>
      <c r="C77" s="327"/>
      <c r="D77" s="327"/>
      <c r="E77" s="90"/>
      <c r="F77" s="37"/>
      <c r="G77" s="90"/>
      <c r="H77" s="63"/>
      <c r="I77" s="63"/>
      <c r="AB77" s="1"/>
    </row>
    <row r="78" spans="1:28">
      <c r="A78" s="10"/>
      <c r="C78" s="327"/>
      <c r="D78" s="327"/>
      <c r="E78" s="90"/>
      <c r="F78" s="37"/>
      <c r="G78" s="90"/>
      <c r="H78" s="26"/>
      <c r="I78" s="26"/>
      <c r="AB78" s="1"/>
    </row>
    <row r="79" spans="1:28">
      <c r="A79" s="10"/>
      <c r="C79" s="327"/>
      <c r="D79" s="327"/>
      <c r="E79" s="90"/>
      <c r="F79" s="37"/>
      <c r="G79" s="90"/>
      <c r="AB79" s="1"/>
    </row>
    <row r="80" spans="1:28">
      <c r="A80" s="10"/>
      <c r="B80" s="8" t="s">
        <v>31</v>
      </c>
      <c r="C80" s="333" t="e">
        <f>AVERAGE(C75:D79)</f>
        <v>#DIV/0!</v>
      </c>
      <c r="D80" s="334"/>
      <c r="E80" s="95" t="e">
        <f>AVERAGE(E75:E79)</f>
        <v>#DIV/0!</v>
      </c>
      <c r="F80" s="95">
        <f>SUM(F75:F79)/5</f>
        <v>0</v>
      </c>
      <c r="G80" s="95">
        <f>SUM(G75:G79)/5</f>
        <v>0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 t="e">
        <f>_xlfn.STDEV.S(G75:G79)</f>
        <v>#DIV/0!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 t="e">
        <f>G81/SQRT(5)</f>
        <v>#DIV/0!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/>
      <c r="C83" s="327"/>
      <c r="D83" s="327"/>
      <c r="E83" s="90"/>
      <c r="F83" s="37"/>
      <c r="G83" s="40"/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/>
      <c r="D84" s="327"/>
      <c r="E84" s="90"/>
      <c r="F84" s="37"/>
      <c r="G84" s="40"/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/>
      <c r="D85" s="327"/>
      <c r="E85" s="90"/>
      <c r="F85" s="37"/>
      <c r="G85" s="40"/>
      <c r="H85" s="26"/>
      <c r="I85" s="26"/>
      <c r="N85" s="93" t="e">
        <f>O56</f>
        <v>#DIV/0!</v>
      </c>
      <c r="O85" s="403">
        <f>G48</f>
        <v>0</v>
      </c>
      <c r="P85" s="404"/>
      <c r="Q85" s="387" t="e">
        <f t="shared" ref="Q85:Q94" si="13">N85+O85</f>
        <v>#DIV/0!</v>
      </c>
      <c r="R85" s="405"/>
      <c r="S85" s="138" t="s">
        <v>35</v>
      </c>
      <c r="T85" s="94" t="e">
        <f>IF(N85&lt;$AA$97,MAX($O$97,O76),IF(N85&lt;$AA$98,MAX($O$98,O76),MAX($O$99,O76)))</f>
        <v>#DIV/0!</v>
      </c>
      <c r="AB85" s="1"/>
    </row>
    <row r="86" spans="1:28">
      <c r="A86" s="10"/>
      <c r="C86" s="327"/>
      <c r="D86" s="327"/>
      <c r="E86" s="90"/>
      <c r="F86" s="37"/>
      <c r="G86" s="40"/>
      <c r="H86" s="63"/>
      <c r="I86" s="63"/>
      <c r="N86" s="93" t="e">
        <f>P56</f>
        <v>#DIV/0!</v>
      </c>
      <c r="O86" s="403">
        <f>G56</f>
        <v>0</v>
      </c>
      <c r="P86" s="404"/>
      <c r="Q86" s="406" t="e">
        <f t="shared" si="13"/>
        <v>#DIV/0!</v>
      </c>
      <c r="R86" s="407"/>
      <c r="S86" s="138" t="s">
        <v>35</v>
      </c>
      <c r="T86" s="94" t="e">
        <f>IF(N86&lt;$AA$97,MAX($O$97,P76),IF(N86&lt;$AA$98,MAX($O$98,P76),MAX($O$99,P76)))</f>
        <v>#DIV/0!</v>
      </c>
      <c r="AB86" s="1"/>
    </row>
    <row r="87" spans="1:28">
      <c r="A87" s="10"/>
      <c r="C87" s="327"/>
      <c r="D87" s="327"/>
      <c r="E87" s="90"/>
      <c r="F87" s="37"/>
      <c r="G87" s="41"/>
      <c r="H87" s="63"/>
      <c r="I87" s="63"/>
      <c r="N87" s="93" t="e">
        <f>Q56</f>
        <v>#DIV/0!</v>
      </c>
      <c r="O87" s="403">
        <f>G64</f>
        <v>0</v>
      </c>
      <c r="P87" s="404"/>
      <c r="Q87" s="406" t="e">
        <f t="shared" si="13"/>
        <v>#DIV/0!</v>
      </c>
      <c r="R87" s="407"/>
      <c r="S87" s="138" t="s">
        <v>35</v>
      </c>
      <c r="T87" s="94" t="e">
        <f>IF(N87&lt;$AA$97,MAX($O$97,Q76),IF(N87&lt;$AA$98,MAX($O$98,Q76),MAX($O$99,Q76)))</f>
        <v>#DIV/0!</v>
      </c>
      <c r="AB87" s="1"/>
    </row>
    <row r="88" spans="1:28">
      <c r="A88" s="10"/>
      <c r="B88" s="8" t="s">
        <v>31</v>
      </c>
      <c r="C88" s="333" t="e">
        <f>AVERAGE(C83:D87)</f>
        <v>#DIV/0!</v>
      </c>
      <c r="D88" s="334"/>
      <c r="E88" s="95" t="e">
        <f>AVERAGE(E83:E87)</f>
        <v>#DIV/0!</v>
      </c>
      <c r="F88" s="95">
        <f>SUM(F83:F87)/5</f>
        <v>0</v>
      </c>
      <c r="G88" s="95">
        <f>SUM(G83:G87)/5</f>
        <v>0</v>
      </c>
      <c r="H88" s="63"/>
      <c r="I88" s="63"/>
      <c r="N88" s="93" t="e">
        <f>R56</f>
        <v>#DIV/0!</v>
      </c>
      <c r="O88" s="403">
        <f>G72</f>
        <v>0</v>
      </c>
      <c r="P88" s="404"/>
      <c r="Q88" s="406" t="e">
        <f t="shared" si="13"/>
        <v>#DIV/0!</v>
      </c>
      <c r="R88" s="407"/>
      <c r="S88" s="138" t="s">
        <v>35</v>
      </c>
      <c r="T88" s="94" t="e">
        <f>IF(N88&lt;$AA$97,MAX($O$97,R76),IF(N88&lt;$AA$98,MAX($O$98,R76),MAX($O$99,R76)))</f>
        <v>#DIV/0!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 t="e">
        <f>_xlfn.STDEV.S(G83:G87)</f>
        <v>#DIV/0!</v>
      </c>
      <c r="H89" s="63"/>
      <c r="I89" s="63"/>
      <c r="N89" s="93" t="e">
        <f>S56</f>
        <v>#DIV/0!</v>
      </c>
      <c r="O89" s="403">
        <f>G80</f>
        <v>0</v>
      </c>
      <c r="P89" s="404"/>
      <c r="Q89" s="406" t="e">
        <f t="shared" si="13"/>
        <v>#DIV/0!</v>
      </c>
      <c r="R89" s="407"/>
      <c r="S89" s="138" t="s">
        <v>35</v>
      </c>
      <c r="T89" s="94" t="e">
        <f>IF(N89&lt;$AA$97,MAX($O$97,S76),IF(N89&lt;$AA$98,MAX($O$98,S76),MAX($O$99,S76)))</f>
        <v>#DIV/0!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 t="e">
        <f>G89/SQRT(5)</f>
        <v>#DIV/0!</v>
      </c>
      <c r="H90" s="63"/>
      <c r="I90" s="63"/>
      <c r="L90" s="22"/>
      <c r="N90" s="93" t="e">
        <f>T56</f>
        <v>#DIV/0!</v>
      </c>
      <c r="O90" s="403">
        <f>G88</f>
        <v>0</v>
      </c>
      <c r="P90" s="404"/>
      <c r="Q90" s="406" t="e">
        <f t="shared" si="13"/>
        <v>#DIV/0!</v>
      </c>
      <c r="R90" s="407"/>
      <c r="S90" s="138" t="s">
        <v>35</v>
      </c>
      <c r="T90" s="94" t="e">
        <f>IF(N90&lt;$AA$97,MAX($O$97,T76),IF(N90&lt;$AA$98,MAX($O$98,T76),MAX($O$99,T76)))</f>
        <v>#DIV/0!</v>
      </c>
      <c r="AB90" s="1"/>
    </row>
    <row r="91" spans="1:28">
      <c r="A91" s="105">
        <v>7</v>
      </c>
      <c r="B91" s="196"/>
      <c r="C91" s="327"/>
      <c r="D91" s="327"/>
      <c r="E91" s="90"/>
      <c r="F91" s="37"/>
      <c r="G91" s="40"/>
      <c r="H91" s="63"/>
      <c r="I91" s="63"/>
      <c r="N91" s="93" t="e">
        <f>U56</f>
        <v>#DIV/0!</v>
      </c>
      <c r="O91" s="403">
        <f>G96</f>
        <v>0</v>
      </c>
      <c r="P91" s="404"/>
      <c r="Q91" s="406" t="e">
        <f t="shared" si="13"/>
        <v>#DIV/0!</v>
      </c>
      <c r="R91" s="407"/>
      <c r="S91" s="138" t="s">
        <v>35</v>
      </c>
      <c r="T91" s="94" t="e">
        <f>IF(N91&lt;$AA$97,MAX($O$97,U76),IF(N91&lt;$AA$98,MAX($O$98,U76),MAX($O$99,U76)))</f>
        <v>#DIV/0!</v>
      </c>
      <c r="AB91" s="1"/>
    </row>
    <row r="92" spans="1:28">
      <c r="A92" s="10"/>
      <c r="C92" s="327"/>
      <c r="D92" s="327"/>
      <c r="E92" s="90"/>
      <c r="F92" s="37"/>
      <c r="G92" s="40"/>
      <c r="H92" s="44"/>
      <c r="I92" s="63"/>
      <c r="N92" s="93" t="e">
        <f>V56</f>
        <v>#DIV/0!</v>
      </c>
      <c r="O92" s="403">
        <f>G104</f>
        <v>0</v>
      </c>
      <c r="P92" s="404"/>
      <c r="Q92" s="406" t="e">
        <f t="shared" si="13"/>
        <v>#DIV/0!</v>
      </c>
      <c r="R92" s="407"/>
      <c r="S92" s="138" t="s">
        <v>35</v>
      </c>
      <c r="T92" s="94" t="e">
        <f>IF(N92&lt;$AA$97,MAX($O$97,V76),IF(N92&lt;$AA$98,MAX($O$98,V76),MAX($O$99,V76)))</f>
        <v>#DIV/0!</v>
      </c>
      <c r="AB92" s="1"/>
    </row>
    <row r="93" spans="1:28">
      <c r="A93" s="10"/>
      <c r="C93" s="327"/>
      <c r="D93" s="327"/>
      <c r="E93" s="90"/>
      <c r="F93" s="37"/>
      <c r="G93" s="40"/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3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/>
      <c r="D94" s="327"/>
      <c r="E94" s="90"/>
      <c r="F94" s="37"/>
      <c r="G94" s="40"/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3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/>
      <c r="D95" s="327"/>
      <c r="E95" s="90"/>
      <c r="F95" s="37"/>
      <c r="G95" s="41"/>
      <c r="H95" s="63"/>
      <c r="I95" s="63"/>
      <c r="U95" s="47"/>
      <c r="AB95" s="1"/>
    </row>
    <row r="96" spans="1:28">
      <c r="A96" s="10"/>
      <c r="B96" s="8" t="s">
        <v>31</v>
      </c>
      <c r="C96" s="333" t="e">
        <f>AVERAGE(C91:D95)</f>
        <v>#DIV/0!</v>
      </c>
      <c r="D96" s="334"/>
      <c r="E96" s="95" t="e">
        <f>AVERAGE(E91:E95)</f>
        <v>#DIV/0!</v>
      </c>
      <c r="F96" s="95">
        <f>SUM(F91:F95)/5</f>
        <v>0</v>
      </c>
      <c r="G96" s="95">
        <f>SUM(G91:G95)/5</f>
        <v>0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 t="e">
        <f>_xlfn.STDEV.S(G91:G95)</f>
        <v>#DIV/0!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 t="e">
        <f>G97/SQRT(5)</f>
        <v>#DIV/0!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/>
      <c r="C99" s="327"/>
      <c r="D99" s="327"/>
      <c r="E99" s="90"/>
      <c r="F99" s="37"/>
      <c r="G99" s="40"/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/>
      <c r="D100" s="327"/>
      <c r="E100" s="90"/>
      <c r="F100" s="37"/>
      <c r="G100" s="40"/>
      <c r="H100" s="44"/>
      <c r="I100" s="44"/>
      <c r="M100" s="1"/>
    </row>
    <row r="101" spans="1:27">
      <c r="A101" s="10"/>
      <c r="C101" s="327"/>
      <c r="D101" s="327"/>
      <c r="E101" s="90"/>
      <c r="F101" s="37"/>
      <c r="G101" s="40"/>
      <c r="H101" s="44"/>
      <c r="I101" s="44"/>
    </row>
    <row r="102" spans="1:27">
      <c r="A102" s="10"/>
      <c r="C102" s="327"/>
      <c r="D102" s="327"/>
      <c r="E102" s="90"/>
      <c r="F102" s="37"/>
      <c r="G102" s="40"/>
      <c r="H102" s="63"/>
      <c r="I102" s="63"/>
    </row>
    <row r="103" spans="1:27">
      <c r="A103" s="10"/>
      <c r="C103" s="327"/>
      <c r="D103" s="327"/>
      <c r="E103" s="90"/>
      <c r="F103" s="37"/>
      <c r="G103" s="41"/>
      <c r="H103" s="63"/>
      <c r="I103" s="63"/>
      <c r="N103" s="74"/>
      <c r="O103" s="129"/>
    </row>
    <row r="104" spans="1:27">
      <c r="A104" s="10"/>
      <c r="B104" s="8" t="s">
        <v>31</v>
      </c>
      <c r="C104" s="333" t="e">
        <f>AVERAGE(C99:D103)</f>
        <v>#DIV/0!</v>
      </c>
      <c r="D104" s="334"/>
      <c r="E104" s="95" t="e">
        <f>AVERAGE(E99:E103)</f>
        <v>#DIV/0!</v>
      </c>
      <c r="F104" s="95">
        <f>SUM(F99:F103)/5</f>
        <v>0</v>
      </c>
      <c r="G104" s="95">
        <f>SUM(G99:G103)/5</f>
        <v>0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 t="e">
        <f>_xlfn.STDEV.S(G99:G103)</f>
        <v>#DIV/0!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 t="e">
        <f>G105/SQRT(5)</f>
        <v>#DIV/0!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/>
      <c r="G107" s="40"/>
      <c r="H107" s="63"/>
      <c r="I107" s="63"/>
      <c r="M107" s="1"/>
    </row>
    <row r="108" spans="1:27">
      <c r="A108" s="10"/>
      <c r="C108" s="327"/>
      <c r="D108" s="327"/>
      <c r="E108" s="90"/>
      <c r="F108" s="37"/>
      <c r="G108" s="40"/>
      <c r="H108" s="44"/>
      <c r="I108" s="44"/>
      <c r="M108" s="1"/>
    </row>
    <row r="109" spans="1:27">
      <c r="A109" s="10"/>
      <c r="C109" s="327"/>
      <c r="D109" s="327"/>
      <c r="E109" s="90"/>
      <c r="F109" s="37"/>
      <c r="G109" s="40"/>
      <c r="H109" s="44"/>
      <c r="I109" s="44"/>
    </row>
    <row r="110" spans="1:27">
      <c r="A110" s="10"/>
      <c r="C110" s="327"/>
      <c r="D110" s="327"/>
      <c r="E110" s="90"/>
      <c r="F110" s="37"/>
      <c r="G110" s="40"/>
      <c r="H110" s="63"/>
      <c r="I110" s="63"/>
    </row>
    <row r="111" spans="1:27">
      <c r="A111" s="10"/>
      <c r="C111" s="327"/>
      <c r="D111" s="327"/>
      <c r="E111" s="90"/>
      <c r="F111" s="37"/>
      <c r="G111" s="41"/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 t="e">
        <f>_xlfn.STDEV.S(G107:G111)</f>
        <v>#DIV/0!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 t="e">
        <f>G113/SQRT(5)</f>
        <v>#DIV/0!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/>
      <c r="G115" s="40"/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/>
      <c r="G116" s="40"/>
      <c r="H116" s="44"/>
      <c r="I116" s="44"/>
      <c r="U116" s="49"/>
    </row>
    <row r="117" spans="1:21">
      <c r="A117" s="10"/>
      <c r="C117" s="224"/>
      <c r="D117" s="225"/>
      <c r="E117" s="90"/>
      <c r="F117" s="37"/>
      <c r="G117" s="40"/>
      <c r="H117" s="44"/>
      <c r="I117" s="44"/>
      <c r="U117" s="49"/>
    </row>
    <row r="118" spans="1:21">
      <c r="A118" s="10"/>
      <c r="C118" s="224"/>
      <c r="D118" s="225"/>
      <c r="E118" s="90"/>
      <c r="F118" s="37"/>
      <c r="G118" s="40"/>
      <c r="H118" s="63"/>
      <c r="I118" s="63"/>
    </row>
    <row r="119" spans="1:21">
      <c r="A119" s="10"/>
      <c r="C119" s="233"/>
      <c r="D119" s="234"/>
      <c r="E119" s="90"/>
      <c r="F119" s="37"/>
      <c r="G119" s="41"/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 t="e">
        <f>_xlfn.STDEV.S(G115:G119)</f>
        <v>#DIV/0!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 t="e">
        <f>G121/SQRT(5)</f>
        <v>#DIV/0!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26"/>
      <c r="D125" s="26"/>
      <c r="H125" s="44"/>
      <c r="I125" s="44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1">
    <mergeCell ref="J26:K26"/>
    <mergeCell ref="J31:K31"/>
    <mergeCell ref="C51:D51"/>
    <mergeCell ref="C52:D52"/>
    <mergeCell ref="C53:D53"/>
    <mergeCell ref="C56:D56"/>
    <mergeCell ref="E16:F16"/>
    <mergeCell ref="N16:N20"/>
    <mergeCell ref="E17:F17"/>
    <mergeCell ref="E18:F18"/>
    <mergeCell ref="F21:G21"/>
    <mergeCell ref="C43:D43"/>
    <mergeCell ref="C44:D44"/>
    <mergeCell ref="C48:D48"/>
    <mergeCell ref="AB18:AC18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  <mergeCell ref="AB32:AC32"/>
    <mergeCell ref="C45:D45"/>
    <mergeCell ref="C46:D46"/>
    <mergeCell ref="C47:D47"/>
    <mergeCell ref="T28:T29"/>
    <mergeCell ref="U28:U29"/>
    <mergeCell ref="AB28:AC28"/>
    <mergeCell ref="C41:D41"/>
    <mergeCell ref="C42:D42"/>
    <mergeCell ref="AB30:AC30"/>
    <mergeCell ref="C40:D40"/>
    <mergeCell ref="N28:N29"/>
    <mergeCell ref="O28:O29"/>
    <mergeCell ref="P28:P29"/>
    <mergeCell ref="Q28:Q29"/>
    <mergeCell ref="S28:S29"/>
    <mergeCell ref="S36:S37"/>
    <mergeCell ref="T36:T37"/>
    <mergeCell ref="U36:U37"/>
    <mergeCell ref="V36:V37"/>
    <mergeCell ref="W36:W37"/>
    <mergeCell ref="X36:X37"/>
    <mergeCell ref="N36:N37"/>
    <mergeCell ref="O36:O37"/>
    <mergeCell ref="P36:P37"/>
    <mergeCell ref="Q36:Q37"/>
    <mergeCell ref="R36:R37"/>
    <mergeCell ref="C49:D49"/>
    <mergeCell ref="N45:S45"/>
    <mergeCell ref="T45:Y45"/>
    <mergeCell ref="C50:D50"/>
    <mergeCell ref="O55:X55"/>
    <mergeCell ref="C59:D59"/>
    <mergeCell ref="C60:D60"/>
    <mergeCell ref="C61:D61"/>
    <mergeCell ref="C62:D62"/>
    <mergeCell ref="C63:D63"/>
    <mergeCell ref="C54:D54"/>
    <mergeCell ref="C55:D55"/>
    <mergeCell ref="N55:N56"/>
    <mergeCell ref="C70:D70"/>
    <mergeCell ref="C71:D71"/>
    <mergeCell ref="C72:D72"/>
    <mergeCell ref="C75:D75"/>
    <mergeCell ref="C64:D64"/>
    <mergeCell ref="C67:D67"/>
    <mergeCell ref="C68:D68"/>
    <mergeCell ref="C69:D69"/>
    <mergeCell ref="C83:D83"/>
    <mergeCell ref="N83:N84"/>
    <mergeCell ref="O83:P84"/>
    <mergeCell ref="Q83:R84"/>
    <mergeCell ref="S83:T83"/>
    <mergeCell ref="C84:D84"/>
    <mergeCell ref="S84:T84"/>
    <mergeCell ref="C76:D76"/>
    <mergeCell ref="C77:D77"/>
    <mergeCell ref="C78:D78"/>
    <mergeCell ref="C79:D79"/>
    <mergeCell ref="C80:D80"/>
    <mergeCell ref="C87:D87"/>
    <mergeCell ref="O87:P87"/>
    <mergeCell ref="Q87:R87"/>
    <mergeCell ref="C88:D88"/>
    <mergeCell ref="O88:P88"/>
    <mergeCell ref="Q88:R88"/>
    <mergeCell ref="C85:D85"/>
    <mergeCell ref="O85:P85"/>
    <mergeCell ref="Q85:R85"/>
    <mergeCell ref="C86:D86"/>
    <mergeCell ref="O86:P86"/>
    <mergeCell ref="Q86:R86"/>
    <mergeCell ref="C91:D91"/>
    <mergeCell ref="O91:P91"/>
    <mergeCell ref="Q91:R91"/>
    <mergeCell ref="C92:D92"/>
    <mergeCell ref="O92:P92"/>
    <mergeCell ref="Q92:R92"/>
    <mergeCell ref="O89:P89"/>
    <mergeCell ref="Q89:R89"/>
    <mergeCell ref="O90:P90"/>
    <mergeCell ref="Q90:R90"/>
    <mergeCell ref="C95:D95"/>
    <mergeCell ref="C96:D96"/>
    <mergeCell ref="N96:O96"/>
    <mergeCell ref="Z96:AA96"/>
    <mergeCell ref="C93:D93"/>
    <mergeCell ref="O93:P93"/>
    <mergeCell ref="Q93:R93"/>
    <mergeCell ref="C94:D94"/>
    <mergeCell ref="O94:P94"/>
    <mergeCell ref="Q94:R94"/>
    <mergeCell ref="C107:D107"/>
    <mergeCell ref="C108:D108"/>
    <mergeCell ref="C109:D109"/>
    <mergeCell ref="C110:D110"/>
    <mergeCell ref="C99:D99"/>
    <mergeCell ref="C100:D100"/>
    <mergeCell ref="C101:D101"/>
    <mergeCell ref="C102:D102"/>
    <mergeCell ref="C103:D103"/>
    <mergeCell ref="C104:D104"/>
    <mergeCell ref="C126:D126"/>
    <mergeCell ref="C111:D111"/>
    <mergeCell ref="C112:D112"/>
    <mergeCell ref="C143:D143"/>
    <mergeCell ref="C146:D146"/>
    <mergeCell ref="C147:D147"/>
    <mergeCell ref="C148:D148"/>
    <mergeCell ref="C149:D149"/>
    <mergeCell ref="C150:D150"/>
    <mergeCell ref="C127:D127"/>
    <mergeCell ref="C138:D138"/>
    <mergeCell ref="C139:D139"/>
    <mergeCell ref="C140:D140"/>
    <mergeCell ref="C141:D141"/>
    <mergeCell ref="C142:D142"/>
    <mergeCell ref="C161:D161"/>
    <mergeCell ref="C164:D164"/>
    <mergeCell ref="C165:D165"/>
    <mergeCell ref="C166:D166"/>
    <mergeCell ref="C167:D167"/>
    <mergeCell ref="C168:D168"/>
    <mergeCell ref="C151:D151"/>
    <mergeCell ref="C156:D156"/>
    <mergeCell ref="C157:D157"/>
    <mergeCell ref="C158:D158"/>
    <mergeCell ref="C159:D159"/>
    <mergeCell ref="C160:D160"/>
    <mergeCell ref="C185:D185"/>
    <mergeCell ref="C177:D177"/>
    <mergeCell ref="C180:D180"/>
    <mergeCell ref="C181:D181"/>
    <mergeCell ref="C182:D182"/>
    <mergeCell ref="C183:D183"/>
    <mergeCell ref="C184:D184"/>
    <mergeCell ref="C169:D169"/>
    <mergeCell ref="C172:D172"/>
    <mergeCell ref="C173:D173"/>
    <mergeCell ref="C174:D174"/>
    <mergeCell ref="C175:D175"/>
    <mergeCell ref="C176:D176"/>
  </mergeCells>
  <conditionalFormatting sqref="C56">
    <cfRule type="expression" dxfId="297" priority="18" stopIfTrue="1">
      <formula>COUNT(C51:C55)&lt;&gt;5</formula>
    </cfRule>
  </conditionalFormatting>
  <conditionalFormatting sqref="C64">
    <cfRule type="expression" dxfId="296" priority="2" stopIfTrue="1">
      <formula>COUNT(C59:C63)&lt;&gt;5</formula>
    </cfRule>
  </conditionalFormatting>
  <conditionalFormatting sqref="C72">
    <cfRule type="expression" dxfId="295" priority="8" stopIfTrue="1">
      <formula>COUNT(C67:C71)&lt;&gt;5</formula>
    </cfRule>
  </conditionalFormatting>
  <conditionalFormatting sqref="C80">
    <cfRule type="expression" dxfId="294" priority="7" stopIfTrue="1">
      <formula>COUNT(C75:C79)&lt;&gt;5</formula>
    </cfRule>
  </conditionalFormatting>
  <conditionalFormatting sqref="C88">
    <cfRule type="expression" dxfId="293" priority="6" stopIfTrue="1">
      <formula>COUNT(C83:C87)&lt;&gt;5</formula>
    </cfRule>
  </conditionalFormatting>
  <conditionalFormatting sqref="C96">
    <cfRule type="expression" dxfId="292" priority="5" stopIfTrue="1">
      <formula>COUNT(C91:C95)&lt;&gt;5</formula>
    </cfRule>
  </conditionalFormatting>
  <conditionalFormatting sqref="C104">
    <cfRule type="expression" dxfId="291" priority="4" stopIfTrue="1">
      <formula>COUNT(C99:C103)&lt;&gt;5</formula>
    </cfRule>
  </conditionalFormatting>
  <conditionalFormatting sqref="C112">
    <cfRule type="expression" dxfId="290" priority="3" stopIfTrue="1">
      <formula>COUNT(C107:C111)&lt;&gt;5</formula>
    </cfRule>
  </conditionalFormatting>
  <conditionalFormatting sqref="C48:E48">
    <cfRule type="expression" dxfId="289" priority="19" stopIfTrue="1">
      <formula>COUNT(C43:C47)&lt;&gt;5</formula>
    </cfRule>
  </conditionalFormatting>
  <conditionalFormatting sqref="C120:E120">
    <cfRule type="expression" dxfId="288" priority="9" stopIfTrue="1">
      <formula>COUNT(C115:C119)&lt;&gt;5</formula>
    </cfRule>
  </conditionalFormatting>
  <conditionalFormatting sqref="E56">
    <cfRule type="expression" dxfId="287" priority="17" stopIfTrue="1">
      <formula>COUNT(E51:E55)&lt;&gt;5</formula>
    </cfRule>
  </conditionalFormatting>
  <conditionalFormatting sqref="E64">
    <cfRule type="expression" dxfId="286" priority="1" stopIfTrue="1">
      <formula>COUNT(E59:E63)&lt;&gt;5</formula>
    </cfRule>
  </conditionalFormatting>
  <conditionalFormatting sqref="E72">
    <cfRule type="expression" dxfId="285" priority="16" stopIfTrue="1">
      <formula>COUNT(E67:E71)&lt;&gt;5</formula>
    </cfRule>
  </conditionalFormatting>
  <conditionalFormatting sqref="E80">
    <cfRule type="expression" dxfId="284" priority="15" stopIfTrue="1">
      <formula>COUNT(E75:E79)&lt;&gt;5</formula>
    </cfRule>
  </conditionalFormatting>
  <conditionalFormatting sqref="E88">
    <cfRule type="expression" dxfId="283" priority="14" stopIfTrue="1">
      <formula>COUNT(E83:E87)&lt;&gt;5</formula>
    </cfRule>
  </conditionalFormatting>
  <conditionalFormatting sqref="E96">
    <cfRule type="expression" dxfId="282" priority="13" stopIfTrue="1">
      <formula>COUNT(E91:E95)&lt;&gt;5</formula>
    </cfRule>
  </conditionalFormatting>
  <conditionalFormatting sqref="E104">
    <cfRule type="expression" dxfId="281" priority="12" stopIfTrue="1">
      <formula>COUNT(E99:E103)&lt;&gt;5</formula>
    </cfRule>
  </conditionalFormatting>
  <conditionalFormatting sqref="E112">
    <cfRule type="expression" dxfId="280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60417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60417" r:id="rId4"/>
      </mc:Fallback>
    </mc:AlternateContent>
    <mc:AlternateContent xmlns:mc="http://schemas.openxmlformats.org/markup-compatibility/2006">
      <mc:Choice Requires="x14">
        <oleObject progId="Equation.3" shapeId="60418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60418" r:id="rId6"/>
      </mc:Fallback>
    </mc:AlternateContent>
    <mc:AlternateContent xmlns:mc="http://schemas.openxmlformats.org/markup-compatibility/2006">
      <mc:Choice Requires="x14">
        <oleObject progId="Equation.3" shapeId="60419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60419" r:id="rId8"/>
      </mc:Fallback>
    </mc:AlternateContent>
    <mc:AlternateContent xmlns:mc="http://schemas.openxmlformats.org/markup-compatibility/2006">
      <mc:Choice Requires="x14">
        <oleObject progId="Equation.3" shapeId="60420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60420" r:id="rId10"/>
      </mc:Fallback>
    </mc:AlternateContent>
  </oleObjec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10'!O85</f>
        <v>0</v>
      </c>
      <c r="C2" s="37" t="e">
        <f>'PERHITUNGAN 10'!N85</f>
        <v>#DIV/0!</v>
      </c>
      <c r="D2" s="75" t="e">
        <f>C2^2</f>
        <v>#DIV/0!</v>
      </c>
      <c r="E2" s="37" t="e">
        <f>C2^3</f>
        <v>#DIV/0!</v>
      </c>
      <c r="F2" s="91" t="e">
        <f>C2^4</f>
        <v>#DIV/0!</v>
      </c>
      <c r="G2" s="91" t="e">
        <f>C2^5</f>
        <v>#DIV/0!</v>
      </c>
      <c r="H2" s="91" t="e">
        <f>C2^6</f>
        <v>#DIV/0!</v>
      </c>
      <c r="I2" s="91" t="e">
        <f>C2^7</f>
        <v>#DIV/0!</v>
      </c>
      <c r="J2" s="91" t="e">
        <f>C2^8</f>
        <v>#DIV/0!</v>
      </c>
      <c r="K2" s="91" t="e">
        <f>C2^9</f>
        <v>#DIV/0!</v>
      </c>
      <c r="L2" s="91" t="e">
        <f>C2^10</f>
        <v>#DIV/0!</v>
      </c>
      <c r="Q2" s="12"/>
    </row>
    <row r="3" spans="1:24">
      <c r="A3" s="25">
        <v>2</v>
      </c>
      <c r="B3" s="37">
        <f>'PERHITUNGAN 10'!O86</f>
        <v>0</v>
      </c>
      <c r="C3" s="37" t="e">
        <f>'PERHITUNGAN 10'!N86</f>
        <v>#DIV/0!</v>
      </c>
      <c r="D3" s="75" t="e">
        <f t="shared" ref="D3:D9" si="0">C3^2</f>
        <v>#DIV/0!</v>
      </c>
      <c r="E3" s="37" t="e">
        <f t="shared" ref="E3:E9" si="1">C3^3</f>
        <v>#DIV/0!</v>
      </c>
      <c r="F3" s="91" t="e">
        <f t="shared" ref="F3:F9" si="2">C3^4</f>
        <v>#DIV/0!</v>
      </c>
      <c r="G3" s="91" t="e">
        <f t="shared" ref="G3:G9" si="3">C3^5</f>
        <v>#DIV/0!</v>
      </c>
      <c r="H3" s="91" t="e">
        <f t="shared" ref="H3:H9" si="4">C3^6</f>
        <v>#DIV/0!</v>
      </c>
      <c r="I3" s="91" t="e">
        <f t="shared" ref="I3:I9" si="5">C3^7</f>
        <v>#DIV/0!</v>
      </c>
      <c r="J3" s="91" t="e">
        <f t="shared" ref="J3:J9" si="6">C3^8</f>
        <v>#DIV/0!</v>
      </c>
      <c r="K3" s="91" t="e">
        <f t="shared" ref="K3:K9" si="7">C3^9</f>
        <v>#DIV/0!</v>
      </c>
      <c r="L3" s="91" t="e">
        <f t="shared" ref="L3:L9" si="8">C3^10</f>
        <v>#DIV/0!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10'!O87</f>
        <v>0</v>
      </c>
      <c r="C4" s="37" t="e">
        <f>'PERHITUNGAN 10'!N87</f>
        <v>#DIV/0!</v>
      </c>
      <c r="D4" s="75" t="e">
        <f t="shared" si="0"/>
        <v>#DIV/0!</v>
      </c>
      <c r="E4" s="37" t="e">
        <f t="shared" si="1"/>
        <v>#DIV/0!</v>
      </c>
      <c r="F4" s="91" t="e">
        <f t="shared" si="2"/>
        <v>#DIV/0!</v>
      </c>
      <c r="G4" s="91" t="e">
        <f t="shared" si="3"/>
        <v>#DIV/0!</v>
      </c>
      <c r="H4" s="91" t="e">
        <f t="shared" si="4"/>
        <v>#DIV/0!</v>
      </c>
      <c r="I4" s="91" t="e">
        <f t="shared" si="5"/>
        <v>#DIV/0!</v>
      </c>
      <c r="J4" s="91" t="e">
        <f t="shared" si="6"/>
        <v>#DIV/0!</v>
      </c>
      <c r="K4" s="91" t="e">
        <f t="shared" si="7"/>
        <v>#DIV/0!</v>
      </c>
      <c r="L4" s="91" t="e">
        <f t="shared" si="8"/>
        <v>#DIV/0!</v>
      </c>
      <c r="R4" s="414" t="str">
        <f>IF('PERHITUNGAN 1'!$C$2="Celcius","(°C)","(°F)")</f>
        <v>(°C)</v>
      </c>
      <c r="S4" s="415"/>
      <c r="T4" s="5" t="str">
        <f>IF('PERHITUNGAN 1'!$C$2="Celcius","(°C)","(°F)")</f>
        <v>(°C)</v>
      </c>
      <c r="U4" s="14"/>
      <c r="V4" s="1"/>
    </row>
    <row r="5" spans="1:24">
      <c r="A5" s="25">
        <v>4</v>
      </c>
      <c r="B5" s="37">
        <f>'PERHITUNGAN 10'!O88</f>
        <v>0</v>
      </c>
      <c r="C5" s="37" t="e">
        <f>'PERHITUNGAN 10'!N88</f>
        <v>#DIV/0!</v>
      </c>
      <c r="D5" s="75" t="e">
        <f t="shared" si="0"/>
        <v>#DIV/0!</v>
      </c>
      <c r="E5" s="37" t="e">
        <f t="shared" si="1"/>
        <v>#DIV/0!</v>
      </c>
      <c r="F5" s="91" t="e">
        <f t="shared" si="2"/>
        <v>#DIV/0!</v>
      </c>
      <c r="G5" s="91" t="e">
        <f t="shared" si="3"/>
        <v>#DIV/0!</v>
      </c>
      <c r="H5" s="91" t="e">
        <f t="shared" si="4"/>
        <v>#DIV/0!</v>
      </c>
      <c r="I5" s="91" t="e">
        <f t="shared" si="5"/>
        <v>#DIV/0!</v>
      </c>
      <c r="J5" s="91" t="e">
        <f t="shared" si="6"/>
        <v>#DIV/0!</v>
      </c>
      <c r="K5" s="91" t="e">
        <f t="shared" si="7"/>
        <v>#DIV/0!</v>
      </c>
      <c r="L5" s="91" t="e">
        <f t="shared" si="8"/>
        <v>#DIV/0!</v>
      </c>
      <c r="R5" s="412"/>
      <c r="S5" s="413"/>
      <c r="T5" s="21"/>
      <c r="U5" s="32"/>
    </row>
    <row r="6" spans="1:24">
      <c r="A6" s="25">
        <v>5</v>
      </c>
      <c r="B6" s="37">
        <f>'PERHITUNGAN 10'!O89</f>
        <v>0</v>
      </c>
      <c r="C6" s="37" t="e">
        <f>'PERHITUNGAN 10'!N89</f>
        <v>#DIV/0!</v>
      </c>
      <c r="D6" s="75" t="e">
        <f t="shared" si="0"/>
        <v>#DIV/0!</v>
      </c>
      <c r="E6" s="37" t="e">
        <f t="shared" si="1"/>
        <v>#DIV/0!</v>
      </c>
      <c r="F6" s="91" t="e">
        <f t="shared" si="2"/>
        <v>#DIV/0!</v>
      </c>
      <c r="G6" s="91" t="e">
        <f t="shared" si="3"/>
        <v>#DIV/0!</v>
      </c>
      <c r="H6" s="91" t="e">
        <f t="shared" si="4"/>
        <v>#DIV/0!</v>
      </c>
      <c r="I6" s="91" t="e">
        <f t="shared" si="5"/>
        <v>#DIV/0!</v>
      </c>
      <c r="J6" s="91" t="e">
        <f t="shared" si="6"/>
        <v>#DIV/0!</v>
      </c>
      <c r="K6" s="91" t="e">
        <f t="shared" si="7"/>
        <v>#DIV/0!</v>
      </c>
      <c r="L6" s="91" t="e">
        <f t="shared" si="8"/>
        <v>#DIV/0!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10'!O90</f>
        <v>0</v>
      </c>
      <c r="C7" s="37" t="e">
        <f>'PERHITUNGAN 10'!N90</f>
        <v>#DIV/0!</v>
      </c>
      <c r="D7" s="75" t="e">
        <f t="shared" si="0"/>
        <v>#DIV/0!</v>
      </c>
      <c r="E7" s="37" t="e">
        <f t="shared" si="1"/>
        <v>#DIV/0!</v>
      </c>
      <c r="F7" s="91" t="e">
        <f t="shared" si="2"/>
        <v>#DIV/0!</v>
      </c>
      <c r="G7" s="91" t="e">
        <f t="shared" si="3"/>
        <v>#DIV/0!</v>
      </c>
      <c r="H7" s="91" t="e">
        <f t="shared" si="4"/>
        <v>#DIV/0!</v>
      </c>
      <c r="I7" s="91" t="e">
        <f t="shared" si="5"/>
        <v>#DIV/0!</v>
      </c>
      <c r="J7" s="91" t="e">
        <f t="shared" si="6"/>
        <v>#DIV/0!</v>
      </c>
      <c r="K7" s="91" t="e">
        <f t="shared" si="7"/>
        <v>#DIV/0!</v>
      </c>
      <c r="L7" s="91" t="e">
        <f t="shared" si="8"/>
        <v>#DIV/0!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10'!O91</f>
        <v>0</v>
      </c>
      <c r="C8" s="37" t="e">
        <f>'PERHITUNGAN 10'!N91</f>
        <v>#DIV/0!</v>
      </c>
      <c r="D8" s="75" t="e">
        <f t="shared" si="0"/>
        <v>#DIV/0!</v>
      </c>
      <c r="E8" s="37" t="e">
        <f t="shared" si="1"/>
        <v>#DIV/0!</v>
      </c>
      <c r="F8" s="91" t="e">
        <f t="shared" si="2"/>
        <v>#DIV/0!</v>
      </c>
      <c r="G8" s="91" t="e">
        <f t="shared" si="3"/>
        <v>#DIV/0!</v>
      </c>
      <c r="H8" s="91" t="e">
        <f t="shared" si="4"/>
        <v>#DIV/0!</v>
      </c>
      <c r="I8" s="91" t="e">
        <f t="shared" si="5"/>
        <v>#DIV/0!</v>
      </c>
      <c r="J8" s="91" t="e">
        <f t="shared" si="6"/>
        <v>#DIV/0!</v>
      </c>
      <c r="K8" s="91" t="e">
        <f t="shared" si="7"/>
        <v>#DIV/0!</v>
      </c>
      <c r="L8" s="91" t="e">
        <f t="shared" si="8"/>
        <v>#DIV/0!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10'!O92</f>
        <v>0</v>
      </c>
      <c r="C9" s="37" t="e">
        <f>'PERHITUNGAN 10'!N92</f>
        <v>#DIV/0!</v>
      </c>
      <c r="D9" s="75" t="e">
        <f t="shared" si="0"/>
        <v>#DIV/0!</v>
      </c>
      <c r="E9" s="37" t="e">
        <f t="shared" si="1"/>
        <v>#DIV/0!</v>
      </c>
      <c r="F9" s="91" t="e">
        <f t="shared" si="2"/>
        <v>#DIV/0!</v>
      </c>
      <c r="G9" s="91" t="e">
        <f t="shared" si="3"/>
        <v>#DIV/0!</v>
      </c>
      <c r="H9" s="91" t="e">
        <f t="shared" si="4"/>
        <v>#DIV/0!</v>
      </c>
      <c r="I9" s="91" t="e">
        <f t="shared" si="5"/>
        <v>#DIV/0!</v>
      </c>
      <c r="J9" s="91" t="e">
        <f t="shared" si="6"/>
        <v>#DIV/0!</v>
      </c>
      <c r="K9" s="91" t="e">
        <f t="shared" si="7"/>
        <v>#DIV/0!</v>
      </c>
      <c r="L9" s="91" t="e">
        <f t="shared" si="8"/>
        <v>#DIV/0!</v>
      </c>
      <c r="R9" s="408"/>
      <c r="S9" s="409"/>
      <c r="T9" s="23"/>
      <c r="U9" s="27"/>
      <c r="V9" s="88"/>
    </row>
    <row r="10" spans="1:24">
      <c r="A10" s="25">
        <v>9</v>
      </c>
      <c r="B10" s="37">
        <f>'PERHITUNGAN 10'!O93</f>
        <v>0</v>
      </c>
      <c r="C10" s="37" t="e">
        <f>'PERHITUNGAN 10'!N93</f>
        <v>#DIV/0!</v>
      </c>
      <c r="D10" s="75" t="e">
        <f>C10^2</f>
        <v>#DIV/0!</v>
      </c>
      <c r="E10" s="37" t="e">
        <f>C10^3</f>
        <v>#DIV/0!</v>
      </c>
      <c r="F10" s="91" t="e">
        <f>C10^4</f>
        <v>#DIV/0!</v>
      </c>
      <c r="G10" s="91" t="e">
        <f>C10^5</f>
        <v>#DIV/0!</v>
      </c>
      <c r="H10" s="91" t="e">
        <f>C10^6</f>
        <v>#DIV/0!</v>
      </c>
      <c r="I10" s="91" t="e">
        <f>C10^7</f>
        <v>#DIV/0!</v>
      </c>
      <c r="J10" s="91" t="e">
        <f>C10^8</f>
        <v>#DIV/0!</v>
      </c>
      <c r="K10" s="91" t="e">
        <f>C10^9</f>
        <v>#DIV/0!</v>
      </c>
      <c r="L10" s="91" t="e">
        <f>C10^10</f>
        <v>#DIV/0!</v>
      </c>
      <c r="R10" s="408"/>
      <c r="S10" s="409"/>
      <c r="T10" s="23"/>
      <c r="U10" s="27"/>
      <c r="V10" s="88"/>
    </row>
    <row r="11" spans="1:24">
      <c r="A11" s="25">
        <v>10</v>
      </c>
      <c r="B11" s="37">
        <f>'PERHITUNGAN 10'!O94</f>
        <v>0</v>
      </c>
      <c r="C11" s="37" t="e">
        <f>'PERHITUNGAN 10'!N94</f>
        <v>#DIV/0!</v>
      </c>
      <c r="D11" s="75" t="e">
        <f>C11^2</f>
        <v>#DIV/0!</v>
      </c>
      <c r="E11" s="37" t="e">
        <f>C11^3</f>
        <v>#DIV/0!</v>
      </c>
      <c r="F11" s="91" t="e">
        <f>C11^4</f>
        <v>#DIV/0!</v>
      </c>
      <c r="G11" s="91" t="e">
        <f>C11^5</f>
        <v>#DIV/0!</v>
      </c>
      <c r="H11" s="91" t="e">
        <f>C11^6</f>
        <v>#DIV/0!</v>
      </c>
      <c r="I11" s="91" t="e">
        <f>C11^7</f>
        <v>#DIV/0!</v>
      </c>
      <c r="J11" s="91" t="e">
        <f>C11^8</f>
        <v>#DIV/0!</v>
      </c>
      <c r="K11" s="91" t="e">
        <f>C11^9</f>
        <v>#DIV/0!</v>
      </c>
      <c r="L11" s="91" t="e">
        <f>C11^10</f>
        <v>#DIV/0!</v>
      </c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151</v>
      </c>
      <c r="R19" s="408">
        <f>'REGRESI 1'!R19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-0.90376374546435845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1'!R20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-0.73817504094720654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1'!R21</f>
        <v>25</v>
      </c>
      <c r="S21" s="409"/>
      <c r="T21" s="23">
        <f t="shared" si="9"/>
        <v>0.13147597368515768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1'!R22</f>
        <v>50</v>
      </c>
      <c r="S22" s="409"/>
      <c r="T22" s="23">
        <f t="shared" si="9"/>
        <v>1.4354187714518238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1'!R23</f>
        <v>100</v>
      </c>
      <c r="S23" s="409"/>
      <c r="T23" s="23">
        <f t="shared" si="9"/>
        <v>4.2627868224918259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1'!R24</f>
        <v>125</v>
      </c>
      <c r="S24" s="409"/>
      <c r="T24" s="23">
        <f t="shared" si="9"/>
        <v>5.2445156288170462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1'!R25</f>
        <v>150</v>
      </c>
      <c r="S25" s="409"/>
      <c r="T25" s="23">
        <f t="shared" si="9"/>
        <v>5.5771433243803319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1'!R26</f>
        <v>200</v>
      </c>
      <c r="S26" s="409"/>
      <c r="T26" s="23">
        <f t="shared" si="9"/>
        <v>3.2117024893248676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1'!R27</f>
        <v>0</v>
      </c>
      <c r="S27" s="409"/>
      <c r="T27" s="23">
        <f t="shared" si="9"/>
        <v>-0.73817504094720654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1'!R28</f>
        <v>0</v>
      </c>
      <c r="S28" s="409"/>
      <c r="T28" s="23">
        <f t="shared" si="9"/>
        <v>-0.73817504094720654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0.96594373695208469</v>
      </c>
      <c r="Q33" s="31" t="s">
        <v>100</v>
      </c>
      <c r="U33" s="70"/>
    </row>
    <row r="34" spans="2:24">
      <c r="B34" t="s">
        <v>76</v>
      </c>
      <c r="C34">
        <v>0.93304730295695826</v>
      </c>
      <c r="X34" s="46"/>
    </row>
    <row r="35" spans="2:24">
      <c r="B35" t="s">
        <v>77</v>
      </c>
      <c r="C35">
        <v>0.88283278017467692</v>
      </c>
      <c r="Q35" t="s">
        <v>99</v>
      </c>
    </row>
    <row r="36" spans="2:24">
      <c r="B36" t="s">
        <v>78</v>
      </c>
      <c r="C36">
        <v>0.92539343133017926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-0.73817504094720654</v>
      </c>
      <c r="U38" s="26" t="s">
        <v>97</v>
      </c>
      <c r="V38">
        <f>C78</f>
        <v>0</v>
      </c>
    </row>
    <row r="39" spans="2:24" ht="13.5" thickBot="1">
      <c r="B39" t="s">
        <v>80</v>
      </c>
      <c r="R39" s="26" t="s">
        <v>98</v>
      </c>
      <c r="S39">
        <f t="shared" si="10"/>
        <v>2.2488895276287748E-2</v>
      </c>
      <c r="U39" s="26" t="s">
        <v>98</v>
      </c>
      <c r="V39">
        <f>C79</f>
        <v>0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5.6411200528668859E-4</v>
      </c>
      <c r="U40" s="26" t="s">
        <v>111</v>
      </c>
      <c r="V40">
        <f>C80</f>
        <v>0</v>
      </c>
    </row>
    <row r="41" spans="2:24">
      <c r="B41" t="s">
        <v>81</v>
      </c>
      <c r="C41">
        <v>3</v>
      </c>
      <c r="D41">
        <v>47.736261264003943</v>
      </c>
      <c r="E41">
        <v>15.912087088001314</v>
      </c>
      <c r="F41">
        <v>18.581224141120224</v>
      </c>
      <c r="G41">
        <v>8.2149951613459567E-3</v>
      </c>
      <c r="R41" s="26" t="s">
        <v>112</v>
      </c>
      <c r="S41">
        <f t="shared" si="10"/>
        <v>-2.8890477170566275E-6</v>
      </c>
      <c r="U41" s="26" t="s">
        <v>112</v>
      </c>
      <c r="V41">
        <f>C81</f>
        <v>0</v>
      </c>
    </row>
    <row r="42" spans="2:24">
      <c r="B42" t="s">
        <v>82</v>
      </c>
      <c r="C42">
        <v>4</v>
      </c>
      <c r="D42">
        <v>3.4254120109961725</v>
      </c>
      <c r="E42">
        <v>0.85635300274904314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51.161673275000112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-0.73817504094720654</v>
      </c>
      <c r="D46">
        <v>0.55663643770717053</v>
      </c>
      <c r="E46">
        <v>-1.3261349616058336</v>
      </c>
      <c r="F46">
        <v>0.25545015414798922</v>
      </c>
      <c r="G46">
        <v>-2.2836455537940168</v>
      </c>
      <c r="H46">
        <v>0.80729547189960349</v>
      </c>
      <c r="I46">
        <v>-2.2836455537940168</v>
      </c>
      <c r="J46">
        <v>0.80729547189960349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2.2488895276287748E-2</v>
      </c>
      <c r="D47">
        <v>3.230461479605224E-2</v>
      </c>
      <c r="E47">
        <v>0.69615116658304765</v>
      </c>
      <c r="F47">
        <v>0.52466575050924946</v>
      </c>
      <c r="G47">
        <v>-6.7203094349511702E-2</v>
      </c>
      <c r="H47">
        <v>0.11218088490208721</v>
      </c>
      <c r="I47">
        <v>-6.7203094349511702E-2</v>
      </c>
      <c r="J47">
        <v>0.11218088490208721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5.6411200528668859E-4</v>
      </c>
      <c r="D48">
        <v>4.4258892467134616E-4</v>
      </c>
      <c r="E48">
        <v>1.2745732526081215</v>
      </c>
      <c r="F48">
        <v>0.2714688747097822</v>
      </c>
      <c r="G48">
        <v>-6.6471184823182529E-4</v>
      </c>
      <c r="H48">
        <v>1.7929358588052026E-3</v>
      </c>
      <c r="I48">
        <v>-6.6471184823182529E-4</v>
      </c>
      <c r="J48">
        <v>1.7929358588052026E-3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-2.8890477170566275E-6</v>
      </c>
      <c r="D49" s="67">
        <v>1.5289791895137033E-6</v>
      </c>
      <c r="E49" s="67">
        <v>-1.8895271674531413</v>
      </c>
      <c r="F49" s="67">
        <v>0.1318224895351634</v>
      </c>
      <c r="G49" s="67">
        <v>-7.1341745037312382E-6</v>
      </c>
      <c r="H49" s="67">
        <v>1.3560790696179832E-6</v>
      </c>
      <c r="I49" s="67">
        <v>-7.1341745037312382E-6</v>
      </c>
      <c r="J49" s="67">
        <v>1.3560790696179832E-6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56" spans="2:21" ht="13.5" thickBot="1">
      <c r="B56" s="67"/>
      <c r="C56" s="67"/>
      <c r="D56" s="67"/>
      <c r="E56" s="67"/>
      <c r="F56" s="67"/>
      <c r="G56" s="67"/>
      <c r="H56" s="67"/>
      <c r="I56" s="67"/>
      <c r="J56" s="67"/>
    </row>
    <row r="63" spans="2:21" ht="13.5" thickBot="1"/>
    <row r="64" spans="2:21" ht="13.5">
      <c r="B64" s="69"/>
      <c r="C64" s="69"/>
    </row>
    <row r="69" spans="2:10" ht="13.5" thickBot="1">
      <c r="B69" s="67"/>
      <c r="C69" s="67"/>
    </row>
    <row r="71" spans="2:10" ht="13.5" thickBot="1"/>
    <row r="72" spans="2:10" ht="13.5">
      <c r="B72" s="68"/>
      <c r="C72" s="68"/>
      <c r="D72" s="68"/>
      <c r="E72" s="68"/>
      <c r="F72" s="68"/>
      <c r="G72" s="68"/>
    </row>
    <row r="75" spans="2:10" ht="13.5" thickBot="1">
      <c r="B75" s="67"/>
      <c r="C75" s="67"/>
      <c r="D75" s="67"/>
      <c r="E75" s="67"/>
      <c r="F75" s="67"/>
      <c r="G75" s="67"/>
    </row>
    <row r="76" spans="2:10" ht="13.5" thickBot="1"/>
    <row r="77" spans="2:10" ht="13.5">
      <c r="B77" s="68"/>
      <c r="C77" s="68"/>
      <c r="D77" s="68"/>
      <c r="E77" s="68"/>
      <c r="F77" s="68"/>
      <c r="G77" s="68"/>
      <c r="H77" s="68"/>
      <c r="I77" s="68"/>
      <c r="J77" s="68"/>
    </row>
    <row r="81" spans="2:10" ht="13.5" thickBot="1">
      <c r="B81" s="67"/>
      <c r="C81" s="67"/>
      <c r="D81" s="67"/>
      <c r="E81" s="67"/>
      <c r="F81" s="67"/>
      <c r="G81" s="67"/>
      <c r="H81" s="67"/>
      <c r="I81" s="67"/>
      <c r="J81" s="67"/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E8BBE-2E67-4C7D-B14B-B8BED34EFB4A}">
  <dimension ref="A1:AH187"/>
  <sheetViews>
    <sheetView workbookViewId="0">
      <selection activeCell="J121" sqref="J121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1'!E5</f>
        <v>Termometer Digital</v>
      </c>
      <c r="F5" s="11"/>
      <c r="G5" s="11" t="s">
        <v>127</v>
      </c>
      <c r="H5" s="11" t="s">
        <v>16</v>
      </c>
      <c r="I5" s="66" t="str">
        <f>'PERHITUNGAN 1'!I5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1'!E6</f>
        <v>Hioki / LR 8431-20</v>
      </c>
      <c r="F6" s="11"/>
      <c r="G6" s="11" t="s">
        <v>128</v>
      </c>
      <c r="H6" s="11" t="s">
        <v>16</v>
      </c>
      <c r="I6" s="129">
        <f>'PERHITUNGAN 1'!I6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1'!E7</f>
        <v>210149173</v>
      </c>
      <c r="F7" s="11"/>
      <c r="G7" s="11" t="s">
        <v>44</v>
      </c>
      <c r="H7" s="11" t="s">
        <v>16</v>
      </c>
      <c r="I7" s="31">
        <v>11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1'!D24</f>
        <v>22</v>
      </c>
      <c r="E23" s="244">
        <f>'PERHITUNGAN 1'!E24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1'!D25</f>
        <v>22</v>
      </c>
      <c r="E24" s="244">
        <f>'PERHITUNGAN 1'!E25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1'!D28</f>
        <v>20</v>
      </c>
      <c r="E27" s="244">
        <f>'PERHITUNGAN 1'!E28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1'!D29</f>
        <v>20</v>
      </c>
      <c r="E28" s="244">
        <f>'PERHITUNGAN 1'!E29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1'!D33</f>
        <v>55</v>
      </c>
      <c r="E32" s="244">
        <f>'PERHITUNGAN 1'!E33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1'!D34</f>
        <v>55</v>
      </c>
      <c r="E33" s="244">
        <f>'PERHITUNGAN 1'!E34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-29.818000000000001</v>
      </c>
      <c r="P36" s="380">
        <f>F56</f>
        <v>0.20400000000000001</v>
      </c>
      <c r="Q36" s="380">
        <f>F64</f>
        <v>50.35</v>
      </c>
      <c r="R36" s="380">
        <f>F72</f>
        <v>99.887</v>
      </c>
      <c r="S36" s="380">
        <f>F80</f>
        <v>149.71700000000001</v>
      </c>
      <c r="T36" s="380">
        <f>F88</f>
        <v>199.46600000000001</v>
      </c>
      <c r="U36" s="380">
        <f>F96</f>
        <v>249.47899999999998</v>
      </c>
      <c r="V36" s="380">
        <f>F104</f>
        <v>259.55599999999998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11'!$E$11="Burn Engr",IF(O36&lt;=$AA$38,$AB$38,$AB$39),IF(O36&lt;=$AC$38,$AD$38,IF(O36&lt;=$AC$39,$AD$39,$AD$40)))</f>
        <v>0.02</v>
      </c>
      <c r="P38" s="54">
        <f>IF('PERHITUNGAN 11'!$E$11="Burn Engr",IF(P36&lt;=$AA$38,$AB$38,$AB$39),IF(P36&lt;=$AC$38,$AD$38,IF(P36&lt;=$AC$39,$AD$39,$AD$40)))</f>
        <v>7.0000000000000007E-2</v>
      </c>
      <c r="Q38" s="54">
        <f>IF('PERHITUNGAN 11'!$E$11="Burn Engr",IF(Q36&lt;=$AA$38,$AB$38,$AB$39),IF(Q36&lt;=$AC$38,$AD$38,IF(Q36&lt;=$AC$39,$AD$39,$AD$40)))</f>
        <v>7.0000000000000007E-2</v>
      </c>
      <c r="R38" s="54">
        <f>IF('PERHITUNGAN 11'!$E$11="Burn Engr",IF(R36&lt;=$AA$38,$AB$38,$AB$39),IF(R36&lt;=$AC$38,$AD$38,IF(R36&lt;=$AC$39,$AD$39,$AD$40)))</f>
        <v>7.0000000000000007E-2</v>
      </c>
      <c r="S38" s="54">
        <f>IF('PERHITUNGAN 11'!$E$11="Burn Engr",IF(S36&lt;=$AA$38,$AB$38,$AB$39),IF(S36&lt;=$AC$38,$AD$38,IF(S36&lt;=$AC$39,$AD$39,$AD$40)))</f>
        <v>7.0000000000000007E-2</v>
      </c>
      <c r="T38" s="54">
        <f>IF('PERHITUNGAN 11'!$E$11="Burn Engr",IF(T36&lt;=$AA$38,$AB$38,$AB$39),IF(T36&lt;=$AC$38,$AD$38,IF(T36&lt;=$AC$39,$AD$39,$AD$40)))</f>
        <v>7.0000000000000007E-2</v>
      </c>
      <c r="U38" s="54">
        <f>IF('PERHITUNGAN 11'!$E$11="Burn Engr",IF(U36&lt;=$AA$38,$AB$38,$AB$39),IF(U36&lt;=$AC$38,$AD$38,IF(U36&lt;=$AC$39,$AD$39,$AD$40)))</f>
        <v>7.0000000000000007E-2</v>
      </c>
      <c r="V38" s="54">
        <f>IF('PERHITUNGAN 11'!$E$11="Burn Engr",IF(V36&lt;=$AA$38,$AB$38,$AB$39),IF(V36&lt;=$AC$38,$AD$38,IF(V36&lt;=$AC$39,$AD$39,$AD$40)))</f>
        <v>7.0000000000000007E-2</v>
      </c>
      <c r="W38" s="54">
        <f>IF('PERHITUNGAN 11'!$E$11="Burn Engr",IF(W36&lt;=$AA$38,$AB$38,$AB$39),IF(W36&lt;=$AC$38,$AD$38,IF(W36&lt;=$AC$39,$AD$39,$AD$40)))</f>
        <v>0.02</v>
      </c>
      <c r="X38" s="54">
        <f>IF('PERHITUNGAN 11'!$E$11="Burn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0.01</v>
      </c>
      <c r="P40" s="37">
        <f t="shared" ref="P40:X40" si="1">P38/P39</f>
        <v>3.5000000000000003E-2</v>
      </c>
      <c r="Q40" s="37">
        <f t="shared" si="1"/>
        <v>3.5000000000000003E-2</v>
      </c>
      <c r="R40" s="37">
        <f>R38/R39</f>
        <v>3.5000000000000003E-2</v>
      </c>
      <c r="S40" s="37">
        <f t="shared" si="1"/>
        <v>3.5000000000000003E-2</v>
      </c>
      <c r="T40" s="37">
        <f t="shared" si="1"/>
        <v>3.5000000000000003E-2</v>
      </c>
      <c r="U40" s="37">
        <f t="shared" si="1"/>
        <v>3.5000000000000003E-2</v>
      </c>
      <c r="V40" s="37">
        <f t="shared" si="1"/>
        <v>3.5000000000000003E-2</v>
      </c>
      <c r="W40" s="37">
        <f t="shared" si="1"/>
        <v>0.01</v>
      </c>
      <c r="X40" s="37">
        <f t="shared" si="1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-30</v>
      </c>
      <c r="C43" s="373">
        <v>-28.46</v>
      </c>
      <c r="D43" s="374"/>
      <c r="E43" s="90">
        <v>-29.818000000000001</v>
      </c>
      <c r="F43" s="37">
        <f>IF('PERHITUNGAN 11'!$E$11="Burn Engr",'PERHITUNGAN 11'!E43,E43+('regresi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-29.818000000000001</v>
      </c>
      <c r="G43" s="90">
        <f>F43-C43</f>
        <v>-1.3580000000000005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-28.46</v>
      </c>
      <c r="D44" s="374"/>
      <c r="E44" s="90">
        <v>-29.818000000000001</v>
      </c>
      <c r="F44" s="37">
        <f>IF('PERHITUNGAN 11'!$E$11="Burn Engr",'PERHITUNGAN 11'!E44,E44+('regresi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-29.818000000000001</v>
      </c>
      <c r="G44" s="90">
        <f>F44-C44</f>
        <v>-1.3580000000000005</v>
      </c>
      <c r="H44" s="63"/>
      <c r="I44" s="63"/>
      <c r="AB44" s="1"/>
    </row>
    <row r="45" spans="1:30" ht="13.5" customHeight="1">
      <c r="A45" s="105"/>
      <c r="C45" s="373">
        <v>-28.46</v>
      </c>
      <c r="D45" s="374"/>
      <c r="E45" s="90">
        <v>-29.818000000000001</v>
      </c>
      <c r="F45" s="37">
        <f>IF('PERHITUNGAN 11'!$E$11="Burn Engr",'PERHITUNGAN 11'!E45,E45+('regresi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-29.818000000000001</v>
      </c>
      <c r="G45" s="90">
        <f>F45-C45</f>
        <v>-1.3580000000000005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-28.46</v>
      </c>
      <c r="D46" s="374"/>
      <c r="E46" s="90">
        <v>-29.818000000000001</v>
      </c>
      <c r="F46" s="37">
        <f>IF('PERHITUNGAN 11'!$E$11="Burn Engr",'PERHITUNGAN 11'!E46,E46+('regresi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-29.818000000000001</v>
      </c>
      <c r="G46" s="90">
        <f>F46-C46</f>
        <v>-1.3580000000000005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-28.46</v>
      </c>
      <c r="D47" s="374"/>
      <c r="E47" s="90">
        <v>-29.818000000000001</v>
      </c>
      <c r="F47" s="37">
        <f>IF('PERHITUNGAN 11'!$E$11="Burn Engr",'PERHITUNGAN 11'!E47,E47+('regresi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-29.818000000000001</v>
      </c>
      <c r="G47" s="90">
        <f>F47-C47</f>
        <v>-1.3580000000000005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-28.46</v>
      </c>
      <c r="D48" s="357"/>
      <c r="E48" s="95">
        <f>AVERAGE(E43:E47)</f>
        <v>-29.818000000000001</v>
      </c>
      <c r="F48" s="95">
        <f>AVERAGE(F43:F47)</f>
        <v>-29.818000000000001</v>
      </c>
      <c r="G48" s="95">
        <f>SUM(G43:G47)/5</f>
        <v>-1.3580000000000005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0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0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>
        <v>0</v>
      </c>
      <c r="C51" s="373">
        <v>1.1200000000000001</v>
      </c>
      <c r="D51" s="374"/>
      <c r="E51" s="90">
        <v>0.20399999999999999</v>
      </c>
      <c r="F51" s="37">
        <f>IF('PERHITUNGAN 11'!$E$11="Burn Engr",'PERHITUNGAN 11'!E51,E51+('regresi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0.20399999999999999</v>
      </c>
      <c r="G51" s="90">
        <f>F51-C51</f>
        <v>-0.91600000000000015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>
        <v>1.1200000000000001</v>
      </c>
      <c r="D52" s="374"/>
      <c r="E52" s="90">
        <v>0.20399999999999999</v>
      </c>
      <c r="F52" s="37">
        <f>IF('PERHITUNGAN 11'!$E$11="Burn Engr",'PERHITUNGAN 11'!E52,E52+('regresi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0.20399999999999999</v>
      </c>
      <c r="G52" s="90">
        <f>F52-C52</f>
        <v>-0.91600000000000015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>
        <v>1.1200000000000001</v>
      </c>
      <c r="D53" s="374"/>
      <c r="E53" s="90">
        <v>0.20399999999999999</v>
      </c>
      <c r="F53" s="37">
        <f>IF('PERHITUNGAN 11'!$E$11="Burn Engr",'PERHITUNGAN 11'!E53,E53+('regresi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0.20399999999999999</v>
      </c>
      <c r="G53" s="90">
        <f>F53-C53</f>
        <v>-0.91600000000000015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1.1200000000000001</v>
      </c>
      <c r="D54" s="374"/>
      <c r="E54" s="90">
        <v>0.20399999999999999</v>
      </c>
      <c r="F54" s="37">
        <f>IF('PERHITUNGAN 11'!$E$11="Burn Engr",'PERHITUNGAN 11'!E54,E54+('regresi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0.20399999999999999</v>
      </c>
      <c r="G54" s="90">
        <f>F54-C54</f>
        <v>-0.91600000000000015</v>
      </c>
      <c r="H54" s="63"/>
      <c r="I54" s="63"/>
      <c r="AB54" s="1"/>
    </row>
    <row r="55" spans="1:28" ht="13.5" customHeight="1">
      <c r="A55" s="10"/>
      <c r="C55" s="373">
        <v>1.1200000000000001</v>
      </c>
      <c r="D55" s="374"/>
      <c r="E55" s="90">
        <v>0.20399999999999999</v>
      </c>
      <c r="F55" s="37">
        <f>IF('PERHITUNGAN 11'!$E$11="Burn Engr",'PERHITUNGAN 11'!E55,E55+('regresi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0.20399999999999999</v>
      </c>
      <c r="G55" s="90">
        <f>F55-C55</f>
        <v>-0.91600000000000015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1.1200000000000001</v>
      </c>
      <c r="D56" s="334"/>
      <c r="E56" s="95">
        <f>AVERAGE(E51:E55)</f>
        <v>0.20400000000000001</v>
      </c>
      <c r="F56" s="95">
        <f>AVERAGE(F51:F55)</f>
        <v>0.20400000000000001</v>
      </c>
      <c r="G56" s="95">
        <f>SUM(G51:G55)/5</f>
        <v>-0.91600000000000015</v>
      </c>
      <c r="H56" s="63"/>
      <c r="I56" s="63"/>
      <c r="N56" s="390"/>
      <c r="O56" s="115">
        <f>C48</f>
        <v>-28.46</v>
      </c>
      <c r="P56" s="115">
        <f>C56</f>
        <v>1.1200000000000001</v>
      </c>
      <c r="Q56" s="115">
        <f>C64</f>
        <v>50.71</v>
      </c>
      <c r="R56" s="115">
        <f>C72</f>
        <v>100.84</v>
      </c>
      <c r="S56" s="115">
        <f>C80</f>
        <v>150.59</v>
      </c>
      <c r="T56" s="115">
        <f>C88</f>
        <v>199.94</v>
      </c>
      <c r="U56" s="115">
        <f>C96</f>
        <v>249.82</v>
      </c>
      <c r="V56" s="115">
        <f>C104</f>
        <v>259.88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0</v>
      </c>
      <c r="H57" s="44"/>
      <c r="I57" s="63"/>
      <c r="N57" s="25" t="s">
        <v>152</v>
      </c>
      <c r="O57" s="112">
        <f>$G$49/5^0.5</f>
        <v>0</v>
      </c>
      <c r="P57" s="112">
        <f>$G$57/5^0.5</f>
        <v>0</v>
      </c>
      <c r="Q57" s="112">
        <f>$G$65/5^0.5</f>
        <v>0</v>
      </c>
      <c r="R57" s="112">
        <f>$G$73/5^0.5</f>
        <v>0</v>
      </c>
      <c r="S57" s="112">
        <f>$G$81/5^0.5</f>
        <v>0</v>
      </c>
      <c r="T57" s="112">
        <f>$G$89/5^0.5</f>
        <v>0</v>
      </c>
      <c r="U57" s="112">
        <f>$G$97/5^0.5</f>
        <v>0</v>
      </c>
      <c r="V57" s="112">
        <f>$G$105/5^0.5</f>
        <v>0</v>
      </c>
      <c r="W57" s="112" t="e">
        <f>$G$113/5^0.5</f>
        <v>#DIV/0!</v>
      </c>
      <c r="X57" s="112" t="e">
        <f>$G$121/5^0.5</f>
        <v>#DIV/0!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0</v>
      </c>
      <c r="H58" s="44"/>
      <c r="I58" s="63"/>
      <c r="N58" s="25" t="s">
        <v>153</v>
      </c>
      <c r="O58" s="113">
        <f>IF('DRAFT-SERTIF'!$O$27="Ya",'REGRESI 11'!$C$36,0)</f>
        <v>0.19642034791218965</v>
      </c>
      <c r="P58" s="113">
        <f>IF('DRAFT-SERTIF'!$O$27="Ya",'REGRESI 11'!$C$36,0)</f>
        <v>0.19642034791218965</v>
      </c>
      <c r="Q58" s="113">
        <f>IF('DRAFT-SERTIF'!$O$27="Ya",'REGRESI 11'!$C$36,0)</f>
        <v>0.19642034791218965</v>
      </c>
      <c r="R58" s="113">
        <f>IF('DRAFT-SERTIF'!$O$27="Ya",'REGRESI 11'!$C$36,0)</f>
        <v>0.19642034791218965</v>
      </c>
      <c r="S58" s="113">
        <f>IF('DRAFT-SERTIF'!$O$27="Ya",'REGRESI 11'!$C$36,0)</f>
        <v>0.19642034791218965</v>
      </c>
      <c r="T58" s="113">
        <f>IF('DRAFT-SERTIF'!$O$27="Ya",'REGRESI 11'!$C$36,0)</f>
        <v>0.19642034791218965</v>
      </c>
      <c r="U58" s="113">
        <f>IF('DRAFT-SERTIF'!$O$27="Ya",'REGRESI 11'!$C$36,0)</f>
        <v>0.19642034791218965</v>
      </c>
      <c r="V58" s="113">
        <f>IF('DRAFT-SERTIF'!$O$27="Ya",'REGRESI 11'!$C$36,0)</f>
        <v>0.19642034791218965</v>
      </c>
      <c r="W58" s="113">
        <f>IF('DRAFT-SERTIF'!$O$27="Ya",'REGRESI 11'!$C$36,0)</f>
        <v>0.19642034791218965</v>
      </c>
      <c r="X58" s="113">
        <f>IF('DRAFT-SERTIF'!$O$27="Ya",'REGRESI 11'!$C$36,0)</f>
        <v>0.19642034791218965</v>
      </c>
      <c r="AB58" s="1"/>
    </row>
    <row r="59" spans="1:28" ht="13.5" customHeight="1">
      <c r="A59" s="105">
        <v>3</v>
      </c>
      <c r="B59" s="196">
        <v>50</v>
      </c>
      <c r="C59" s="327">
        <v>50.71</v>
      </c>
      <c r="D59" s="327"/>
      <c r="E59" s="15">
        <v>50.35</v>
      </c>
      <c r="F59" s="37">
        <f>IF('PERHITUNGAN 11'!$E$11="Burn Engr",'PERHITUNGAN 11'!E59,E59+('regresi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50.35</v>
      </c>
      <c r="G59" s="90">
        <f>F59-C59</f>
        <v>-0.35999999999999943</v>
      </c>
      <c r="H59" s="63"/>
      <c r="I59" s="63"/>
      <c r="N59" s="25" t="s">
        <v>154</v>
      </c>
      <c r="O59" s="91">
        <f t="shared" ref="O59:X59" si="3">O40</f>
        <v>0.01</v>
      </c>
      <c r="P59" s="91">
        <f t="shared" si="3"/>
        <v>3.5000000000000003E-2</v>
      </c>
      <c r="Q59" s="91">
        <f t="shared" si="3"/>
        <v>3.5000000000000003E-2</v>
      </c>
      <c r="R59" s="91">
        <f t="shared" si="3"/>
        <v>3.5000000000000003E-2</v>
      </c>
      <c r="S59" s="91">
        <f t="shared" si="3"/>
        <v>3.5000000000000003E-2</v>
      </c>
      <c r="T59" s="91">
        <f t="shared" si="3"/>
        <v>3.5000000000000003E-2</v>
      </c>
      <c r="U59" s="91">
        <f t="shared" si="3"/>
        <v>3.5000000000000003E-2</v>
      </c>
      <c r="V59" s="91">
        <f t="shared" si="3"/>
        <v>3.5000000000000003E-2</v>
      </c>
      <c r="W59" s="91">
        <f t="shared" si="3"/>
        <v>0.01</v>
      </c>
      <c r="X59" s="91">
        <f t="shared" si="3"/>
        <v>0.01</v>
      </c>
    </row>
    <row r="60" spans="1:28">
      <c r="A60" s="10"/>
      <c r="C60" s="327">
        <v>50.71</v>
      </c>
      <c r="D60" s="327"/>
      <c r="E60" s="15">
        <v>50.35</v>
      </c>
      <c r="F60" s="37">
        <f>IF('PERHITUNGAN 11'!$E$11="Burn Engr",'PERHITUNGAN 11'!E60,E60+('regresi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50.35</v>
      </c>
      <c r="G60" s="90">
        <f>F60-C60</f>
        <v>-0.35999999999999943</v>
      </c>
      <c r="H60" s="63"/>
      <c r="I60" s="63"/>
      <c r="N60" s="133" t="s">
        <v>155</v>
      </c>
      <c r="O60" s="134">
        <f>'PERHITUNGAN 1'!O61</f>
        <v>1.5000000000000003E-2</v>
      </c>
      <c r="P60" s="134">
        <f>'PERHITUNGAN 1'!P61</f>
        <v>0.01</v>
      </c>
      <c r="Q60" s="134">
        <f>'PERHITUNGAN 1'!Q61</f>
        <v>5.0000000000000001E-3</v>
      </c>
      <c r="R60" s="134">
        <f>'PERHITUNGAN 1'!R61</f>
        <v>1.4999999999999999E-2</v>
      </c>
      <c r="S60" s="134">
        <f>'PERHITUNGAN 1'!S61</f>
        <v>5.0000000000000001E-3</v>
      </c>
      <c r="T60" s="134">
        <f>'PERHITUNGAN 1'!T61</f>
        <v>0.05</v>
      </c>
      <c r="U60" s="134">
        <f>'PERHITUNGAN 1'!U61</f>
        <v>0.05</v>
      </c>
      <c r="V60" s="134">
        <f>'PERHITUNGAN 1'!V61</f>
        <v>1.5000000000000003E-2</v>
      </c>
      <c r="W60" s="134">
        <f>'PERHITUNGAN 1'!W61</f>
        <v>1.4999999999999999E-2</v>
      </c>
      <c r="X60" s="134">
        <f>'PERHITUNGAN 1'!X61</f>
        <v>1.4999999999999999E-2</v>
      </c>
    </row>
    <row r="61" spans="1:28">
      <c r="A61" s="10"/>
      <c r="C61" s="327">
        <v>50.71</v>
      </c>
      <c r="D61" s="327"/>
      <c r="E61" s="15">
        <v>50.35</v>
      </c>
      <c r="F61" s="37">
        <f>IF('PERHITUNGAN 11'!$E$11="Burn Engr",'PERHITUNGAN 11'!E61,E61+('regresi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50.35</v>
      </c>
      <c r="G61" s="90">
        <f>F61-C61</f>
        <v>-0.35999999999999943</v>
      </c>
      <c r="H61" s="63"/>
      <c r="I61" s="63"/>
      <c r="N61" s="25" t="s">
        <v>156</v>
      </c>
      <c r="O61" s="20">
        <f t="shared" ref="O61:X61" si="4">(0.1*O38)/SQRT(3)</f>
        <v>1.1547005383792516E-3</v>
      </c>
      <c r="P61" s="20">
        <f t="shared" si="4"/>
        <v>4.041451884327381E-3</v>
      </c>
      <c r="Q61" s="20">
        <f t="shared" si="4"/>
        <v>4.041451884327381E-3</v>
      </c>
      <c r="R61" s="20">
        <f t="shared" si="4"/>
        <v>4.041451884327381E-3</v>
      </c>
      <c r="S61" s="20">
        <f t="shared" si="4"/>
        <v>4.041451884327381E-3</v>
      </c>
      <c r="T61" s="20">
        <f t="shared" si="4"/>
        <v>4.041451884327381E-3</v>
      </c>
      <c r="U61" s="20">
        <f t="shared" si="4"/>
        <v>4.041451884327381E-3</v>
      </c>
      <c r="V61" s="20">
        <f t="shared" si="4"/>
        <v>4.041451884327381E-3</v>
      </c>
      <c r="W61" s="20">
        <f t="shared" si="4"/>
        <v>1.1547005383792516E-3</v>
      </c>
      <c r="X61" s="20">
        <f t="shared" si="4"/>
        <v>1.1547005383792516E-3</v>
      </c>
    </row>
    <row r="62" spans="1:28">
      <c r="A62" s="10"/>
      <c r="C62" s="327">
        <v>50.71</v>
      </c>
      <c r="D62" s="327"/>
      <c r="E62" s="15">
        <v>50.35</v>
      </c>
      <c r="F62" s="37">
        <f>IF('PERHITUNGAN 11'!$E$11="Burn Engr",'PERHITUNGAN 11'!E62,E62+('regresi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50.35</v>
      </c>
      <c r="G62" s="90">
        <f>F62-C62</f>
        <v>-0.35999999999999943</v>
      </c>
      <c r="H62" s="63"/>
      <c r="I62" s="63"/>
      <c r="N62" s="25" t="s">
        <v>157</v>
      </c>
      <c r="O62" s="114">
        <f t="shared" ref="O62:X62" si="5">$T$28</f>
        <v>2.886751345948129E-3</v>
      </c>
      <c r="P62" s="114">
        <f t="shared" si="5"/>
        <v>2.886751345948129E-3</v>
      </c>
      <c r="Q62" s="114">
        <f t="shared" si="5"/>
        <v>2.886751345948129E-3</v>
      </c>
      <c r="R62" s="114">
        <f t="shared" si="5"/>
        <v>2.886751345948129E-3</v>
      </c>
      <c r="S62" s="114">
        <f t="shared" si="5"/>
        <v>2.886751345948129E-3</v>
      </c>
      <c r="T62" s="114">
        <f t="shared" si="5"/>
        <v>2.886751345948129E-3</v>
      </c>
      <c r="U62" s="114">
        <f t="shared" si="5"/>
        <v>2.886751345948129E-3</v>
      </c>
      <c r="V62" s="114">
        <f t="shared" si="5"/>
        <v>2.886751345948129E-3</v>
      </c>
      <c r="W62" s="114">
        <f t="shared" si="5"/>
        <v>2.886751345948129E-3</v>
      </c>
      <c r="X62" s="114">
        <f t="shared" si="5"/>
        <v>2.886751345948129E-3</v>
      </c>
    </row>
    <row r="63" spans="1:28">
      <c r="A63" s="10"/>
      <c r="C63" s="327">
        <v>50.71</v>
      </c>
      <c r="D63" s="327"/>
      <c r="E63" s="15">
        <v>50.35</v>
      </c>
      <c r="F63" s="37">
        <f>IF('PERHITUNGAN 11'!$E$11="Burn Engr",'PERHITUNGAN 11'!E63,E63+('regresi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50.35</v>
      </c>
      <c r="G63" s="90">
        <f>F63-C63</f>
        <v>-0.35999999999999943</v>
      </c>
      <c r="H63" s="63"/>
      <c r="I63" s="63"/>
      <c r="N63" s="25" t="s">
        <v>158</v>
      </c>
      <c r="O63" s="114">
        <f t="shared" ref="O63:X63" si="6">$T$26</f>
        <v>2.886751345948129E-4</v>
      </c>
      <c r="P63" s="114">
        <f t="shared" si="6"/>
        <v>2.886751345948129E-4</v>
      </c>
      <c r="Q63" s="114">
        <f t="shared" si="6"/>
        <v>2.886751345948129E-4</v>
      </c>
      <c r="R63" s="114">
        <f t="shared" si="6"/>
        <v>2.886751345948129E-4</v>
      </c>
      <c r="S63" s="114">
        <f t="shared" si="6"/>
        <v>2.886751345948129E-4</v>
      </c>
      <c r="T63" s="114">
        <f t="shared" si="6"/>
        <v>2.886751345948129E-4</v>
      </c>
      <c r="U63" s="114">
        <f t="shared" si="6"/>
        <v>2.886751345948129E-4</v>
      </c>
      <c r="V63" s="114">
        <f t="shared" si="6"/>
        <v>2.886751345948129E-4</v>
      </c>
      <c r="W63" s="114">
        <f t="shared" si="6"/>
        <v>2.886751345948129E-4</v>
      </c>
      <c r="X63" s="114">
        <f t="shared" si="6"/>
        <v>2.886751345948129E-4</v>
      </c>
    </row>
    <row r="64" spans="1:28">
      <c r="A64" s="10"/>
      <c r="B64" s="8" t="s">
        <v>31</v>
      </c>
      <c r="C64" s="333">
        <f>AVERAGE(C59:D63)</f>
        <v>50.71</v>
      </c>
      <c r="D64" s="334"/>
      <c r="E64" s="95">
        <f>AVERAGE(E59:E63)</f>
        <v>50.35</v>
      </c>
      <c r="F64" s="95">
        <f>SUM(F59:F63)/5</f>
        <v>50.35</v>
      </c>
      <c r="G64" s="95">
        <f>SUM(G59:G63)/5</f>
        <v>-0.35999999999999943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7">10^10</f>
        <v>10000000000</v>
      </c>
      <c r="Q66" s="53">
        <f t="shared" si="7"/>
        <v>10000000000</v>
      </c>
      <c r="R66" s="53">
        <f t="shared" si="7"/>
        <v>10000000000</v>
      </c>
      <c r="S66" s="53">
        <f t="shared" si="7"/>
        <v>10000000000</v>
      </c>
      <c r="T66" s="53">
        <f t="shared" si="7"/>
        <v>10000000000</v>
      </c>
      <c r="U66" s="53">
        <f t="shared" si="7"/>
        <v>10000000000</v>
      </c>
      <c r="V66" s="53">
        <f t="shared" si="7"/>
        <v>10000000000</v>
      </c>
      <c r="W66" s="53">
        <f t="shared" si="7"/>
        <v>10000000000</v>
      </c>
      <c r="X66" s="53">
        <f t="shared" si="7"/>
        <v>10000000000</v>
      </c>
    </row>
    <row r="67" spans="1:28">
      <c r="A67" s="105">
        <v>4</v>
      </c>
      <c r="B67" s="196">
        <v>100</v>
      </c>
      <c r="C67" s="327">
        <v>100.84</v>
      </c>
      <c r="D67" s="327"/>
      <c r="E67" s="90">
        <v>99.887</v>
      </c>
      <c r="F67" s="37">
        <f>IF('PERHITUNGAN 11'!$E$11="Burn Engr",'PERHITUNGAN 11'!E67,E67+('regresi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99.887</v>
      </c>
      <c r="G67" s="90">
        <f>F67-C67</f>
        <v>-0.95300000000000296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100.84</v>
      </c>
      <c r="D68" s="327"/>
      <c r="E68" s="90">
        <v>99.887</v>
      </c>
      <c r="F68" s="37">
        <f>IF('PERHITUNGAN 11'!$E$11="Burn Engr",'PERHITUNGAN 11'!E68,E68+('regresi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99.887</v>
      </c>
      <c r="G68" s="90">
        <f>F68-C68</f>
        <v>-0.95300000000000296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100.84</v>
      </c>
      <c r="D69" s="327"/>
      <c r="E69" s="90">
        <v>99.887</v>
      </c>
      <c r="F69" s="37">
        <f>IF('PERHITUNGAN 11'!$E$11="Burn Engr",'PERHITUNGAN 11'!E69,E69+('regresi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99.887</v>
      </c>
      <c r="G69" s="90">
        <f>F69-C69</f>
        <v>-0.95300000000000296</v>
      </c>
      <c r="H69" s="63"/>
      <c r="I69" s="63"/>
      <c r="N69" s="25" t="s">
        <v>163</v>
      </c>
      <c r="O69" s="53">
        <f t="shared" ref="O69:X71" si="8">10^10</f>
        <v>10000000000</v>
      </c>
      <c r="P69" s="53">
        <f t="shared" si="8"/>
        <v>10000000000</v>
      </c>
      <c r="Q69" s="53">
        <f t="shared" si="8"/>
        <v>10000000000</v>
      </c>
      <c r="R69" s="53">
        <f t="shared" si="8"/>
        <v>10000000000</v>
      </c>
      <c r="S69" s="53">
        <f t="shared" si="8"/>
        <v>10000000000</v>
      </c>
      <c r="T69" s="53">
        <f t="shared" si="8"/>
        <v>10000000000</v>
      </c>
      <c r="U69" s="53">
        <f t="shared" si="8"/>
        <v>10000000000</v>
      </c>
      <c r="V69" s="53">
        <f t="shared" si="8"/>
        <v>10000000000</v>
      </c>
      <c r="W69" s="53">
        <f t="shared" si="8"/>
        <v>10000000000</v>
      </c>
      <c r="X69" s="53">
        <f t="shared" si="8"/>
        <v>10000000000</v>
      </c>
      <c r="AB69" s="1"/>
    </row>
    <row r="70" spans="1:28">
      <c r="A70" s="10"/>
      <c r="C70" s="327">
        <v>100.84</v>
      </c>
      <c r="D70" s="327"/>
      <c r="E70" s="90">
        <v>99.887</v>
      </c>
      <c r="F70" s="37">
        <f>IF('PERHITUNGAN 11'!$E$11="Burn Engr",'PERHITUNGAN 11'!E70,E70+('regresi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99.887</v>
      </c>
      <c r="G70" s="90">
        <f>F70-C70</f>
        <v>-0.95300000000000296</v>
      </c>
      <c r="H70" s="63"/>
      <c r="I70" s="63"/>
      <c r="N70" s="25" t="s">
        <v>164</v>
      </c>
      <c r="O70" s="53">
        <f t="shared" si="8"/>
        <v>10000000000</v>
      </c>
      <c r="P70" s="53">
        <f t="shared" si="8"/>
        <v>10000000000</v>
      </c>
      <c r="Q70" s="53">
        <f t="shared" si="8"/>
        <v>10000000000</v>
      </c>
      <c r="R70" s="53">
        <f t="shared" si="8"/>
        <v>10000000000</v>
      </c>
      <c r="S70" s="53">
        <f t="shared" si="8"/>
        <v>10000000000</v>
      </c>
      <c r="T70" s="53">
        <f t="shared" si="8"/>
        <v>10000000000</v>
      </c>
      <c r="U70" s="53">
        <f t="shared" si="8"/>
        <v>10000000000</v>
      </c>
      <c r="V70" s="53">
        <f t="shared" si="8"/>
        <v>10000000000</v>
      </c>
      <c r="W70" s="53">
        <f t="shared" si="8"/>
        <v>10000000000</v>
      </c>
      <c r="X70" s="53">
        <f t="shared" si="8"/>
        <v>10000000000</v>
      </c>
      <c r="AB70" s="1"/>
    </row>
    <row r="71" spans="1:28">
      <c r="A71" s="10"/>
      <c r="C71" s="327">
        <v>100.84</v>
      </c>
      <c r="D71" s="327"/>
      <c r="E71" s="90">
        <v>99.887</v>
      </c>
      <c r="F71" s="37">
        <f>IF('PERHITUNGAN 11'!$E$11="Burn Engr",'PERHITUNGAN 11'!E71,E71+('regresi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99.887</v>
      </c>
      <c r="G71" s="90">
        <f>F71-C71</f>
        <v>-0.95300000000000296</v>
      </c>
      <c r="H71" s="63"/>
      <c r="I71" s="63"/>
      <c r="N71" s="25" t="s">
        <v>165</v>
      </c>
      <c r="O71" s="53">
        <f t="shared" si="8"/>
        <v>10000000000</v>
      </c>
      <c r="P71" s="53">
        <f t="shared" si="8"/>
        <v>10000000000</v>
      </c>
      <c r="Q71" s="53">
        <f t="shared" si="8"/>
        <v>10000000000</v>
      </c>
      <c r="R71" s="53">
        <f t="shared" si="8"/>
        <v>10000000000</v>
      </c>
      <c r="S71" s="53">
        <f t="shared" si="8"/>
        <v>10000000000</v>
      </c>
      <c r="T71" s="53">
        <f t="shared" si="8"/>
        <v>10000000000</v>
      </c>
      <c r="U71" s="53">
        <f t="shared" si="8"/>
        <v>10000000000</v>
      </c>
      <c r="V71" s="53">
        <f t="shared" si="8"/>
        <v>10000000000</v>
      </c>
      <c r="W71" s="53">
        <f t="shared" si="8"/>
        <v>10000000000</v>
      </c>
      <c r="X71" s="53">
        <f t="shared" si="8"/>
        <v>10000000000</v>
      </c>
      <c r="AB71" s="1"/>
    </row>
    <row r="72" spans="1:28">
      <c r="A72" s="10"/>
      <c r="B72" s="8" t="s">
        <v>31</v>
      </c>
      <c r="C72" s="333">
        <f>AVERAGE(C67:D71)</f>
        <v>100.84</v>
      </c>
      <c r="D72" s="334"/>
      <c r="E72" s="95">
        <f>AVERAGE(E67:E71)</f>
        <v>99.887</v>
      </c>
      <c r="F72" s="95">
        <f>SUM(F67:F71)/5</f>
        <v>99.887</v>
      </c>
      <c r="G72" s="95">
        <f>SUM(G67:G71)/5</f>
        <v>-0.95300000000000296</v>
      </c>
      <c r="H72" s="63"/>
      <c r="I72" s="63"/>
      <c r="N72" s="111" t="s">
        <v>168</v>
      </c>
      <c r="O72" s="118">
        <f>SQRT((O57^2)+(O58^2)+(O59^2)+(O60^2)+(O61^2)+(O62^2)+(O63^2))</f>
        <v>0.19727063408917617</v>
      </c>
      <c r="P72" s="118">
        <f t="shared" ref="P72:X72" si="9">SQRT((P57^2)+(P58^2)+(P59^2)+(P60^2)+(P61^2)+(P62^2)+(P63^2))</f>
        <v>0.19982668258755043</v>
      </c>
      <c r="Q72" s="118">
        <f t="shared" si="9"/>
        <v>0.19963893175917771</v>
      </c>
      <c r="R72" s="118">
        <f t="shared" si="9"/>
        <v>0.20013920923683501</v>
      </c>
      <c r="S72" s="118">
        <f t="shared" si="9"/>
        <v>0.19963893175917771</v>
      </c>
      <c r="T72" s="118">
        <f t="shared" si="9"/>
        <v>0.20574426619943903</v>
      </c>
      <c r="U72" s="118">
        <f t="shared" si="9"/>
        <v>0.20574426619943903</v>
      </c>
      <c r="V72" s="118">
        <f t="shared" si="9"/>
        <v>0.20013920923683501</v>
      </c>
      <c r="W72" s="118" t="e">
        <f t="shared" si="9"/>
        <v>#DIV/0!</v>
      </c>
      <c r="X72" s="118" t="e">
        <f t="shared" si="9"/>
        <v>#DIV/0!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1498598.4800191196</v>
      </c>
      <c r="P73" s="120">
        <f t="shared" ref="P73:X73" si="10">(P72^4)/((P57^4/P65)+(P58^4/P66)+(P59^4/P67)+(P60^4/P68)+(P61^4/P69)+(P62^4/P70)+(P63^4/P71))</f>
        <v>63329.481033927215</v>
      </c>
      <c r="Q73" s="120">
        <f t="shared" si="10"/>
        <v>63485.799875527897</v>
      </c>
      <c r="R73" s="120">
        <f t="shared" si="10"/>
        <v>62057.699720348217</v>
      </c>
      <c r="S73" s="120">
        <f t="shared" si="10"/>
        <v>63485.799875527897</v>
      </c>
      <c r="T73" s="120">
        <f t="shared" si="10"/>
        <v>13871.549904436102</v>
      </c>
      <c r="U73" s="120">
        <f t="shared" si="10"/>
        <v>13871.549904436102</v>
      </c>
      <c r="V73" s="120">
        <f t="shared" si="10"/>
        <v>62057.699720348217</v>
      </c>
      <c r="W73" s="120" t="e">
        <f t="shared" si="10"/>
        <v>#DIV/0!</v>
      </c>
      <c r="X73" s="120" t="e">
        <f t="shared" si="10"/>
        <v>#DIV/0!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1.9599655675382339</v>
      </c>
      <c r="P74" s="123">
        <f t="shared" ref="P74:X74" si="11">_xlfn.T.INV.2T(0.05,P73)</f>
        <v>1.9600014447184813</v>
      </c>
      <c r="Q74" s="123">
        <f t="shared" si="11"/>
        <v>1.9600013526688023</v>
      </c>
      <c r="R74" s="123">
        <f t="shared" si="11"/>
        <v>1.9600022125684311</v>
      </c>
      <c r="S74" s="123">
        <f t="shared" si="11"/>
        <v>1.9600013526688023</v>
      </c>
      <c r="T74" s="123">
        <f t="shared" si="11"/>
        <v>1.9601350230173464</v>
      </c>
      <c r="U74" s="123">
        <f t="shared" si="11"/>
        <v>1.9601350230173464</v>
      </c>
      <c r="V74" s="123">
        <f t="shared" si="11"/>
        <v>1.9600022125684311</v>
      </c>
      <c r="W74" s="123" t="e">
        <f t="shared" si="11"/>
        <v>#DIV/0!</v>
      </c>
      <c r="X74" s="123" t="e">
        <f t="shared" si="11"/>
        <v>#DIV/0!</v>
      </c>
      <c r="Z74" s="124"/>
      <c r="AB74" s="1"/>
    </row>
    <row r="75" spans="1:28">
      <c r="A75" s="105">
        <v>5</v>
      </c>
      <c r="B75" s="196">
        <v>150</v>
      </c>
      <c r="C75" s="327">
        <v>150.59</v>
      </c>
      <c r="D75" s="327"/>
      <c r="E75" s="90">
        <v>149.71700000000001</v>
      </c>
      <c r="F75" s="37">
        <f>IF('PERHITUNGAN 11'!$E$11="Burn Engr",'PERHITUNGAN 11'!E75,E75+('regresi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149.71700000000001</v>
      </c>
      <c r="G75" s="90">
        <f>F75-C75</f>
        <v>-0.87299999999999045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150.59</v>
      </c>
      <c r="D76" s="327"/>
      <c r="E76" s="90">
        <v>149.71700000000001</v>
      </c>
      <c r="F76" s="37">
        <f>IF('PERHITUNGAN 11'!$E$11="Burn Engr",'PERHITUNGAN 11'!E76,E76+('regresi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149.71700000000001</v>
      </c>
      <c r="G76" s="90">
        <f>F76-C76</f>
        <v>-0.87299999999999045</v>
      </c>
      <c r="H76" s="63"/>
      <c r="I76" s="63"/>
      <c r="N76" s="111" t="s">
        <v>166</v>
      </c>
      <c r="O76" s="121">
        <f t="shared" ref="O76:X76" si="12">O72*O74</f>
        <v>0.38664365030121944</v>
      </c>
      <c r="P76" s="121">
        <f t="shared" si="12"/>
        <v>0.39166058656490021</v>
      </c>
      <c r="Q76" s="121">
        <f t="shared" si="12"/>
        <v>0.39129257629334302</v>
      </c>
      <c r="R76" s="121">
        <f t="shared" si="12"/>
        <v>0.3922732929258928</v>
      </c>
      <c r="S76" s="121">
        <f t="shared" si="12"/>
        <v>0.39129257629334302</v>
      </c>
      <c r="T76" s="121">
        <f t="shared" si="12"/>
        <v>0.40328654196252445</v>
      </c>
      <c r="U76" s="121">
        <f t="shared" si="12"/>
        <v>0.40328654196252445</v>
      </c>
      <c r="V76" s="121">
        <f t="shared" si="12"/>
        <v>0.3922732929258928</v>
      </c>
      <c r="W76" s="121" t="e">
        <f t="shared" si="12"/>
        <v>#DIV/0!</v>
      </c>
      <c r="X76" s="121" t="e">
        <f t="shared" si="12"/>
        <v>#DIV/0!</v>
      </c>
      <c r="AB76" s="1"/>
    </row>
    <row r="77" spans="1:28">
      <c r="A77" s="10"/>
      <c r="C77" s="327">
        <v>150.59</v>
      </c>
      <c r="D77" s="327"/>
      <c r="E77" s="90">
        <v>149.71700000000001</v>
      </c>
      <c r="F77" s="37">
        <f>IF('PERHITUNGAN 11'!$E$11="Burn Engr",'PERHITUNGAN 11'!E77,E77+('regresi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149.71700000000001</v>
      </c>
      <c r="G77" s="90">
        <f>F77-C77</f>
        <v>-0.87299999999999045</v>
      </c>
      <c r="H77" s="63"/>
      <c r="I77" s="63"/>
      <c r="AB77" s="1"/>
    </row>
    <row r="78" spans="1:28">
      <c r="A78" s="10"/>
      <c r="C78" s="327">
        <v>150.59</v>
      </c>
      <c r="D78" s="327"/>
      <c r="E78" s="90">
        <v>149.71700000000001</v>
      </c>
      <c r="F78" s="37">
        <f>IF('PERHITUNGAN 11'!$E$11="Burn Engr",'PERHITUNGAN 11'!E78,E78+('regresi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149.71700000000001</v>
      </c>
      <c r="G78" s="90">
        <f>F78-C78</f>
        <v>-0.87299999999999045</v>
      </c>
      <c r="H78" s="26"/>
      <c r="I78" s="26"/>
      <c r="AB78" s="1"/>
    </row>
    <row r="79" spans="1:28">
      <c r="A79" s="10"/>
      <c r="C79" s="327">
        <v>150.59</v>
      </c>
      <c r="D79" s="327"/>
      <c r="E79" s="90">
        <v>149.71700000000001</v>
      </c>
      <c r="F79" s="37">
        <f>IF('PERHITUNGAN 11'!$E$11="Burn Engr",'PERHITUNGAN 11'!E79,E79+('regresi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149.71700000000001</v>
      </c>
      <c r="G79" s="90">
        <f>F79-C79</f>
        <v>-0.87299999999999045</v>
      </c>
      <c r="AB79" s="1"/>
    </row>
    <row r="80" spans="1:28">
      <c r="A80" s="10"/>
      <c r="B80" s="8" t="s">
        <v>31</v>
      </c>
      <c r="C80" s="333">
        <f>AVERAGE(C75:D79)</f>
        <v>150.59</v>
      </c>
      <c r="D80" s="334"/>
      <c r="E80" s="95">
        <f>AVERAGE(E75:E79)</f>
        <v>149.71700000000001</v>
      </c>
      <c r="F80" s="95">
        <f>SUM(F75:F79)/5</f>
        <v>149.71700000000001</v>
      </c>
      <c r="G80" s="95">
        <f>SUM(G75:G79)/5</f>
        <v>-0.87299999999999045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200</v>
      </c>
      <c r="C83" s="327">
        <v>199.94</v>
      </c>
      <c r="D83" s="327"/>
      <c r="E83" s="90">
        <v>199.46600000000001</v>
      </c>
      <c r="F83" s="37">
        <f>IF('PERHITUNGAN 11'!$E$11="Burn Engr",'PERHITUNGAN 11'!E83,E83+('regresi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199.46600000000001</v>
      </c>
      <c r="G83" s="40">
        <f>F83-C83</f>
        <v>-0.47399999999998954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199.94</v>
      </c>
      <c r="D84" s="327"/>
      <c r="E84" s="90">
        <v>199.46600000000001</v>
      </c>
      <c r="F84" s="37">
        <f>IF('PERHITUNGAN 11'!$E$11="Burn Engr",'PERHITUNGAN 11'!E84,E84+('regresi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199.46600000000001</v>
      </c>
      <c r="G84" s="40">
        <f>F84-C84</f>
        <v>-0.47399999999998954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199.94</v>
      </c>
      <c r="D85" s="327"/>
      <c r="E85" s="90">
        <v>199.46600000000001</v>
      </c>
      <c r="F85" s="37">
        <f>IF('PERHITUNGAN 11'!$E$11="Burn Engr",'PERHITUNGAN 11'!E85,E85+('regresi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199.46600000000001</v>
      </c>
      <c r="G85" s="40">
        <f>F85-C85</f>
        <v>-0.47399999999998954</v>
      </c>
      <c r="H85" s="26"/>
      <c r="I85" s="26"/>
      <c r="N85" s="93">
        <f>O56</f>
        <v>-28.46</v>
      </c>
      <c r="O85" s="403">
        <f>G48</f>
        <v>-1.3580000000000005</v>
      </c>
      <c r="P85" s="404"/>
      <c r="Q85" s="387">
        <f t="shared" ref="Q85:Q94" si="13">N85+O85</f>
        <v>-29.818000000000001</v>
      </c>
      <c r="R85" s="405"/>
      <c r="S85" s="138" t="s">
        <v>35</v>
      </c>
      <c r="T85" s="94">
        <f>IF(N85&lt;$AA$97,MAX($O$97,O76),IF(N85&lt;$AA$98,MAX($O$98,O76),MAX($O$99,O76)))</f>
        <v>0.38664365030121944</v>
      </c>
      <c r="AB85" s="1"/>
    </row>
    <row r="86" spans="1:28">
      <c r="A86" s="10"/>
      <c r="C86" s="327">
        <v>199.94</v>
      </c>
      <c r="D86" s="327"/>
      <c r="E86" s="90">
        <v>199.46600000000001</v>
      </c>
      <c r="F86" s="37">
        <f>IF('PERHITUNGAN 11'!$E$11="Burn Engr",'PERHITUNGAN 11'!E86,E86+('regresi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199.46600000000001</v>
      </c>
      <c r="G86" s="40">
        <f>F86-C86</f>
        <v>-0.47399999999998954</v>
      </c>
      <c r="H86" s="63"/>
      <c r="I86" s="63"/>
      <c r="N86" s="93">
        <f>P56</f>
        <v>1.1200000000000001</v>
      </c>
      <c r="O86" s="403">
        <f>G56</f>
        <v>-0.91600000000000015</v>
      </c>
      <c r="P86" s="404"/>
      <c r="Q86" s="406">
        <f t="shared" si="13"/>
        <v>0.20399999999999996</v>
      </c>
      <c r="R86" s="407"/>
      <c r="S86" s="138" t="s">
        <v>35</v>
      </c>
      <c r="T86" s="94">
        <f>IF(N86&lt;$AA$97,MAX($O$97,P76),IF(N86&lt;$AA$98,MAX($O$98,P76),MAX($O$99,P76)))</f>
        <v>0.39166058656490021</v>
      </c>
      <c r="AB86" s="1"/>
    </row>
    <row r="87" spans="1:28">
      <c r="A87" s="10"/>
      <c r="C87" s="327">
        <v>199.94</v>
      </c>
      <c r="D87" s="327"/>
      <c r="E87" s="90">
        <v>199.46600000000001</v>
      </c>
      <c r="F87" s="37">
        <f>IF('PERHITUNGAN 11'!$E$11="Burn Engr",'PERHITUNGAN 11'!E87,E87+('regresi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199.46600000000001</v>
      </c>
      <c r="G87" s="41">
        <f>F87-C87</f>
        <v>-0.47399999999998954</v>
      </c>
      <c r="H87" s="63"/>
      <c r="I87" s="63"/>
      <c r="N87" s="93">
        <f>Q56</f>
        <v>50.71</v>
      </c>
      <c r="O87" s="403">
        <f>G64</f>
        <v>-0.35999999999999943</v>
      </c>
      <c r="P87" s="404"/>
      <c r="Q87" s="406">
        <f t="shared" si="13"/>
        <v>50.35</v>
      </c>
      <c r="R87" s="407"/>
      <c r="S87" s="138" t="s">
        <v>35</v>
      </c>
      <c r="T87" s="94">
        <f>IF(N87&lt;$AA$97,MAX($O$97,Q76),IF(N87&lt;$AA$98,MAX($O$98,Q76),MAX($O$99,Q76)))</f>
        <v>0.39129257629334302</v>
      </c>
      <c r="AB87" s="1"/>
    </row>
    <row r="88" spans="1:28">
      <c r="A88" s="10"/>
      <c r="B88" s="8" t="s">
        <v>31</v>
      </c>
      <c r="C88" s="333">
        <f>AVERAGE(C83:D87)</f>
        <v>199.94</v>
      </c>
      <c r="D88" s="334"/>
      <c r="E88" s="95">
        <f>AVERAGE(E83:E87)</f>
        <v>199.46600000000001</v>
      </c>
      <c r="F88" s="95">
        <f>SUM(F83:F87)/5</f>
        <v>199.46600000000001</v>
      </c>
      <c r="G88" s="95">
        <f>SUM(G83:G87)/5</f>
        <v>-0.47399999999998954</v>
      </c>
      <c r="H88" s="63"/>
      <c r="I88" s="63"/>
      <c r="N88" s="93">
        <f>R56</f>
        <v>100.84</v>
      </c>
      <c r="O88" s="403">
        <f>G72</f>
        <v>-0.95300000000000296</v>
      </c>
      <c r="P88" s="404"/>
      <c r="Q88" s="406">
        <f t="shared" si="13"/>
        <v>99.887</v>
      </c>
      <c r="R88" s="407"/>
      <c r="S88" s="138" t="s">
        <v>35</v>
      </c>
      <c r="T88" s="94">
        <f>IF(N88&lt;$AA$97,MAX($O$97,R76),IF(N88&lt;$AA$98,MAX($O$98,R76),MAX($O$99,R76)))</f>
        <v>0.3922732929258928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150.59</v>
      </c>
      <c r="O89" s="403">
        <f>G80</f>
        <v>-0.87299999999999045</v>
      </c>
      <c r="P89" s="404"/>
      <c r="Q89" s="406">
        <f t="shared" si="13"/>
        <v>149.71700000000001</v>
      </c>
      <c r="R89" s="407"/>
      <c r="S89" s="138" t="s">
        <v>35</v>
      </c>
      <c r="T89" s="94">
        <f>IF(N89&lt;$AA$97,MAX($O$97,S76),IF(N89&lt;$AA$98,MAX($O$98,S76),MAX($O$99,S76)))</f>
        <v>0.39129257629334302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199.94</v>
      </c>
      <c r="O90" s="403">
        <f>G88</f>
        <v>-0.47399999999998954</v>
      </c>
      <c r="P90" s="404"/>
      <c r="Q90" s="406">
        <f t="shared" si="13"/>
        <v>199.46600000000001</v>
      </c>
      <c r="R90" s="407"/>
      <c r="S90" s="138" t="s">
        <v>35</v>
      </c>
      <c r="T90" s="94">
        <f>IF(N90&lt;$AA$97,MAX($O$97,T76),IF(N90&lt;$AA$98,MAX($O$98,T76),MAX($O$99,T76)))</f>
        <v>0.40328654196252445</v>
      </c>
      <c r="AB90" s="1"/>
    </row>
    <row r="91" spans="1:28">
      <c r="A91" s="105">
        <v>7</v>
      </c>
      <c r="B91" s="196">
        <v>250</v>
      </c>
      <c r="C91" s="327">
        <v>249.82</v>
      </c>
      <c r="D91" s="327"/>
      <c r="E91" s="90">
        <v>249.47900000000001</v>
      </c>
      <c r="F91" s="37">
        <f>IF('PERHITUNGAN 11'!$E$11="Burn Engr",'PERHITUNGAN 11'!E91,E91+('regresi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249.47900000000001</v>
      </c>
      <c r="G91" s="40">
        <f>F91-C91</f>
        <v>-0.34099999999997976</v>
      </c>
      <c r="H91" s="63"/>
      <c r="I91" s="63"/>
      <c r="N91" s="93">
        <f>U56</f>
        <v>249.82</v>
      </c>
      <c r="O91" s="403">
        <f>G96</f>
        <v>-0.34099999999997976</v>
      </c>
      <c r="P91" s="404"/>
      <c r="Q91" s="406">
        <f t="shared" si="13"/>
        <v>249.47900000000001</v>
      </c>
      <c r="R91" s="407"/>
      <c r="S91" s="138" t="s">
        <v>35</v>
      </c>
      <c r="T91" s="94">
        <f>IF(N91&lt;$AA$97,MAX($O$97,U76),IF(N91&lt;$AA$98,MAX($O$98,U76),MAX($O$99,U76)))</f>
        <v>0.40328654196252445</v>
      </c>
      <c r="AB91" s="1"/>
    </row>
    <row r="92" spans="1:28">
      <c r="A92" s="10"/>
      <c r="C92" s="327">
        <v>249.82</v>
      </c>
      <c r="D92" s="327"/>
      <c r="E92" s="90">
        <v>249.47900000000001</v>
      </c>
      <c r="F92" s="37">
        <f>IF('PERHITUNGAN 11'!$E$11="Burn Engr",'PERHITUNGAN 11'!E92,E92+('regresi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249.47900000000001</v>
      </c>
      <c r="G92" s="40">
        <f>F92-C92</f>
        <v>-0.34099999999997976</v>
      </c>
      <c r="H92" s="44"/>
      <c r="I92" s="63"/>
      <c r="N92" s="93">
        <f>V56</f>
        <v>259.88</v>
      </c>
      <c r="O92" s="403">
        <f>G104</f>
        <v>-0.32400000000001228</v>
      </c>
      <c r="P92" s="404"/>
      <c r="Q92" s="406">
        <f t="shared" si="13"/>
        <v>259.55599999999998</v>
      </c>
      <c r="R92" s="407"/>
      <c r="S92" s="138" t="s">
        <v>35</v>
      </c>
      <c r="T92" s="94">
        <f>IF(N92&lt;$AA$97,MAX($O$97,V76),IF(N92&lt;$AA$98,MAX($O$98,V76),MAX($O$99,V76)))</f>
        <v>1.8</v>
      </c>
      <c r="AB92" s="1"/>
    </row>
    <row r="93" spans="1:28">
      <c r="A93" s="10"/>
      <c r="C93" s="327">
        <v>249.82</v>
      </c>
      <c r="D93" s="327"/>
      <c r="E93" s="90">
        <v>249.47900000000001</v>
      </c>
      <c r="F93" s="37">
        <f>IF('PERHITUNGAN 11'!$E$11="Burn Engr",'PERHITUNGAN 11'!E93,E93+('regresi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249.47900000000001</v>
      </c>
      <c r="G93" s="40">
        <f>F93-C93</f>
        <v>-0.34099999999997976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3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249.82</v>
      </c>
      <c r="D94" s="327"/>
      <c r="E94" s="90">
        <v>249.47900000000001</v>
      </c>
      <c r="F94" s="37">
        <f>IF('PERHITUNGAN 11'!$E$11="Burn Engr",'PERHITUNGAN 11'!E94,E94+('regresi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249.47900000000001</v>
      </c>
      <c r="G94" s="40">
        <f>F94-C94</f>
        <v>-0.34099999999997976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3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249.82</v>
      </c>
      <c r="D95" s="327"/>
      <c r="E95" s="90">
        <v>249.47900000000001</v>
      </c>
      <c r="F95" s="37">
        <f>IF('PERHITUNGAN 11'!$E$11="Burn Engr",'PERHITUNGAN 11'!E95,E95+('regresi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249.47900000000001</v>
      </c>
      <c r="G95" s="41">
        <f>F95-C95</f>
        <v>-0.34099999999997976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249.82</v>
      </c>
      <c r="D96" s="334"/>
      <c r="E96" s="95">
        <f>AVERAGE(E91:E95)</f>
        <v>249.47899999999998</v>
      </c>
      <c r="F96" s="95">
        <f>SUM(F91:F95)/5</f>
        <v>249.47899999999998</v>
      </c>
      <c r="G96" s="95">
        <f>SUM(G91:G95)/5</f>
        <v>-0.34099999999997976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0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0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>
        <v>260</v>
      </c>
      <c r="C99" s="327">
        <v>259.88</v>
      </c>
      <c r="D99" s="327"/>
      <c r="E99" s="90">
        <v>259.55599999999998</v>
      </c>
      <c r="F99" s="37">
        <f>IF('PERHITUNGAN 11'!$E$11="Burn Engr",'PERHITUNGAN 11'!E99,E99+('regresi PRT'!$P$40+('regresi PRT'!$P$41*E99)+('regresi PRT'!$P$42*(E99^2))+('regresi PRT'!$P$43*(E99^3))+('regresi PRT'!$P$44*(E99^4))+('regresi PRT'!$P$45*(E99^5))+('regresi PRT'!$P$46*(E99^6))+('regresi PRT'!$P$47*(E99^7))+('regresi PRT'!$P$48*(E99^8))+('regresi PRT'!$P$49*(E99^9))+('regresi PRT'!$P$50*(E99^10))))</f>
        <v>259.55599999999998</v>
      </c>
      <c r="G99" s="40">
        <f>F99-C99</f>
        <v>-0.32400000000001228</v>
      </c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>
        <v>259.88</v>
      </c>
      <c r="D100" s="327"/>
      <c r="E100" s="90">
        <v>259.55599999999998</v>
      </c>
      <c r="F100" s="37">
        <f>IF('PERHITUNGAN 11'!$E$11="Burn Engr",'PERHITUNGAN 11'!E100,E100+('regresi PRT'!$P$40+('regresi PRT'!$P$41*E100)+('regresi PRT'!$P$42*(E100^2))+('regresi PRT'!$P$43*(E100^3))+('regresi PRT'!$P$44*(E100^4))+('regresi PRT'!$P$45*(E100^5))+('regresi PRT'!$P$46*(E100^6))+('regresi PRT'!$P$47*(E100^7))+('regresi PRT'!$P$48*(E100^8))+('regresi PRT'!$P$49*(E100^9))+('regresi PRT'!$P$50*(E100^10))))</f>
        <v>259.55599999999998</v>
      </c>
      <c r="G100" s="40">
        <f>F100-C100</f>
        <v>-0.32400000000001228</v>
      </c>
      <c r="H100" s="44"/>
      <c r="I100" s="44"/>
      <c r="M100" s="1"/>
    </row>
    <row r="101" spans="1:27">
      <c r="A101" s="10"/>
      <c r="C101" s="327">
        <v>259.88</v>
      </c>
      <c r="D101" s="327"/>
      <c r="E101" s="90">
        <v>259.55599999999998</v>
      </c>
      <c r="F101" s="37">
        <f>IF('PERHITUNGAN 11'!$E$11="Burn Engr",'PERHITUNGAN 11'!E101,E101+('regresi PRT'!$P$40+('regresi PRT'!$P$41*E101)+('regresi PRT'!$P$42*(E101^2))+('regresi PRT'!$P$43*(E101^3))+('regresi PRT'!$P$44*(E101^4))+('regresi PRT'!$P$45*(E101^5))+('regresi PRT'!$P$46*(E101^6))+('regresi PRT'!$P$47*(E101^7))+('regresi PRT'!$P$48*(E101^8))+('regresi PRT'!$P$49*(E101^9))+('regresi PRT'!$P$50*(E101^10))))</f>
        <v>259.55599999999998</v>
      </c>
      <c r="G101" s="40">
        <f>F101-C101</f>
        <v>-0.32400000000001228</v>
      </c>
      <c r="H101" s="44"/>
      <c r="I101" s="44"/>
    </row>
    <row r="102" spans="1:27">
      <c r="A102" s="10"/>
      <c r="C102" s="327">
        <v>259.88</v>
      </c>
      <c r="D102" s="327"/>
      <c r="E102" s="90">
        <v>259.55599999999998</v>
      </c>
      <c r="F102" s="37">
        <f>IF('PERHITUNGAN 11'!$E$11="Burn Engr",'PERHITUNGAN 11'!E102,E102+('regresi PRT'!$P$40+('regresi PRT'!$P$41*E102)+('regresi PRT'!$P$42*(E102^2))+('regresi PRT'!$P$43*(E102^3))+('regresi PRT'!$P$44*(E102^4))+('regresi PRT'!$P$45*(E102^5))+('regresi PRT'!$P$46*(E102^6))+('regresi PRT'!$P$47*(E102^7))+('regresi PRT'!$P$48*(E102^8))+('regresi PRT'!$P$49*(E102^9))+('regresi PRT'!$P$50*(E102^10))))</f>
        <v>259.55599999999998</v>
      </c>
      <c r="G102" s="40">
        <f>F102-C102</f>
        <v>-0.32400000000001228</v>
      </c>
      <c r="H102" s="63"/>
      <c r="I102" s="63"/>
    </row>
    <row r="103" spans="1:27">
      <c r="A103" s="10"/>
      <c r="C103" s="327">
        <v>259.88</v>
      </c>
      <c r="D103" s="327"/>
      <c r="E103" s="90">
        <v>259.55599999999998</v>
      </c>
      <c r="F103" s="37">
        <f>IF('PERHITUNGAN 11'!$E$11="Burn Engr",'PERHITUNGAN 11'!E103,E103+('regresi PRT'!$P$40+('regresi PRT'!$P$41*E103)+('regresi PRT'!$P$42*(E103^2))+('regresi PRT'!$P$43*(E103^3))+('regresi PRT'!$P$44*(E103^4))+('regresi PRT'!$P$45*(E103^5))+('regresi PRT'!$P$46*(E103^6))+('regresi PRT'!$P$47*(E103^7))+('regresi PRT'!$P$48*(E103^8))+('regresi PRT'!$P$49*(E103^9))+('regresi PRT'!$P$50*(E103^10))))</f>
        <v>259.55599999999998</v>
      </c>
      <c r="G103" s="41">
        <f>F103-C103</f>
        <v>-0.32400000000001228</v>
      </c>
      <c r="H103" s="63"/>
      <c r="I103" s="63"/>
      <c r="N103" s="74"/>
      <c r="O103" s="129"/>
    </row>
    <row r="104" spans="1:27">
      <c r="A104" s="10"/>
      <c r="B104" s="8" t="s">
        <v>31</v>
      </c>
      <c r="C104" s="333">
        <f>AVERAGE(C99:D103)</f>
        <v>259.88</v>
      </c>
      <c r="D104" s="334"/>
      <c r="E104" s="95">
        <f>AVERAGE(E99:E103)</f>
        <v>259.55599999999998</v>
      </c>
      <c r="F104" s="95">
        <f>SUM(F99:F103)/5</f>
        <v>259.55599999999998</v>
      </c>
      <c r="G104" s="95">
        <f>SUM(G99:G103)/5</f>
        <v>-0.32400000000001228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>
        <f>_xlfn.STDEV.S(G99:G103)</f>
        <v>0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>
        <f>G105/SQRT(5)</f>
        <v>0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/>
      <c r="G107" s="40"/>
      <c r="H107" s="63"/>
      <c r="I107" s="63"/>
      <c r="M107" s="1"/>
    </row>
    <row r="108" spans="1:27">
      <c r="A108" s="10"/>
      <c r="C108" s="327"/>
      <c r="D108" s="327"/>
      <c r="E108" s="90"/>
      <c r="F108" s="37"/>
      <c r="G108" s="40"/>
      <c r="H108" s="44"/>
      <c r="I108" s="44"/>
      <c r="M108" s="1"/>
    </row>
    <row r="109" spans="1:27">
      <c r="A109" s="10"/>
      <c r="C109" s="327"/>
      <c r="D109" s="327"/>
      <c r="E109" s="90"/>
      <c r="F109" s="37"/>
      <c r="G109" s="40"/>
      <c r="H109" s="44"/>
      <c r="I109" s="44"/>
    </row>
    <row r="110" spans="1:27">
      <c r="A110" s="10"/>
      <c r="C110" s="327"/>
      <c r="D110" s="327"/>
      <c r="E110" s="90"/>
      <c r="F110" s="37"/>
      <c r="G110" s="40"/>
      <c r="H110" s="63"/>
      <c r="I110" s="63"/>
    </row>
    <row r="111" spans="1:27">
      <c r="A111" s="10"/>
      <c r="C111" s="327"/>
      <c r="D111" s="327"/>
      <c r="E111" s="90"/>
      <c r="F111" s="37"/>
      <c r="G111" s="41"/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 t="e">
        <f>_xlfn.STDEV.S(G107:G111)</f>
        <v>#DIV/0!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 t="e">
        <f>G113/SQRT(5)</f>
        <v>#DIV/0!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/>
      <c r="G115" s="40"/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/>
      <c r="G116" s="40"/>
      <c r="H116" s="44"/>
      <c r="I116" s="44"/>
      <c r="U116" s="49"/>
    </row>
    <row r="117" spans="1:21">
      <c r="A117" s="10"/>
      <c r="C117" s="224"/>
      <c r="D117" s="225"/>
      <c r="E117" s="90"/>
      <c r="F117" s="37"/>
      <c r="G117" s="40"/>
      <c r="H117" s="44"/>
      <c r="I117" s="44"/>
      <c r="U117" s="49"/>
    </row>
    <row r="118" spans="1:21">
      <c r="A118" s="10"/>
      <c r="C118" s="224"/>
      <c r="D118" s="225"/>
      <c r="E118" s="90"/>
      <c r="F118" s="37"/>
      <c r="G118" s="40"/>
      <c r="H118" s="63"/>
      <c r="I118" s="63"/>
    </row>
    <row r="119" spans="1:21">
      <c r="A119" s="10"/>
      <c r="C119" s="233"/>
      <c r="D119" s="234"/>
      <c r="E119" s="90"/>
      <c r="F119" s="37"/>
      <c r="G119" s="41"/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 t="e">
        <f>_xlfn.STDEV.S(G115:G119)</f>
        <v>#DIV/0!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 t="e">
        <f>G121/SQRT(5)</f>
        <v>#DIV/0!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26"/>
      <c r="D125" s="26"/>
      <c r="H125" s="44"/>
      <c r="I125" s="44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1">
    <mergeCell ref="C109:D109"/>
    <mergeCell ref="C110:D110"/>
    <mergeCell ref="C111:D111"/>
    <mergeCell ref="C112:D112"/>
    <mergeCell ref="C96:D96"/>
    <mergeCell ref="C99:D99"/>
    <mergeCell ref="C100:D100"/>
    <mergeCell ref="C101:D101"/>
    <mergeCell ref="C102:D102"/>
    <mergeCell ref="C103:D103"/>
    <mergeCell ref="C104:D104"/>
    <mergeCell ref="C107:D107"/>
    <mergeCell ref="C108:D108"/>
    <mergeCell ref="C85:D85"/>
    <mergeCell ref="C86:D86"/>
    <mergeCell ref="C87:D87"/>
    <mergeCell ref="C88:D88"/>
    <mergeCell ref="C91:D91"/>
    <mergeCell ref="C92:D92"/>
    <mergeCell ref="C93:D93"/>
    <mergeCell ref="C94:D94"/>
    <mergeCell ref="C95:D95"/>
    <mergeCell ref="J26:K26"/>
    <mergeCell ref="J31:K31"/>
    <mergeCell ref="C51:D51"/>
    <mergeCell ref="C52:D52"/>
    <mergeCell ref="C53:D53"/>
    <mergeCell ref="E16:F16"/>
    <mergeCell ref="N16:N20"/>
    <mergeCell ref="E17:F17"/>
    <mergeCell ref="E18:F18"/>
    <mergeCell ref="F21:G21"/>
    <mergeCell ref="C43:D43"/>
    <mergeCell ref="C44:D44"/>
    <mergeCell ref="C48:D48"/>
    <mergeCell ref="AB18:AC18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  <mergeCell ref="AB32:AC32"/>
    <mergeCell ref="C45:D45"/>
    <mergeCell ref="C46:D46"/>
    <mergeCell ref="C47:D47"/>
    <mergeCell ref="T28:T29"/>
    <mergeCell ref="U28:U29"/>
    <mergeCell ref="AB28:AC28"/>
    <mergeCell ref="C41:D41"/>
    <mergeCell ref="C42:D42"/>
    <mergeCell ref="AB30:AC30"/>
    <mergeCell ref="C40:D40"/>
    <mergeCell ref="N28:N29"/>
    <mergeCell ref="O28:O29"/>
    <mergeCell ref="P28:P29"/>
    <mergeCell ref="Q28:Q29"/>
    <mergeCell ref="S28:S29"/>
    <mergeCell ref="S36:S37"/>
    <mergeCell ref="T36:T37"/>
    <mergeCell ref="U36:U37"/>
    <mergeCell ref="V36:V37"/>
    <mergeCell ref="W36:W37"/>
    <mergeCell ref="X36:X37"/>
    <mergeCell ref="N36:N37"/>
    <mergeCell ref="O36:O37"/>
    <mergeCell ref="P36:P37"/>
    <mergeCell ref="Q36:Q37"/>
    <mergeCell ref="R36:R37"/>
    <mergeCell ref="C49:D49"/>
    <mergeCell ref="N45:S45"/>
    <mergeCell ref="T45:Y45"/>
    <mergeCell ref="C50:D50"/>
    <mergeCell ref="O55:X55"/>
    <mergeCell ref="C59:D59"/>
    <mergeCell ref="C56:D56"/>
    <mergeCell ref="C60:D60"/>
    <mergeCell ref="C61:D61"/>
    <mergeCell ref="C62:D62"/>
    <mergeCell ref="C63:D63"/>
    <mergeCell ref="C54:D54"/>
    <mergeCell ref="C55:D55"/>
    <mergeCell ref="N55:N56"/>
    <mergeCell ref="C70:D70"/>
    <mergeCell ref="C71:D71"/>
    <mergeCell ref="C64:D64"/>
    <mergeCell ref="C75:D75"/>
    <mergeCell ref="C67:D67"/>
    <mergeCell ref="C68:D68"/>
    <mergeCell ref="C69:D69"/>
    <mergeCell ref="N83:N84"/>
    <mergeCell ref="O83:P84"/>
    <mergeCell ref="Q83:R84"/>
    <mergeCell ref="S83:T83"/>
    <mergeCell ref="S84:T84"/>
    <mergeCell ref="C76:D76"/>
    <mergeCell ref="C77:D77"/>
    <mergeCell ref="C78:D78"/>
    <mergeCell ref="C79:D79"/>
    <mergeCell ref="C72:D72"/>
    <mergeCell ref="C80:D80"/>
    <mergeCell ref="C83:D83"/>
    <mergeCell ref="C84:D84"/>
    <mergeCell ref="O87:P87"/>
    <mergeCell ref="Q87:R87"/>
    <mergeCell ref="O88:P88"/>
    <mergeCell ref="Q88:R88"/>
    <mergeCell ref="O85:P85"/>
    <mergeCell ref="Q85:R85"/>
    <mergeCell ref="O86:P86"/>
    <mergeCell ref="Q86:R86"/>
    <mergeCell ref="O91:P91"/>
    <mergeCell ref="Q91:R91"/>
    <mergeCell ref="O92:P92"/>
    <mergeCell ref="Q92:R92"/>
    <mergeCell ref="O89:P89"/>
    <mergeCell ref="Q89:R89"/>
    <mergeCell ref="O90:P90"/>
    <mergeCell ref="Q90:R90"/>
    <mergeCell ref="N96:O96"/>
    <mergeCell ref="Z96:AA96"/>
    <mergeCell ref="O93:P93"/>
    <mergeCell ref="Q93:R93"/>
    <mergeCell ref="O94:P94"/>
    <mergeCell ref="Q94:R94"/>
    <mergeCell ref="C126:D126"/>
    <mergeCell ref="C143:D143"/>
    <mergeCell ref="C146:D146"/>
    <mergeCell ref="C147:D147"/>
    <mergeCell ref="C148:D148"/>
    <mergeCell ref="C149:D149"/>
    <mergeCell ref="C150:D150"/>
    <mergeCell ref="C127:D127"/>
    <mergeCell ref="C138:D138"/>
    <mergeCell ref="C139:D139"/>
    <mergeCell ref="C140:D140"/>
    <mergeCell ref="C141:D141"/>
    <mergeCell ref="C142:D142"/>
    <mergeCell ref="C161:D161"/>
    <mergeCell ref="C164:D164"/>
    <mergeCell ref="C165:D165"/>
    <mergeCell ref="C166:D166"/>
    <mergeCell ref="C167:D167"/>
    <mergeCell ref="C168:D168"/>
    <mergeCell ref="C151:D151"/>
    <mergeCell ref="C156:D156"/>
    <mergeCell ref="C157:D157"/>
    <mergeCell ref="C158:D158"/>
    <mergeCell ref="C159:D159"/>
    <mergeCell ref="C160:D160"/>
    <mergeCell ref="C185:D185"/>
    <mergeCell ref="C177:D177"/>
    <mergeCell ref="C180:D180"/>
    <mergeCell ref="C181:D181"/>
    <mergeCell ref="C182:D182"/>
    <mergeCell ref="C183:D183"/>
    <mergeCell ref="C184:D184"/>
    <mergeCell ref="C169:D169"/>
    <mergeCell ref="C172:D172"/>
    <mergeCell ref="C173:D173"/>
    <mergeCell ref="C174:D174"/>
    <mergeCell ref="C175:D175"/>
    <mergeCell ref="C176:D176"/>
  </mergeCells>
  <conditionalFormatting sqref="C56">
    <cfRule type="expression" dxfId="279" priority="18" stopIfTrue="1">
      <formula>COUNT(C51:C55)&lt;&gt;5</formula>
    </cfRule>
  </conditionalFormatting>
  <conditionalFormatting sqref="C64">
    <cfRule type="expression" dxfId="278" priority="2" stopIfTrue="1">
      <formula>COUNT(C59:C63)&lt;&gt;5</formula>
    </cfRule>
  </conditionalFormatting>
  <conditionalFormatting sqref="C72">
    <cfRule type="expression" dxfId="277" priority="8" stopIfTrue="1">
      <formula>COUNT(C67:C71)&lt;&gt;5</formula>
    </cfRule>
  </conditionalFormatting>
  <conditionalFormatting sqref="C80">
    <cfRule type="expression" dxfId="276" priority="7" stopIfTrue="1">
      <formula>COUNT(C75:C79)&lt;&gt;5</formula>
    </cfRule>
  </conditionalFormatting>
  <conditionalFormatting sqref="C88">
    <cfRule type="expression" dxfId="275" priority="6" stopIfTrue="1">
      <formula>COUNT(C83:C87)&lt;&gt;5</formula>
    </cfRule>
  </conditionalFormatting>
  <conditionalFormatting sqref="C96">
    <cfRule type="expression" dxfId="274" priority="5" stopIfTrue="1">
      <formula>COUNT(C91:C95)&lt;&gt;5</formula>
    </cfRule>
  </conditionalFormatting>
  <conditionalFormatting sqref="C104">
    <cfRule type="expression" dxfId="273" priority="4" stopIfTrue="1">
      <formula>COUNT(C99:C103)&lt;&gt;5</formula>
    </cfRule>
  </conditionalFormatting>
  <conditionalFormatting sqref="C112">
    <cfRule type="expression" dxfId="272" priority="3" stopIfTrue="1">
      <formula>COUNT(C107:C111)&lt;&gt;5</formula>
    </cfRule>
  </conditionalFormatting>
  <conditionalFormatting sqref="C48:E48">
    <cfRule type="expression" dxfId="271" priority="19" stopIfTrue="1">
      <formula>COUNT(C43:C47)&lt;&gt;5</formula>
    </cfRule>
  </conditionalFormatting>
  <conditionalFormatting sqref="C120:E120">
    <cfRule type="expression" dxfId="270" priority="9" stopIfTrue="1">
      <formula>COUNT(C115:C119)&lt;&gt;5</formula>
    </cfRule>
  </conditionalFormatting>
  <conditionalFormatting sqref="E56">
    <cfRule type="expression" dxfId="269" priority="17" stopIfTrue="1">
      <formula>COUNT(E51:E55)&lt;&gt;5</formula>
    </cfRule>
  </conditionalFormatting>
  <conditionalFormatting sqref="E64">
    <cfRule type="expression" dxfId="268" priority="1" stopIfTrue="1">
      <formula>COUNT(E59:E63)&lt;&gt;5</formula>
    </cfRule>
  </conditionalFormatting>
  <conditionalFormatting sqref="E72">
    <cfRule type="expression" dxfId="267" priority="16" stopIfTrue="1">
      <formula>COUNT(E67:E71)&lt;&gt;5</formula>
    </cfRule>
  </conditionalFormatting>
  <conditionalFormatting sqref="E80">
    <cfRule type="expression" dxfId="266" priority="15" stopIfTrue="1">
      <formula>COUNT(E75:E79)&lt;&gt;5</formula>
    </cfRule>
  </conditionalFormatting>
  <conditionalFormatting sqref="E88">
    <cfRule type="expression" dxfId="265" priority="14" stopIfTrue="1">
      <formula>COUNT(E83:E87)&lt;&gt;5</formula>
    </cfRule>
  </conditionalFormatting>
  <conditionalFormatting sqref="E96">
    <cfRule type="expression" dxfId="264" priority="13" stopIfTrue="1">
      <formula>COUNT(E91:E95)&lt;&gt;5</formula>
    </cfRule>
  </conditionalFormatting>
  <conditionalFormatting sqref="E104">
    <cfRule type="expression" dxfId="263" priority="12" stopIfTrue="1">
      <formula>COUNT(E99:E103)&lt;&gt;5</formula>
    </cfRule>
  </conditionalFormatting>
  <conditionalFormatting sqref="E112">
    <cfRule type="expression" dxfId="262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61441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61441" r:id="rId4"/>
      </mc:Fallback>
    </mc:AlternateContent>
    <mc:AlternateContent xmlns:mc="http://schemas.openxmlformats.org/markup-compatibility/2006">
      <mc:Choice Requires="x14">
        <oleObject progId="Equation.3" shapeId="61442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61442" r:id="rId6"/>
      </mc:Fallback>
    </mc:AlternateContent>
    <mc:AlternateContent xmlns:mc="http://schemas.openxmlformats.org/markup-compatibility/2006">
      <mc:Choice Requires="x14">
        <oleObject progId="Equation.3" shapeId="61443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61443" r:id="rId8"/>
      </mc:Fallback>
    </mc:AlternateContent>
    <mc:AlternateContent xmlns:mc="http://schemas.openxmlformats.org/markup-compatibility/2006">
      <mc:Choice Requires="x14">
        <oleObject progId="Equation.3" shapeId="61444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61444" r:id="rId10"/>
      </mc:Fallback>
    </mc:AlternateContent>
  </oleObjec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11'!O85</f>
        <v>-1.3580000000000005</v>
      </c>
      <c r="C2" s="37">
        <f>'PERHITUNGAN 11'!N85</f>
        <v>-28.46</v>
      </c>
      <c r="D2" s="75">
        <f>C2^2</f>
        <v>809.97160000000008</v>
      </c>
      <c r="E2" s="37">
        <f>C2^3</f>
        <v>-23051.791736000003</v>
      </c>
      <c r="F2" s="91">
        <f>C2^4</f>
        <v>656053.99280656013</v>
      </c>
      <c r="G2" s="91">
        <f>C2^5</f>
        <v>-18671296.635274701</v>
      </c>
      <c r="H2" s="91">
        <f>C2^6</f>
        <v>531385102.23991805</v>
      </c>
      <c r="I2" s="91">
        <f>C2^7</f>
        <v>-15123220009.748068</v>
      </c>
      <c r="J2" s="91">
        <f>C2^8</f>
        <v>430406841477.43005</v>
      </c>
      <c r="K2" s="91">
        <f>C2^9</f>
        <v>-12249378708447.66</v>
      </c>
      <c r="L2" s="91">
        <f>C2^10</f>
        <v>348617318042420.44</v>
      </c>
      <c r="Q2" s="12"/>
    </row>
    <row r="3" spans="1:24">
      <c r="A3" s="25">
        <v>2</v>
      </c>
      <c r="B3" s="37">
        <f>'PERHITUNGAN 11'!O86</f>
        <v>-0.91600000000000015</v>
      </c>
      <c r="C3" s="37">
        <f>'PERHITUNGAN 11'!N86</f>
        <v>1.1200000000000001</v>
      </c>
      <c r="D3" s="75">
        <f t="shared" ref="D3:D9" si="0">C3^2</f>
        <v>1.2544000000000002</v>
      </c>
      <c r="E3" s="37">
        <f t="shared" ref="E3:E9" si="1">C3^3</f>
        <v>1.4049280000000004</v>
      </c>
      <c r="F3" s="91">
        <f t="shared" ref="F3:F9" si="2">C3^4</f>
        <v>1.5735193600000004</v>
      </c>
      <c r="G3" s="91">
        <f t="shared" ref="G3:G9" si="3">C3^5</f>
        <v>1.7623416832000005</v>
      </c>
      <c r="H3" s="91">
        <f t="shared" ref="H3:H9" si="4">C3^6</f>
        <v>1.9738226851840008</v>
      </c>
      <c r="I3" s="91">
        <f t="shared" ref="I3:I9" si="5">C3^7</f>
        <v>2.210681407406081</v>
      </c>
      <c r="J3" s="91">
        <f t="shared" ref="J3:J9" si="6">C3^8</f>
        <v>2.4759631762948109</v>
      </c>
      <c r="K3" s="91">
        <f t="shared" ref="K3:K9" si="7">C3^9</f>
        <v>2.7730787574501883</v>
      </c>
      <c r="L3" s="91">
        <f t="shared" ref="L3:L9" si="8">C3^10</f>
        <v>3.1058482083442112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11'!O87</f>
        <v>-0.35999999999999943</v>
      </c>
      <c r="C4" s="37">
        <f>'PERHITUNGAN 11'!N87</f>
        <v>50.71</v>
      </c>
      <c r="D4" s="75">
        <f t="shared" si="0"/>
        <v>2571.5041000000001</v>
      </c>
      <c r="E4" s="37">
        <f t="shared" si="1"/>
        <v>130400.972911</v>
      </c>
      <c r="F4" s="91">
        <f t="shared" si="2"/>
        <v>6612633.3363168109</v>
      </c>
      <c r="G4" s="91">
        <f t="shared" si="3"/>
        <v>335326636.48462546</v>
      </c>
      <c r="H4" s="91">
        <f t="shared" si="4"/>
        <v>17004413736.135359</v>
      </c>
      <c r="I4" s="91">
        <f t="shared" si="5"/>
        <v>862293820559.42407</v>
      </c>
      <c r="J4" s="91">
        <f t="shared" si="6"/>
        <v>43726919640568.398</v>
      </c>
      <c r="K4" s="91">
        <f t="shared" si="7"/>
        <v>2217392094973223.5</v>
      </c>
      <c r="L4" s="91">
        <f t="shared" si="8"/>
        <v>1.1244395313609216E+17</v>
      </c>
      <c r="R4" s="414" t="str">
        <f>IF('PERHITUNGAN 1'!$C$2="Celcius","(°C)","(°F)")</f>
        <v>(°C)</v>
      </c>
      <c r="S4" s="415"/>
      <c r="T4" s="5" t="str">
        <f>IF('PERHITUNGAN 1'!$C$2="Celcius","(°C)","(°F)")</f>
        <v>(°C)</v>
      </c>
      <c r="U4" s="14"/>
      <c r="V4" s="1"/>
    </row>
    <row r="5" spans="1:24">
      <c r="A5" s="25">
        <v>4</v>
      </c>
      <c r="B5" s="37">
        <f>'PERHITUNGAN 11'!O88</f>
        <v>-0.95300000000000296</v>
      </c>
      <c r="C5" s="37">
        <f>'PERHITUNGAN 11'!N88</f>
        <v>100.84</v>
      </c>
      <c r="D5" s="75">
        <f t="shared" si="0"/>
        <v>10168.705600000001</v>
      </c>
      <c r="E5" s="37">
        <f t="shared" si="1"/>
        <v>1025412.2727040001</v>
      </c>
      <c r="F5" s="91">
        <f t="shared" si="2"/>
        <v>103402573.57947138</v>
      </c>
      <c r="G5" s="91">
        <f t="shared" si="3"/>
        <v>10427115519.753895</v>
      </c>
      <c r="H5" s="91">
        <f t="shared" si="4"/>
        <v>1051470329011.9828</v>
      </c>
      <c r="I5" s="91">
        <f t="shared" si="5"/>
        <v>106030267977568.34</v>
      </c>
      <c r="J5" s="91">
        <f t="shared" si="6"/>
        <v>1.0692092222857992E+16</v>
      </c>
      <c r="K5" s="91">
        <f t="shared" si="7"/>
        <v>1.0781905797529999E+18</v>
      </c>
      <c r="L5" s="91">
        <f t="shared" si="8"/>
        <v>1.0872473806229252E+20</v>
      </c>
      <c r="R5" s="412"/>
      <c r="S5" s="413"/>
      <c r="T5" s="21"/>
      <c r="U5" s="32"/>
    </row>
    <row r="6" spans="1:24">
      <c r="A6" s="25">
        <v>5</v>
      </c>
      <c r="B6" s="37">
        <f>'PERHITUNGAN 11'!O89</f>
        <v>-0.87299999999999045</v>
      </c>
      <c r="C6" s="37">
        <f>'PERHITUNGAN 11'!N89</f>
        <v>150.59</v>
      </c>
      <c r="D6" s="75">
        <f t="shared" si="0"/>
        <v>22677.348099999999</v>
      </c>
      <c r="E6" s="37">
        <f t="shared" si="1"/>
        <v>3414981.850379</v>
      </c>
      <c r="F6" s="91">
        <f t="shared" si="2"/>
        <v>514262116.84857357</v>
      </c>
      <c r="G6" s="91">
        <f t="shared" si="3"/>
        <v>77442732176.2267</v>
      </c>
      <c r="H6" s="91">
        <f t="shared" si="4"/>
        <v>11662101038417.977</v>
      </c>
      <c r="I6" s="91">
        <f t="shared" si="5"/>
        <v>1756195795375363.3</v>
      </c>
      <c r="J6" s="91">
        <f t="shared" si="6"/>
        <v>2.6446552482557594E+17</v>
      </c>
      <c r="K6" s="91">
        <f t="shared" si="7"/>
        <v>3.9825863383483482E+19</v>
      </c>
      <c r="L6" s="91">
        <f t="shared" si="8"/>
        <v>5.9973767669187766E+21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11'!O90</f>
        <v>-0.47399999999998954</v>
      </c>
      <c r="C7" s="37">
        <f>'PERHITUNGAN 11'!N90</f>
        <v>199.94</v>
      </c>
      <c r="D7" s="75">
        <f t="shared" si="0"/>
        <v>39976.003599999996</v>
      </c>
      <c r="E7" s="37">
        <f t="shared" si="1"/>
        <v>7992802.1597839994</v>
      </c>
      <c r="F7" s="91">
        <f t="shared" si="2"/>
        <v>1598080863.8272126</v>
      </c>
      <c r="G7" s="91">
        <f t="shared" si="3"/>
        <v>319520287913.61285</v>
      </c>
      <c r="H7" s="91">
        <f t="shared" si="4"/>
        <v>63884886365447.75</v>
      </c>
      <c r="I7" s="91">
        <f t="shared" si="5"/>
        <v>1.2773144179907624E+16</v>
      </c>
      <c r="J7" s="91">
        <f t="shared" si="6"/>
        <v>2.55386244733073E+18</v>
      </c>
      <c r="K7" s="91">
        <f t="shared" si="7"/>
        <v>5.1061925771930613E+20</v>
      </c>
      <c r="L7" s="91">
        <f t="shared" si="8"/>
        <v>1.0209321438839807E+23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11'!O91</f>
        <v>-0.34099999999997976</v>
      </c>
      <c r="C8" s="37">
        <f>'PERHITUNGAN 11'!N91</f>
        <v>249.82</v>
      </c>
      <c r="D8" s="75">
        <f t="shared" si="0"/>
        <v>62410.032399999996</v>
      </c>
      <c r="E8" s="37">
        <f t="shared" si="1"/>
        <v>15591274.294167999</v>
      </c>
      <c r="F8" s="91">
        <f t="shared" si="2"/>
        <v>3895012144.1690493</v>
      </c>
      <c r="G8" s="91">
        <f t="shared" si="3"/>
        <v>973051933856.31189</v>
      </c>
      <c r="H8" s="91">
        <f t="shared" si="4"/>
        <v>243087834115983.81</v>
      </c>
      <c r="I8" s="91">
        <f t="shared" si="5"/>
        <v>6.072820271885508E+16</v>
      </c>
      <c r="J8" s="91">
        <f t="shared" si="6"/>
        <v>1.5171119603224375E+19</v>
      </c>
      <c r="K8" s="91">
        <f t="shared" si="7"/>
        <v>3.7900490992775133E+21</v>
      </c>
      <c r="L8" s="91">
        <f t="shared" si="8"/>
        <v>9.4683006598150834E+23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11'!O92</f>
        <v>-0.32400000000001228</v>
      </c>
      <c r="C9" s="37">
        <f>'PERHITUNGAN 11'!N92</f>
        <v>259.88</v>
      </c>
      <c r="D9" s="75">
        <f t="shared" si="0"/>
        <v>67537.614399999991</v>
      </c>
      <c r="E9" s="37">
        <f t="shared" si="1"/>
        <v>17551675.230271999</v>
      </c>
      <c r="F9" s="91">
        <f t="shared" si="2"/>
        <v>4561329358.8430862</v>
      </c>
      <c r="G9" s="91">
        <f t="shared" si="3"/>
        <v>1185398273776.1411</v>
      </c>
      <c r="H9" s="91">
        <f t="shared" si="4"/>
        <v>308061303388943.56</v>
      </c>
      <c r="I9" s="91">
        <f t="shared" si="5"/>
        <v>8.0058971524718656E+16</v>
      </c>
      <c r="J9" s="91">
        <f t="shared" si="6"/>
        <v>2.0805725519843881E+19</v>
      </c>
      <c r="K9" s="91">
        <f t="shared" si="7"/>
        <v>5.4069919480970278E+21</v>
      </c>
      <c r="L9" s="91">
        <f t="shared" si="8"/>
        <v>1.4051690674714555E+24</v>
      </c>
      <c r="R9" s="408"/>
      <c r="S9" s="409"/>
      <c r="T9" s="23"/>
      <c r="U9" s="27"/>
      <c r="V9" s="88"/>
    </row>
    <row r="10" spans="1:24">
      <c r="A10" s="25">
        <v>9</v>
      </c>
      <c r="B10" s="37">
        <f>'PERHITUNGAN 11'!O93</f>
        <v>0</v>
      </c>
      <c r="C10" s="37" t="e">
        <f>'PERHITUNGAN 11'!N93</f>
        <v>#DIV/0!</v>
      </c>
      <c r="D10" s="75" t="e">
        <f>C10^2</f>
        <v>#DIV/0!</v>
      </c>
      <c r="E10" s="37" t="e">
        <f>C10^3</f>
        <v>#DIV/0!</v>
      </c>
      <c r="F10" s="91" t="e">
        <f>C10^4</f>
        <v>#DIV/0!</v>
      </c>
      <c r="G10" s="91" t="e">
        <f>C10^5</f>
        <v>#DIV/0!</v>
      </c>
      <c r="H10" s="91" t="e">
        <f>C10^6</f>
        <v>#DIV/0!</v>
      </c>
      <c r="I10" s="91" t="e">
        <f>C10^7</f>
        <v>#DIV/0!</v>
      </c>
      <c r="J10" s="91" t="e">
        <f>C10^8</f>
        <v>#DIV/0!</v>
      </c>
      <c r="K10" s="91" t="e">
        <f>C10^9</f>
        <v>#DIV/0!</v>
      </c>
      <c r="L10" s="91" t="e">
        <f>C10^10</f>
        <v>#DIV/0!</v>
      </c>
      <c r="R10" s="408"/>
      <c r="S10" s="409"/>
      <c r="T10" s="23"/>
      <c r="U10" s="27"/>
      <c r="V10" s="88"/>
    </row>
    <row r="11" spans="1:24">
      <c r="A11" s="25">
        <v>10</v>
      </c>
      <c r="B11" s="37">
        <f>'PERHITUNGAN 11'!O94</f>
        <v>0</v>
      </c>
      <c r="C11" s="37" t="e">
        <f>'PERHITUNGAN 11'!N94</f>
        <v>#DIV/0!</v>
      </c>
      <c r="D11" s="75" t="e">
        <f>C11^2</f>
        <v>#DIV/0!</v>
      </c>
      <c r="E11" s="37" t="e">
        <f>C11^3</f>
        <v>#DIV/0!</v>
      </c>
      <c r="F11" s="91" t="e">
        <f>C11^4</f>
        <v>#DIV/0!</v>
      </c>
      <c r="G11" s="91" t="e">
        <f>C11^5</f>
        <v>#DIV/0!</v>
      </c>
      <c r="H11" s="91" t="e">
        <f>C11^6</f>
        <v>#DIV/0!</v>
      </c>
      <c r="I11" s="91" t="e">
        <f>C11^7</f>
        <v>#DIV/0!</v>
      </c>
      <c r="J11" s="91" t="e">
        <f>C11^8</f>
        <v>#DIV/0!</v>
      </c>
      <c r="K11" s="91" t="e">
        <f>C11^9</f>
        <v>#DIV/0!</v>
      </c>
      <c r="L11" s="91" t="e">
        <f>C11^10</f>
        <v>#DIV/0!</v>
      </c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151</v>
      </c>
      <c r="R19" s="408">
        <f>'REGRESI 1'!R19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-0.91528811986660341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1'!R20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-0.4672291758883107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1'!R21</f>
        <v>25</v>
      </c>
      <c r="S21" s="409"/>
      <c r="T21" s="23">
        <f t="shared" si="9"/>
        <v>0.35609744088426354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1'!R22</f>
        <v>50</v>
      </c>
      <c r="S22" s="409"/>
      <c r="T22" s="23">
        <f t="shared" si="9"/>
        <v>0.79757767721103034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1'!R23</f>
        <v>100</v>
      </c>
      <c r="S23" s="409"/>
      <c r="T23" s="23">
        <f t="shared" si="9"/>
        <v>0.74591527182065887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1'!R24</f>
        <v>125</v>
      </c>
      <c r="S24" s="409"/>
      <c r="T24" s="23">
        <f t="shared" si="9"/>
        <v>0.35823076175027868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1'!R25</f>
        <v>150</v>
      </c>
      <c r="S25" s="409"/>
      <c r="T25" s="23">
        <f t="shared" si="9"/>
        <v>-0.20038386547239107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1'!R26</f>
        <v>200</v>
      </c>
      <c r="S26" s="409"/>
      <c r="T26" s="23">
        <f t="shared" si="9"/>
        <v>-1.6194872080810878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1'!R27</f>
        <v>0</v>
      </c>
      <c r="S27" s="409"/>
      <c r="T27" s="23">
        <f t="shared" si="9"/>
        <v>-0.4672291758883107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1'!R28</f>
        <v>0</v>
      </c>
      <c r="S28" s="409"/>
      <c r="T28" s="23">
        <f t="shared" si="9"/>
        <v>-0.4672291758883107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0.98513874012314073</v>
      </c>
      <c r="Q33" s="31" t="s">
        <v>100</v>
      </c>
      <c r="U33" s="70"/>
    </row>
    <row r="34" spans="2:24">
      <c r="B34" t="s">
        <v>76</v>
      </c>
      <c r="C34">
        <v>0.97049833729140911</v>
      </c>
      <c r="X34" s="46"/>
    </row>
    <row r="35" spans="2:24">
      <c r="B35" t="s">
        <v>77</v>
      </c>
      <c r="C35">
        <v>0.94837209025996594</v>
      </c>
      <c r="Q35" t="s">
        <v>99</v>
      </c>
    </row>
    <row r="36" spans="2:24">
      <c r="B36" t="s">
        <v>78</v>
      </c>
      <c r="C36">
        <v>0.19642034791218965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-0.4672291758883107</v>
      </c>
      <c r="U38" s="26" t="s">
        <v>97</v>
      </c>
      <c r="V38">
        <f>C78</f>
        <v>0</v>
      </c>
    </row>
    <row r="39" spans="2:24" ht="13.5" thickBot="1">
      <c r="B39" t="s">
        <v>80</v>
      </c>
      <c r="R39" s="26" t="s">
        <v>98</v>
      </c>
      <c r="S39">
        <f t="shared" si="10"/>
        <v>4.1273046490797508E-2</v>
      </c>
      <c r="U39" s="26" t="s">
        <v>98</v>
      </c>
      <c r="V39">
        <f>C79</f>
        <v>0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-3.4766035701534921E-4</v>
      </c>
      <c r="U40" s="26" t="s">
        <v>111</v>
      </c>
      <c r="V40">
        <f>C80</f>
        <v>0</v>
      </c>
    </row>
    <row r="41" spans="2:24">
      <c r="B41" t="s">
        <v>81</v>
      </c>
      <c r="C41">
        <v>3</v>
      </c>
      <c r="D41">
        <v>5.0766970227042414</v>
      </c>
      <c r="E41">
        <v>1.6922323409014137</v>
      </c>
      <c r="F41">
        <v>43.861859442871236</v>
      </c>
      <c r="G41">
        <v>1.6157649105734118E-3</v>
      </c>
      <c r="R41" s="26" t="s">
        <v>112</v>
      </c>
      <c r="S41">
        <f t="shared" si="10"/>
        <v>5.6244336878271137E-7</v>
      </c>
      <c r="U41" s="26" t="s">
        <v>112</v>
      </c>
      <c r="V41">
        <f>C81</f>
        <v>0</v>
      </c>
    </row>
    <row r="42" spans="2:24">
      <c r="B42" t="s">
        <v>82</v>
      </c>
      <c r="C42">
        <v>4</v>
      </c>
      <c r="D42">
        <v>0.15432381229578249</v>
      </c>
      <c r="E42">
        <v>3.8580953073945622E-2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5.2310208350000238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-0.4672291758883107</v>
      </c>
      <c r="D46">
        <v>0.11796888731761694</v>
      </c>
      <c r="E46">
        <v>-3.9606135694944102</v>
      </c>
      <c r="F46">
        <v>1.6669079807938934E-2</v>
      </c>
      <c r="G46">
        <v>-0.79476331564693825</v>
      </c>
      <c r="H46">
        <v>-0.13969503612968309</v>
      </c>
      <c r="I46">
        <v>-0.79476331564693825</v>
      </c>
      <c r="J46">
        <v>-0.13969503612968309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4.1273046490797508E-2</v>
      </c>
      <c r="D47">
        <v>6.7700120545357394E-3</v>
      </c>
      <c r="E47">
        <v>6.0964509602528096</v>
      </c>
      <c r="F47">
        <v>3.6618279516927262E-3</v>
      </c>
      <c r="G47">
        <v>2.2476479659851698E-2</v>
      </c>
      <c r="H47">
        <v>6.006961332174332E-2</v>
      </c>
      <c r="I47">
        <v>2.2476479659851698E-2</v>
      </c>
      <c r="J47">
        <v>6.006961332174332E-2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-3.4766035701534921E-4</v>
      </c>
      <c r="D48">
        <v>8.9662893026900634E-5</v>
      </c>
      <c r="E48">
        <v>-3.8774162340606639</v>
      </c>
      <c r="F48">
        <v>1.7880455183995721E-2</v>
      </c>
      <c r="G48">
        <v>-5.966044574777609E-4</v>
      </c>
      <c r="H48">
        <v>-9.871625655293758E-5</v>
      </c>
      <c r="I48">
        <v>-5.966044574777609E-4</v>
      </c>
      <c r="J48">
        <v>-9.871625655293758E-5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5.6244336878271137E-7</v>
      </c>
      <c r="D49" s="67">
        <v>3.0083318695279458E-7</v>
      </c>
      <c r="E49" s="67">
        <v>1.8696187560947772</v>
      </c>
      <c r="F49" s="67">
        <v>0.13489058178326049</v>
      </c>
      <c r="G49" s="67">
        <v>-2.7280346061342784E-7</v>
      </c>
      <c r="H49" s="67">
        <v>1.3976901981788506E-6</v>
      </c>
      <c r="I49" s="67">
        <v>-2.7280346061342784E-7</v>
      </c>
      <c r="J49" s="67">
        <v>1.3976901981788506E-6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56" spans="2:21" ht="13.5" thickBot="1">
      <c r="B56" s="67"/>
      <c r="C56" s="67"/>
      <c r="D56" s="67"/>
      <c r="E56" s="67"/>
      <c r="F56" s="67"/>
      <c r="G56" s="67"/>
      <c r="H56" s="67"/>
      <c r="I56" s="67"/>
      <c r="J56" s="67"/>
    </row>
    <row r="63" spans="2:21" ht="13.5" thickBot="1"/>
    <row r="64" spans="2:21" ht="13.5">
      <c r="B64" s="69"/>
      <c r="C64" s="69"/>
    </row>
    <row r="69" spans="2:10" ht="13.5" thickBot="1">
      <c r="B69" s="67"/>
      <c r="C69" s="67"/>
    </row>
    <row r="71" spans="2:10" ht="13.5" thickBot="1"/>
    <row r="72" spans="2:10" ht="13.5">
      <c r="B72" s="68"/>
      <c r="C72" s="68"/>
      <c r="D72" s="68"/>
      <c r="E72" s="68"/>
      <c r="F72" s="68"/>
      <c r="G72" s="68"/>
    </row>
    <row r="75" spans="2:10" ht="13.5" thickBot="1">
      <c r="B75" s="67"/>
      <c r="C75" s="67"/>
      <c r="D75" s="67"/>
      <c r="E75" s="67"/>
      <c r="F75" s="67"/>
      <c r="G75" s="67"/>
    </row>
    <row r="76" spans="2:10" ht="13.5" thickBot="1"/>
    <row r="77" spans="2:10" ht="13.5">
      <c r="B77" s="68"/>
      <c r="C77" s="68"/>
      <c r="D77" s="68"/>
      <c r="E77" s="68"/>
      <c r="F77" s="68"/>
      <c r="G77" s="68"/>
      <c r="H77" s="68"/>
      <c r="I77" s="68"/>
      <c r="J77" s="68"/>
    </row>
    <row r="81" spans="2:10" ht="13.5" thickBot="1">
      <c r="B81" s="67"/>
      <c r="C81" s="67"/>
      <c r="D81" s="67"/>
      <c r="E81" s="67"/>
      <c r="F81" s="67"/>
      <c r="G81" s="67"/>
      <c r="H81" s="67"/>
      <c r="I81" s="67"/>
      <c r="J81" s="67"/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FA006-3B9B-4C83-980E-FD0B86DA655A}">
  <dimension ref="A1:AH187"/>
  <sheetViews>
    <sheetView workbookViewId="0">
      <selection activeCell="G107" sqref="G107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1'!E5</f>
        <v>Termometer Digital</v>
      </c>
      <c r="F5" s="11"/>
      <c r="G5" s="11" t="s">
        <v>127</v>
      </c>
      <c r="H5" s="11" t="s">
        <v>16</v>
      </c>
      <c r="I5" s="66" t="str">
        <f>'PERHITUNGAN 1'!I5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1'!E6</f>
        <v>Hioki / LR 8431-20</v>
      </c>
      <c r="F6" s="11"/>
      <c r="G6" s="11" t="s">
        <v>128</v>
      </c>
      <c r="H6" s="11" t="s">
        <v>16</v>
      </c>
      <c r="I6" s="129">
        <f>'PERHITUNGAN 1'!I6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1'!E7</f>
        <v>210149173</v>
      </c>
      <c r="F7" s="11"/>
      <c r="G7" s="11" t="s">
        <v>44</v>
      </c>
      <c r="H7" s="11" t="s">
        <v>16</v>
      </c>
      <c r="I7" s="31">
        <v>12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1'!D24</f>
        <v>22</v>
      </c>
      <c r="E23" s="244">
        <f>'PERHITUNGAN 1'!E24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1'!D25</f>
        <v>22</v>
      </c>
      <c r="E24" s="244">
        <f>'PERHITUNGAN 1'!E25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1'!D28</f>
        <v>20</v>
      </c>
      <c r="E27" s="244">
        <f>'PERHITUNGAN 1'!E28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1'!D29</f>
        <v>20</v>
      </c>
      <c r="E28" s="244">
        <f>'PERHITUNGAN 1'!E29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1'!D33</f>
        <v>55</v>
      </c>
      <c r="E32" s="244">
        <f>'PERHITUNGAN 1'!E33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1'!D34</f>
        <v>55</v>
      </c>
      <c r="E33" s="244">
        <f>'PERHITUNGAN 1'!E34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-29.777999999999999</v>
      </c>
      <c r="P36" s="380">
        <f>F56</f>
        <v>0.19900000000000001</v>
      </c>
      <c r="Q36" s="380">
        <f>F64</f>
        <v>50.347999999999999</v>
      </c>
      <c r="R36" s="380">
        <f>F72</f>
        <v>99.887</v>
      </c>
      <c r="S36" s="380">
        <f>F80</f>
        <v>149.71799999999999</v>
      </c>
      <c r="T36" s="380">
        <f>F88</f>
        <v>199.46700000000001</v>
      </c>
      <c r="U36" s="380">
        <f>F96</f>
        <v>249.477</v>
      </c>
      <c r="V36" s="380">
        <f>F104</f>
        <v>259.55599999999998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12'!$E$11="Burn Engr",IF(O36&lt;=$AA$38,$AB$38,$AB$39),IF(O36&lt;=$AC$38,$AD$38,IF(O36&lt;=$AC$39,$AD$39,$AD$40)))</f>
        <v>0.02</v>
      </c>
      <c r="P38" s="54">
        <f>IF('PERHITUNGAN 12'!$E$11="Burn Engr",IF(P36&lt;=$AA$38,$AB$38,$AB$39),IF(P36&lt;=$AC$38,$AD$38,IF(P36&lt;=$AC$39,$AD$39,$AD$40)))</f>
        <v>7.0000000000000007E-2</v>
      </c>
      <c r="Q38" s="54">
        <f>IF('PERHITUNGAN 12'!$E$11="Burn Engr",IF(Q36&lt;=$AA$38,$AB$38,$AB$39),IF(Q36&lt;=$AC$38,$AD$38,IF(Q36&lt;=$AC$39,$AD$39,$AD$40)))</f>
        <v>7.0000000000000007E-2</v>
      </c>
      <c r="R38" s="54">
        <f>IF('PERHITUNGAN 12'!$E$11="Burn Engr",IF(R36&lt;=$AA$38,$AB$38,$AB$39),IF(R36&lt;=$AC$38,$AD$38,IF(R36&lt;=$AC$39,$AD$39,$AD$40)))</f>
        <v>7.0000000000000007E-2</v>
      </c>
      <c r="S38" s="54">
        <f>IF('PERHITUNGAN 12'!$E$11="Burn Engr",IF(S36&lt;=$AA$38,$AB$38,$AB$39),IF(S36&lt;=$AC$38,$AD$38,IF(S36&lt;=$AC$39,$AD$39,$AD$40)))</f>
        <v>7.0000000000000007E-2</v>
      </c>
      <c r="T38" s="54">
        <f>IF('PERHITUNGAN 12'!$E$11="Burn Engr",IF(T36&lt;=$AA$38,$AB$38,$AB$39),IF(T36&lt;=$AC$38,$AD$38,IF(T36&lt;=$AC$39,$AD$39,$AD$40)))</f>
        <v>7.0000000000000007E-2</v>
      </c>
      <c r="U38" s="54">
        <f>IF('PERHITUNGAN 12'!$E$11="Burn Engr",IF(U36&lt;=$AA$38,$AB$38,$AB$39),IF(U36&lt;=$AC$38,$AD$38,IF(U36&lt;=$AC$39,$AD$39,$AD$40)))</f>
        <v>7.0000000000000007E-2</v>
      </c>
      <c r="V38" s="54">
        <f>IF('PERHITUNGAN 12'!$E$11="Burn Engr",IF(V36&lt;=$AA$38,$AB$38,$AB$39),IF(V36&lt;=$AC$38,$AD$38,IF(V36&lt;=$AC$39,$AD$39,$AD$40)))</f>
        <v>7.0000000000000007E-2</v>
      </c>
      <c r="W38" s="54">
        <f>IF('PERHITUNGAN 12'!$E$11="Burn Engr",IF(W36&lt;=$AA$38,$AB$38,$AB$39),IF(W36&lt;=$AC$38,$AD$38,IF(W36&lt;=$AC$39,$AD$39,$AD$40)))</f>
        <v>0.02</v>
      </c>
      <c r="X38" s="54">
        <f>IF('PERHITUNGAN 12'!$E$11="Burn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0.01</v>
      </c>
      <c r="P40" s="37">
        <f t="shared" ref="P40:X40" si="1">P38/P39</f>
        <v>3.5000000000000003E-2</v>
      </c>
      <c r="Q40" s="37">
        <f t="shared" si="1"/>
        <v>3.5000000000000003E-2</v>
      </c>
      <c r="R40" s="37">
        <f>R38/R39</f>
        <v>3.5000000000000003E-2</v>
      </c>
      <c r="S40" s="37">
        <f t="shared" si="1"/>
        <v>3.5000000000000003E-2</v>
      </c>
      <c r="T40" s="37">
        <f t="shared" si="1"/>
        <v>3.5000000000000003E-2</v>
      </c>
      <c r="U40" s="37">
        <f t="shared" si="1"/>
        <v>3.5000000000000003E-2</v>
      </c>
      <c r="V40" s="37">
        <f t="shared" si="1"/>
        <v>3.5000000000000003E-2</v>
      </c>
      <c r="W40" s="37">
        <f t="shared" si="1"/>
        <v>0.01</v>
      </c>
      <c r="X40" s="37">
        <f t="shared" si="1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-30</v>
      </c>
      <c r="C43" s="373">
        <v>-28.69</v>
      </c>
      <c r="D43" s="374"/>
      <c r="E43" s="90">
        <v>-29.777999999999999</v>
      </c>
      <c r="F43" s="37">
        <f>IF('PERHITUNGAN 12'!$E$11="Burn Engr",'PERHITUNGAN 12'!E43,E43+('regresi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-29.777999999999999</v>
      </c>
      <c r="G43" s="90">
        <f>F43-C43</f>
        <v>-1.0879999999999974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-28.69</v>
      </c>
      <c r="D44" s="374"/>
      <c r="E44" s="90">
        <v>-29.777999999999999</v>
      </c>
      <c r="F44" s="37">
        <f>IF('PERHITUNGAN 12'!$E$11="Burn Engr",'PERHITUNGAN 12'!E44,E44+('regresi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-29.777999999999999</v>
      </c>
      <c r="G44" s="90">
        <f>F44-C44</f>
        <v>-1.0879999999999974</v>
      </c>
      <c r="H44" s="63"/>
      <c r="I44" s="63"/>
      <c r="AB44" s="1"/>
    </row>
    <row r="45" spans="1:30" ht="13.5" customHeight="1">
      <c r="A45" s="105"/>
      <c r="C45" s="373">
        <v>-28.69</v>
      </c>
      <c r="D45" s="374"/>
      <c r="E45" s="90">
        <v>-29.777999999999999</v>
      </c>
      <c r="F45" s="37">
        <f>IF('PERHITUNGAN 12'!$E$11="Burn Engr",'PERHITUNGAN 12'!E45,E45+('regresi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-29.777999999999999</v>
      </c>
      <c r="G45" s="90">
        <f>F45-C45</f>
        <v>-1.0879999999999974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-28.69</v>
      </c>
      <c r="D46" s="374"/>
      <c r="E46" s="90">
        <v>-29.777999999999999</v>
      </c>
      <c r="F46" s="37">
        <f>IF('PERHITUNGAN 12'!$E$11="Burn Engr",'PERHITUNGAN 12'!E46,E46+('regresi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-29.777999999999999</v>
      </c>
      <c r="G46" s="90">
        <f>F46-C46</f>
        <v>-1.0879999999999974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-28.69</v>
      </c>
      <c r="D47" s="374"/>
      <c r="E47" s="90">
        <v>-29.777999999999999</v>
      </c>
      <c r="F47" s="37">
        <f>IF('PERHITUNGAN 12'!$E$11="Burn Engr",'PERHITUNGAN 12'!E47,E47+('regresi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-29.777999999999999</v>
      </c>
      <c r="G47" s="90">
        <f>F47-C47</f>
        <v>-1.0879999999999974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-28.690000000000005</v>
      </c>
      <c r="D48" s="357"/>
      <c r="E48" s="95">
        <f>AVERAGE(E43:E47)</f>
        <v>-29.777999999999999</v>
      </c>
      <c r="F48" s="95">
        <f>AVERAGE(F43:F47)</f>
        <v>-29.777999999999999</v>
      </c>
      <c r="G48" s="95">
        <f>SUM(G43:G47)/5</f>
        <v>-1.0879999999999974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0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0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>
        <v>0</v>
      </c>
      <c r="C51" s="373">
        <v>1.48</v>
      </c>
      <c r="D51" s="374"/>
      <c r="E51" s="90">
        <v>0.19900000000000001</v>
      </c>
      <c r="F51" s="37">
        <f>IF('PERHITUNGAN 12'!$E$11="Burn Engr",'PERHITUNGAN 12'!E51,E51+('regresi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0.19900000000000001</v>
      </c>
      <c r="G51" s="90">
        <f>F51-C51</f>
        <v>-1.2809999999999999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>
        <v>1.48</v>
      </c>
      <c r="D52" s="374"/>
      <c r="E52" s="90">
        <v>0.19900000000000001</v>
      </c>
      <c r="F52" s="37">
        <f>IF('PERHITUNGAN 12'!$E$11="Burn Engr",'PERHITUNGAN 12'!E52,E52+('regresi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0.19900000000000001</v>
      </c>
      <c r="G52" s="90">
        <f>F52-C52</f>
        <v>-1.2809999999999999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>
        <v>1.48</v>
      </c>
      <c r="D53" s="374"/>
      <c r="E53" s="90">
        <v>0.19900000000000001</v>
      </c>
      <c r="F53" s="37">
        <f>IF('PERHITUNGAN 12'!$E$11="Burn Engr",'PERHITUNGAN 12'!E53,E53+('regresi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0.19900000000000001</v>
      </c>
      <c r="G53" s="90">
        <f>F53-C53</f>
        <v>-1.2809999999999999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1.48</v>
      </c>
      <c r="D54" s="374"/>
      <c r="E54" s="90">
        <v>0.19900000000000001</v>
      </c>
      <c r="F54" s="37">
        <f>IF('PERHITUNGAN 12'!$E$11="Burn Engr",'PERHITUNGAN 12'!E54,E54+('regresi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0.19900000000000001</v>
      </c>
      <c r="G54" s="90">
        <f>F54-C54</f>
        <v>-1.2809999999999999</v>
      </c>
      <c r="H54" s="63"/>
      <c r="I54" s="63"/>
      <c r="AB54" s="1"/>
    </row>
    <row r="55" spans="1:28" ht="13.5" customHeight="1">
      <c r="A55" s="10"/>
      <c r="C55" s="373">
        <v>1.48</v>
      </c>
      <c r="D55" s="374"/>
      <c r="E55" s="90">
        <v>0.19900000000000001</v>
      </c>
      <c r="F55" s="37">
        <f>IF('PERHITUNGAN 12'!$E$11="Burn Engr",'PERHITUNGAN 12'!E55,E55+('regresi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0.19900000000000001</v>
      </c>
      <c r="G55" s="90">
        <f>F55-C55</f>
        <v>-1.2809999999999999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1.48</v>
      </c>
      <c r="D56" s="334"/>
      <c r="E56" s="95">
        <f>AVERAGE(E51:E55)</f>
        <v>0.19900000000000001</v>
      </c>
      <c r="F56" s="95">
        <f>AVERAGE(F51:F55)</f>
        <v>0.19900000000000001</v>
      </c>
      <c r="G56" s="95">
        <f>SUM(G51:G55)/5</f>
        <v>-1.2809999999999999</v>
      </c>
      <c r="H56" s="63"/>
      <c r="I56" s="63"/>
      <c r="N56" s="390"/>
      <c r="O56" s="115">
        <f>C48</f>
        <v>-28.690000000000005</v>
      </c>
      <c r="P56" s="115">
        <f>C56</f>
        <v>1.48</v>
      </c>
      <c r="Q56" s="115">
        <f>C64</f>
        <v>50.68</v>
      </c>
      <c r="R56" s="115">
        <f>C72</f>
        <v>100.58</v>
      </c>
      <c r="S56" s="115">
        <f>C80</f>
        <v>150.57</v>
      </c>
      <c r="T56" s="115">
        <f>C88</f>
        <v>199.97</v>
      </c>
      <c r="U56" s="115">
        <f>C96</f>
        <v>249.65</v>
      </c>
      <c r="V56" s="115">
        <f>C104</f>
        <v>259.7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0</v>
      </c>
      <c r="H57" s="44"/>
      <c r="I57" s="63"/>
      <c r="N57" s="25" t="s">
        <v>152</v>
      </c>
      <c r="O57" s="112">
        <f>$G$49/5^0.5</f>
        <v>0</v>
      </c>
      <c r="P57" s="112">
        <f>$G$57/5^0.5</f>
        <v>0</v>
      </c>
      <c r="Q57" s="112">
        <f>$G$65/5^0.5</f>
        <v>0</v>
      </c>
      <c r="R57" s="112">
        <f>$G$73/5^0.5</f>
        <v>0</v>
      </c>
      <c r="S57" s="112">
        <f>$G$81/5^0.5</f>
        <v>0</v>
      </c>
      <c r="T57" s="112">
        <f>$G$89/5^0.5</f>
        <v>0</v>
      </c>
      <c r="U57" s="112">
        <f>$G$97/5^0.5</f>
        <v>0</v>
      </c>
      <c r="V57" s="112">
        <f>$G$105/5^0.5</f>
        <v>0</v>
      </c>
      <c r="W57" s="112">
        <f>$G$113/5^0.5</f>
        <v>0</v>
      </c>
      <c r="X57" s="112">
        <f>$G$121/5^0.5</f>
        <v>0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0</v>
      </c>
      <c r="H58" s="44"/>
      <c r="I58" s="63"/>
      <c r="N58" s="25" t="s">
        <v>153</v>
      </c>
      <c r="O58" s="113">
        <f>IF('DRAFT-SERTIF'!$O$27="Ya",'REGRESI 12'!$C$36,0)</f>
        <v>0.13082819620017544</v>
      </c>
      <c r="P58" s="113">
        <f>IF('DRAFT-SERTIF'!$O$27="Ya",'REGRESI 12'!$C$36,0)</f>
        <v>0.13082819620017544</v>
      </c>
      <c r="Q58" s="113">
        <f>IF('DRAFT-SERTIF'!$O$27="Ya",'REGRESI 12'!$C$36,0)</f>
        <v>0.13082819620017544</v>
      </c>
      <c r="R58" s="113">
        <f>IF('DRAFT-SERTIF'!$O$27="Ya",'REGRESI 12'!$C$36,0)</f>
        <v>0.13082819620017544</v>
      </c>
      <c r="S58" s="113">
        <f>IF('DRAFT-SERTIF'!$O$27="Ya",'REGRESI 12'!$C$36,0)</f>
        <v>0.13082819620017544</v>
      </c>
      <c r="T58" s="113">
        <f>IF('DRAFT-SERTIF'!$O$27="Ya",'REGRESI 12'!$C$36,0)</f>
        <v>0.13082819620017544</v>
      </c>
      <c r="U58" s="113">
        <f>IF('DRAFT-SERTIF'!$O$27="Ya",'REGRESI 12'!$C$36,0)</f>
        <v>0.13082819620017544</v>
      </c>
      <c r="V58" s="113">
        <f>IF('DRAFT-SERTIF'!$O$27="Ya",'REGRESI 12'!$C$36,0)</f>
        <v>0.13082819620017544</v>
      </c>
      <c r="W58" s="113">
        <f>IF('DRAFT-SERTIF'!$O$27="Ya",'REGRESI 12'!$C$36,0)</f>
        <v>0.13082819620017544</v>
      </c>
      <c r="X58" s="113">
        <f>IF('DRAFT-SERTIF'!$O$27="Ya",'REGRESI 12'!$C$36,0)</f>
        <v>0.13082819620017544</v>
      </c>
      <c r="AB58" s="1"/>
    </row>
    <row r="59" spans="1:28" ht="13.5" customHeight="1">
      <c r="A59" s="105">
        <v>3</v>
      </c>
      <c r="B59" s="196">
        <v>50</v>
      </c>
      <c r="C59" s="327">
        <v>50.68</v>
      </c>
      <c r="D59" s="327"/>
      <c r="E59" s="15">
        <v>50.347999999999999</v>
      </c>
      <c r="F59" s="37">
        <f>IF('PERHITUNGAN 12'!$E$11="Burn Engr",'PERHITUNGAN 12'!E59,E59+('regresi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50.347999999999999</v>
      </c>
      <c r="G59" s="90">
        <f>F59-C59</f>
        <v>-0.33200000000000074</v>
      </c>
      <c r="H59" s="63"/>
      <c r="I59" s="63"/>
      <c r="N59" s="25" t="s">
        <v>154</v>
      </c>
      <c r="O59" s="91">
        <f t="shared" ref="O59:X59" si="3">O40</f>
        <v>0.01</v>
      </c>
      <c r="P59" s="91">
        <f t="shared" si="3"/>
        <v>3.5000000000000003E-2</v>
      </c>
      <c r="Q59" s="91">
        <f t="shared" si="3"/>
        <v>3.5000000000000003E-2</v>
      </c>
      <c r="R59" s="91">
        <f t="shared" si="3"/>
        <v>3.5000000000000003E-2</v>
      </c>
      <c r="S59" s="91">
        <f t="shared" si="3"/>
        <v>3.5000000000000003E-2</v>
      </c>
      <c r="T59" s="91">
        <f t="shared" si="3"/>
        <v>3.5000000000000003E-2</v>
      </c>
      <c r="U59" s="91">
        <f t="shared" si="3"/>
        <v>3.5000000000000003E-2</v>
      </c>
      <c r="V59" s="91">
        <f t="shared" si="3"/>
        <v>3.5000000000000003E-2</v>
      </c>
      <c r="W59" s="91">
        <f t="shared" si="3"/>
        <v>0.01</v>
      </c>
      <c r="X59" s="91">
        <f t="shared" si="3"/>
        <v>0.01</v>
      </c>
    </row>
    <row r="60" spans="1:28">
      <c r="A60" s="10"/>
      <c r="C60" s="327">
        <v>50.68</v>
      </c>
      <c r="D60" s="327"/>
      <c r="E60" s="15">
        <v>50.347999999999999</v>
      </c>
      <c r="F60" s="37">
        <f>IF('PERHITUNGAN 12'!$E$11="Burn Engr",'PERHITUNGAN 12'!E60,E60+('regresi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50.347999999999999</v>
      </c>
      <c r="G60" s="90">
        <f>F60-C60</f>
        <v>-0.33200000000000074</v>
      </c>
      <c r="H60" s="63"/>
      <c r="I60" s="63"/>
      <c r="N60" s="133" t="s">
        <v>155</v>
      </c>
      <c r="O60" s="134">
        <f>'PERHITUNGAN 1'!O61</f>
        <v>1.5000000000000003E-2</v>
      </c>
      <c r="P60" s="134">
        <f>'PERHITUNGAN 1'!P61</f>
        <v>0.01</v>
      </c>
      <c r="Q60" s="134">
        <f>'PERHITUNGAN 1'!Q61</f>
        <v>5.0000000000000001E-3</v>
      </c>
      <c r="R60" s="134">
        <f>'PERHITUNGAN 1'!R61</f>
        <v>1.4999999999999999E-2</v>
      </c>
      <c r="S60" s="134">
        <f>'PERHITUNGAN 1'!S61</f>
        <v>5.0000000000000001E-3</v>
      </c>
      <c r="T60" s="134">
        <f>'PERHITUNGAN 1'!T61</f>
        <v>0.05</v>
      </c>
      <c r="U60" s="134">
        <f>'PERHITUNGAN 1'!U61</f>
        <v>0.05</v>
      </c>
      <c r="V60" s="134">
        <f>'PERHITUNGAN 1'!V61</f>
        <v>1.5000000000000003E-2</v>
      </c>
      <c r="W60" s="134">
        <f>'PERHITUNGAN 1'!W61</f>
        <v>1.4999999999999999E-2</v>
      </c>
      <c r="X60" s="134">
        <f>'PERHITUNGAN 1'!X61</f>
        <v>1.4999999999999999E-2</v>
      </c>
    </row>
    <row r="61" spans="1:28">
      <c r="A61" s="10"/>
      <c r="C61" s="327">
        <v>50.68</v>
      </c>
      <c r="D61" s="327"/>
      <c r="E61" s="15">
        <v>50.347999999999999</v>
      </c>
      <c r="F61" s="37">
        <f>IF('PERHITUNGAN 12'!$E$11="Burn Engr",'PERHITUNGAN 12'!E61,E61+('regresi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50.347999999999999</v>
      </c>
      <c r="G61" s="90">
        <f>F61-C61</f>
        <v>-0.33200000000000074</v>
      </c>
      <c r="H61" s="63"/>
      <c r="I61" s="63"/>
      <c r="N61" s="25" t="s">
        <v>156</v>
      </c>
      <c r="O61" s="20">
        <f t="shared" ref="O61:X61" si="4">(0.1*O38)/SQRT(3)</f>
        <v>1.1547005383792516E-3</v>
      </c>
      <c r="P61" s="20">
        <f t="shared" si="4"/>
        <v>4.041451884327381E-3</v>
      </c>
      <c r="Q61" s="20">
        <f t="shared" si="4"/>
        <v>4.041451884327381E-3</v>
      </c>
      <c r="R61" s="20">
        <f t="shared" si="4"/>
        <v>4.041451884327381E-3</v>
      </c>
      <c r="S61" s="20">
        <f t="shared" si="4"/>
        <v>4.041451884327381E-3</v>
      </c>
      <c r="T61" s="20">
        <f t="shared" si="4"/>
        <v>4.041451884327381E-3</v>
      </c>
      <c r="U61" s="20">
        <f t="shared" si="4"/>
        <v>4.041451884327381E-3</v>
      </c>
      <c r="V61" s="20">
        <f t="shared" si="4"/>
        <v>4.041451884327381E-3</v>
      </c>
      <c r="W61" s="20">
        <f t="shared" si="4"/>
        <v>1.1547005383792516E-3</v>
      </c>
      <c r="X61" s="20">
        <f t="shared" si="4"/>
        <v>1.1547005383792516E-3</v>
      </c>
    </row>
    <row r="62" spans="1:28">
      <c r="A62" s="10"/>
      <c r="C62" s="327">
        <v>50.68</v>
      </c>
      <c r="D62" s="327"/>
      <c r="E62" s="15">
        <v>50.347999999999999</v>
      </c>
      <c r="F62" s="37">
        <f>IF('PERHITUNGAN 12'!$E$11="Burn Engr",'PERHITUNGAN 12'!E62,E62+('regresi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50.347999999999999</v>
      </c>
      <c r="G62" s="90">
        <f>F62-C62</f>
        <v>-0.33200000000000074</v>
      </c>
      <c r="H62" s="63"/>
      <c r="I62" s="63"/>
      <c r="N62" s="25" t="s">
        <v>157</v>
      </c>
      <c r="O62" s="114">
        <f t="shared" ref="O62:X62" si="5">$T$28</f>
        <v>2.886751345948129E-3</v>
      </c>
      <c r="P62" s="114">
        <f t="shared" si="5"/>
        <v>2.886751345948129E-3</v>
      </c>
      <c r="Q62" s="114">
        <f t="shared" si="5"/>
        <v>2.886751345948129E-3</v>
      </c>
      <c r="R62" s="114">
        <f t="shared" si="5"/>
        <v>2.886751345948129E-3</v>
      </c>
      <c r="S62" s="114">
        <f t="shared" si="5"/>
        <v>2.886751345948129E-3</v>
      </c>
      <c r="T62" s="114">
        <f t="shared" si="5"/>
        <v>2.886751345948129E-3</v>
      </c>
      <c r="U62" s="114">
        <f t="shared" si="5"/>
        <v>2.886751345948129E-3</v>
      </c>
      <c r="V62" s="114">
        <f t="shared" si="5"/>
        <v>2.886751345948129E-3</v>
      </c>
      <c r="W62" s="114">
        <f t="shared" si="5"/>
        <v>2.886751345948129E-3</v>
      </c>
      <c r="X62" s="114">
        <f t="shared" si="5"/>
        <v>2.886751345948129E-3</v>
      </c>
    </row>
    <row r="63" spans="1:28">
      <c r="A63" s="10"/>
      <c r="C63" s="327">
        <v>50.68</v>
      </c>
      <c r="D63" s="327"/>
      <c r="E63" s="15">
        <v>50.347999999999999</v>
      </c>
      <c r="F63" s="37">
        <f>IF('PERHITUNGAN 12'!$E$11="Burn Engr",'PERHITUNGAN 12'!E63,E63+('regresi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50.347999999999999</v>
      </c>
      <c r="G63" s="90">
        <f>F63-C63</f>
        <v>-0.33200000000000074</v>
      </c>
      <c r="H63" s="63"/>
      <c r="I63" s="63"/>
      <c r="N63" s="25" t="s">
        <v>158</v>
      </c>
      <c r="O63" s="114">
        <f t="shared" ref="O63:X63" si="6">$T$26</f>
        <v>2.886751345948129E-4</v>
      </c>
      <c r="P63" s="114">
        <f t="shared" si="6"/>
        <v>2.886751345948129E-4</v>
      </c>
      <c r="Q63" s="114">
        <f t="shared" si="6"/>
        <v>2.886751345948129E-4</v>
      </c>
      <c r="R63" s="114">
        <f t="shared" si="6"/>
        <v>2.886751345948129E-4</v>
      </c>
      <c r="S63" s="114">
        <f t="shared" si="6"/>
        <v>2.886751345948129E-4</v>
      </c>
      <c r="T63" s="114">
        <f t="shared" si="6"/>
        <v>2.886751345948129E-4</v>
      </c>
      <c r="U63" s="114">
        <f t="shared" si="6"/>
        <v>2.886751345948129E-4</v>
      </c>
      <c r="V63" s="114">
        <f t="shared" si="6"/>
        <v>2.886751345948129E-4</v>
      </c>
      <c r="W63" s="114">
        <f t="shared" si="6"/>
        <v>2.886751345948129E-4</v>
      </c>
      <c r="X63" s="114">
        <f t="shared" si="6"/>
        <v>2.886751345948129E-4</v>
      </c>
    </row>
    <row r="64" spans="1:28">
      <c r="A64" s="10"/>
      <c r="B64" s="8" t="s">
        <v>31</v>
      </c>
      <c r="C64" s="333">
        <f>AVERAGE(C59:D63)</f>
        <v>50.68</v>
      </c>
      <c r="D64" s="334"/>
      <c r="E64" s="95">
        <f>AVERAGE(E59:E63)</f>
        <v>50.347999999999999</v>
      </c>
      <c r="F64" s="95">
        <f>SUM(F59:F63)/5</f>
        <v>50.347999999999999</v>
      </c>
      <c r="G64" s="95">
        <f>SUM(G59:G63)/5</f>
        <v>-0.33200000000000074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7">10^10</f>
        <v>10000000000</v>
      </c>
      <c r="Q66" s="53">
        <f t="shared" si="7"/>
        <v>10000000000</v>
      </c>
      <c r="R66" s="53">
        <f t="shared" si="7"/>
        <v>10000000000</v>
      </c>
      <c r="S66" s="53">
        <f t="shared" si="7"/>
        <v>10000000000</v>
      </c>
      <c r="T66" s="53">
        <f t="shared" si="7"/>
        <v>10000000000</v>
      </c>
      <c r="U66" s="53">
        <f t="shared" si="7"/>
        <v>10000000000</v>
      </c>
      <c r="V66" s="53">
        <f t="shared" si="7"/>
        <v>10000000000</v>
      </c>
      <c r="W66" s="53">
        <f t="shared" si="7"/>
        <v>10000000000</v>
      </c>
      <c r="X66" s="53">
        <f t="shared" si="7"/>
        <v>10000000000</v>
      </c>
    </row>
    <row r="67" spans="1:28">
      <c r="A67" s="105">
        <v>4</v>
      </c>
      <c r="B67" s="196">
        <v>100</v>
      </c>
      <c r="C67" s="327">
        <v>100.58</v>
      </c>
      <c r="D67" s="327"/>
      <c r="E67" s="90">
        <v>99.887</v>
      </c>
      <c r="F67" s="37">
        <f>IF('PERHITUNGAN 12'!$E$11="Burn Engr",'PERHITUNGAN 12'!E67,E67+('regresi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99.887</v>
      </c>
      <c r="G67" s="90">
        <f>F67-C67</f>
        <v>-0.69299999999999784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100.58</v>
      </c>
      <c r="D68" s="327"/>
      <c r="E68" s="90">
        <v>99.887</v>
      </c>
      <c r="F68" s="37">
        <f>IF('PERHITUNGAN 12'!$E$11="Burn Engr",'PERHITUNGAN 12'!E68,E68+('regresi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99.887</v>
      </c>
      <c r="G68" s="90">
        <f>F68-C68</f>
        <v>-0.69299999999999784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100.58</v>
      </c>
      <c r="D69" s="327"/>
      <c r="E69" s="90">
        <v>99.887</v>
      </c>
      <c r="F69" s="37">
        <f>IF('PERHITUNGAN 12'!$E$11="Burn Engr",'PERHITUNGAN 12'!E69,E69+('regresi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99.887</v>
      </c>
      <c r="G69" s="90">
        <f>F69-C69</f>
        <v>-0.69299999999999784</v>
      </c>
      <c r="H69" s="63"/>
      <c r="I69" s="63"/>
      <c r="N69" s="25" t="s">
        <v>163</v>
      </c>
      <c r="O69" s="53">
        <f t="shared" ref="O69:X71" si="8">10^10</f>
        <v>10000000000</v>
      </c>
      <c r="P69" s="53">
        <f t="shared" si="8"/>
        <v>10000000000</v>
      </c>
      <c r="Q69" s="53">
        <f t="shared" si="8"/>
        <v>10000000000</v>
      </c>
      <c r="R69" s="53">
        <f t="shared" si="8"/>
        <v>10000000000</v>
      </c>
      <c r="S69" s="53">
        <f t="shared" si="8"/>
        <v>10000000000</v>
      </c>
      <c r="T69" s="53">
        <f t="shared" si="8"/>
        <v>10000000000</v>
      </c>
      <c r="U69" s="53">
        <f t="shared" si="8"/>
        <v>10000000000</v>
      </c>
      <c r="V69" s="53">
        <f t="shared" si="8"/>
        <v>10000000000</v>
      </c>
      <c r="W69" s="53">
        <f t="shared" si="8"/>
        <v>10000000000</v>
      </c>
      <c r="X69" s="53">
        <f t="shared" si="8"/>
        <v>10000000000</v>
      </c>
      <c r="AB69" s="1"/>
    </row>
    <row r="70" spans="1:28">
      <c r="A70" s="10"/>
      <c r="C70" s="327">
        <v>100.58</v>
      </c>
      <c r="D70" s="327"/>
      <c r="E70" s="90">
        <v>99.887</v>
      </c>
      <c r="F70" s="37">
        <f>IF('PERHITUNGAN 12'!$E$11="Burn Engr",'PERHITUNGAN 12'!E70,E70+('regresi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99.887</v>
      </c>
      <c r="G70" s="90">
        <f>F70-C70</f>
        <v>-0.69299999999999784</v>
      </c>
      <c r="H70" s="63"/>
      <c r="I70" s="63"/>
      <c r="N70" s="25" t="s">
        <v>164</v>
      </c>
      <c r="O70" s="53">
        <f t="shared" si="8"/>
        <v>10000000000</v>
      </c>
      <c r="P70" s="53">
        <f t="shared" si="8"/>
        <v>10000000000</v>
      </c>
      <c r="Q70" s="53">
        <f t="shared" si="8"/>
        <v>10000000000</v>
      </c>
      <c r="R70" s="53">
        <f t="shared" si="8"/>
        <v>10000000000</v>
      </c>
      <c r="S70" s="53">
        <f t="shared" si="8"/>
        <v>10000000000</v>
      </c>
      <c r="T70" s="53">
        <f t="shared" si="8"/>
        <v>10000000000</v>
      </c>
      <c r="U70" s="53">
        <f t="shared" si="8"/>
        <v>10000000000</v>
      </c>
      <c r="V70" s="53">
        <f t="shared" si="8"/>
        <v>10000000000</v>
      </c>
      <c r="W70" s="53">
        <f t="shared" si="8"/>
        <v>10000000000</v>
      </c>
      <c r="X70" s="53">
        <f t="shared" si="8"/>
        <v>10000000000</v>
      </c>
      <c r="AB70" s="1"/>
    </row>
    <row r="71" spans="1:28">
      <c r="A71" s="10"/>
      <c r="C71" s="327">
        <v>100.58</v>
      </c>
      <c r="D71" s="327"/>
      <c r="E71" s="90">
        <v>99.887</v>
      </c>
      <c r="F71" s="37">
        <f>IF('PERHITUNGAN 12'!$E$11="Burn Engr",'PERHITUNGAN 12'!E71,E71+('regresi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99.887</v>
      </c>
      <c r="G71" s="90">
        <f>F71-C71</f>
        <v>-0.69299999999999784</v>
      </c>
      <c r="H71" s="63"/>
      <c r="I71" s="63"/>
      <c r="N71" s="25" t="s">
        <v>165</v>
      </c>
      <c r="O71" s="53">
        <f t="shared" si="8"/>
        <v>10000000000</v>
      </c>
      <c r="P71" s="53">
        <f t="shared" si="8"/>
        <v>10000000000</v>
      </c>
      <c r="Q71" s="53">
        <f t="shared" si="8"/>
        <v>10000000000</v>
      </c>
      <c r="R71" s="53">
        <f t="shared" si="8"/>
        <v>10000000000</v>
      </c>
      <c r="S71" s="53">
        <f t="shared" si="8"/>
        <v>10000000000</v>
      </c>
      <c r="T71" s="53">
        <f t="shared" si="8"/>
        <v>10000000000</v>
      </c>
      <c r="U71" s="53">
        <f t="shared" si="8"/>
        <v>10000000000</v>
      </c>
      <c r="V71" s="53">
        <f t="shared" si="8"/>
        <v>10000000000</v>
      </c>
      <c r="W71" s="53">
        <f t="shared" si="8"/>
        <v>10000000000</v>
      </c>
      <c r="X71" s="53">
        <f t="shared" si="8"/>
        <v>10000000000</v>
      </c>
      <c r="AB71" s="1"/>
    </row>
    <row r="72" spans="1:28">
      <c r="A72" s="10"/>
      <c r="B72" s="8" t="s">
        <v>31</v>
      </c>
      <c r="C72" s="333">
        <f>AVERAGE(C67:D71)</f>
        <v>100.58</v>
      </c>
      <c r="D72" s="334"/>
      <c r="E72" s="95">
        <f>AVERAGE(E67:E71)</f>
        <v>99.887</v>
      </c>
      <c r="F72" s="95">
        <f>SUM(F67:F71)/5</f>
        <v>99.887</v>
      </c>
      <c r="G72" s="95">
        <f>SUM(G67:G71)/5</f>
        <v>-0.69299999999999784</v>
      </c>
      <c r="H72" s="63"/>
      <c r="I72" s="63"/>
      <c r="N72" s="111" t="s">
        <v>168</v>
      </c>
      <c r="O72" s="118">
        <f>SQRT((O57^2)+(O58^2)+(O59^2)+(O60^2)+(O61^2)+(O62^2)+(O63^2))</f>
        <v>0.13210135094309822</v>
      </c>
      <c r="P72" s="118">
        <f t="shared" ref="P72:X72" si="9">SQRT((P57^2)+(P58^2)+(P59^2)+(P60^2)+(P61^2)+(P62^2)+(P63^2))</f>
        <v>0.13588880351593211</v>
      </c>
      <c r="Q72" s="118">
        <f t="shared" si="9"/>
        <v>0.13561256181118178</v>
      </c>
      <c r="R72" s="118">
        <f t="shared" si="9"/>
        <v>0.13634796265801555</v>
      </c>
      <c r="S72" s="118">
        <f t="shared" si="9"/>
        <v>0.13561256181118178</v>
      </c>
      <c r="T72" s="118">
        <f t="shared" si="9"/>
        <v>0.14444987684657817</v>
      </c>
      <c r="U72" s="118">
        <f t="shared" si="9"/>
        <v>0.14444987684657817</v>
      </c>
      <c r="V72" s="118">
        <f t="shared" si="9"/>
        <v>0.13634796265801555</v>
      </c>
      <c r="W72" s="118">
        <f t="shared" si="9"/>
        <v>0.13210135094309822</v>
      </c>
      <c r="X72" s="118">
        <f t="shared" si="9"/>
        <v>0.13210135094309822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301381.05098085501</v>
      </c>
      <c r="P73" s="120">
        <f t="shared" ref="P73:X73" si="10">(P72^4)/((P57^4/P65)+(P58^4/P66)+(P59^4/P67)+(P60^4/P68)+(P61^4/P69)+(P62^4/P70)+(P63^4/P71))</f>
        <v>13543.433395349672</v>
      </c>
      <c r="Q73" s="120">
        <f t="shared" si="10"/>
        <v>13517.531867503472</v>
      </c>
      <c r="R73" s="120">
        <f t="shared" si="10"/>
        <v>13367.911932433757</v>
      </c>
      <c r="S73" s="120">
        <f t="shared" si="10"/>
        <v>13517.531867503472</v>
      </c>
      <c r="T73" s="120">
        <f t="shared" si="10"/>
        <v>3370.4130734907794</v>
      </c>
      <c r="U73" s="120">
        <f t="shared" si="10"/>
        <v>3370.4130734907794</v>
      </c>
      <c r="V73" s="120">
        <f t="shared" si="10"/>
        <v>13367.911932433757</v>
      </c>
      <c r="W73" s="120">
        <f t="shared" si="10"/>
        <v>301381.05098085519</v>
      </c>
      <c r="X73" s="120">
        <f t="shared" si="10"/>
        <v>301381.05098085519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1.9599718559170629</v>
      </c>
      <c r="P74" s="123">
        <f t="shared" ref="P74:X74" si="11">_xlfn.T.INV.2T(0.05,P73)</f>
        <v>1.9601391657888463</v>
      </c>
      <c r="Q74" s="123">
        <f t="shared" si="11"/>
        <v>1.9601395027797848</v>
      </c>
      <c r="R74" s="123">
        <f t="shared" si="11"/>
        <v>1.9601414725624331</v>
      </c>
      <c r="S74" s="123">
        <f t="shared" si="11"/>
        <v>1.9601395027797848</v>
      </c>
      <c r="T74" s="123">
        <f t="shared" si="11"/>
        <v>1.9606681711844849</v>
      </c>
      <c r="U74" s="123">
        <f t="shared" si="11"/>
        <v>1.9606681711844849</v>
      </c>
      <c r="V74" s="123">
        <f t="shared" si="11"/>
        <v>1.9601414725624331</v>
      </c>
      <c r="W74" s="123">
        <f t="shared" si="11"/>
        <v>1.9599718559170629</v>
      </c>
      <c r="X74" s="123">
        <f t="shared" si="11"/>
        <v>1.9599718559170629</v>
      </c>
      <c r="Z74" s="124"/>
      <c r="AB74" s="1"/>
    </row>
    <row r="75" spans="1:28">
      <c r="A75" s="105">
        <v>5</v>
      </c>
      <c r="B75" s="196">
        <v>150</v>
      </c>
      <c r="C75" s="327">
        <v>150.57</v>
      </c>
      <c r="D75" s="327"/>
      <c r="E75" s="90">
        <v>149.71799999999999</v>
      </c>
      <c r="F75" s="37">
        <f>IF('PERHITUNGAN 12'!$E$11="Burn Engr",'PERHITUNGAN 12'!E75,E75+('regresi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149.71799999999999</v>
      </c>
      <c r="G75" s="90">
        <f>F75-C75</f>
        <v>-0.85200000000000387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150.57</v>
      </c>
      <c r="D76" s="327"/>
      <c r="E76" s="90">
        <v>149.71799999999999</v>
      </c>
      <c r="F76" s="37">
        <f>IF('PERHITUNGAN 12'!$E$11="Burn Engr",'PERHITUNGAN 12'!E76,E76+('regresi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149.71799999999999</v>
      </c>
      <c r="G76" s="90">
        <f>F76-C76</f>
        <v>-0.85200000000000387</v>
      </c>
      <c r="H76" s="63"/>
      <c r="I76" s="63"/>
      <c r="N76" s="111" t="s">
        <v>166</v>
      </c>
      <c r="O76" s="121">
        <f t="shared" ref="O76:X76" si="12">O72*O74</f>
        <v>0.25891492997709548</v>
      </c>
      <c r="P76" s="121">
        <f t="shared" si="12"/>
        <v>0.26636096596376357</v>
      </c>
      <c r="Q76" s="121">
        <f t="shared" si="12"/>
        <v>0.26581953947926268</v>
      </c>
      <c r="R76" s="121">
        <f t="shared" si="12"/>
        <v>0.26726129630537021</v>
      </c>
      <c r="S76" s="121">
        <f t="shared" si="12"/>
        <v>0.26581953947926268</v>
      </c>
      <c r="T76" s="121">
        <f t="shared" si="12"/>
        <v>0.28321827586460452</v>
      </c>
      <c r="U76" s="121">
        <f t="shared" si="12"/>
        <v>0.28321827586460452</v>
      </c>
      <c r="V76" s="121">
        <f t="shared" si="12"/>
        <v>0.26726129630537021</v>
      </c>
      <c r="W76" s="121">
        <f t="shared" si="12"/>
        <v>0.25891492997709548</v>
      </c>
      <c r="X76" s="121">
        <f t="shared" si="12"/>
        <v>0.25891492997709548</v>
      </c>
      <c r="AB76" s="1"/>
    </row>
    <row r="77" spans="1:28">
      <c r="A77" s="10"/>
      <c r="C77" s="327">
        <v>150.57</v>
      </c>
      <c r="D77" s="327"/>
      <c r="E77" s="90">
        <v>149.71799999999999</v>
      </c>
      <c r="F77" s="37">
        <f>IF('PERHITUNGAN 12'!$E$11="Burn Engr",'PERHITUNGAN 12'!E77,E77+('regresi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149.71799999999999</v>
      </c>
      <c r="G77" s="90">
        <f>F77-C77</f>
        <v>-0.85200000000000387</v>
      </c>
      <c r="H77" s="63"/>
      <c r="I77" s="63"/>
      <c r="AB77" s="1"/>
    </row>
    <row r="78" spans="1:28">
      <c r="A78" s="10"/>
      <c r="C78" s="327">
        <v>150.57</v>
      </c>
      <c r="D78" s="327"/>
      <c r="E78" s="90">
        <v>149.71799999999999</v>
      </c>
      <c r="F78" s="37">
        <f>IF('PERHITUNGAN 12'!$E$11="Burn Engr",'PERHITUNGAN 12'!E78,E78+('regresi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149.71799999999999</v>
      </c>
      <c r="G78" s="90">
        <f>F78-C78</f>
        <v>-0.85200000000000387</v>
      </c>
      <c r="H78" s="26"/>
      <c r="I78" s="26"/>
      <c r="AB78" s="1"/>
    </row>
    <row r="79" spans="1:28">
      <c r="A79" s="10"/>
      <c r="C79" s="327">
        <v>150.57</v>
      </c>
      <c r="D79" s="327"/>
      <c r="E79" s="90">
        <v>149.71799999999999</v>
      </c>
      <c r="F79" s="37">
        <f>IF('PERHITUNGAN 12'!$E$11="Burn Engr",'PERHITUNGAN 12'!E79,E79+('regresi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149.71799999999999</v>
      </c>
      <c r="G79" s="90">
        <f>F79-C79</f>
        <v>-0.85200000000000387</v>
      </c>
      <c r="AB79" s="1"/>
    </row>
    <row r="80" spans="1:28">
      <c r="A80" s="10"/>
      <c r="B80" s="8" t="s">
        <v>31</v>
      </c>
      <c r="C80" s="333">
        <f>AVERAGE(C75:D79)</f>
        <v>150.57</v>
      </c>
      <c r="D80" s="334"/>
      <c r="E80" s="95">
        <f>AVERAGE(E75:E79)</f>
        <v>149.71799999999999</v>
      </c>
      <c r="F80" s="95">
        <f>SUM(F75:F79)/5</f>
        <v>149.71799999999999</v>
      </c>
      <c r="G80" s="95">
        <f>SUM(G75:G79)/5</f>
        <v>-0.85200000000000387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200</v>
      </c>
      <c r="C83" s="327">
        <v>199.97</v>
      </c>
      <c r="D83" s="327"/>
      <c r="E83" s="90">
        <v>199.46700000000001</v>
      </c>
      <c r="F83" s="37">
        <f>IF('PERHITUNGAN 12'!$E$11="Burn Engr",'PERHITUNGAN 12'!E83,E83+('regresi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199.46700000000001</v>
      </c>
      <c r="G83" s="40">
        <f>F83-C83</f>
        <v>-0.5029999999999859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199.97</v>
      </c>
      <c r="D84" s="327"/>
      <c r="E84" s="90">
        <v>199.46700000000001</v>
      </c>
      <c r="F84" s="37">
        <f>IF('PERHITUNGAN 12'!$E$11="Burn Engr",'PERHITUNGAN 12'!E84,E84+('regresi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199.46700000000001</v>
      </c>
      <c r="G84" s="40">
        <f>F84-C84</f>
        <v>-0.5029999999999859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199.97</v>
      </c>
      <c r="D85" s="327"/>
      <c r="E85" s="90">
        <v>199.46700000000001</v>
      </c>
      <c r="F85" s="37">
        <f>IF('PERHITUNGAN 12'!$E$11="Burn Engr",'PERHITUNGAN 12'!E85,E85+('regresi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199.46700000000001</v>
      </c>
      <c r="G85" s="40">
        <f>F85-C85</f>
        <v>-0.5029999999999859</v>
      </c>
      <c r="H85" s="26"/>
      <c r="I85" s="26"/>
      <c r="N85" s="93">
        <f>O56</f>
        <v>-28.690000000000005</v>
      </c>
      <c r="O85" s="403">
        <f>G48</f>
        <v>-1.0879999999999974</v>
      </c>
      <c r="P85" s="404"/>
      <c r="Q85" s="387">
        <f t="shared" ref="Q85:Q94" si="13">N85+O85</f>
        <v>-29.778000000000002</v>
      </c>
      <c r="R85" s="405"/>
      <c r="S85" s="138" t="s">
        <v>35</v>
      </c>
      <c r="T85" s="94">
        <f>IF(N85&lt;$AA$97,MAX($O$97,O76),IF(N85&lt;$AA$98,MAX($O$98,O76),MAX($O$99,O76)))</f>
        <v>0.25891492997709548</v>
      </c>
      <c r="AB85" s="1"/>
    </row>
    <row r="86" spans="1:28">
      <c r="A86" s="10"/>
      <c r="C86" s="327">
        <v>199.97</v>
      </c>
      <c r="D86" s="327"/>
      <c r="E86" s="90">
        <v>199.46700000000001</v>
      </c>
      <c r="F86" s="37">
        <f>IF('PERHITUNGAN 12'!$E$11="Burn Engr",'PERHITUNGAN 12'!E86,E86+('regresi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199.46700000000001</v>
      </c>
      <c r="G86" s="40">
        <f>F86-C86</f>
        <v>-0.5029999999999859</v>
      </c>
      <c r="H86" s="63"/>
      <c r="I86" s="63"/>
      <c r="N86" s="93">
        <f>P56</f>
        <v>1.48</v>
      </c>
      <c r="O86" s="403">
        <f>G56</f>
        <v>-1.2809999999999999</v>
      </c>
      <c r="P86" s="404"/>
      <c r="Q86" s="406">
        <f t="shared" si="13"/>
        <v>0.19900000000000007</v>
      </c>
      <c r="R86" s="407"/>
      <c r="S86" s="138" t="s">
        <v>35</v>
      </c>
      <c r="T86" s="94">
        <f>IF(N86&lt;$AA$97,MAX($O$97,P76),IF(N86&lt;$AA$98,MAX($O$98,P76),MAX($O$99,P76)))</f>
        <v>0.26636096596376357</v>
      </c>
      <c r="AB86" s="1"/>
    </row>
    <row r="87" spans="1:28">
      <c r="A87" s="10"/>
      <c r="C87" s="327">
        <v>199.97</v>
      </c>
      <c r="D87" s="327"/>
      <c r="E87" s="90">
        <v>199.46700000000001</v>
      </c>
      <c r="F87" s="37">
        <f>IF('PERHITUNGAN 12'!$E$11="Burn Engr",'PERHITUNGAN 12'!E87,E87+('regresi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199.46700000000001</v>
      </c>
      <c r="G87" s="41">
        <f>F87-C87</f>
        <v>-0.5029999999999859</v>
      </c>
      <c r="H87" s="63"/>
      <c r="I87" s="63"/>
      <c r="N87" s="93">
        <f>Q56</f>
        <v>50.68</v>
      </c>
      <c r="O87" s="403">
        <f>G64</f>
        <v>-0.33200000000000074</v>
      </c>
      <c r="P87" s="404"/>
      <c r="Q87" s="406">
        <f t="shared" si="13"/>
        <v>50.347999999999999</v>
      </c>
      <c r="R87" s="407"/>
      <c r="S87" s="138" t="s">
        <v>35</v>
      </c>
      <c r="T87" s="94">
        <f>IF(N87&lt;$AA$97,MAX($O$97,Q76),IF(N87&lt;$AA$98,MAX($O$98,Q76),MAX($O$99,Q76)))</f>
        <v>0.26581953947926268</v>
      </c>
      <c r="AB87" s="1"/>
    </row>
    <row r="88" spans="1:28">
      <c r="A88" s="10"/>
      <c r="B88" s="8" t="s">
        <v>31</v>
      </c>
      <c r="C88" s="333">
        <f>AVERAGE(C83:D87)</f>
        <v>199.97</v>
      </c>
      <c r="D88" s="334"/>
      <c r="E88" s="95">
        <f>AVERAGE(E83:E87)</f>
        <v>199.46700000000001</v>
      </c>
      <c r="F88" s="95">
        <f>SUM(F83:F87)/5</f>
        <v>199.46700000000001</v>
      </c>
      <c r="G88" s="95">
        <f>SUM(G83:G87)/5</f>
        <v>-0.5029999999999859</v>
      </c>
      <c r="H88" s="63"/>
      <c r="I88" s="63"/>
      <c r="N88" s="93">
        <f>R56</f>
        <v>100.58</v>
      </c>
      <c r="O88" s="403">
        <f>G72</f>
        <v>-0.69299999999999784</v>
      </c>
      <c r="P88" s="404"/>
      <c r="Q88" s="406">
        <f t="shared" si="13"/>
        <v>99.887</v>
      </c>
      <c r="R88" s="407"/>
      <c r="S88" s="138" t="s">
        <v>35</v>
      </c>
      <c r="T88" s="94">
        <f>IF(N88&lt;$AA$97,MAX($O$97,R76),IF(N88&lt;$AA$98,MAX($O$98,R76),MAX($O$99,R76)))</f>
        <v>0.26726129630537021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150.57</v>
      </c>
      <c r="O89" s="403">
        <f>G80</f>
        <v>-0.85200000000000387</v>
      </c>
      <c r="P89" s="404"/>
      <c r="Q89" s="406">
        <f t="shared" si="13"/>
        <v>149.71799999999999</v>
      </c>
      <c r="R89" s="407"/>
      <c r="S89" s="138" t="s">
        <v>35</v>
      </c>
      <c r="T89" s="94">
        <f>IF(N89&lt;$AA$97,MAX($O$97,S76),IF(N89&lt;$AA$98,MAX($O$98,S76),MAX($O$99,S76)))</f>
        <v>0.26581953947926268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199.97</v>
      </c>
      <c r="O90" s="403">
        <f>G88</f>
        <v>-0.5029999999999859</v>
      </c>
      <c r="P90" s="404"/>
      <c r="Q90" s="406">
        <f t="shared" si="13"/>
        <v>199.46700000000001</v>
      </c>
      <c r="R90" s="407"/>
      <c r="S90" s="138" t="s">
        <v>35</v>
      </c>
      <c r="T90" s="94">
        <f>IF(N90&lt;$AA$97,MAX($O$97,T76),IF(N90&lt;$AA$98,MAX($O$98,T76),MAX($O$99,T76)))</f>
        <v>0.28321827586460452</v>
      </c>
      <c r="AB90" s="1"/>
    </row>
    <row r="91" spans="1:28">
      <c r="A91" s="105">
        <v>7</v>
      </c>
      <c r="B91" s="196">
        <v>250</v>
      </c>
      <c r="C91" s="327">
        <v>249.65</v>
      </c>
      <c r="D91" s="327"/>
      <c r="E91" s="90">
        <v>249.477</v>
      </c>
      <c r="F91" s="37">
        <f>IF('PERHITUNGAN 12'!$E$11="Burn Engr",'PERHITUNGAN 12'!E91,E91+('regresi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249.477</v>
      </c>
      <c r="G91" s="40">
        <f>F91-C91</f>
        <v>-0.17300000000000182</v>
      </c>
      <c r="H91" s="63"/>
      <c r="I91" s="63"/>
      <c r="N91" s="93">
        <f>U56</f>
        <v>249.65</v>
      </c>
      <c r="O91" s="403">
        <f>G96</f>
        <v>-0.17300000000000182</v>
      </c>
      <c r="P91" s="404"/>
      <c r="Q91" s="406">
        <f t="shared" si="13"/>
        <v>249.477</v>
      </c>
      <c r="R91" s="407"/>
      <c r="S91" s="138" t="s">
        <v>35</v>
      </c>
      <c r="T91" s="94">
        <f>IF(N91&lt;$AA$97,MAX($O$97,U76),IF(N91&lt;$AA$98,MAX($O$98,U76),MAX($O$99,U76)))</f>
        <v>0.28321827586460452</v>
      </c>
      <c r="AB91" s="1"/>
    </row>
    <row r="92" spans="1:28">
      <c r="A92" s="10"/>
      <c r="C92" s="327">
        <v>249.65</v>
      </c>
      <c r="D92" s="327"/>
      <c r="E92" s="90">
        <v>249.477</v>
      </c>
      <c r="F92" s="37">
        <f>IF('PERHITUNGAN 12'!$E$11="Burn Engr",'PERHITUNGAN 12'!E92,E92+('regresi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249.477</v>
      </c>
      <c r="G92" s="40">
        <f>F92-C92</f>
        <v>-0.17300000000000182</v>
      </c>
      <c r="H92" s="44"/>
      <c r="I92" s="63"/>
      <c r="N92" s="93">
        <f>V56</f>
        <v>259.7</v>
      </c>
      <c r="O92" s="403">
        <f>G104</f>
        <v>-0.14400000000000546</v>
      </c>
      <c r="P92" s="404"/>
      <c r="Q92" s="406">
        <f t="shared" si="13"/>
        <v>259.55599999999998</v>
      </c>
      <c r="R92" s="407"/>
      <c r="S92" s="138" t="s">
        <v>35</v>
      </c>
      <c r="T92" s="94">
        <f>IF(N92&lt;$AA$97,MAX($O$97,V76),IF(N92&lt;$AA$98,MAX($O$98,V76),MAX($O$99,V76)))</f>
        <v>1.8</v>
      </c>
      <c r="AB92" s="1"/>
    </row>
    <row r="93" spans="1:28">
      <c r="A93" s="10"/>
      <c r="C93" s="327">
        <v>249.65</v>
      </c>
      <c r="D93" s="327"/>
      <c r="E93" s="90">
        <v>249.477</v>
      </c>
      <c r="F93" s="37">
        <f>IF('PERHITUNGAN 12'!$E$11="Burn Engr",'PERHITUNGAN 12'!E93,E93+('regresi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249.477</v>
      </c>
      <c r="G93" s="40">
        <f>F93-C93</f>
        <v>-0.17300000000000182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3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249.65</v>
      </c>
      <c r="D94" s="327"/>
      <c r="E94" s="90">
        <v>249.477</v>
      </c>
      <c r="F94" s="37">
        <f>IF('PERHITUNGAN 12'!$E$11="Burn Engr",'PERHITUNGAN 12'!E94,E94+('regresi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249.477</v>
      </c>
      <c r="G94" s="40">
        <f>F94-C94</f>
        <v>-0.17300000000000182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3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249.65</v>
      </c>
      <c r="D95" s="327"/>
      <c r="E95" s="90">
        <v>249.477</v>
      </c>
      <c r="F95" s="37">
        <f>IF('PERHITUNGAN 12'!$E$11="Burn Engr",'PERHITUNGAN 12'!E95,E95+('regresi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249.477</v>
      </c>
      <c r="G95" s="41">
        <f>F95-C95</f>
        <v>-0.17300000000000182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249.65</v>
      </c>
      <c r="D96" s="334"/>
      <c r="E96" s="95">
        <f>AVERAGE(E91:E95)</f>
        <v>249.477</v>
      </c>
      <c r="F96" s="95">
        <f>SUM(F91:F95)/5</f>
        <v>249.477</v>
      </c>
      <c r="G96" s="95">
        <f>SUM(G91:G95)/5</f>
        <v>-0.17300000000000182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0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0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>
        <v>260</v>
      </c>
      <c r="C99" s="327">
        <v>259.7</v>
      </c>
      <c r="D99" s="327"/>
      <c r="E99" s="90">
        <v>259.55599999999998</v>
      </c>
      <c r="F99" s="37">
        <f>IF('PERHITUNGAN 12'!$E$11="Burn Engr",'PERHITUNGAN 12'!E99,E99+('regresi PRT'!$P$40+('regresi PRT'!$P$41*E99)+('regresi PRT'!$P$42*(E99^2))+('regresi PRT'!$P$43*(E99^3))+('regresi PRT'!$P$44*(E99^4))+('regresi PRT'!$P$45*(E99^5))+('regresi PRT'!$P$46*(E99^6))+('regresi PRT'!$P$47*(E99^7))+('regresi PRT'!$P$48*(E99^8))+('regresi PRT'!$P$49*(E99^9))+('regresi PRT'!$P$50*(E99^10))))</f>
        <v>259.55599999999998</v>
      </c>
      <c r="G99" s="40">
        <f>F99-C99</f>
        <v>-0.14400000000000546</v>
      </c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>
        <v>259.7</v>
      </c>
      <c r="D100" s="327"/>
      <c r="E100" s="90">
        <v>259.55599999999998</v>
      </c>
      <c r="F100" s="37">
        <f>IF('PERHITUNGAN 12'!$E$11="Burn Engr",'PERHITUNGAN 12'!E100,E100+('regresi PRT'!$P$40+('regresi PRT'!$P$41*E100)+('regresi PRT'!$P$42*(E100^2))+('regresi PRT'!$P$43*(E100^3))+('regresi PRT'!$P$44*(E100^4))+('regresi PRT'!$P$45*(E100^5))+('regresi PRT'!$P$46*(E100^6))+('regresi PRT'!$P$47*(E100^7))+('regresi PRT'!$P$48*(E100^8))+('regresi PRT'!$P$49*(E100^9))+('regresi PRT'!$P$50*(E100^10))))</f>
        <v>259.55599999999998</v>
      </c>
      <c r="G100" s="40">
        <f>F100-C100</f>
        <v>-0.14400000000000546</v>
      </c>
      <c r="H100" s="44"/>
      <c r="I100" s="44"/>
      <c r="M100" s="1"/>
    </row>
    <row r="101" spans="1:27">
      <c r="A101" s="10"/>
      <c r="C101" s="327">
        <v>259.7</v>
      </c>
      <c r="D101" s="327"/>
      <c r="E101" s="90">
        <v>259.55599999999998</v>
      </c>
      <c r="F101" s="37">
        <f>IF('PERHITUNGAN 12'!$E$11="Burn Engr",'PERHITUNGAN 12'!E101,E101+('regresi PRT'!$P$40+('regresi PRT'!$P$41*E101)+('regresi PRT'!$P$42*(E101^2))+('regresi PRT'!$P$43*(E101^3))+('regresi PRT'!$P$44*(E101^4))+('regresi PRT'!$P$45*(E101^5))+('regresi PRT'!$P$46*(E101^6))+('regresi PRT'!$P$47*(E101^7))+('regresi PRT'!$P$48*(E101^8))+('regresi PRT'!$P$49*(E101^9))+('regresi PRT'!$P$50*(E101^10))))</f>
        <v>259.55599999999998</v>
      </c>
      <c r="G101" s="40">
        <f>F101-C101</f>
        <v>-0.14400000000000546</v>
      </c>
      <c r="H101" s="44"/>
      <c r="I101" s="44"/>
    </row>
    <row r="102" spans="1:27">
      <c r="A102" s="10"/>
      <c r="C102" s="327">
        <v>259.7</v>
      </c>
      <c r="D102" s="327"/>
      <c r="E102" s="90">
        <v>259.55599999999998</v>
      </c>
      <c r="F102" s="37">
        <f>IF('PERHITUNGAN 12'!$E$11="Burn Engr",'PERHITUNGAN 12'!E102,E102+('regresi PRT'!$P$40+('regresi PRT'!$P$41*E102)+('regresi PRT'!$P$42*(E102^2))+('regresi PRT'!$P$43*(E102^3))+('regresi PRT'!$P$44*(E102^4))+('regresi PRT'!$P$45*(E102^5))+('regresi PRT'!$P$46*(E102^6))+('regresi PRT'!$P$47*(E102^7))+('regresi PRT'!$P$48*(E102^8))+('regresi PRT'!$P$49*(E102^9))+('regresi PRT'!$P$50*(E102^10))))</f>
        <v>259.55599999999998</v>
      </c>
      <c r="G102" s="40">
        <f>F102-C102</f>
        <v>-0.14400000000000546</v>
      </c>
      <c r="H102" s="63"/>
      <c r="I102" s="63"/>
    </row>
    <row r="103" spans="1:27">
      <c r="A103" s="10"/>
      <c r="C103" s="327">
        <v>259.7</v>
      </c>
      <c r="D103" s="327"/>
      <c r="E103" s="90">
        <v>259.55599999999998</v>
      </c>
      <c r="F103" s="37">
        <f>IF('PERHITUNGAN 12'!$E$11="Burn Engr",'PERHITUNGAN 12'!E103,E103+('regresi PRT'!$P$40+('regresi PRT'!$P$41*E103)+('regresi PRT'!$P$42*(E103^2))+('regresi PRT'!$P$43*(E103^3))+('regresi PRT'!$P$44*(E103^4))+('regresi PRT'!$P$45*(E103^5))+('regresi PRT'!$P$46*(E103^6))+('regresi PRT'!$P$47*(E103^7))+('regresi PRT'!$P$48*(E103^8))+('regresi PRT'!$P$49*(E103^9))+('regresi PRT'!$P$50*(E103^10))))</f>
        <v>259.55599999999998</v>
      </c>
      <c r="G103" s="41">
        <f>F103-C103</f>
        <v>-0.14400000000000546</v>
      </c>
      <c r="H103" s="63"/>
      <c r="I103" s="63"/>
      <c r="N103" s="74"/>
      <c r="O103" s="129"/>
    </row>
    <row r="104" spans="1:27">
      <c r="A104" s="10"/>
      <c r="B104" s="8" t="s">
        <v>31</v>
      </c>
      <c r="C104" s="333">
        <f>AVERAGE(C99:D103)</f>
        <v>259.7</v>
      </c>
      <c r="D104" s="334"/>
      <c r="E104" s="95">
        <f>AVERAGE(E99:E103)</f>
        <v>259.55599999999998</v>
      </c>
      <c r="F104" s="95">
        <f>SUM(F99:F103)/5</f>
        <v>259.55599999999998</v>
      </c>
      <c r="G104" s="95">
        <f>SUM(G99:G103)/5</f>
        <v>-0.14400000000000546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>
        <f>_xlfn.STDEV.S(G99:G103)</f>
        <v>0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>
        <f>G105/SQRT(5)</f>
        <v>0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>
        <f>N112</f>
        <v>0</v>
      </c>
      <c r="G107" s="40">
        <f>F107-C107</f>
        <v>0</v>
      </c>
      <c r="H107" s="63"/>
      <c r="I107" s="63"/>
      <c r="M107" s="1"/>
    </row>
    <row r="108" spans="1:27">
      <c r="A108" s="10"/>
      <c r="C108" s="327"/>
      <c r="D108" s="327"/>
      <c r="E108" s="90"/>
      <c r="F108" s="37">
        <f>IF('PERHITUNGAN 12'!$E$11="Burn Engr",'PERHITUNGAN 12'!E108,E108+('regresi PRT'!$P$40+('regresi PRT'!$P$41*E108)+('regresi PRT'!$P$42*(E108^2))+('regresi PRT'!$P$43*(E108^3))+('regresi PRT'!$P$44*(E108^4))+('regresi PRT'!$P$45*(E108^5))+('regresi PRT'!$P$46*(E108^6))+('regresi PRT'!$P$47*(E108^7))+('regresi PRT'!$P$48*(E108^8))+('regresi PRT'!$P$49*(E108^9))+('regresi PRT'!$P$50*(E108^10))))</f>
        <v>0</v>
      </c>
      <c r="G108" s="40">
        <f>F108-C108</f>
        <v>0</v>
      </c>
      <c r="H108" s="44"/>
      <c r="I108" s="44"/>
      <c r="M108" s="1"/>
    </row>
    <row r="109" spans="1:27">
      <c r="A109" s="10"/>
      <c r="C109" s="327"/>
      <c r="D109" s="327"/>
      <c r="E109" s="90"/>
      <c r="F109" s="37">
        <f>IF('PERHITUNGAN 12'!$E$11="Burn Engr",'PERHITUNGAN 12'!E109,E109+('regresi PRT'!$P$40+('regresi PRT'!$P$41*E109)+('regresi PRT'!$P$42*(E109^2))+('regresi PRT'!$P$43*(E109^3))+('regresi PRT'!$P$44*(E109^4))+('regresi PRT'!$P$45*(E109^5))+('regresi PRT'!$P$46*(E109^6))+('regresi PRT'!$P$47*(E109^7))+('regresi PRT'!$P$48*(E109^8))+('regresi PRT'!$P$49*(E109^9))+('regresi PRT'!$P$50*(E109^10))))</f>
        <v>0</v>
      </c>
      <c r="G109" s="40">
        <f>F109-C109</f>
        <v>0</v>
      </c>
      <c r="H109" s="44"/>
      <c r="I109" s="44"/>
    </row>
    <row r="110" spans="1:27">
      <c r="A110" s="10"/>
      <c r="C110" s="327"/>
      <c r="D110" s="327"/>
      <c r="E110" s="90"/>
      <c r="F110" s="37">
        <f>IF('PERHITUNGAN 12'!$E$11="Burn Engr",'PERHITUNGAN 12'!E110,E110+('regresi PRT'!$P$40+('regresi PRT'!$P$41*E110)+('regresi PRT'!$P$42*(E110^2))+('regresi PRT'!$P$43*(E110^3))+('regresi PRT'!$P$44*(E110^4))+('regresi PRT'!$P$45*(E110^5))+('regresi PRT'!$P$46*(E110^6))+('regresi PRT'!$P$47*(E110^7))+('regresi PRT'!$P$48*(E110^8))+('regresi PRT'!$P$49*(E110^9))+('regresi PRT'!$P$50*(E110^10))))</f>
        <v>0</v>
      </c>
      <c r="G110" s="40">
        <f>F110-C110</f>
        <v>0</v>
      </c>
      <c r="H110" s="63"/>
      <c r="I110" s="63"/>
    </row>
    <row r="111" spans="1:27">
      <c r="A111" s="10"/>
      <c r="C111" s="327"/>
      <c r="D111" s="327"/>
      <c r="E111" s="90"/>
      <c r="F111" s="37">
        <f>IF('PERHITUNGAN 12'!$E$11="Burn Engr",'PERHITUNGAN 12'!E111,E111+('regresi PRT'!$P$40+('regresi PRT'!$P$41*E111)+('regresi PRT'!$P$42*(E111^2))+('regresi PRT'!$P$43*(E111^3))+('regresi PRT'!$P$44*(E111^4))+('regresi PRT'!$P$45*(E111^5))+('regresi PRT'!$P$46*(E111^6))+('regresi PRT'!$P$47*(E111^7))+('regresi PRT'!$P$48*(E111^8))+('regresi PRT'!$P$49*(E111^9))+('regresi PRT'!$P$50*(E111^10))))</f>
        <v>0</v>
      </c>
      <c r="G111" s="41">
        <f>F111-C111</f>
        <v>0</v>
      </c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>
        <f>_xlfn.STDEV.S(G107:G111)</f>
        <v>0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>
        <f>G113/SQRT(5)</f>
        <v>0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>
        <f>IF('PERHITUNGAN 12'!$E$11="Burn Engr",'PERHITUNGAN 12'!E115,E115+('regresi PRT'!$P$40+('regresi PRT'!$P$41*E115)+('regresi PRT'!$P$42*(E115^2))+('regresi PRT'!$P$43*(E115^3))+('regresi PRT'!$P$44*(E115^4))+('regresi PRT'!$P$45*(E115^5))+('regresi PRT'!$P$46*(E115^6))+('regresi PRT'!$P$47*(E115^7))+('regresi PRT'!$P$48*(E115^8))+('regresi PRT'!$P$49*(E115^9))+('regresi PRT'!$P$50*(E115^10))))</f>
        <v>0</v>
      </c>
      <c r="G115" s="40">
        <f>F115-C115</f>
        <v>0</v>
      </c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>
        <f>IF('PERHITUNGAN 12'!$E$11="Burn Engr",'PERHITUNGAN 12'!E116,E116+('regresi PRT'!$P$40+('regresi PRT'!$P$41*E116)+('regresi PRT'!$P$42*(E116^2))+('regresi PRT'!$P$43*(E116^3))+('regresi PRT'!$P$44*(E116^4))+('regresi PRT'!$P$45*(E116^5))+('regresi PRT'!$P$46*(E116^6))+('regresi PRT'!$P$47*(E116^7))+('regresi PRT'!$P$48*(E116^8))+('regresi PRT'!$P$49*(E116^9))+('regresi PRT'!$P$50*(E116^10))))</f>
        <v>0</v>
      </c>
      <c r="G116" s="40">
        <f>F116-C116</f>
        <v>0</v>
      </c>
      <c r="H116" s="44"/>
      <c r="I116" s="44"/>
      <c r="U116" s="49"/>
    </row>
    <row r="117" spans="1:21">
      <c r="A117" s="10"/>
      <c r="C117" s="224"/>
      <c r="D117" s="225"/>
      <c r="E117" s="90"/>
      <c r="F117" s="37">
        <f>IF('PERHITUNGAN 12'!$E$11="Burn Engr",'PERHITUNGAN 12'!E117,E117+('regresi PRT'!$P$40+('regresi PRT'!$P$41*E117)+('regresi PRT'!$P$42*(E117^2))+('regresi PRT'!$P$43*(E117^3))+('regresi PRT'!$P$44*(E117^4))+('regresi PRT'!$P$45*(E117^5))+('regresi PRT'!$P$46*(E117^6))+('regresi PRT'!$P$47*(E117^7))+('regresi PRT'!$P$48*(E117^8))+('regresi PRT'!$P$49*(E117^9))+('regresi PRT'!$P$50*(E117^10))))</f>
        <v>0</v>
      </c>
      <c r="G117" s="40">
        <f>F117-C117</f>
        <v>0</v>
      </c>
      <c r="H117" s="44"/>
      <c r="I117" s="44"/>
      <c r="U117" s="49"/>
    </row>
    <row r="118" spans="1:21">
      <c r="A118" s="10"/>
      <c r="C118" s="224"/>
      <c r="D118" s="225"/>
      <c r="E118" s="90"/>
      <c r="F118" s="37">
        <f>IF('PERHITUNGAN 12'!$E$11="Burn Engr",'PERHITUNGAN 12'!E118,E118+('regresi PRT'!$P$40+('regresi PRT'!$P$41*E118)+('regresi PRT'!$P$42*(E118^2))+('regresi PRT'!$P$43*(E118^3))+('regresi PRT'!$P$44*(E118^4))+('regresi PRT'!$P$45*(E118^5))+('regresi PRT'!$P$46*(E118^6))+('regresi PRT'!$P$47*(E118^7))+('regresi PRT'!$P$48*(E118^8))+('regresi PRT'!$P$49*(E118^9))+('regresi PRT'!$P$50*(E118^10))))</f>
        <v>0</v>
      </c>
      <c r="G118" s="40">
        <f>F118-C118</f>
        <v>0</v>
      </c>
      <c r="H118" s="63"/>
      <c r="I118" s="63"/>
    </row>
    <row r="119" spans="1:21">
      <c r="A119" s="10"/>
      <c r="C119" s="233"/>
      <c r="D119" s="234"/>
      <c r="E119" s="90"/>
      <c r="F119" s="37">
        <f>IF('PERHITUNGAN 12'!$E$11="Burn Engr",'PERHITUNGAN 12'!E119,E119+('regresi PRT'!$P$40+('regresi PRT'!$P$41*E119)+('regresi PRT'!$P$42*(E119^2))+('regresi PRT'!$P$43*(E119^3))+('regresi PRT'!$P$44*(E119^4))+('regresi PRT'!$P$45*(E119^5))+('regresi PRT'!$P$46*(E119^6))+('regresi PRT'!$P$47*(E119^7))+('regresi PRT'!$P$48*(E119^8))+('regresi PRT'!$P$49*(E119^9))+('regresi PRT'!$P$50*(E119^10))))</f>
        <v>0</v>
      </c>
      <c r="G119" s="41">
        <f>F119-C119</f>
        <v>0</v>
      </c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>
        <f>_xlfn.STDEV.S(G115:G119)</f>
        <v>0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>
        <f>G121/SQRT(5)</f>
        <v>0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330"/>
      <c r="D125" s="330"/>
      <c r="E125" s="63"/>
      <c r="F125" s="63"/>
      <c r="G125" s="63"/>
      <c r="H125" s="63"/>
      <c r="I125" s="63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2">
    <mergeCell ref="C109:D109"/>
    <mergeCell ref="C110:D110"/>
    <mergeCell ref="C111:D111"/>
    <mergeCell ref="C112:D112"/>
    <mergeCell ref="C96:D96"/>
    <mergeCell ref="C99:D99"/>
    <mergeCell ref="C100:D100"/>
    <mergeCell ref="C101:D101"/>
    <mergeCell ref="C102:D102"/>
    <mergeCell ref="C103:D103"/>
    <mergeCell ref="C104:D104"/>
    <mergeCell ref="C107:D107"/>
    <mergeCell ref="C108:D108"/>
    <mergeCell ref="C85:D85"/>
    <mergeCell ref="C86:D86"/>
    <mergeCell ref="C87:D87"/>
    <mergeCell ref="C88:D88"/>
    <mergeCell ref="C91:D91"/>
    <mergeCell ref="C92:D92"/>
    <mergeCell ref="C93:D93"/>
    <mergeCell ref="C94:D94"/>
    <mergeCell ref="C95:D95"/>
    <mergeCell ref="J26:K26"/>
    <mergeCell ref="J31:K31"/>
    <mergeCell ref="C51:D51"/>
    <mergeCell ref="C52:D52"/>
    <mergeCell ref="C53:D53"/>
    <mergeCell ref="E16:F16"/>
    <mergeCell ref="N16:N20"/>
    <mergeCell ref="E17:F17"/>
    <mergeCell ref="E18:F18"/>
    <mergeCell ref="F21:G21"/>
    <mergeCell ref="C43:D43"/>
    <mergeCell ref="C44:D44"/>
    <mergeCell ref="C48:D48"/>
    <mergeCell ref="AB18:AC18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  <mergeCell ref="AB32:AC32"/>
    <mergeCell ref="C45:D45"/>
    <mergeCell ref="C46:D46"/>
    <mergeCell ref="C47:D47"/>
    <mergeCell ref="T28:T29"/>
    <mergeCell ref="U28:U29"/>
    <mergeCell ref="AB28:AC28"/>
    <mergeCell ref="C41:D41"/>
    <mergeCell ref="C42:D42"/>
    <mergeCell ref="AB30:AC30"/>
    <mergeCell ref="C40:D40"/>
    <mergeCell ref="N28:N29"/>
    <mergeCell ref="O28:O29"/>
    <mergeCell ref="P28:P29"/>
    <mergeCell ref="Q28:Q29"/>
    <mergeCell ref="S28:S29"/>
    <mergeCell ref="S36:S37"/>
    <mergeCell ref="T36:T37"/>
    <mergeCell ref="U36:U37"/>
    <mergeCell ref="V36:V37"/>
    <mergeCell ref="W36:W37"/>
    <mergeCell ref="X36:X37"/>
    <mergeCell ref="N36:N37"/>
    <mergeCell ref="O36:O37"/>
    <mergeCell ref="P36:P37"/>
    <mergeCell ref="Q36:Q37"/>
    <mergeCell ref="R36:R37"/>
    <mergeCell ref="C49:D49"/>
    <mergeCell ref="N45:S45"/>
    <mergeCell ref="T45:Y45"/>
    <mergeCell ref="C50:D50"/>
    <mergeCell ref="O55:X55"/>
    <mergeCell ref="C59:D59"/>
    <mergeCell ref="C56:D56"/>
    <mergeCell ref="C60:D60"/>
    <mergeCell ref="C61:D61"/>
    <mergeCell ref="C62:D62"/>
    <mergeCell ref="C63:D63"/>
    <mergeCell ref="C54:D54"/>
    <mergeCell ref="C55:D55"/>
    <mergeCell ref="N55:N56"/>
    <mergeCell ref="C70:D70"/>
    <mergeCell ref="C71:D71"/>
    <mergeCell ref="C64:D64"/>
    <mergeCell ref="C75:D75"/>
    <mergeCell ref="C67:D67"/>
    <mergeCell ref="C68:D68"/>
    <mergeCell ref="C69:D69"/>
    <mergeCell ref="N83:N84"/>
    <mergeCell ref="O83:P84"/>
    <mergeCell ref="Q83:R84"/>
    <mergeCell ref="S83:T83"/>
    <mergeCell ref="S84:T84"/>
    <mergeCell ref="C76:D76"/>
    <mergeCell ref="C77:D77"/>
    <mergeCell ref="C78:D78"/>
    <mergeCell ref="C79:D79"/>
    <mergeCell ref="C72:D72"/>
    <mergeCell ref="C80:D80"/>
    <mergeCell ref="C83:D83"/>
    <mergeCell ref="C84:D84"/>
    <mergeCell ref="O87:P87"/>
    <mergeCell ref="Q87:R87"/>
    <mergeCell ref="O88:P88"/>
    <mergeCell ref="Q88:R88"/>
    <mergeCell ref="O85:P85"/>
    <mergeCell ref="Q85:R85"/>
    <mergeCell ref="O86:P86"/>
    <mergeCell ref="Q86:R86"/>
    <mergeCell ref="O91:P91"/>
    <mergeCell ref="Q91:R91"/>
    <mergeCell ref="O92:P92"/>
    <mergeCell ref="Q92:R92"/>
    <mergeCell ref="O89:P89"/>
    <mergeCell ref="Q89:R89"/>
    <mergeCell ref="O90:P90"/>
    <mergeCell ref="Q90:R90"/>
    <mergeCell ref="N96:O96"/>
    <mergeCell ref="Z96:AA96"/>
    <mergeCell ref="O93:P93"/>
    <mergeCell ref="Q93:R93"/>
    <mergeCell ref="O94:P94"/>
    <mergeCell ref="Q94:R94"/>
    <mergeCell ref="C125:D125"/>
    <mergeCell ref="C126:D126"/>
    <mergeCell ref="C143:D143"/>
    <mergeCell ref="C146:D146"/>
    <mergeCell ref="C147:D147"/>
    <mergeCell ref="C148:D148"/>
    <mergeCell ref="C149:D149"/>
    <mergeCell ref="C150:D150"/>
    <mergeCell ref="C127:D127"/>
    <mergeCell ref="C138:D138"/>
    <mergeCell ref="C139:D139"/>
    <mergeCell ref="C140:D140"/>
    <mergeCell ref="C141:D141"/>
    <mergeCell ref="C142:D142"/>
    <mergeCell ref="C161:D161"/>
    <mergeCell ref="C164:D164"/>
    <mergeCell ref="C165:D165"/>
    <mergeCell ref="C166:D166"/>
    <mergeCell ref="C167:D167"/>
    <mergeCell ref="C168:D168"/>
    <mergeCell ref="C151:D151"/>
    <mergeCell ref="C156:D156"/>
    <mergeCell ref="C157:D157"/>
    <mergeCell ref="C158:D158"/>
    <mergeCell ref="C159:D159"/>
    <mergeCell ref="C160:D160"/>
    <mergeCell ref="C185:D185"/>
    <mergeCell ref="C177:D177"/>
    <mergeCell ref="C180:D180"/>
    <mergeCell ref="C181:D181"/>
    <mergeCell ref="C182:D182"/>
    <mergeCell ref="C183:D183"/>
    <mergeCell ref="C184:D184"/>
    <mergeCell ref="C169:D169"/>
    <mergeCell ref="C172:D172"/>
    <mergeCell ref="C173:D173"/>
    <mergeCell ref="C174:D174"/>
    <mergeCell ref="C175:D175"/>
    <mergeCell ref="C176:D176"/>
  </mergeCells>
  <conditionalFormatting sqref="C56">
    <cfRule type="expression" dxfId="261" priority="18" stopIfTrue="1">
      <formula>COUNT(C51:C55)&lt;&gt;5</formula>
    </cfRule>
  </conditionalFormatting>
  <conditionalFormatting sqref="C64">
    <cfRule type="expression" dxfId="260" priority="2" stopIfTrue="1">
      <formula>COUNT(C59:C63)&lt;&gt;5</formula>
    </cfRule>
  </conditionalFormatting>
  <conditionalFormatting sqref="C72">
    <cfRule type="expression" dxfId="259" priority="8" stopIfTrue="1">
      <formula>COUNT(C67:C71)&lt;&gt;5</formula>
    </cfRule>
  </conditionalFormatting>
  <conditionalFormatting sqref="C80">
    <cfRule type="expression" dxfId="258" priority="7" stopIfTrue="1">
      <formula>COUNT(C75:C79)&lt;&gt;5</formula>
    </cfRule>
  </conditionalFormatting>
  <conditionalFormatting sqref="C88">
    <cfRule type="expression" dxfId="257" priority="6" stopIfTrue="1">
      <formula>COUNT(C83:C87)&lt;&gt;5</formula>
    </cfRule>
  </conditionalFormatting>
  <conditionalFormatting sqref="C96">
    <cfRule type="expression" dxfId="256" priority="5" stopIfTrue="1">
      <formula>COUNT(C91:C95)&lt;&gt;5</formula>
    </cfRule>
  </conditionalFormatting>
  <conditionalFormatting sqref="C104">
    <cfRule type="expression" dxfId="255" priority="4" stopIfTrue="1">
      <formula>COUNT(C99:C103)&lt;&gt;5</formula>
    </cfRule>
  </conditionalFormatting>
  <conditionalFormatting sqref="C112">
    <cfRule type="expression" dxfId="254" priority="3" stopIfTrue="1">
      <formula>COUNT(C107:C111)&lt;&gt;5</formula>
    </cfRule>
  </conditionalFormatting>
  <conditionalFormatting sqref="C48:E48">
    <cfRule type="expression" dxfId="253" priority="19" stopIfTrue="1">
      <formula>COUNT(C43:C47)&lt;&gt;5</formula>
    </cfRule>
  </conditionalFormatting>
  <conditionalFormatting sqref="C120:E120">
    <cfRule type="expression" dxfId="252" priority="9" stopIfTrue="1">
      <formula>COUNT(C115:C119)&lt;&gt;5</formula>
    </cfRule>
  </conditionalFormatting>
  <conditionalFormatting sqref="E56">
    <cfRule type="expression" dxfId="251" priority="17" stopIfTrue="1">
      <formula>COUNT(E51:E55)&lt;&gt;5</formula>
    </cfRule>
  </conditionalFormatting>
  <conditionalFormatting sqref="E64">
    <cfRule type="expression" dxfId="250" priority="1" stopIfTrue="1">
      <formula>COUNT(E59:E63)&lt;&gt;5</formula>
    </cfRule>
  </conditionalFormatting>
  <conditionalFormatting sqref="E72">
    <cfRule type="expression" dxfId="249" priority="16" stopIfTrue="1">
      <formula>COUNT(E67:E71)&lt;&gt;5</formula>
    </cfRule>
  </conditionalFormatting>
  <conditionalFormatting sqref="E80">
    <cfRule type="expression" dxfId="248" priority="15" stopIfTrue="1">
      <formula>COUNT(E75:E79)&lt;&gt;5</formula>
    </cfRule>
  </conditionalFormatting>
  <conditionalFormatting sqref="E88">
    <cfRule type="expression" dxfId="247" priority="14" stopIfTrue="1">
      <formula>COUNT(E83:E87)&lt;&gt;5</formula>
    </cfRule>
  </conditionalFormatting>
  <conditionalFormatting sqref="E96">
    <cfRule type="expression" dxfId="246" priority="13" stopIfTrue="1">
      <formula>COUNT(E91:E95)&lt;&gt;5</formula>
    </cfRule>
  </conditionalFormatting>
  <conditionalFormatting sqref="E104">
    <cfRule type="expression" dxfId="245" priority="12" stopIfTrue="1">
      <formula>COUNT(E99:E103)&lt;&gt;5</formula>
    </cfRule>
  </conditionalFormatting>
  <conditionalFormatting sqref="E112">
    <cfRule type="expression" dxfId="244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62465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62465" r:id="rId4"/>
      </mc:Fallback>
    </mc:AlternateContent>
    <mc:AlternateContent xmlns:mc="http://schemas.openxmlformats.org/markup-compatibility/2006">
      <mc:Choice Requires="x14">
        <oleObject progId="Equation.3" shapeId="62466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62466" r:id="rId6"/>
      </mc:Fallback>
    </mc:AlternateContent>
    <mc:AlternateContent xmlns:mc="http://schemas.openxmlformats.org/markup-compatibility/2006">
      <mc:Choice Requires="x14">
        <oleObject progId="Equation.3" shapeId="62467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62467" r:id="rId8"/>
      </mc:Fallback>
    </mc:AlternateContent>
    <mc:AlternateContent xmlns:mc="http://schemas.openxmlformats.org/markup-compatibility/2006">
      <mc:Choice Requires="x14">
        <oleObject progId="Equation.3" shapeId="62468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62468" r:id="rId10"/>
      </mc:Fallback>
    </mc:AlternateContent>
  </oleObjec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12'!O85</f>
        <v>-1.0879999999999974</v>
      </c>
      <c r="C2" s="37">
        <f>'PERHITUNGAN 12'!N85</f>
        <v>-28.690000000000005</v>
      </c>
      <c r="D2" s="75">
        <f>C2^2</f>
        <v>823.1161000000003</v>
      </c>
      <c r="E2" s="37">
        <f>C2^3</f>
        <v>-23615.200909000014</v>
      </c>
      <c r="F2" s="91">
        <f>C2^4</f>
        <v>677520.11407921044</v>
      </c>
      <c r="G2" s="91">
        <f>C2^5</f>
        <v>-19438052.072932553</v>
      </c>
      <c r="H2" s="91">
        <f>C2^6</f>
        <v>557677713.972435</v>
      </c>
      <c r="I2" s="91">
        <f>C2^7</f>
        <v>-15999773613.869164</v>
      </c>
      <c r="J2" s="91">
        <f>C2^8</f>
        <v>459033504981.90631</v>
      </c>
      <c r="K2" s="91">
        <f>C2^9</f>
        <v>-13169671257930.895</v>
      </c>
      <c r="L2" s="91">
        <f>C2^10</f>
        <v>377837868390037.44</v>
      </c>
      <c r="Q2" s="12"/>
    </row>
    <row r="3" spans="1:24">
      <c r="A3" s="25">
        <v>2</v>
      </c>
      <c r="B3" s="37">
        <f>'PERHITUNGAN 12'!O86</f>
        <v>-1.2809999999999999</v>
      </c>
      <c r="C3" s="37">
        <f>'PERHITUNGAN 12'!N86</f>
        <v>1.48</v>
      </c>
      <c r="D3" s="75">
        <f t="shared" ref="D3:D9" si="0">C3^2</f>
        <v>2.1903999999999999</v>
      </c>
      <c r="E3" s="37">
        <f t="shared" ref="E3:E9" si="1">C3^3</f>
        <v>3.2417919999999998</v>
      </c>
      <c r="F3" s="91">
        <f t="shared" ref="F3:F9" si="2">C3^4</f>
        <v>4.7978521599999997</v>
      </c>
      <c r="G3" s="91">
        <f t="shared" ref="G3:G9" si="3">C3^5</f>
        <v>7.1008211967999992</v>
      </c>
      <c r="H3" s="91">
        <f t="shared" ref="H3:H9" si="4">C3^6</f>
        <v>10.509215371263998</v>
      </c>
      <c r="I3" s="91">
        <f t="shared" ref="I3:I9" si="5">C3^7</f>
        <v>15.553638749470718</v>
      </c>
      <c r="J3" s="91">
        <f t="shared" ref="J3:J9" si="6">C3^8</f>
        <v>23.019385349216662</v>
      </c>
      <c r="K3" s="91">
        <f t="shared" ref="K3:K9" si="7">C3^9</f>
        <v>34.068690316840659</v>
      </c>
      <c r="L3" s="91">
        <f t="shared" ref="L3:L9" si="8">C3^10</f>
        <v>50.421661668924173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12'!O87</f>
        <v>-0.33200000000000074</v>
      </c>
      <c r="C4" s="37">
        <f>'PERHITUNGAN 12'!N87</f>
        <v>50.68</v>
      </c>
      <c r="D4" s="75">
        <f t="shared" si="0"/>
        <v>2568.4623999999999</v>
      </c>
      <c r="E4" s="37">
        <f t="shared" si="1"/>
        <v>130169.674432</v>
      </c>
      <c r="F4" s="91">
        <f t="shared" si="2"/>
        <v>6596999.1002137596</v>
      </c>
      <c r="G4" s="91">
        <f t="shared" si="3"/>
        <v>334335914.39883333</v>
      </c>
      <c r="H4" s="91">
        <f t="shared" si="4"/>
        <v>16944144141.732872</v>
      </c>
      <c r="I4" s="91">
        <f t="shared" si="5"/>
        <v>858729225103.02197</v>
      </c>
      <c r="J4" s="91">
        <f t="shared" si="6"/>
        <v>43520397128221.156</v>
      </c>
      <c r="K4" s="91">
        <f t="shared" si="7"/>
        <v>2205613726458248.3</v>
      </c>
      <c r="L4" s="91">
        <f t="shared" si="8"/>
        <v>1.1178050365690402E+17</v>
      </c>
      <c r="R4" s="414" t="str">
        <f>IF('PERHITUNGAN 1'!$C$2="Celcius","(°C)","(°F)")</f>
        <v>(°C)</v>
      </c>
      <c r="S4" s="415"/>
      <c r="T4" s="5" t="str">
        <f>IF('PERHITUNGAN 1'!$C$2="Celcius","(°C)","(°F)")</f>
        <v>(°C)</v>
      </c>
      <c r="U4" s="14"/>
      <c r="V4" s="1"/>
    </row>
    <row r="5" spans="1:24">
      <c r="A5" s="25">
        <v>4</v>
      </c>
      <c r="B5" s="37">
        <f>'PERHITUNGAN 12'!O88</f>
        <v>-0.69299999999999784</v>
      </c>
      <c r="C5" s="37">
        <f>'PERHITUNGAN 12'!N88</f>
        <v>100.58</v>
      </c>
      <c r="D5" s="75">
        <f t="shared" si="0"/>
        <v>10116.3364</v>
      </c>
      <c r="E5" s="37">
        <f t="shared" si="1"/>
        <v>1017501.115112</v>
      </c>
      <c r="F5" s="91">
        <f t="shared" si="2"/>
        <v>102340262.15796496</v>
      </c>
      <c r="G5" s="91">
        <f t="shared" si="3"/>
        <v>10293383567.848116</v>
      </c>
      <c r="H5" s="91">
        <f t="shared" si="4"/>
        <v>1035308519254.1635</v>
      </c>
      <c r="I5" s="91">
        <f t="shared" si="5"/>
        <v>104131330866583.77</v>
      </c>
      <c r="J5" s="91">
        <f t="shared" si="6"/>
        <v>1.0473529258560994E+16</v>
      </c>
      <c r="K5" s="91">
        <f t="shared" si="7"/>
        <v>1.0534275728260648E+18</v>
      </c>
      <c r="L5" s="91">
        <f t="shared" si="8"/>
        <v>1.0595374527484559E+20</v>
      </c>
      <c r="R5" s="412"/>
      <c r="S5" s="413"/>
      <c r="T5" s="21"/>
      <c r="U5" s="32"/>
    </row>
    <row r="6" spans="1:24">
      <c r="A6" s="25">
        <v>5</v>
      </c>
      <c r="B6" s="37">
        <f>'PERHITUNGAN 12'!O89</f>
        <v>-0.85200000000000387</v>
      </c>
      <c r="C6" s="37">
        <f>'PERHITUNGAN 12'!N89</f>
        <v>150.57</v>
      </c>
      <c r="D6" s="75">
        <f t="shared" si="0"/>
        <v>22671.3249</v>
      </c>
      <c r="E6" s="37">
        <f t="shared" si="1"/>
        <v>3413621.390193</v>
      </c>
      <c r="F6" s="91">
        <f t="shared" si="2"/>
        <v>513988972.72135997</v>
      </c>
      <c r="G6" s="91">
        <f t="shared" si="3"/>
        <v>77391319622.655167</v>
      </c>
      <c r="H6" s="91">
        <f t="shared" si="4"/>
        <v>11652810995583.189</v>
      </c>
      <c r="I6" s="91">
        <f t="shared" si="5"/>
        <v>1754563751604960.8</v>
      </c>
      <c r="J6" s="91">
        <f t="shared" si="6"/>
        <v>2.6418466407915891E+17</v>
      </c>
      <c r="K6" s="91">
        <f t="shared" si="7"/>
        <v>3.977828487039896E+19</v>
      </c>
      <c r="L6" s="91">
        <f t="shared" si="8"/>
        <v>5.9894163529359709E+21</v>
      </c>
      <c r="Q6" t="s">
        <v>150</v>
      </c>
      <c r="R6" s="408">
        <f>'REGRESI 1'!R6</f>
        <v>0</v>
      </c>
      <c r="S6" s="409"/>
      <c r="T6" s="23">
        <f>$V$38+($V$39*R6)+($V$40*(R6^2))+($V$41*(R6^3))</f>
        <v>0</v>
      </c>
      <c r="U6" s="27"/>
      <c r="V6" s="88"/>
    </row>
    <row r="7" spans="1:24">
      <c r="A7" s="25">
        <v>6</v>
      </c>
      <c r="B7" s="37">
        <f>'PERHITUNGAN 12'!O90</f>
        <v>-0.5029999999999859</v>
      </c>
      <c r="C7" s="37">
        <f>'PERHITUNGAN 12'!N90</f>
        <v>199.97</v>
      </c>
      <c r="D7" s="75">
        <f t="shared" si="0"/>
        <v>39988.000899999999</v>
      </c>
      <c r="E7" s="37">
        <f t="shared" si="1"/>
        <v>7996400.5399730001</v>
      </c>
      <c r="F7" s="91">
        <f t="shared" si="2"/>
        <v>1599040215.9784007</v>
      </c>
      <c r="G7" s="91">
        <f t="shared" si="3"/>
        <v>319760071989.20081</v>
      </c>
      <c r="H7" s="91">
        <f t="shared" si="4"/>
        <v>63942421595680.477</v>
      </c>
      <c r="I7" s="91">
        <f t="shared" si="5"/>
        <v>1.2786566046488226E+16</v>
      </c>
      <c r="J7" s="91">
        <f t="shared" si="6"/>
        <v>2.5569296123162506E+18</v>
      </c>
      <c r="K7" s="91">
        <f t="shared" si="7"/>
        <v>5.1130921457488062E+20</v>
      </c>
      <c r="L7" s="91">
        <f t="shared" si="8"/>
        <v>1.0224650363853888E+23</v>
      </c>
      <c r="R7" s="408">
        <f>'REGRESI 1'!R7</f>
        <v>0</v>
      </c>
      <c r="S7" s="409"/>
      <c r="T7" s="23">
        <f t="shared" ref="T7:T15" si="9">$V$38+($V$39*R7)+($V$40*(R7^2))+($V$41*(R7^3))</f>
        <v>0</v>
      </c>
      <c r="U7" s="27"/>
      <c r="V7" s="88"/>
    </row>
    <row r="8" spans="1:24">
      <c r="A8" s="25">
        <v>7</v>
      </c>
      <c r="B8" s="37">
        <f>'PERHITUNGAN 12'!O91</f>
        <v>-0.17300000000000182</v>
      </c>
      <c r="C8" s="37">
        <f>'PERHITUNGAN 12'!N91</f>
        <v>249.65</v>
      </c>
      <c r="D8" s="75">
        <f t="shared" si="0"/>
        <v>62325.122500000005</v>
      </c>
      <c r="E8" s="37">
        <f t="shared" si="1"/>
        <v>15559466.832125003</v>
      </c>
      <c r="F8" s="91">
        <f t="shared" si="2"/>
        <v>3884420894.640007</v>
      </c>
      <c r="G8" s="91">
        <f t="shared" si="3"/>
        <v>969745676346.87781</v>
      </c>
      <c r="H8" s="91">
        <f t="shared" si="4"/>
        <v>242097008099998.06</v>
      </c>
      <c r="I8" s="91">
        <f t="shared" si="5"/>
        <v>6.043951807216452E+16</v>
      </c>
      <c r="J8" s="91">
        <f t="shared" si="6"/>
        <v>1.5088725686715873E+19</v>
      </c>
      <c r="K8" s="91">
        <f t="shared" si="7"/>
        <v>3.766900367688618E+21</v>
      </c>
      <c r="L8" s="91">
        <f t="shared" si="8"/>
        <v>9.4040667679346353E+23</v>
      </c>
      <c r="R8" s="408">
        <f>'REGRESI 1'!R8</f>
        <v>0</v>
      </c>
      <c r="S8" s="409"/>
      <c r="T8" s="23">
        <f t="shared" si="9"/>
        <v>0</v>
      </c>
      <c r="U8" s="27"/>
      <c r="V8" s="88"/>
    </row>
    <row r="9" spans="1:24">
      <c r="A9" s="25">
        <v>8</v>
      </c>
      <c r="B9" s="37">
        <f>'PERHITUNGAN 12'!O92</f>
        <v>-0.14400000000000546</v>
      </c>
      <c r="C9" s="37">
        <f>'PERHITUNGAN 12'!N92</f>
        <v>259.7</v>
      </c>
      <c r="D9" s="75">
        <f t="shared" si="0"/>
        <v>67444.09</v>
      </c>
      <c r="E9" s="37">
        <f t="shared" si="1"/>
        <v>17515230.172999997</v>
      </c>
      <c r="F9" s="91">
        <f t="shared" si="2"/>
        <v>4548705275.9280996</v>
      </c>
      <c r="G9" s="91">
        <f t="shared" si="3"/>
        <v>1181298760158.5273</v>
      </c>
      <c r="H9" s="91">
        <f t="shared" si="4"/>
        <v>306783288013169.56</v>
      </c>
      <c r="I9" s="91">
        <f t="shared" si="5"/>
        <v>7.9671619897020128E+16</v>
      </c>
      <c r="J9" s="91">
        <f t="shared" si="6"/>
        <v>2.069071968725613E+19</v>
      </c>
      <c r="K9" s="91">
        <f t="shared" si="7"/>
        <v>5.3733799027804167E+21</v>
      </c>
      <c r="L9" s="91">
        <f t="shared" si="8"/>
        <v>1.3954667607520742E+24</v>
      </c>
      <c r="R9" s="408">
        <f>'REGRESI 1'!R9</f>
        <v>0</v>
      </c>
      <c r="S9" s="409"/>
      <c r="T9" s="23">
        <f t="shared" si="9"/>
        <v>0</v>
      </c>
      <c r="U9" s="27"/>
      <c r="V9" s="88"/>
    </row>
    <row r="10" spans="1:24">
      <c r="A10" s="25">
        <v>9</v>
      </c>
      <c r="B10" s="37">
        <f>'PERHITUNGAN 12'!O93</f>
        <v>0</v>
      </c>
      <c r="C10" s="37" t="e">
        <f>'PERHITUNGAN 12'!N93</f>
        <v>#DIV/0!</v>
      </c>
      <c r="D10" s="75" t="e">
        <f>C10^2</f>
        <v>#DIV/0!</v>
      </c>
      <c r="E10" s="37" t="e">
        <f>C10^3</f>
        <v>#DIV/0!</v>
      </c>
      <c r="F10" s="91" t="e">
        <f>C10^4</f>
        <v>#DIV/0!</v>
      </c>
      <c r="G10" s="91" t="e">
        <f>C10^5</f>
        <v>#DIV/0!</v>
      </c>
      <c r="H10" s="91" t="e">
        <f>C10^6</f>
        <v>#DIV/0!</v>
      </c>
      <c r="I10" s="91" t="e">
        <f>C10^7</f>
        <v>#DIV/0!</v>
      </c>
      <c r="J10" s="91" t="e">
        <f>C10^8</f>
        <v>#DIV/0!</v>
      </c>
      <c r="K10" s="91" t="e">
        <f>C10^9</f>
        <v>#DIV/0!</v>
      </c>
      <c r="L10" s="91" t="e">
        <f>C10^10</f>
        <v>#DIV/0!</v>
      </c>
      <c r="R10" s="408">
        <f>'REGRESI 1'!R10</f>
        <v>0</v>
      </c>
      <c r="S10" s="409"/>
      <c r="T10" s="23">
        <f t="shared" si="9"/>
        <v>0</v>
      </c>
      <c r="U10" s="27"/>
      <c r="V10" s="88"/>
    </row>
    <row r="11" spans="1:24">
      <c r="A11" s="25">
        <v>10</v>
      </c>
      <c r="B11" s="37">
        <f>'PERHITUNGAN 12'!O94</f>
        <v>0</v>
      </c>
      <c r="C11" s="37" t="e">
        <f>'PERHITUNGAN 12'!N94</f>
        <v>#DIV/0!</v>
      </c>
      <c r="D11" s="75" t="e">
        <f>C11^2</f>
        <v>#DIV/0!</v>
      </c>
      <c r="E11" s="37" t="e">
        <f>C11^3</f>
        <v>#DIV/0!</v>
      </c>
      <c r="F11" s="91" t="e">
        <f>C11^4</f>
        <v>#DIV/0!</v>
      </c>
      <c r="G11" s="91" t="e">
        <f>C11^5</f>
        <v>#DIV/0!</v>
      </c>
      <c r="H11" s="91" t="e">
        <f>C11^6</f>
        <v>#DIV/0!</v>
      </c>
      <c r="I11" s="91" t="e">
        <f>C11^7</f>
        <v>#DIV/0!</v>
      </c>
      <c r="J11" s="91" t="e">
        <f>C11^8</f>
        <v>#DIV/0!</v>
      </c>
      <c r="K11" s="91" t="e">
        <f>C11^9</f>
        <v>#DIV/0!</v>
      </c>
      <c r="L11" s="91" t="e">
        <f>C11^10</f>
        <v>#DIV/0!</v>
      </c>
      <c r="R11" s="408">
        <f>'REGRESI 1'!R11</f>
        <v>0</v>
      </c>
      <c r="S11" s="409"/>
      <c r="T11" s="23">
        <f t="shared" si="9"/>
        <v>0</v>
      </c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>
        <f>'REGRESI 1'!R12</f>
        <v>0</v>
      </c>
      <c r="S12" s="409"/>
      <c r="T12" s="23">
        <f t="shared" si="9"/>
        <v>0</v>
      </c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>
        <f>'REGRESI 1'!R13</f>
        <v>0</v>
      </c>
      <c r="S13" s="409"/>
      <c r="T13" s="23">
        <f t="shared" si="9"/>
        <v>0</v>
      </c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>
        <f>'REGRESI 1'!R14</f>
        <v>0</v>
      </c>
      <c r="S14" s="409"/>
      <c r="T14" s="23">
        <f t="shared" si="9"/>
        <v>0</v>
      </c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>
        <f>'REGRESI 1'!R15</f>
        <v>0</v>
      </c>
      <c r="S15" s="409"/>
      <c r="T15" s="23">
        <f t="shared" si="9"/>
        <v>0</v>
      </c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151</v>
      </c>
      <c r="R19" s="408">
        <f>'REGRESI 1'!R19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-0.92652017541131193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1'!R20</f>
        <v>0</v>
      </c>
      <c r="S20" s="409"/>
      <c r="T20" s="23">
        <f t="shared" ref="T20:T29" si="10">$S$38+($S$39*R20)+($S$40*(R20^2))+($S$41*(R20^3))+($S$42*(R20^4))+($S$43*(R20^5))+($S$44*(R20^6))+($S$45*(R20^7))+($S$46*(R20^8))+($S$47*(R20^9))+($S$48*(R20^10))</f>
        <v>-0.49174205409443039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1'!R21</f>
        <v>25</v>
      </c>
      <c r="S21" s="409"/>
      <c r="T21" s="23">
        <f t="shared" si="10"/>
        <v>0.36288933327473932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1'!R22</f>
        <v>50</v>
      </c>
      <c r="S22" s="409"/>
      <c r="T22" s="23">
        <f t="shared" si="10"/>
        <v>0.89940900239229371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1'!R23</f>
        <v>100</v>
      </c>
      <c r="S23" s="409"/>
      <c r="T23" s="23">
        <f>$S$38+($S$39*R23)+($S$40*(R23^2))+($S$41*(R23^3))+($S$42*(R23^4))+($S$43*(R23^5))+($S$44*(R23^6))+($S$45*(R23^7))+($S$46*(R23^8))+($S$47*(R23^9))+($S$48*(R23^10))</f>
        <v>1.0869397083504355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1'!R24</f>
        <v>125</v>
      </c>
      <c r="S24" s="409"/>
      <c r="T24" s="23">
        <f t="shared" si="10"/>
        <v>0.77236400642996306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1'!R25</f>
        <v>150</v>
      </c>
      <c r="S25" s="409"/>
      <c r="T25" s="23">
        <f t="shared" si="10"/>
        <v>0.20850310873575473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1'!R26</f>
        <v>200</v>
      </c>
      <c r="S26" s="409"/>
      <c r="T26" s="23">
        <f t="shared" si="10"/>
        <v>-1.5982477514959894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1'!R27</f>
        <v>0</v>
      </c>
      <c r="S27" s="409"/>
      <c r="T27" s="23">
        <f t="shared" si="10"/>
        <v>-0.49174205409443039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1'!R28</f>
        <v>0</v>
      </c>
      <c r="S28" s="409"/>
      <c r="T28" s="23">
        <f t="shared" si="10"/>
        <v>-0.49174205409443039</v>
      </c>
      <c r="U28" s="27"/>
      <c r="V28" s="88"/>
      <c r="W28" s="26"/>
      <c r="X28" s="46"/>
    </row>
    <row r="29" spans="1:24">
      <c r="R29" s="408"/>
      <c r="S29" s="409"/>
      <c r="T29" s="23">
        <f t="shared" si="10"/>
        <v>-0.49174205409443039</v>
      </c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0.99473474828001451</v>
      </c>
      <c r="Q33" s="31" t="s">
        <v>100</v>
      </c>
      <c r="U33" s="70"/>
    </row>
    <row r="34" spans="2:24">
      <c r="B34" t="s">
        <v>76</v>
      </c>
      <c r="C34">
        <v>0.98949721943570379</v>
      </c>
      <c r="X34" s="46"/>
    </row>
    <row r="35" spans="2:24">
      <c r="B35" t="s">
        <v>77</v>
      </c>
      <c r="C35">
        <v>0.98162013401248172</v>
      </c>
      <c r="Q35" t="s">
        <v>99</v>
      </c>
    </row>
    <row r="36" spans="2:24">
      <c r="B36" t="s">
        <v>78</v>
      </c>
      <c r="C36">
        <v>0.13082819620017544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1">C46</f>
        <v>-0.49174205409443039</v>
      </c>
      <c r="U38" s="26" t="s">
        <v>97</v>
      </c>
      <c r="V38">
        <f>C78</f>
        <v>0</v>
      </c>
    </row>
    <row r="39" spans="2:24" ht="13.5" thickBot="1">
      <c r="B39" t="s">
        <v>80</v>
      </c>
      <c r="R39" s="26" t="s">
        <v>98</v>
      </c>
      <c r="S39">
        <f t="shared" si="11"/>
        <v>4.0776911601392032E-2</v>
      </c>
      <c r="U39" s="26" t="s">
        <v>98</v>
      </c>
      <c r="V39">
        <f>C79</f>
        <v>0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1"/>
        <v>-2.6825467909686825E-4</v>
      </c>
      <c r="U40" s="26" t="s">
        <v>111</v>
      </c>
      <c r="V40">
        <f>C80</f>
        <v>0</v>
      </c>
    </row>
    <row r="41" spans="2:24">
      <c r="B41" t="s">
        <v>81</v>
      </c>
      <c r="C41">
        <v>3</v>
      </c>
      <c r="D41">
        <v>6.4501970873160479</v>
      </c>
      <c r="E41">
        <v>2.1500656957720161</v>
      </c>
      <c r="F41">
        <v>125.61717516971548</v>
      </c>
      <c r="G41">
        <v>2.0610272668949528E-4</v>
      </c>
      <c r="R41" s="26" t="s">
        <v>112</v>
      </c>
      <c r="S41">
        <f t="shared" si="11"/>
        <v>1.8353739327434561E-7</v>
      </c>
      <c r="U41" s="26" t="s">
        <v>112</v>
      </c>
      <c r="V41">
        <f>C81</f>
        <v>0</v>
      </c>
    </row>
    <row r="42" spans="2:24">
      <c r="B42" t="s">
        <v>82</v>
      </c>
      <c r="C42">
        <v>4</v>
      </c>
      <c r="D42">
        <v>6.8464067683966401E-2</v>
      </c>
      <c r="E42">
        <v>1.71160169209916E-2</v>
      </c>
      <c r="R42" s="26" t="s">
        <v>137</v>
      </c>
      <c r="S42">
        <f t="shared" si="11"/>
        <v>0</v>
      </c>
      <c r="U42" s="26"/>
    </row>
    <row r="43" spans="2:24" ht="13.5" thickBot="1">
      <c r="B43" s="67" t="s">
        <v>83</v>
      </c>
      <c r="C43" s="67">
        <v>7</v>
      </c>
      <c r="D43" s="67">
        <v>6.5186611550000144</v>
      </c>
      <c r="E43" s="67"/>
      <c r="F43" s="67"/>
      <c r="G43" s="67"/>
      <c r="R43" s="26" t="s">
        <v>88</v>
      </c>
      <c r="S43">
        <f t="shared" si="11"/>
        <v>0</v>
      </c>
      <c r="U43" s="26"/>
    </row>
    <row r="44" spans="2:24" ht="13.5" thickBot="1">
      <c r="R44" s="26" t="s">
        <v>138</v>
      </c>
      <c r="S44">
        <f t="shared" si="11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1"/>
        <v>0</v>
      </c>
      <c r="U45" s="26"/>
    </row>
    <row r="46" spans="2:24">
      <c r="B46" t="s">
        <v>84</v>
      </c>
      <c r="C46">
        <v>-0.49174205409443039</v>
      </c>
      <c r="D46">
        <v>7.8575496728912106E-2</v>
      </c>
      <c r="E46">
        <v>-6.2582112053450416</v>
      </c>
      <c r="F46">
        <v>3.3252031361131365E-3</v>
      </c>
      <c r="G46">
        <v>-0.7099026073759036</v>
      </c>
      <c r="H46">
        <v>-0.27358150081295718</v>
      </c>
      <c r="I46">
        <v>-0.7099026073759036</v>
      </c>
      <c r="J46">
        <v>-0.27358150081295718</v>
      </c>
      <c r="R46" s="26" t="s">
        <v>140</v>
      </c>
      <c r="S46">
        <f t="shared" si="11"/>
        <v>0</v>
      </c>
      <c r="U46" s="26"/>
    </row>
    <row r="47" spans="2:24">
      <c r="B47" t="s">
        <v>95</v>
      </c>
      <c r="C47">
        <v>4.0776911601392032E-2</v>
      </c>
      <c r="D47">
        <v>4.5046657628867986E-3</v>
      </c>
      <c r="E47">
        <v>9.0521503143132858</v>
      </c>
      <c r="F47">
        <v>8.2529934258031713E-4</v>
      </c>
      <c r="G47">
        <v>2.8269954393472897E-2</v>
      </c>
      <c r="H47">
        <v>5.3283868809311172E-2</v>
      </c>
      <c r="I47">
        <v>2.8269954393472897E-2</v>
      </c>
      <c r="J47">
        <v>5.3283868809311172E-2</v>
      </c>
      <c r="R47" s="26" t="s">
        <v>141</v>
      </c>
      <c r="S47">
        <f t="shared" si="11"/>
        <v>0</v>
      </c>
      <c r="U47" s="26"/>
    </row>
    <row r="48" spans="2:24">
      <c r="B48" t="s">
        <v>108</v>
      </c>
      <c r="C48">
        <v>-2.6825467909686825E-4</v>
      </c>
      <c r="D48">
        <v>5.9703736008075559E-5</v>
      </c>
      <c r="E48">
        <v>-4.4930970326644886</v>
      </c>
      <c r="F48">
        <v>1.0879943566211303E-2</v>
      </c>
      <c r="G48">
        <v>-4.3401882469851086E-4</v>
      </c>
      <c r="H48">
        <v>-1.0249053349522562E-4</v>
      </c>
      <c r="I48">
        <v>-4.3401882469851086E-4</v>
      </c>
      <c r="J48">
        <v>-1.0249053349522562E-4</v>
      </c>
      <c r="R48" s="26" t="s">
        <v>142</v>
      </c>
      <c r="S48">
        <f t="shared" si="11"/>
        <v>0</v>
      </c>
      <c r="U48" s="26"/>
    </row>
    <row r="49" spans="2:21" ht="13.5" thickBot="1">
      <c r="B49" s="67" t="s">
        <v>109</v>
      </c>
      <c r="C49" s="67">
        <v>1.8353739327434561E-7</v>
      </c>
      <c r="D49" s="67">
        <v>2.003675283800762E-7</v>
      </c>
      <c r="E49" s="67">
        <v>0.91600367962913842</v>
      </c>
      <c r="F49" s="67">
        <v>0.41149260194657528</v>
      </c>
      <c r="G49" s="67">
        <v>-3.7277205013709683E-7</v>
      </c>
      <c r="H49" s="67">
        <v>7.3984683668578811E-7</v>
      </c>
      <c r="I49" s="67">
        <v>-3.7277205013709683E-7</v>
      </c>
      <c r="J49" s="67">
        <v>7.3984683668578811E-7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56" spans="2:21" ht="13.5" thickBot="1">
      <c r="B56" s="67"/>
      <c r="C56" s="67"/>
      <c r="D56" s="67"/>
      <c r="E56" s="67"/>
      <c r="F56" s="67"/>
      <c r="G56" s="67"/>
      <c r="H56" s="67"/>
      <c r="I56" s="67"/>
      <c r="J56" s="67"/>
    </row>
    <row r="63" spans="2:21" ht="13.5" thickBot="1"/>
    <row r="64" spans="2:21" ht="13.5">
      <c r="B64" s="69"/>
      <c r="C64" s="69"/>
    </row>
    <row r="69" spans="2:10" ht="13.5" thickBot="1">
      <c r="B69" s="67"/>
      <c r="C69" s="67"/>
    </row>
    <row r="71" spans="2:10" ht="13.5" thickBot="1"/>
    <row r="72" spans="2:10" ht="13.5">
      <c r="B72" s="68"/>
      <c r="C72" s="68"/>
      <c r="D72" s="68"/>
      <c r="E72" s="68"/>
      <c r="F72" s="68"/>
      <c r="G72" s="68"/>
    </row>
    <row r="75" spans="2:10" ht="13.5" thickBot="1">
      <c r="B75" s="67"/>
      <c r="C75" s="67"/>
      <c r="D75" s="67"/>
      <c r="E75" s="67"/>
      <c r="F75" s="67"/>
      <c r="G75" s="67"/>
    </row>
    <row r="76" spans="2:10" ht="13.5" thickBot="1"/>
    <row r="77" spans="2:10" ht="13.5">
      <c r="B77" s="68"/>
      <c r="C77" s="68"/>
      <c r="D77" s="68"/>
      <c r="E77" s="68"/>
      <c r="F77" s="68"/>
      <c r="G77" s="68"/>
      <c r="H77" s="68"/>
      <c r="I77" s="68"/>
      <c r="J77" s="68"/>
    </row>
    <row r="81" spans="2:10" ht="13.5" thickBot="1">
      <c r="B81" s="67"/>
      <c r="C81" s="67"/>
      <c r="D81" s="67"/>
      <c r="E81" s="67"/>
      <c r="F81" s="67"/>
      <c r="G81" s="67"/>
      <c r="H81" s="67"/>
      <c r="I81" s="67"/>
      <c r="J81" s="67"/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B169B-74BB-4244-94E9-288AFD098C23}">
  <dimension ref="A1:AH188"/>
  <sheetViews>
    <sheetView workbookViewId="0">
      <selection activeCell="I8" sqref="I8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6.69921875" customWidth="1"/>
    <col min="5" max="5" width="10.09765625" customWidth="1"/>
    <col min="6" max="6" width="15.09765625" customWidth="1"/>
    <col min="7" max="7" width="13.3984375" customWidth="1"/>
    <col min="8" max="9" width="9.39843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">
        <v>187</v>
      </c>
    </row>
    <row r="3" spans="1:34">
      <c r="A3" s="11"/>
      <c r="B3" s="11"/>
      <c r="C3" s="11"/>
      <c r="D3" s="11"/>
      <c r="E3" s="11"/>
      <c r="F3" s="11"/>
      <c r="G3" s="34" t="s">
        <v>231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">
        <v>222</v>
      </c>
      <c r="F5" s="11"/>
      <c r="G5" s="11" t="s">
        <v>127</v>
      </c>
      <c r="H5" s="11" t="s">
        <v>16</v>
      </c>
      <c r="I5" s="66" t="s">
        <v>234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">
        <v>232</v>
      </c>
      <c r="F6" s="11"/>
      <c r="G6" s="11" t="s">
        <v>128</v>
      </c>
      <c r="H6" s="11" t="s">
        <v>16</v>
      </c>
      <c r="I6" s="129"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v>210149173</v>
      </c>
      <c r="F7" s="11"/>
      <c r="G7" t="s">
        <v>223</v>
      </c>
      <c r="H7" s="11" t="s">
        <v>16</v>
      </c>
      <c r="I7" s="31">
        <v>13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6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66"/>
      <c r="F8" s="11"/>
      <c r="G8" s="11" t="s">
        <v>44</v>
      </c>
      <c r="H8" s="11" t="s">
        <v>16</v>
      </c>
      <c r="I8" t="s">
        <v>229</v>
      </c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/>
      <c r="B9" s="11"/>
      <c r="C9" s="11"/>
      <c r="D9" s="11"/>
      <c r="E9" s="66"/>
      <c r="F9" s="11"/>
      <c r="G9" s="11"/>
      <c r="H9" s="11"/>
      <c r="J9" s="11"/>
      <c r="K9" s="11"/>
      <c r="L9" s="11"/>
      <c r="N9" s="345"/>
      <c r="O9" s="192"/>
      <c r="P9" s="154"/>
      <c r="Q9" s="55"/>
      <c r="R9" s="55"/>
      <c r="S9" s="155"/>
      <c r="T9" s="156"/>
      <c r="U9" s="368"/>
      <c r="V9" s="32"/>
      <c r="AH9" s="190"/>
    </row>
    <row r="10" spans="1:34" ht="15.5">
      <c r="A10" s="28" t="s">
        <v>17</v>
      </c>
      <c r="B10" s="12" t="s">
        <v>210</v>
      </c>
      <c r="L10" s="11"/>
      <c r="N10" s="345"/>
      <c r="O10" s="192">
        <f>IF($C$2="Celcius",Database!Q7,(Database!Q7*9/5)+32)</f>
        <v>0</v>
      </c>
      <c r="P10" s="154">
        <f>IF($C$2="Celcius",Database!R7,(Database!R7*9/5))</f>
        <v>0.02</v>
      </c>
      <c r="Q10" s="55" t="s">
        <v>58</v>
      </c>
      <c r="R10" s="55">
        <v>2</v>
      </c>
      <c r="S10" s="155">
        <v>60</v>
      </c>
      <c r="T10" s="156">
        <f t="shared" si="0"/>
        <v>0.01</v>
      </c>
      <c r="U10" s="368"/>
      <c r="V10" s="32"/>
      <c r="AH10" s="190"/>
    </row>
    <row r="11" spans="1:34" ht="15.5">
      <c r="A11" s="28"/>
      <c r="B11" t="s">
        <v>33</v>
      </c>
      <c r="D11" s="11" t="s">
        <v>64</v>
      </c>
      <c r="E11" s="83" t="str">
        <f>VLOOKUP($E$12,Database!$AR:$AV,2,0)</f>
        <v>Termometer Digital (PRT)</v>
      </c>
      <c r="L11" s="11"/>
      <c r="N11" s="346"/>
      <c r="O11" s="193">
        <f>IF($C$2="Celcius",Database!Q8,(Database!Q8*9/5)+32)</f>
        <v>10</v>
      </c>
      <c r="P11" s="147">
        <f>IF($C$2="Celcius",Database!R8,(Database!R8*9/5))</f>
        <v>0.04</v>
      </c>
      <c r="Q11" s="52" t="s">
        <v>58</v>
      </c>
      <c r="R11" s="52">
        <v>2</v>
      </c>
      <c r="S11" s="148">
        <v>60</v>
      </c>
      <c r="T11" s="149">
        <f t="shared" si="0"/>
        <v>0.02</v>
      </c>
      <c r="U11" s="368"/>
      <c r="V11" s="32"/>
      <c r="AH11" s="190"/>
    </row>
    <row r="12" spans="1:34" ht="15.5">
      <c r="A12" s="28"/>
      <c r="B12" t="s">
        <v>43</v>
      </c>
      <c r="D12" s="11" t="s">
        <v>64</v>
      </c>
      <c r="E12" s="83" t="s">
        <v>117</v>
      </c>
      <c r="L12" s="11"/>
      <c r="N12" s="347" t="s">
        <v>59</v>
      </c>
      <c r="O12" s="191">
        <f>IF($C$2="Celcius",Database!Q9,(Database!Q9*9/5)+32)</f>
        <v>10</v>
      </c>
      <c r="P12" s="150">
        <f>IF($C$2="Celcius",Database!R9,(Database!R9*9/5))</f>
        <v>0.02</v>
      </c>
      <c r="Q12" s="151" t="s">
        <v>58</v>
      </c>
      <c r="R12" s="151">
        <v>2</v>
      </c>
      <c r="S12" s="152">
        <v>60</v>
      </c>
      <c r="T12" s="153">
        <f t="shared" si="0"/>
        <v>0.01</v>
      </c>
      <c r="U12" s="368"/>
      <c r="V12" s="32"/>
    </row>
    <row r="13" spans="1:34" ht="15.5">
      <c r="A13" s="28"/>
      <c r="B13" t="s">
        <v>211</v>
      </c>
      <c r="D13" s="11" t="s">
        <v>64</v>
      </c>
      <c r="E13" s="83" t="str">
        <f>VLOOKUP($E$12,Database!$AR:$AV,3,0)</f>
        <v>3925/496170</v>
      </c>
      <c r="L13" s="11"/>
      <c r="N13" s="348"/>
      <c r="O13" s="192">
        <f>IF($C$2="Celcius",Database!Q10,(Database!Q10*9/5)+32)</f>
        <v>25</v>
      </c>
      <c r="P13" s="154">
        <f>IF($C$2="Celcius",Database!R10,(Database!R10*9/5))</f>
        <v>0.01</v>
      </c>
      <c r="Q13" s="55" t="s">
        <v>58</v>
      </c>
      <c r="R13" s="55">
        <v>2</v>
      </c>
      <c r="S13" s="155">
        <v>60</v>
      </c>
      <c r="T13" s="156">
        <f t="shared" si="0"/>
        <v>5.0000000000000001E-3</v>
      </c>
      <c r="U13" s="368"/>
      <c r="V13" s="32"/>
    </row>
    <row r="14" spans="1:34" ht="15.5">
      <c r="A14" s="28"/>
      <c r="B14" t="s">
        <v>38</v>
      </c>
      <c r="D14" s="11" t="s">
        <v>64</v>
      </c>
      <c r="E14" s="83" t="str">
        <f>VLOOKUP($E$12,Database!$AR:$AV,5,0)</f>
        <v>SI melalui BSN SNSU</v>
      </c>
      <c r="L14" s="11"/>
      <c r="N14" s="348"/>
      <c r="O14" s="192">
        <f>IF($C$2="Celcius",Database!Q11,(Database!Q11*9/5)+32)</f>
        <v>50</v>
      </c>
      <c r="P14" s="154">
        <f>IF($C$2="Celcius",Database!R11,(Database!R11*9/5))</f>
        <v>0.03</v>
      </c>
      <c r="Q14" s="55" t="s">
        <v>58</v>
      </c>
      <c r="R14" s="55">
        <v>2</v>
      </c>
      <c r="S14" s="155">
        <v>60</v>
      </c>
      <c r="T14" s="156">
        <f t="shared" si="0"/>
        <v>1.4999999999999999E-2</v>
      </c>
      <c r="U14" s="368"/>
      <c r="V14" s="32"/>
    </row>
    <row r="15" spans="1:34" ht="15.5">
      <c r="L15" s="11"/>
      <c r="N15" s="348"/>
      <c r="O15" s="192">
        <f>IF($C$2="Celcius",Database!Q12,(Database!Q12*9/5)+32)</f>
        <v>75</v>
      </c>
      <c r="P15" s="154">
        <f>IF($C$2="Celcius",Database!R12,(Database!R12*9/5))</f>
        <v>0.04</v>
      </c>
      <c r="Q15" s="55" t="s">
        <v>58</v>
      </c>
      <c r="R15" s="55">
        <v>2</v>
      </c>
      <c r="S15" s="155">
        <v>60</v>
      </c>
      <c r="T15" s="156">
        <f t="shared" si="0"/>
        <v>0.02</v>
      </c>
      <c r="U15" s="368"/>
      <c r="V15" s="32"/>
      <c r="AB15" s="326"/>
      <c r="AC15" s="326"/>
      <c r="AD15" s="35"/>
      <c r="AE15" s="1"/>
      <c r="AF15" s="16"/>
      <c r="AG15" s="58"/>
    </row>
    <row r="16" spans="1:34" ht="16.5" customHeight="1">
      <c r="A16" s="28" t="s">
        <v>20</v>
      </c>
      <c r="B16" s="12" t="s">
        <v>18</v>
      </c>
      <c r="C16" s="12"/>
      <c r="D16" s="11"/>
      <c r="E16" s="11"/>
      <c r="F16" s="11"/>
      <c r="G16" s="11"/>
      <c r="H16" s="11"/>
      <c r="I16" s="11"/>
      <c r="J16" s="11"/>
      <c r="K16" s="11"/>
      <c r="L16" s="11"/>
      <c r="M16" s="1"/>
      <c r="N16" s="349"/>
      <c r="O16" s="193">
        <f>IF($C$2="Celcius",Database!Q13,(Database!Q13*9/5)+32)</f>
        <v>90</v>
      </c>
      <c r="P16" s="147">
        <f>IF($C$2="Celcius",Database!R13,(Database!R13*9/5))</f>
        <v>0.03</v>
      </c>
      <c r="Q16" s="52" t="s">
        <v>58</v>
      </c>
      <c r="R16" s="52">
        <v>2</v>
      </c>
      <c r="S16" s="148">
        <v>60</v>
      </c>
      <c r="T16" s="149">
        <f t="shared" si="0"/>
        <v>1.4999999999999999E-2</v>
      </c>
      <c r="U16" s="368"/>
      <c r="V16" s="32"/>
      <c r="AB16" s="326"/>
      <c r="AC16" s="326"/>
      <c r="AD16" s="35"/>
      <c r="AE16" s="1"/>
      <c r="AG16" s="58"/>
    </row>
    <row r="17" spans="1:34" ht="15.75" customHeight="1">
      <c r="A17" s="28"/>
      <c r="B17" t="s">
        <v>119</v>
      </c>
      <c r="C17" s="11"/>
      <c r="D17" s="11" t="s">
        <v>64</v>
      </c>
      <c r="E17" s="354">
        <v>45237</v>
      </c>
      <c r="F17" s="355"/>
      <c r="G17" s="11"/>
      <c r="H17" s="11"/>
      <c r="I17" s="11"/>
      <c r="J17" s="11"/>
      <c r="K17" s="11"/>
      <c r="L17" s="11"/>
      <c r="M17" s="1"/>
      <c r="N17" s="344" t="s">
        <v>60</v>
      </c>
      <c r="O17" s="191">
        <f>IF($C$2="Celcius",Database!Q14,(Database!Q14*9/5)+32)</f>
        <v>30</v>
      </c>
      <c r="P17" s="150">
        <f>IF($C$2="Celcius",Database!R14,(Database!R14*9/5))</f>
        <v>0.05</v>
      </c>
      <c r="Q17" s="151" t="s">
        <v>58</v>
      </c>
      <c r="R17" s="151">
        <v>2</v>
      </c>
      <c r="S17" s="152">
        <v>60</v>
      </c>
      <c r="T17" s="153">
        <f t="shared" si="0"/>
        <v>2.5000000000000001E-2</v>
      </c>
      <c r="U17" s="368"/>
      <c r="V17" s="32"/>
      <c r="AB17" s="1"/>
      <c r="AC17" s="1"/>
      <c r="AE17" s="1"/>
      <c r="AF17" s="16"/>
      <c r="AG17" s="17"/>
    </row>
    <row r="18" spans="1:34" ht="15.5">
      <c r="A18" s="28"/>
      <c r="B18" t="s">
        <v>36</v>
      </c>
      <c r="C18" s="11"/>
      <c r="D18" s="11" t="s">
        <v>64</v>
      </c>
      <c r="E18" s="354">
        <v>45245</v>
      </c>
      <c r="F18" s="355"/>
      <c r="G18" s="11"/>
      <c r="H18" s="11"/>
      <c r="I18" s="11"/>
      <c r="J18" s="11"/>
      <c r="K18" s="11"/>
      <c r="L18" s="11"/>
      <c r="M18" s="1"/>
      <c r="N18" s="345"/>
      <c r="O18" s="192">
        <f>IF($C$2="Celcius",Database!Q15,(Database!Q15*9/5)+32)</f>
        <v>50</v>
      </c>
      <c r="P18" s="154">
        <f>IF($C$2="Celcius",Database!R15,(Database!R15*9/5))</f>
        <v>0.11000000000000001</v>
      </c>
      <c r="Q18" s="55" t="s">
        <v>58</v>
      </c>
      <c r="R18" s="158">
        <v>2</v>
      </c>
      <c r="S18" s="155">
        <v>60</v>
      </c>
      <c r="T18" s="156">
        <f t="shared" si="0"/>
        <v>5.5000000000000007E-2</v>
      </c>
      <c r="U18" s="368"/>
      <c r="V18" s="32"/>
      <c r="AB18" s="1"/>
      <c r="AC18" s="1"/>
      <c r="AE18" s="1"/>
    </row>
    <row r="19" spans="1:34" ht="15.5">
      <c r="A19" s="28"/>
      <c r="B19" t="s">
        <v>37</v>
      </c>
      <c r="C19" s="11"/>
      <c r="D19" s="30" t="s">
        <v>16</v>
      </c>
      <c r="E19" t="s">
        <v>228</v>
      </c>
      <c r="F19" s="11"/>
      <c r="G19" s="11"/>
      <c r="H19" s="11"/>
      <c r="I19" s="11"/>
      <c r="J19" s="11"/>
      <c r="K19" s="11"/>
      <c r="L19" s="11"/>
      <c r="M19" s="1"/>
      <c r="N19" s="345"/>
      <c r="O19" s="192">
        <f>IF($C$2="Celcius",Database!Q16,(Database!Q16*9/5)+32)</f>
        <v>70</v>
      </c>
      <c r="P19" s="154">
        <f>IF($C$2="Celcius",Database!R16,(Database!R16*9/5))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326"/>
      <c r="AC19" s="326"/>
      <c r="AD19" s="35"/>
      <c r="AE19" s="1"/>
      <c r="AF19" s="16"/>
      <c r="AG19" s="60"/>
    </row>
    <row r="20" spans="1:34" ht="15.5">
      <c r="A20" s="28"/>
      <c r="E20" t="s">
        <v>227</v>
      </c>
      <c r="K20" s="11"/>
      <c r="L20" s="11"/>
      <c r="M20" s="1"/>
      <c r="N20" s="345"/>
      <c r="O20" s="192">
        <f>IF($C$2="Celcius",Database!Q17,(Database!Q17*9/5)+32)</f>
        <v>100</v>
      </c>
      <c r="P20" s="154">
        <f>IF($C$2="Celcius",Database!R17,(Database!R17*9/5))</f>
        <v>0.01</v>
      </c>
      <c r="Q20" s="55" t="s">
        <v>58</v>
      </c>
      <c r="R20" s="158">
        <v>2</v>
      </c>
      <c r="S20" s="155">
        <v>60</v>
      </c>
      <c r="T20" s="156">
        <f t="shared" si="0"/>
        <v>5.0000000000000001E-3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8"/>
      <c r="B21" s="11" t="s">
        <v>19</v>
      </c>
      <c r="C21" s="11"/>
      <c r="D21" t="s">
        <v>64</v>
      </c>
      <c r="E21" t="s">
        <v>118</v>
      </c>
      <c r="F21" s="11"/>
      <c r="G21" s="11"/>
      <c r="H21" s="11"/>
      <c r="I21" s="11"/>
      <c r="J21" s="11"/>
      <c r="K21" s="65"/>
      <c r="L21" s="11"/>
      <c r="M21" s="1"/>
      <c r="N21" s="345"/>
      <c r="O21" s="193">
        <f>IF($C$2="Celcius",Database!Q18,(Database!Q18*9/5)+32)</f>
        <v>110</v>
      </c>
      <c r="P21" s="147">
        <f>IF($C$2="Celcius",Database!R18,(Database!R18*9/5))</f>
        <v>0.02</v>
      </c>
      <c r="Q21" s="52" t="s">
        <v>58</v>
      </c>
      <c r="R21" s="157">
        <v>2</v>
      </c>
      <c r="S21" s="148">
        <v>60</v>
      </c>
      <c r="T21" s="149">
        <f t="shared" si="0"/>
        <v>0.01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38" t="s">
        <v>212</v>
      </c>
      <c r="B22" s="239" t="s">
        <v>21</v>
      </c>
      <c r="C22" s="240"/>
      <c r="D22" s="240"/>
      <c r="E22" s="240"/>
      <c r="F22" s="339" t="s">
        <v>68</v>
      </c>
      <c r="G22" s="339"/>
      <c r="H22" s="240"/>
      <c r="I22" s="49"/>
      <c r="J22" s="49"/>
      <c r="K22" s="240"/>
      <c r="L22" s="240"/>
      <c r="M22" s="1"/>
      <c r="N22" s="348" t="s">
        <v>61</v>
      </c>
      <c r="O22" s="191">
        <f>IF($C$2="Celcius",Database!Q19,(Database!Q19*9/5)+32)</f>
        <v>100</v>
      </c>
      <c r="P22" s="150">
        <f>IF($C$2="Celcius",Database!R19,(Database!R19*9/5))</f>
        <v>3.0000000000000006E-2</v>
      </c>
      <c r="Q22" s="151" t="s">
        <v>58</v>
      </c>
      <c r="R22" s="56">
        <v>2</v>
      </c>
      <c r="S22" s="152">
        <v>60</v>
      </c>
      <c r="T22" s="153">
        <f t="shared" si="0"/>
        <v>1.5000000000000003E-2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22</v>
      </c>
      <c r="C23" s="240"/>
      <c r="D23" s="242" t="s">
        <v>23</v>
      </c>
      <c r="E23" s="243" t="s">
        <v>24</v>
      </c>
      <c r="F23" s="242" t="s">
        <v>23</v>
      </c>
      <c r="G23" s="243" t="s">
        <v>24</v>
      </c>
      <c r="H23" s="240"/>
      <c r="I23" s="49"/>
      <c r="J23" s="49"/>
      <c r="K23" s="240"/>
      <c r="L23" s="240"/>
      <c r="M23" s="1"/>
      <c r="N23" s="348"/>
      <c r="O23" s="192">
        <f>IF($C$2="Celcius",Database!Q20,(Database!Q20*9/5)+32)</f>
        <v>150</v>
      </c>
      <c r="P23" s="154">
        <f>IF($C$2="Celcius",Database!R20,(Database!R20*9/5))</f>
        <v>0.1</v>
      </c>
      <c r="Q23" s="55" t="s">
        <v>58</v>
      </c>
      <c r="R23" s="158">
        <v>2</v>
      </c>
      <c r="S23" s="155">
        <v>60</v>
      </c>
      <c r="T23" s="156">
        <f t="shared" si="0"/>
        <v>0.05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241"/>
      <c r="B24" s="240" t="s">
        <v>25</v>
      </c>
      <c r="C24" s="240"/>
      <c r="D24" s="244">
        <v>22</v>
      </c>
      <c r="E24" s="244"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IF($C$2="Celcius",Database!Q21,(Database!Q21*9/5)+32)</f>
        <v>200</v>
      </c>
      <c r="P24" s="154">
        <f>IF($C$2="Celcius",Database!R21,(Database!R21*9/5))</f>
        <v>3.0000000000000006E-2</v>
      </c>
      <c r="Q24" s="55" t="s">
        <v>58</v>
      </c>
      <c r="R24" s="158">
        <v>2</v>
      </c>
      <c r="S24" s="155">
        <v>60</v>
      </c>
      <c r="T24" s="156">
        <f t="shared" si="0"/>
        <v>1.5000000000000003E-2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49"/>
      <c r="B25" s="240" t="s">
        <v>26</v>
      </c>
      <c r="C25" s="240"/>
      <c r="D25" s="244">
        <v>22</v>
      </c>
      <c r="E25" s="244">
        <v>58</v>
      </c>
      <c r="F25" s="245" t="str">
        <f>CONCATENATE(D25+J29,K29)</f>
        <v>22,4± 0,79</v>
      </c>
      <c r="G25" s="245" t="str">
        <f>CONCATENATE(E25+J34,K34)</f>
        <v>56,8± 3,4</v>
      </c>
      <c r="H25" s="241"/>
      <c r="I25" s="49"/>
      <c r="J25" s="49"/>
      <c r="K25" s="240"/>
      <c r="L25" s="240"/>
      <c r="M25" s="1"/>
      <c r="N25" s="348"/>
      <c r="O25" s="192">
        <f>IF($C$2="Celcius",Database!Q22,(Database!Q22*9/5)+32)</f>
        <v>250</v>
      </c>
      <c r="P25" s="154">
        <f>IF($C$2="Celcius",Database!R22,(Database!R22*9/5))</f>
        <v>0.13</v>
      </c>
      <c r="Q25" s="55" t="s">
        <v>58</v>
      </c>
      <c r="R25" s="158">
        <v>2</v>
      </c>
      <c r="S25" s="155">
        <v>60</v>
      </c>
      <c r="T25" s="156">
        <f t="shared" si="0"/>
        <v>6.5000000000000002E-2</v>
      </c>
      <c r="U25" s="368"/>
      <c r="V25" s="32"/>
      <c r="AB25" s="61"/>
      <c r="AC25" s="61"/>
      <c r="AD25" s="35"/>
      <c r="AE25" s="1"/>
      <c r="AF25" s="16"/>
      <c r="AG25" s="60"/>
    </row>
    <row r="26" spans="1:34" ht="15.5">
      <c r="A26" s="28"/>
      <c r="B26" s="11"/>
      <c r="C26" s="11"/>
      <c r="D26" s="11"/>
      <c r="E26" s="28"/>
      <c r="F26" s="28"/>
      <c r="G26" s="45"/>
      <c r="H26" s="45"/>
      <c r="I26" s="45"/>
      <c r="J26" s="65"/>
      <c r="K26" s="65"/>
      <c r="L26" s="11"/>
      <c r="M26" s="1"/>
      <c r="N26" s="348"/>
      <c r="O26" s="193">
        <f>IF($C$2="Celcius",Database!Q23,(Database!Q23*9/5)+32)</f>
        <v>260</v>
      </c>
      <c r="P26" s="147">
        <f>IF($C$2="Celcius",Database!R23,(Database!R23*9/5))</f>
        <v>0.04</v>
      </c>
      <c r="Q26" s="52" t="s">
        <v>58</v>
      </c>
      <c r="R26" s="157">
        <v>2</v>
      </c>
      <c r="S26" s="148">
        <v>60</v>
      </c>
      <c r="T26" s="149">
        <f t="shared" si="0"/>
        <v>0.02</v>
      </c>
      <c r="U26" s="343"/>
      <c r="V26" s="32"/>
      <c r="AB26" s="61"/>
      <c r="AC26" s="61"/>
      <c r="AD26" s="35"/>
      <c r="AE26" s="1"/>
      <c r="AF26" s="16"/>
      <c r="AG26" s="60"/>
    </row>
    <row r="27" spans="1:34" ht="23">
      <c r="A27" s="49"/>
      <c r="B27" s="240" t="s">
        <v>214</v>
      </c>
      <c r="C27" s="49"/>
      <c r="D27" s="246" t="s">
        <v>215</v>
      </c>
      <c r="E27" s="246" t="s">
        <v>216</v>
      </c>
      <c r="F27" s="247" t="s">
        <v>217</v>
      </c>
      <c r="G27" s="247" t="s">
        <v>218</v>
      </c>
      <c r="H27" s="247" t="s">
        <v>219</v>
      </c>
      <c r="I27" s="247" t="s">
        <v>220</v>
      </c>
      <c r="J27" s="340" t="s">
        <v>221</v>
      </c>
      <c r="K27" s="341"/>
      <c r="L27" s="240"/>
      <c r="M27" s="1"/>
      <c r="N27" s="204" t="s">
        <v>105</v>
      </c>
      <c r="O27" s="206"/>
      <c r="P27" s="214">
        <f>VLOOKUP($E$12,Database!$AR:$AV,4,0)/2</f>
        <v>5.0000000000000001E-4</v>
      </c>
      <c r="Q27" s="210" t="s">
        <v>62</v>
      </c>
      <c r="R27" s="55"/>
      <c r="S27" s="216" t="s">
        <v>9</v>
      </c>
      <c r="T27" s="212">
        <f>P27/SQRT(3)</f>
        <v>2.886751345948129E-4</v>
      </c>
      <c r="U27" s="208" t="s">
        <v>106</v>
      </c>
      <c r="V27" s="32"/>
      <c r="AB27" s="61"/>
      <c r="AC27" s="61"/>
      <c r="AD27" s="35"/>
      <c r="AE27" s="1"/>
      <c r="AF27" s="16"/>
      <c r="AG27" s="60"/>
    </row>
    <row r="28" spans="1:34" ht="15.75" customHeight="1">
      <c r="A28" s="49"/>
      <c r="B28" s="240" t="s">
        <v>25</v>
      </c>
      <c r="C28" s="49"/>
      <c r="D28" s="246">
        <v>20</v>
      </c>
      <c r="E28" s="246">
        <v>25</v>
      </c>
      <c r="F28" s="247">
        <f>VLOOKUP($D$28:$D$29,Database!$AD$4:$AF$8,2,0)</f>
        <v>0</v>
      </c>
      <c r="G28" s="247">
        <f>VLOOKUP($E$28:$E$29,Database!$AD$4:$AF$8,2,0)</f>
        <v>1</v>
      </c>
      <c r="H28" s="247">
        <f>VLOOKUP($D$28:$D$29,Database!$AD$4:$AF$8,3,0)</f>
        <v>0.79</v>
      </c>
      <c r="I28" s="247">
        <f>VLOOKUP($E$28:$E$29,Database!$AD$4:$AF$8,3,0)</f>
        <v>0.79</v>
      </c>
      <c r="J28" s="75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205"/>
      <c r="O28" s="207"/>
      <c r="P28" s="215"/>
      <c r="Q28" s="211"/>
      <c r="R28" s="50"/>
      <c r="S28" s="217"/>
      <c r="T28" s="213"/>
      <c r="U28" s="209"/>
      <c r="V28" s="32"/>
      <c r="AB28" s="61"/>
      <c r="AC28" s="61"/>
      <c r="AD28" s="35"/>
      <c r="AE28" s="1"/>
      <c r="AG28" s="35"/>
      <c r="AH28" s="18"/>
    </row>
    <row r="29" spans="1:34" ht="15.5">
      <c r="A29" s="49"/>
      <c r="B29" s="240" t="s">
        <v>26</v>
      </c>
      <c r="C29" s="49"/>
      <c r="D29" s="246">
        <v>20</v>
      </c>
      <c r="E29" s="246">
        <v>25</v>
      </c>
      <c r="F29" s="247">
        <f>VLOOKUP($D$28:$D$29,Database!$AD$4:$AF$8,2,0)</f>
        <v>0</v>
      </c>
      <c r="G29" s="247">
        <f>VLOOKUP($E$28:$E$29,Database!$AD$4:$AF$8,2,0)</f>
        <v>1</v>
      </c>
      <c r="H29" s="247">
        <f>VLOOKUP($D$28:$D$29,Database!$AD$4:$AF$8,3,0)</f>
        <v>0.79</v>
      </c>
      <c r="I29" s="247">
        <f>VLOOKUP($E$28:$E$29,Database!$AD$4:$AF$8,3,0)</f>
        <v>0.79</v>
      </c>
      <c r="J29" s="248">
        <f>IFERROR((((D25-D29)*(G29-F29)/(E29-D29))+F29),0)</f>
        <v>0.4</v>
      </c>
      <c r="K29" s="75" t="str">
        <f>CONCATENATE("± ",IFERROR((((D25-D29)*(I29-H29)/(E29-D29))+H29),0))</f>
        <v>± 0,79</v>
      </c>
      <c r="L29" s="240"/>
      <c r="M29" s="1"/>
      <c r="N29" s="344" t="s">
        <v>63</v>
      </c>
      <c r="O29" s="376"/>
      <c r="P29" s="378">
        <f>$I$6/2</f>
        <v>5.0000000000000001E-3</v>
      </c>
      <c r="Q29" s="342" t="s">
        <v>62</v>
      </c>
      <c r="R29" s="57"/>
      <c r="S29" s="337" t="s">
        <v>9</v>
      </c>
      <c r="T29" s="335">
        <f>P29/SQRT(3)</f>
        <v>2.886751345948129E-3</v>
      </c>
      <c r="U29" s="369" t="s">
        <v>107</v>
      </c>
      <c r="V29" s="32"/>
      <c r="AB29" s="326"/>
      <c r="AC29" s="326"/>
      <c r="AD29" s="35"/>
      <c r="AE29" s="1"/>
      <c r="AF29" s="16"/>
      <c r="AG29" s="60"/>
    </row>
    <row r="30" spans="1:34" ht="13.5" customHeight="1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N30" s="346"/>
      <c r="O30" s="377"/>
      <c r="P30" s="379"/>
      <c r="Q30" s="343"/>
      <c r="R30" s="51"/>
      <c r="S30" s="338"/>
      <c r="T30" s="336"/>
      <c r="U30" s="370"/>
      <c r="X30" s="182"/>
      <c r="Y30" s="1"/>
      <c r="Z30" s="1"/>
      <c r="AA30" s="59"/>
      <c r="AB30" s="61"/>
      <c r="AC30" s="61"/>
      <c r="AE30" s="1"/>
      <c r="AG30" s="35"/>
    </row>
    <row r="31" spans="1:34" ht="15.5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240"/>
      <c r="L31" s="240"/>
      <c r="M31" s="1"/>
      <c r="X31" s="182"/>
      <c r="Y31" s="1"/>
      <c r="Z31" s="1"/>
      <c r="AA31" s="59"/>
      <c r="AB31" s="326"/>
      <c r="AC31" s="326"/>
      <c r="AD31" s="35"/>
      <c r="AE31" s="1"/>
      <c r="AF31" s="16"/>
      <c r="AG31" s="60"/>
      <c r="AH31" s="15"/>
    </row>
    <row r="32" spans="1:34" ht="13.5" customHeight="1">
      <c r="A32" s="49"/>
      <c r="B32" s="240" t="s">
        <v>114</v>
      </c>
      <c r="C32" s="49"/>
      <c r="D32" s="246" t="s">
        <v>215</v>
      </c>
      <c r="E32" s="246" t="s">
        <v>216</v>
      </c>
      <c r="F32" s="247" t="s">
        <v>217</v>
      </c>
      <c r="G32" s="247" t="s">
        <v>218</v>
      </c>
      <c r="H32" s="247" t="s">
        <v>219</v>
      </c>
      <c r="I32" s="247" t="s">
        <v>220</v>
      </c>
      <c r="J32" s="340" t="s">
        <v>221</v>
      </c>
      <c r="K32" s="341"/>
      <c r="L32" s="240"/>
      <c r="M32" s="1"/>
      <c r="X32" s="182"/>
      <c r="Y32" s="1"/>
      <c r="Z32" s="1"/>
      <c r="AA32" s="59"/>
      <c r="AB32" s="61"/>
      <c r="AC32" s="61"/>
      <c r="AD32" s="61"/>
      <c r="AG32" s="35"/>
      <c r="AH32" s="15"/>
    </row>
    <row r="33" spans="1:34" ht="13.5" customHeight="1">
      <c r="A33" s="49"/>
      <c r="B33" s="240" t="s">
        <v>25</v>
      </c>
      <c r="C33" s="49"/>
      <c r="D33" s="246">
        <v>55</v>
      </c>
      <c r="E33" s="246">
        <v>60</v>
      </c>
      <c r="F33" s="247">
        <f>VLOOKUP($D$33:$D$34,Database!$AG$4:$AI$8,2,0)</f>
        <v>0</v>
      </c>
      <c r="G33" s="247">
        <f>VLOOKUP($E$33:$E$34,Database!$AG$4:$AI$8,2,0)</f>
        <v>-2</v>
      </c>
      <c r="H33" s="247">
        <f>VLOOKUP($D$33:$D$34,Database!$AG$4:$AI$8,3,0)</f>
        <v>3.4</v>
      </c>
      <c r="I33" s="247">
        <f>VLOOKUP($E$33:$E$34,Database!$AG$4:$AI$8,3,0)</f>
        <v>3.4</v>
      </c>
      <c r="J33" s="75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X33" s="182"/>
      <c r="Y33" s="1"/>
      <c r="Z33" s="1"/>
      <c r="AA33" s="59"/>
      <c r="AB33" s="326"/>
      <c r="AC33" s="326"/>
      <c r="AD33" s="35"/>
      <c r="AF33" s="16"/>
      <c r="AG33" s="62"/>
      <c r="AH33" s="15"/>
    </row>
    <row r="34" spans="1:34">
      <c r="A34" s="49"/>
      <c r="B34" s="240" t="s">
        <v>26</v>
      </c>
      <c r="C34" s="49"/>
      <c r="D34" s="246">
        <v>55</v>
      </c>
      <c r="E34" s="246">
        <v>60</v>
      </c>
      <c r="F34" s="247">
        <f>VLOOKUP($D$33:$D$34,Database!$AG$4:$AI$8,2,0)</f>
        <v>0</v>
      </c>
      <c r="G34" s="247">
        <f>VLOOKUP($E$33:$E$34,Database!$AG$4:$AI$8,2,0)</f>
        <v>-2</v>
      </c>
      <c r="H34" s="247">
        <f>VLOOKUP($D$33:$D$34,Database!$AG$4:$AI$8,3,0)</f>
        <v>3.4</v>
      </c>
      <c r="I34" s="247">
        <f>VLOOKUP($E$33:$E$34,Database!$AG$4:$AI$8,3,0)</f>
        <v>3.4</v>
      </c>
      <c r="J34" s="248">
        <f>IFERROR((((E25-D34)*(G34-F34)/(E34-D34))+F34),0)</f>
        <v>-1.2</v>
      </c>
      <c r="K34" s="75" t="str">
        <f>CONCATENATE("± ",IFERROR((((E25-D34)*(I34-H34)/(E34-D34))+H34),0))</f>
        <v>± 3,4</v>
      </c>
      <c r="L34" s="240"/>
      <c r="M34" s="1"/>
      <c r="N34" s="195"/>
      <c r="O34" s="1"/>
      <c r="X34" s="182"/>
      <c r="Y34" s="1"/>
      <c r="Z34" s="1"/>
      <c r="AA34" s="59"/>
      <c r="AB34" s="1"/>
      <c r="AC34" s="1"/>
      <c r="AD34" s="35"/>
    </row>
    <row r="35" spans="1:34" ht="13.5" customHeight="1">
      <c r="A35" s="49"/>
      <c r="B35" s="49"/>
      <c r="C35" s="49"/>
      <c r="D35" s="49"/>
      <c r="E35" s="49"/>
      <c r="F35" s="49"/>
      <c r="G35" s="49"/>
      <c r="H35" s="49"/>
      <c r="I35" s="49"/>
      <c r="J35" s="240"/>
      <c r="K35" s="240"/>
      <c r="L35" s="240"/>
      <c r="X35" s="45"/>
      <c r="Y35" s="45"/>
      <c r="Z35" s="45"/>
      <c r="AA35" s="45"/>
      <c r="AB35" s="1"/>
    </row>
    <row r="36" spans="1:34">
      <c r="N36" s="36" t="s">
        <v>51</v>
      </c>
      <c r="O36" s="2"/>
      <c r="P36" s="2"/>
      <c r="Q36" s="2"/>
      <c r="R36" s="2"/>
      <c r="S36" s="2"/>
      <c r="AB36" s="1"/>
    </row>
    <row r="37" spans="1:34">
      <c r="N37" s="391" t="s">
        <v>189</v>
      </c>
      <c r="O37" s="380">
        <f>F49</f>
        <v>-29.808</v>
      </c>
      <c r="P37" s="380">
        <f>F57</f>
        <v>0.192</v>
      </c>
      <c r="Q37" s="380">
        <f>F65</f>
        <v>50.347999999999999</v>
      </c>
      <c r="R37" s="380">
        <f>F73</f>
        <v>99.888000000000005</v>
      </c>
      <c r="S37" s="380">
        <f>F81</f>
        <v>149.71799999999999</v>
      </c>
      <c r="T37" s="380">
        <f>F89</f>
        <v>199.464</v>
      </c>
      <c r="U37" s="380">
        <f>F97</f>
        <v>249.477</v>
      </c>
      <c r="V37" s="380">
        <f>F105</f>
        <v>259.55500000000001</v>
      </c>
      <c r="W37" s="380">
        <f>F113</f>
        <v>0</v>
      </c>
      <c r="X37" s="380">
        <f>F121</f>
        <v>0</v>
      </c>
      <c r="Y37" s="46"/>
      <c r="Z37" s="46"/>
      <c r="AA37" s="46"/>
      <c r="AB37" s="1"/>
    </row>
    <row r="38" spans="1:34">
      <c r="N38" s="392"/>
      <c r="O38" s="381"/>
      <c r="P38" s="381"/>
      <c r="Q38" s="381"/>
      <c r="R38" s="381"/>
      <c r="S38" s="381"/>
      <c r="T38" s="381"/>
      <c r="U38" s="381"/>
      <c r="V38" s="381"/>
      <c r="W38" s="381"/>
      <c r="X38" s="381"/>
      <c r="Y38" s="1"/>
      <c r="Z38" s="1"/>
      <c r="AA38" s="1"/>
      <c r="AB38" s="1"/>
    </row>
    <row r="39" spans="1:34">
      <c r="N39" s="20" t="s">
        <v>49</v>
      </c>
      <c r="O39" s="54">
        <f>IF('PERHITUNGAN 13'!$E$12="Burn Engr",IF(O37&lt;=$AA$39,$AB$39,$AB$40),IF(O37&lt;=$AC$39,$AD$39,IF(O37&lt;=$AC$40,$AD$40,$AD$41)))</f>
        <v>0.02</v>
      </c>
      <c r="P39" s="54">
        <f>IF('PERHITUNGAN 13'!$E$12="Burn Engr",IF(P37&lt;=$AA$39,$AB$39,$AB$40),IF(P37&lt;=$AC$39,$AD$39,IF(P37&lt;=$AC$40,$AD$40,$AD$41)))</f>
        <v>7.0000000000000007E-2</v>
      </c>
      <c r="Q39" s="54">
        <f>IF('PERHITUNGAN 13'!$E$12="Burn Engr",IF(Q37&lt;=$AA$39,$AB$39,$AB$40),IF(Q37&lt;=$AC$39,$AD$39,IF(Q37&lt;=$AC$40,$AD$40,$AD$41)))</f>
        <v>7.0000000000000007E-2</v>
      </c>
      <c r="R39" s="54">
        <f>IF('PERHITUNGAN 13'!$E$12="Burn Engr",IF(R37&lt;=$AA$39,$AB$39,$AB$40),IF(R37&lt;=$AC$39,$AD$39,IF(R37&lt;=$AC$40,$AD$40,$AD$41)))</f>
        <v>7.0000000000000007E-2</v>
      </c>
      <c r="S39" s="54">
        <f>IF('PERHITUNGAN 13'!$E$12="Burn Engr",IF(S37&lt;=$AA$39,$AB$39,$AB$40),IF(S37&lt;=$AC$39,$AD$39,IF(S37&lt;=$AC$40,$AD$40,$AD$41)))</f>
        <v>7.0000000000000007E-2</v>
      </c>
      <c r="T39" s="54">
        <f>IF('PERHITUNGAN 13'!$E$12="Burn Engr",IF(T37&lt;=$AA$39,$AB$39,$AB$40),IF(T37&lt;=$AC$39,$AD$39,IF(T37&lt;=$AC$40,$AD$40,$AD$41)))</f>
        <v>7.0000000000000007E-2</v>
      </c>
      <c r="U39" s="54">
        <f>IF('PERHITUNGAN 13'!$E$12="Burn Engr",IF(U37&lt;=$AA$39,$AB$39,$AB$40),IF(U37&lt;=$AC$39,$AD$39,IF(U37&lt;=$AC$40,$AD$40,$AD$41)))</f>
        <v>7.0000000000000007E-2</v>
      </c>
      <c r="V39" s="54">
        <f>IF('PERHITUNGAN 13'!$E$12="Burn Engr",IF(V37&lt;=$AA$39,$AB$39,$AB$40),IF(V37&lt;=$AC$39,$AD$39,IF(V37&lt;=$AC$40,$AD$40,$AD$41)))</f>
        <v>7.0000000000000007E-2</v>
      </c>
      <c r="W39" s="54">
        <f>IF('PERHITUNGAN 13'!$E$12="Burn Engr",IF(W37&lt;=$AA$39,$AB$39,$AB$40),IF(W37&lt;=$AC$39,$AD$39,IF(W37&lt;=$AC$40,$AD$40,$AD$41)))</f>
        <v>0.02</v>
      </c>
      <c r="X39" s="54">
        <f>IF('PERHITUNGAN 13'!$E$12="Burn Engr",IF(X37&lt;=$AA$39,$AB$39,$AB$40),IF(X37&lt;=$AC$39,$AD$39,IF(X37&lt;=$AC$40,$AD$40,$AD$41)))</f>
        <v>0.02</v>
      </c>
      <c r="Y39" s="19"/>
      <c r="Z39" s="19"/>
      <c r="AA39" s="187">
        <f>IF($C$2="Celcius",Database!H3,(Database!H3*9/5)+32)</f>
        <v>0</v>
      </c>
      <c r="AB39" s="188">
        <f>IF($C$2="Celcius",Database!I3,(Database!I3*9/5))</f>
        <v>0.02</v>
      </c>
      <c r="AC39" s="139">
        <f>IF($C$2="Celcius",Database!L3,(Database!L3*9/5)+32)</f>
        <v>0</v>
      </c>
      <c r="AD39" s="139">
        <f>IF($C$2="Celcius",Database!M3,(Database!M3*9/5))</f>
        <v>0.05</v>
      </c>
    </row>
    <row r="40" spans="1:34">
      <c r="A40" s="2" t="s">
        <v>32</v>
      </c>
      <c r="B40" s="2"/>
      <c r="C40" s="2"/>
      <c r="D40" s="2"/>
      <c r="E40" s="2"/>
      <c r="F40" s="2"/>
      <c r="G40" s="2"/>
      <c r="N40" s="25" t="s">
        <v>50</v>
      </c>
      <c r="O40" s="25">
        <v>2</v>
      </c>
      <c r="P40" s="25">
        <v>2</v>
      </c>
      <c r="Q40" s="25">
        <v>2</v>
      </c>
      <c r="R40" s="25">
        <v>2</v>
      </c>
      <c r="S40" s="25">
        <v>2</v>
      </c>
      <c r="T40" s="25">
        <v>2</v>
      </c>
      <c r="U40" s="25">
        <v>2</v>
      </c>
      <c r="V40" s="25">
        <v>2</v>
      </c>
      <c r="W40" s="25">
        <v>2</v>
      </c>
      <c r="X40" s="25">
        <v>2</v>
      </c>
      <c r="Y40" s="19"/>
      <c r="Z40" s="19"/>
      <c r="AA40" s="187">
        <f>IF($C$2="Celcius",Database!H4,(Database!H4*9/5)+32)</f>
        <v>500</v>
      </c>
      <c r="AB40" s="188">
        <f>IF($C$2="Celcius",Database!I4,(Database!I4*9/5))</f>
        <v>7.0000000000000007E-2</v>
      </c>
      <c r="AC40" s="139">
        <f>IF($C$2="Celcius",Database!L4,(Database!L4*9/5)+32)</f>
        <v>250</v>
      </c>
      <c r="AD40" s="139">
        <f>IF($C$2="Celcius",Database!M4,(Database!M4*9/5))</f>
        <v>3.1E-2</v>
      </c>
    </row>
    <row r="41" spans="1:34">
      <c r="A41" s="39"/>
      <c r="B41" s="3" t="s">
        <v>65</v>
      </c>
      <c r="C41" s="382" t="s">
        <v>2</v>
      </c>
      <c r="D41" s="382"/>
      <c r="E41" s="39" t="s">
        <v>2</v>
      </c>
      <c r="F41" s="39" t="s">
        <v>2</v>
      </c>
      <c r="G41" s="39" t="s">
        <v>4</v>
      </c>
      <c r="H41" s="1"/>
      <c r="I41" s="1"/>
      <c r="N41" s="38" t="s">
        <v>28</v>
      </c>
      <c r="O41" s="37">
        <f>O39/O40</f>
        <v>0.01</v>
      </c>
      <c r="P41" s="37">
        <f t="shared" ref="P41:X41" si="1">P39/P40</f>
        <v>3.5000000000000003E-2</v>
      </c>
      <c r="Q41" s="37">
        <f t="shared" si="1"/>
        <v>3.5000000000000003E-2</v>
      </c>
      <c r="R41" s="37">
        <f>R39/R40</f>
        <v>3.5000000000000003E-2</v>
      </c>
      <c r="S41" s="37">
        <f t="shared" si="1"/>
        <v>3.5000000000000003E-2</v>
      </c>
      <c r="T41" s="37">
        <f t="shared" si="1"/>
        <v>3.5000000000000003E-2</v>
      </c>
      <c r="U41" s="37">
        <f t="shared" si="1"/>
        <v>3.5000000000000003E-2</v>
      </c>
      <c r="V41" s="37">
        <f t="shared" si="1"/>
        <v>3.5000000000000003E-2</v>
      </c>
      <c r="W41" s="37">
        <f t="shared" si="1"/>
        <v>0.01</v>
      </c>
      <c r="X41" s="37">
        <f t="shared" si="1"/>
        <v>0.01</v>
      </c>
      <c r="AA41" s="189"/>
      <c r="AB41" s="189"/>
      <c r="AC41" s="139">
        <f>IF($C$2="Celcius",Database!L5,(Database!L5*9/5)+32)</f>
        <v>400</v>
      </c>
      <c r="AD41" s="139">
        <f>IF($C$2="Celcius",Database!M5,(Database!M5*9/5))</f>
        <v>0.08</v>
      </c>
    </row>
    <row r="42" spans="1:34">
      <c r="A42" s="105" t="s">
        <v>0</v>
      </c>
      <c r="B42" s="71" t="s">
        <v>102</v>
      </c>
      <c r="C42" s="383" t="s">
        <v>3</v>
      </c>
      <c r="D42" s="383"/>
      <c r="E42" s="105" t="s">
        <v>1</v>
      </c>
      <c r="F42" s="105" t="s">
        <v>29</v>
      </c>
      <c r="G42" s="105" t="s">
        <v>5</v>
      </c>
      <c r="H42" s="1"/>
      <c r="I42" s="1"/>
      <c r="AA42" s="1"/>
      <c r="AB42" s="1"/>
    </row>
    <row r="43" spans="1:34" ht="13.5" customHeight="1">
      <c r="A43" s="9"/>
      <c r="B43" s="5" t="str">
        <f>IF($C$2="Celcius","(°C)","(°F)")</f>
        <v>(°C)</v>
      </c>
      <c r="C43" s="375" t="str">
        <f>CONCATENATE("r ", IF($C$2="Celcius","(°C)","(°F)"))</f>
        <v>r (°C)</v>
      </c>
      <c r="D43" s="375"/>
      <c r="E43" s="9" t="str">
        <f>CONCATENATE("t ", IF($C$2="Celcius","(°C)","(°F)"))</f>
        <v>t (°C)</v>
      </c>
      <c r="F43" s="9" t="str">
        <f>CONCATENATE("t ", IF($C$2="Celcius","(°C)","(°F)"))</f>
        <v>t (°C)</v>
      </c>
      <c r="G43" s="9" t="str">
        <f>IF($C$2="Celcius","(°C)","(°F)")</f>
        <v>(°C)</v>
      </c>
      <c r="H43" s="1"/>
      <c r="I43" s="1"/>
      <c r="N43" t="s">
        <v>10</v>
      </c>
      <c r="S43" s="35" t="s">
        <v>13</v>
      </c>
      <c r="W43" t="s">
        <v>169</v>
      </c>
      <c r="AA43" s="59"/>
      <c r="AB43" s="1"/>
    </row>
    <row r="44" spans="1:34" ht="13.5" customHeight="1">
      <c r="A44" s="105">
        <v>1</v>
      </c>
      <c r="B44" s="194">
        <v>-30</v>
      </c>
      <c r="C44" s="373">
        <v>-28.44</v>
      </c>
      <c r="D44" s="374"/>
      <c r="E44" s="90">
        <v>-29.808</v>
      </c>
      <c r="F44" s="37">
        <f>IF('PERHITUNGAN 13'!$E$12="Burn Engr",'PERHITUNGAN 13'!E44,E44+('regresi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-29.808</v>
      </c>
      <c r="G44" s="90">
        <f>F44-C44</f>
        <v>-1.3679999999999986</v>
      </c>
      <c r="H44" s="63"/>
      <c r="I44" s="63"/>
      <c r="N44" t="s">
        <v>11</v>
      </c>
      <c r="S44" s="35" t="s">
        <v>12</v>
      </c>
      <c r="AA44" s="1"/>
      <c r="AB44" s="1"/>
    </row>
    <row r="45" spans="1:34" ht="13.5" customHeight="1">
      <c r="A45" s="105"/>
      <c r="C45" s="373">
        <v>-28.44</v>
      </c>
      <c r="D45" s="374"/>
      <c r="E45" s="90">
        <v>-29.808</v>
      </c>
      <c r="F45" s="37">
        <f>IF('PERHITUNGAN 13'!$E$12="Burn Engr",'PERHITUNGAN 13'!E45,E45+('regresi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-29.808</v>
      </c>
      <c r="G45" s="90">
        <f>F45-C45</f>
        <v>-1.3679999999999986</v>
      </c>
      <c r="H45" s="63"/>
      <c r="I45" s="63"/>
      <c r="AB45" s="1"/>
    </row>
    <row r="46" spans="1:34" ht="13.5" customHeight="1">
      <c r="A46" s="105"/>
      <c r="C46" s="373">
        <v>-28.44</v>
      </c>
      <c r="D46" s="374"/>
      <c r="E46" s="90">
        <v>-29.808</v>
      </c>
      <c r="F46" s="37">
        <f>IF('PERHITUNGAN 13'!$E$12="Burn Engr",'PERHITUNGAN 13'!E46,E46+('regresi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-29.808</v>
      </c>
      <c r="G46" s="90">
        <f>F46-C46</f>
        <v>-1.3679999999999986</v>
      </c>
      <c r="H46" s="63"/>
      <c r="I46" s="63"/>
      <c r="L46" s="22"/>
      <c r="N46" s="387" t="s">
        <v>69</v>
      </c>
      <c r="O46" s="388"/>
      <c r="P46" s="388"/>
      <c r="Q46" s="388"/>
      <c r="R46" s="388"/>
      <c r="S46" s="388"/>
      <c r="T46" s="401" t="s">
        <v>113</v>
      </c>
      <c r="U46" s="402"/>
      <c r="V46" s="402"/>
      <c r="W46" s="402"/>
      <c r="X46" s="402"/>
      <c r="Y46" s="387"/>
    </row>
    <row r="47" spans="1:34" ht="15.5">
      <c r="A47" s="105"/>
      <c r="C47" s="373">
        <v>-28.44</v>
      </c>
      <c r="D47" s="374"/>
      <c r="E47" s="90">
        <v>-29.808</v>
      </c>
      <c r="F47" s="37">
        <f>IF('PERHITUNGAN 13'!$E$12="Burn Engr",'PERHITUNGAN 13'!E47,E47+('regresi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-29.808</v>
      </c>
      <c r="G47" s="90">
        <f>F47-C47</f>
        <v>-1.3679999999999986</v>
      </c>
      <c r="H47" s="63"/>
      <c r="I47" s="63"/>
      <c r="N47" s="25" t="str">
        <f>CONCATENATE("Suhu ", IF($C$2="Celcius","(°C)","(°F)"))</f>
        <v>Suhu (°C)</v>
      </c>
      <c r="O47" s="99" t="s">
        <v>28</v>
      </c>
      <c r="P47" s="100" t="s">
        <v>55</v>
      </c>
      <c r="Q47" s="100" t="s">
        <v>66</v>
      </c>
      <c r="R47" s="101" t="s">
        <v>8</v>
      </c>
      <c r="S47" s="102" t="s">
        <v>67</v>
      </c>
      <c r="T47" s="179" t="str">
        <f>CONCATENATE("Suhu ", IF($C$2="Celcius","(°C)","(°F)"))</f>
        <v>Suhu (°C)</v>
      </c>
      <c r="U47" s="99" t="s">
        <v>28</v>
      </c>
      <c r="V47" s="100" t="s">
        <v>55</v>
      </c>
      <c r="W47" s="100" t="s">
        <v>66</v>
      </c>
      <c r="X47" s="101" t="s">
        <v>8</v>
      </c>
      <c r="Y47" s="102" t="s">
        <v>67</v>
      </c>
    </row>
    <row r="48" spans="1:34" ht="15.5">
      <c r="A48" s="105"/>
      <c r="C48" s="373">
        <v>-28.44</v>
      </c>
      <c r="D48" s="374"/>
      <c r="E48" s="90">
        <v>-29.808</v>
      </c>
      <c r="F48" s="37">
        <f>IF('PERHITUNGAN 13'!$E$12="Burn Engr",'PERHITUNGAN 13'!E48,E48+('regresi PRT'!$P$40+('regresi PRT'!$P$41*E48)+('regresi PRT'!$P$42*(E48^2))+('regresi PRT'!$P$43*(E48^3))+('regresi PRT'!$P$44*(E48^4))+('regresi PRT'!$P$45*(E48^5))+('regresi PRT'!$P$46*(E48^6))+('regresi PRT'!$P$47*(E48^7))+('regresi PRT'!$P$48*(E48^8))+('regresi PRT'!$P$49*(E48^9))+('regresi PRT'!$P$50*(E48^10))))</f>
        <v>-29.808</v>
      </c>
      <c r="G48" s="90">
        <f>F48-C48</f>
        <v>-1.3679999999999986</v>
      </c>
      <c r="H48" s="63"/>
      <c r="I48" s="63"/>
      <c r="J48" s="15"/>
      <c r="N48" s="110">
        <f>IF($C$2="Celcius",Database!T3,(Database!T3*9/5)+32)</f>
        <v>30</v>
      </c>
      <c r="O48" s="39">
        <f>IF($C$2="Celcius",Database!U3,(Database!U3*9/5))</f>
        <v>0.7</v>
      </c>
      <c r="P48" s="197" t="s">
        <v>58</v>
      </c>
      <c r="Q48" s="39">
        <v>2</v>
      </c>
      <c r="R48" s="103">
        <v>60</v>
      </c>
      <c r="S48" s="161">
        <f t="shared" ref="S48:S53" si="2">O48/Q48</f>
        <v>0.35</v>
      </c>
      <c r="T48" s="3" t="str">
        <f>IF($C$2="Celcius",CONCATENATE(Database!W3,"~",Database!Y3),CONCATENATE((Database!W3*9/5)+32,"~",(Database!Y3*9/5)+32))</f>
        <v>50~100</v>
      </c>
      <c r="U48" s="39">
        <f>IF($C$2="Celcius",Database!Z3,(Database!Z3*9/5))</f>
        <v>0.7</v>
      </c>
      <c r="V48" s="39" t="s">
        <v>58</v>
      </c>
      <c r="W48" s="39">
        <v>2</v>
      </c>
      <c r="X48" s="103">
        <v>60</v>
      </c>
      <c r="Y48" s="104">
        <f>U48/W48</f>
        <v>0.35</v>
      </c>
    </row>
    <row r="49" spans="1:28" ht="15.5">
      <c r="A49" s="105"/>
      <c r="B49" s="4" t="s">
        <v>31</v>
      </c>
      <c r="C49" s="356">
        <f>AVERAGE(C44:D48)</f>
        <v>-28.440000000000005</v>
      </c>
      <c r="D49" s="357"/>
      <c r="E49" s="95">
        <f>AVERAGE(E44:E48)</f>
        <v>-29.808</v>
      </c>
      <c r="F49" s="95">
        <f>AVERAGE(F44:F48)</f>
        <v>-29.808</v>
      </c>
      <c r="G49" s="95">
        <f>SUM(G44:G48)/5</f>
        <v>-1.3679999999999986</v>
      </c>
      <c r="H49" s="63"/>
      <c r="I49" s="63"/>
      <c r="J49" s="15"/>
      <c r="N49" s="146">
        <f>IF($C$2="Celcius",Database!T4,(Database!T4*9/5)+32)</f>
        <v>50</v>
      </c>
      <c r="O49" s="105">
        <f>IF($C$2="Celcius",Database!U4,(Database!U4*9/5))</f>
        <v>0.7</v>
      </c>
      <c r="P49" s="198" t="s">
        <v>58</v>
      </c>
      <c r="Q49" s="105">
        <v>2</v>
      </c>
      <c r="R49" s="143">
        <v>60</v>
      </c>
      <c r="S49" s="144">
        <f t="shared" si="2"/>
        <v>0.35</v>
      </c>
      <c r="T49" s="5" t="str">
        <f>IF($C$2="Celcius",CONCATENATE(Database!W4,"~",Database!Y4),CONCATENATE((Database!W4*9/5)+32,"~",(Database!Y4*9/5)+32))</f>
        <v>150~350</v>
      </c>
      <c r="U49" s="9">
        <f>IF($C$2="Celcius",Database!Z4,(Database!Z4*9/5))</f>
        <v>1.1000000000000001</v>
      </c>
      <c r="V49" s="9" t="s">
        <v>58</v>
      </c>
      <c r="W49" s="9">
        <v>2</v>
      </c>
      <c r="X49" s="108">
        <v>60</v>
      </c>
      <c r="Y49" s="109">
        <f>U49/W49</f>
        <v>0.55000000000000004</v>
      </c>
    </row>
    <row r="50" spans="1:28" ht="15.5">
      <c r="A50" s="105"/>
      <c r="B50" s="4" t="s">
        <v>30</v>
      </c>
      <c r="C50" s="371"/>
      <c r="D50" s="372"/>
      <c r="E50" s="4"/>
      <c r="F50" s="4"/>
      <c r="G50" s="96">
        <f>_xlfn.STDEV.S(G44:G48)</f>
        <v>0</v>
      </c>
      <c r="H50" s="44"/>
      <c r="I50" s="63"/>
      <c r="J50" s="15"/>
      <c r="N50" s="146">
        <f>IF($C$2="Celcius",Database!T5,(Database!T5*9/5)+32)</f>
        <v>75</v>
      </c>
      <c r="O50" s="105">
        <f>IF($C$2="Celcius",Database!U5,(Database!U5*9/5))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9"/>
      <c r="B51" s="175" t="s">
        <v>6</v>
      </c>
      <c r="C51" s="358"/>
      <c r="D51" s="359"/>
      <c r="E51" s="5"/>
      <c r="F51" s="5"/>
      <c r="G51" s="97">
        <f>G50/SQRT(5)</f>
        <v>0</v>
      </c>
      <c r="H51" s="44"/>
      <c r="I51" s="63"/>
      <c r="J51" s="15"/>
      <c r="N51" s="146">
        <f>IF($C$2="Celcius",Database!T6,(Database!T6*9/5)+32)</f>
        <v>100</v>
      </c>
      <c r="O51" s="105">
        <f>IF($C$2="Celcius",Database!U6,(Database!U6*9/5))</f>
        <v>0.7</v>
      </c>
      <c r="P51" s="198" t="s">
        <v>58</v>
      </c>
      <c r="Q51" s="105">
        <v>2</v>
      </c>
      <c r="R51" s="143">
        <v>60</v>
      </c>
      <c r="S51" s="106">
        <f t="shared" si="2"/>
        <v>0.35</v>
      </c>
      <c r="T51" s="107"/>
    </row>
    <row r="52" spans="1:28" ht="15.5">
      <c r="A52" s="105">
        <v>2</v>
      </c>
      <c r="B52" s="194">
        <v>0</v>
      </c>
      <c r="C52" s="373">
        <v>5.27</v>
      </c>
      <c r="D52" s="374"/>
      <c r="E52" s="90">
        <v>0.192</v>
      </c>
      <c r="F52" s="37">
        <f>IF('PERHITUNGAN 13'!$E$12="Burn Engr",'PERHITUNGAN 13'!E52,E52+('regresi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0.192</v>
      </c>
      <c r="G52" s="90">
        <f>F52-C52</f>
        <v>-5.0779999999999994</v>
      </c>
      <c r="H52" s="63"/>
      <c r="I52" s="63"/>
      <c r="J52" s="15"/>
      <c r="N52" s="146">
        <f>IF($C$2="Celcius",Database!T7,(Database!T7*9/5)+32)</f>
        <v>150</v>
      </c>
      <c r="O52" s="105">
        <f>IF($C$2="Celcius",Database!U7,(Database!U7*9/5))</f>
        <v>1</v>
      </c>
      <c r="P52" s="198" t="s">
        <v>58</v>
      </c>
      <c r="Q52" s="105">
        <v>2</v>
      </c>
      <c r="R52" s="143">
        <v>60</v>
      </c>
      <c r="S52" s="106">
        <f t="shared" si="2"/>
        <v>0.5</v>
      </c>
      <c r="T52" s="107"/>
    </row>
    <row r="53" spans="1:28" ht="15.5">
      <c r="A53" s="10"/>
      <c r="C53" s="373">
        <v>5.27</v>
      </c>
      <c r="D53" s="374"/>
      <c r="E53" s="90">
        <v>0.192</v>
      </c>
      <c r="F53" s="37">
        <f>IF('PERHITUNGAN 13'!$E$12="Burn Engr",'PERHITUNGAN 13'!E53,E53+('regresi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0.192</v>
      </c>
      <c r="G53" s="90">
        <f>F53-C53</f>
        <v>-5.0779999999999994</v>
      </c>
      <c r="H53" s="63"/>
      <c r="I53" s="63"/>
      <c r="N53" s="159">
        <f>IF($C$2="Celcius",Database!T8,(Database!T8*9/5)+32)</f>
        <v>200</v>
      </c>
      <c r="O53" s="9">
        <f>IF($C$2="Celcius",Database!U8,(Database!U8*9/5))</f>
        <v>1</v>
      </c>
      <c r="P53" s="199" t="s">
        <v>58</v>
      </c>
      <c r="Q53" s="9">
        <v>2</v>
      </c>
      <c r="R53" s="108">
        <v>60</v>
      </c>
      <c r="S53" s="160">
        <f t="shared" si="2"/>
        <v>0.5</v>
      </c>
      <c r="T53" s="107"/>
    </row>
    <row r="54" spans="1:28" ht="15.5">
      <c r="A54" s="10"/>
      <c r="C54" s="373">
        <v>5.27</v>
      </c>
      <c r="D54" s="374"/>
      <c r="E54" s="90">
        <v>0.192</v>
      </c>
      <c r="F54" s="37">
        <f>IF('PERHITUNGAN 13'!$E$12="Burn Engr",'PERHITUNGAN 13'!E54,E54+('regresi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0.192</v>
      </c>
      <c r="G54" s="90">
        <f>F54-C54</f>
        <v>-5.0779999999999994</v>
      </c>
      <c r="H54" s="63"/>
      <c r="I54" s="63"/>
      <c r="L54" s="22"/>
      <c r="N54" s="45"/>
      <c r="O54" s="1"/>
      <c r="P54" s="182"/>
      <c r="Q54" s="1"/>
      <c r="R54" s="145"/>
      <c r="S54" s="22"/>
      <c r="AB54" s="1"/>
    </row>
    <row r="55" spans="1:28">
      <c r="A55" s="10"/>
      <c r="C55" s="373">
        <v>5.27</v>
      </c>
      <c r="D55" s="374"/>
      <c r="E55" s="90">
        <v>0.192</v>
      </c>
      <c r="F55" s="37">
        <f>IF('PERHITUNGAN 13'!$E$12="Burn Engr",'PERHITUNGAN 13'!E55,E55+('regresi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0.192</v>
      </c>
      <c r="G55" s="90">
        <f>F55-C55</f>
        <v>-5.0779999999999994</v>
      </c>
      <c r="H55" s="63"/>
      <c r="I55" s="63"/>
      <c r="AB55" s="1"/>
    </row>
    <row r="56" spans="1:28" ht="13.5" customHeight="1">
      <c r="A56" s="10"/>
      <c r="C56" s="373">
        <v>5.27</v>
      </c>
      <c r="D56" s="374"/>
      <c r="E56" s="90">
        <v>0.192</v>
      </c>
      <c r="F56" s="37">
        <f>IF('PERHITUNGAN 13'!$E$12="Burn Engr",'PERHITUNGAN 13'!E56,E56+('regresi PRT'!$P$40+('regresi PRT'!$P$41*E56)+('regresi PRT'!$P$42*(E56^2))+('regresi PRT'!$P$43*(E56^3))+('regresi PRT'!$P$44*(E56^4))+('regresi PRT'!$P$45*(E56^5))+('regresi PRT'!$P$46*(E56^6))+('regresi PRT'!$P$47*(E56^7))+('regresi PRT'!$P$48*(E56^8))+('regresi PRT'!$P$49*(E56^9))+('regresi PRT'!$P$50*(E56^10))))</f>
        <v>0.192</v>
      </c>
      <c r="G56" s="90">
        <f>F56-C56</f>
        <v>-5.0779999999999994</v>
      </c>
      <c r="H56" s="63"/>
      <c r="I56" s="63"/>
      <c r="N56" s="389" t="s">
        <v>190</v>
      </c>
      <c r="O56" s="384" t="str">
        <f>CONCATENATE("PENUNJUKKAN ALAT ", IF($C$2="Celcius","(°C)","(°F)"))</f>
        <v>PENUNJUKKAN ALAT (°C)</v>
      </c>
      <c r="P56" s="385"/>
      <c r="Q56" s="385"/>
      <c r="R56" s="385"/>
      <c r="S56" s="385"/>
      <c r="T56" s="385"/>
      <c r="U56" s="385"/>
      <c r="V56" s="385"/>
      <c r="W56" s="385"/>
      <c r="X56" s="386"/>
      <c r="AB56" s="1"/>
    </row>
    <row r="57" spans="1:28" ht="13.5" customHeight="1">
      <c r="A57" s="10"/>
      <c r="B57" s="8" t="s">
        <v>31</v>
      </c>
      <c r="C57" s="333">
        <f>AVERAGE(C52:D56)</f>
        <v>5.27</v>
      </c>
      <c r="D57" s="334"/>
      <c r="E57" s="95">
        <f>AVERAGE(E52:E56)</f>
        <v>0.192</v>
      </c>
      <c r="F57" s="95">
        <f>AVERAGE(F52:F56)</f>
        <v>0.192</v>
      </c>
      <c r="G57" s="95">
        <f>SUM(G52:G56)/5</f>
        <v>-5.0779999999999994</v>
      </c>
      <c r="H57" s="63"/>
      <c r="I57" s="63"/>
      <c r="N57" s="390"/>
      <c r="O57" s="115">
        <f>C49</f>
        <v>-28.440000000000005</v>
      </c>
      <c r="P57" s="115">
        <f>C57</f>
        <v>5.27</v>
      </c>
      <c r="Q57" s="115">
        <f>C65</f>
        <v>50.68</v>
      </c>
      <c r="R57" s="115">
        <f>C73</f>
        <v>100.84</v>
      </c>
      <c r="S57" s="115">
        <f>C81</f>
        <v>150.53</v>
      </c>
      <c r="T57" s="115">
        <f>C89</f>
        <v>199.93</v>
      </c>
      <c r="U57" s="115">
        <f>C97</f>
        <v>249.7</v>
      </c>
      <c r="V57" s="115">
        <f>C105</f>
        <v>259.73</v>
      </c>
      <c r="W57" s="116" t="e">
        <f>C113</f>
        <v>#DIV/0!</v>
      </c>
      <c r="X57" s="116" t="e">
        <f>C121</f>
        <v>#DIV/0!</v>
      </c>
      <c r="AB57" s="1"/>
    </row>
    <row r="58" spans="1:28" ht="13.5" customHeight="1">
      <c r="A58" s="10"/>
      <c r="B58" s="8" t="s">
        <v>30</v>
      </c>
      <c r="C58" s="261"/>
      <c r="D58" s="262"/>
      <c r="E58" s="42"/>
      <c r="F58" s="4"/>
      <c r="G58" s="96">
        <f>_xlfn.STDEV.S(G52:G56)</f>
        <v>0</v>
      </c>
      <c r="H58" s="44"/>
      <c r="I58" s="63"/>
      <c r="N58" s="25" t="s">
        <v>152</v>
      </c>
      <c r="O58" s="112">
        <f>$G$50/5^0.5</f>
        <v>0</v>
      </c>
      <c r="P58" s="112">
        <f>$G$58/5^0.5</f>
        <v>0</v>
      </c>
      <c r="Q58" s="112">
        <f>$G$66/5^0.5</f>
        <v>0</v>
      </c>
      <c r="R58" s="112">
        <f>$G$74/5^0.5</f>
        <v>0</v>
      </c>
      <c r="S58" s="112">
        <f>$G$82/5^0.5</f>
        <v>0</v>
      </c>
      <c r="T58" s="112">
        <f>$G$90/5^0.5</f>
        <v>0</v>
      </c>
      <c r="U58" s="112">
        <f>$G$98/5^0.5</f>
        <v>0</v>
      </c>
      <c r="V58" s="112">
        <f>$G$106/5^0.5</f>
        <v>0</v>
      </c>
      <c r="W58" s="112">
        <f>$G$114/5^0.5</f>
        <v>0</v>
      </c>
      <c r="X58" s="112">
        <f>$G$122/5^0.5</f>
        <v>0</v>
      </c>
      <c r="AB58" s="1"/>
    </row>
    <row r="59" spans="1:28">
      <c r="A59" s="7"/>
      <c r="B59" s="6" t="s">
        <v>27</v>
      </c>
      <c r="C59" s="230"/>
      <c r="D59" s="231"/>
      <c r="E59" s="43"/>
      <c r="F59" s="9"/>
      <c r="G59" s="97">
        <f>G58/SQRT(5)</f>
        <v>0</v>
      </c>
      <c r="H59" s="44"/>
      <c r="I59" s="63"/>
      <c r="N59" s="25" t="s">
        <v>153</v>
      </c>
      <c r="O59" s="113">
        <f>IF('DRAFT-SERTIF'!$O$27="Ya",'REGRESI 13'!$C$36,0)</f>
        <v>0.11852272321984848</v>
      </c>
      <c r="P59" s="113">
        <f>IF('DRAFT-SERTIF'!$O$27="Ya",'REGRESI 13'!$C$36,0)</f>
        <v>0.11852272321984848</v>
      </c>
      <c r="Q59" s="113">
        <f>IF('DRAFT-SERTIF'!$O$27="Ya",'REGRESI 13'!$C$36,0)</f>
        <v>0.11852272321984848</v>
      </c>
      <c r="R59" s="113">
        <f>IF('DRAFT-SERTIF'!$O$27="Ya",'REGRESI 13'!$C$36,0)</f>
        <v>0.11852272321984848</v>
      </c>
      <c r="S59" s="113">
        <f>IF('DRAFT-SERTIF'!$O$27="Ya",'REGRESI 13'!$C$36,0)</f>
        <v>0.11852272321984848</v>
      </c>
      <c r="T59" s="113">
        <f>IF('DRAFT-SERTIF'!$O$27="Ya",'REGRESI 13'!$C$36,0)</f>
        <v>0.11852272321984848</v>
      </c>
      <c r="U59" s="113">
        <f>IF('DRAFT-SERTIF'!$O$27="Ya",'REGRESI 13'!$C$36,0)</f>
        <v>0.11852272321984848</v>
      </c>
      <c r="V59" s="113">
        <f>IF('DRAFT-SERTIF'!$O$27="Ya",'REGRESI 13'!$C$36,0)</f>
        <v>0.11852272321984848</v>
      </c>
      <c r="W59" s="113">
        <f>IF('DRAFT-SERTIF'!$O$27="Ya",'REGRESI 13'!$C$36,0)</f>
        <v>0.11852272321984848</v>
      </c>
      <c r="X59" s="113">
        <f>IF('DRAFT-SERTIF'!$O$27="Ya",'REGRESI 13'!$C$36,0)</f>
        <v>0.11852272321984848</v>
      </c>
      <c r="AB59" s="1"/>
    </row>
    <row r="60" spans="1:28" ht="13.5" customHeight="1">
      <c r="A60" s="105">
        <v>3</v>
      </c>
      <c r="B60" s="196">
        <v>50</v>
      </c>
      <c r="C60" s="327">
        <v>50.68</v>
      </c>
      <c r="D60" s="327"/>
      <c r="E60" s="15">
        <v>50.347999999999999</v>
      </c>
      <c r="F60" s="37">
        <f>IF('PERHITUNGAN 13'!$E$12="Burn Engr",'PERHITUNGAN 13'!E60,E60+('regresi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50.347999999999999</v>
      </c>
      <c r="G60" s="90">
        <f>F60-C60</f>
        <v>-0.33200000000000074</v>
      </c>
      <c r="H60" s="63"/>
      <c r="I60" s="63"/>
      <c r="N60" s="25" t="s">
        <v>154</v>
      </c>
      <c r="O60" s="91">
        <f t="shared" ref="O60:X60" si="3">O41</f>
        <v>0.01</v>
      </c>
      <c r="P60" s="91">
        <f t="shared" si="3"/>
        <v>3.5000000000000003E-2</v>
      </c>
      <c r="Q60" s="91">
        <f t="shared" si="3"/>
        <v>3.5000000000000003E-2</v>
      </c>
      <c r="R60" s="91">
        <f t="shared" si="3"/>
        <v>3.5000000000000003E-2</v>
      </c>
      <c r="S60" s="91">
        <f t="shared" si="3"/>
        <v>3.5000000000000003E-2</v>
      </c>
      <c r="T60" s="91">
        <f t="shared" si="3"/>
        <v>3.5000000000000003E-2</v>
      </c>
      <c r="U60" s="91">
        <f t="shared" si="3"/>
        <v>3.5000000000000003E-2</v>
      </c>
      <c r="V60" s="91">
        <f t="shared" si="3"/>
        <v>3.5000000000000003E-2</v>
      </c>
      <c r="W60" s="91">
        <f t="shared" si="3"/>
        <v>0.01</v>
      </c>
      <c r="X60" s="91">
        <f t="shared" si="3"/>
        <v>0.01</v>
      </c>
    </row>
    <row r="61" spans="1:28">
      <c r="A61" s="10"/>
      <c r="C61" s="327">
        <v>50.68</v>
      </c>
      <c r="D61" s="327"/>
      <c r="E61" s="15">
        <v>50.347999999999999</v>
      </c>
      <c r="F61" s="37">
        <f>IF('PERHITUNGAN 13'!$E$12="Burn Engr",'PERHITUNGAN 13'!E61,E61+('regresi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50.347999999999999</v>
      </c>
      <c r="G61" s="90">
        <f>F61-C61</f>
        <v>-0.33200000000000074</v>
      </c>
      <c r="H61" s="63"/>
      <c r="I61" s="63"/>
      <c r="N61" s="133" t="s">
        <v>155</v>
      </c>
      <c r="O61" s="134">
        <f>'PERHITUNGAN 12'!O60</f>
        <v>1.5000000000000003E-2</v>
      </c>
      <c r="P61" s="134">
        <f>'PERHITUNGAN 12'!P60</f>
        <v>0.01</v>
      </c>
      <c r="Q61" s="134">
        <f>'PERHITUNGAN 12'!Q60</f>
        <v>5.0000000000000001E-3</v>
      </c>
      <c r="R61" s="134">
        <f>'PERHITUNGAN 12'!R60</f>
        <v>1.4999999999999999E-2</v>
      </c>
      <c r="S61" s="134">
        <f>'PERHITUNGAN 12'!S60</f>
        <v>5.0000000000000001E-3</v>
      </c>
      <c r="T61" s="134">
        <f>'PERHITUNGAN 12'!T60</f>
        <v>0.05</v>
      </c>
      <c r="U61" s="134">
        <f>'PERHITUNGAN 12'!U60</f>
        <v>0.05</v>
      </c>
      <c r="V61" s="134">
        <f>'PERHITUNGAN 12'!V60</f>
        <v>1.5000000000000003E-2</v>
      </c>
      <c r="W61" s="134">
        <f>'PERHITUNGAN 12'!W60</f>
        <v>1.4999999999999999E-2</v>
      </c>
      <c r="X61" s="134">
        <f>'PERHITUNGAN 12'!X60</f>
        <v>1.4999999999999999E-2</v>
      </c>
    </row>
    <row r="62" spans="1:28">
      <c r="A62" s="10"/>
      <c r="C62" s="327">
        <v>50.68</v>
      </c>
      <c r="D62" s="327"/>
      <c r="E62" s="15">
        <v>50.347999999999999</v>
      </c>
      <c r="F62" s="37">
        <f>IF('PERHITUNGAN 13'!$E$12="Burn Engr",'PERHITUNGAN 13'!E62,E62+('regresi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50.347999999999999</v>
      </c>
      <c r="G62" s="90">
        <f>F62-C62</f>
        <v>-0.33200000000000074</v>
      </c>
      <c r="H62" s="63"/>
      <c r="I62" s="63"/>
      <c r="N62" s="25" t="s">
        <v>156</v>
      </c>
      <c r="O62" s="20">
        <f t="shared" ref="O62:X62" si="4">(0.1*O39)/SQRT(3)</f>
        <v>1.1547005383792516E-3</v>
      </c>
      <c r="P62" s="20">
        <f t="shared" si="4"/>
        <v>4.041451884327381E-3</v>
      </c>
      <c r="Q62" s="20">
        <f t="shared" si="4"/>
        <v>4.041451884327381E-3</v>
      </c>
      <c r="R62" s="20">
        <f t="shared" si="4"/>
        <v>4.041451884327381E-3</v>
      </c>
      <c r="S62" s="20">
        <f t="shared" si="4"/>
        <v>4.041451884327381E-3</v>
      </c>
      <c r="T62" s="20">
        <f t="shared" si="4"/>
        <v>4.041451884327381E-3</v>
      </c>
      <c r="U62" s="20">
        <f t="shared" si="4"/>
        <v>4.041451884327381E-3</v>
      </c>
      <c r="V62" s="20">
        <f t="shared" si="4"/>
        <v>4.041451884327381E-3</v>
      </c>
      <c r="W62" s="20">
        <f t="shared" si="4"/>
        <v>1.1547005383792516E-3</v>
      </c>
      <c r="X62" s="20">
        <f t="shared" si="4"/>
        <v>1.1547005383792516E-3</v>
      </c>
    </row>
    <row r="63" spans="1:28">
      <c r="A63" s="10"/>
      <c r="C63" s="327">
        <v>50.68</v>
      </c>
      <c r="D63" s="327"/>
      <c r="E63" s="15">
        <v>50.347999999999999</v>
      </c>
      <c r="F63" s="37">
        <f>IF('PERHITUNGAN 13'!$E$12="Burn Engr",'PERHITUNGAN 13'!E63,E63+('regresi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50.347999999999999</v>
      </c>
      <c r="G63" s="90">
        <f>F63-C63</f>
        <v>-0.33200000000000074</v>
      </c>
      <c r="H63" s="63"/>
      <c r="I63" s="63"/>
      <c r="N63" s="25" t="s">
        <v>157</v>
      </c>
      <c r="O63" s="114">
        <f t="shared" ref="O63:X63" si="5">$T$29</f>
        <v>2.886751345948129E-3</v>
      </c>
      <c r="P63" s="114">
        <f t="shared" si="5"/>
        <v>2.886751345948129E-3</v>
      </c>
      <c r="Q63" s="114">
        <f t="shared" si="5"/>
        <v>2.886751345948129E-3</v>
      </c>
      <c r="R63" s="114">
        <f t="shared" si="5"/>
        <v>2.886751345948129E-3</v>
      </c>
      <c r="S63" s="114">
        <f t="shared" si="5"/>
        <v>2.886751345948129E-3</v>
      </c>
      <c r="T63" s="114">
        <f t="shared" si="5"/>
        <v>2.886751345948129E-3</v>
      </c>
      <c r="U63" s="114">
        <f t="shared" si="5"/>
        <v>2.886751345948129E-3</v>
      </c>
      <c r="V63" s="114">
        <f t="shared" si="5"/>
        <v>2.886751345948129E-3</v>
      </c>
      <c r="W63" s="114">
        <f t="shared" si="5"/>
        <v>2.886751345948129E-3</v>
      </c>
      <c r="X63" s="114">
        <f t="shared" si="5"/>
        <v>2.886751345948129E-3</v>
      </c>
    </row>
    <row r="64" spans="1:28">
      <c r="A64" s="10"/>
      <c r="C64" s="327">
        <v>50.68</v>
      </c>
      <c r="D64" s="327"/>
      <c r="E64" s="15">
        <v>50.347999999999999</v>
      </c>
      <c r="F64" s="37">
        <f>IF('PERHITUNGAN 13'!$E$12="Burn Engr",'PERHITUNGAN 13'!E64,E64+('regresi PRT'!$P$40+('regresi PRT'!$P$41*E64)+('regresi PRT'!$P$42*(E64^2))+('regresi PRT'!$P$43*(E64^3))+('regresi PRT'!$P$44*(E64^4))+('regresi PRT'!$P$45*(E64^5))+('regresi PRT'!$P$46*(E64^6))+('regresi PRT'!$P$47*(E64^7))+('regresi PRT'!$P$48*(E64^8))+('regresi PRT'!$P$49*(E64^9))+('regresi PRT'!$P$50*(E64^10))))</f>
        <v>50.347999999999999</v>
      </c>
      <c r="G64" s="90">
        <f>F64-C64</f>
        <v>-0.33200000000000074</v>
      </c>
      <c r="H64" s="63"/>
      <c r="I64" s="63"/>
      <c r="N64" s="25" t="s">
        <v>158</v>
      </c>
      <c r="O64" s="114">
        <f t="shared" ref="O64:X64" si="6">$T$27</f>
        <v>2.886751345948129E-4</v>
      </c>
      <c r="P64" s="114">
        <f t="shared" si="6"/>
        <v>2.886751345948129E-4</v>
      </c>
      <c r="Q64" s="114">
        <f t="shared" si="6"/>
        <v>2.886751345948129E-4</v>
      </c>
      <c r="R64" s="114">
        <f t="shared" si="6"/>
        <v>2.886751345948129E-4</v>
      </c>
      <c r="S64" s="114">
        <f t="shared" si="6"/>
        <v>2.886751345948129E-4</v>
      </c>
      <c r="T64" s="114">
        <f t="shared" si="6"/>
        <v>2.886751345948129E-4</v>
      </c>
      <c r="U64" s="114">
        <f t="shared" si="6"/>
        <v>2.886751345948129E-4</v>
      </c>
      <c r="V64" s="114">
        <f t="shared" si="6"/>
        <v>2.886751345948129E-4</v>
      </c>
      <c r="W64" s="114">
        <f t="shared" si="6"/>
        <v>2.886751345948129E-4</v>
      </c>
      <c r="X64" s="114">
        <f t="shared" si="6"/>
        <v>2.886751345948129E-4</v>
      </c>
    </row>
    <row r="65" spans="1:28">
      <c r="A65" s="10"/>
      <c r="B65" s="8" t="s">
        <v>31</v>
      </c>
      <c r="C65" s="333">
        <f>AVERAGE(C60:D64)</f>
        <v>50.68</v>
      </c>
      <c r="D65" s="334"/>
      <c r="E65" s="95">
        <f>AVERAGE(E60:E64)</f>
        <v>50.347999999999999</v>
      </c>
      <c r="F65" s="95">
        <f>SUM(F60:F64)/5</f>
        <v>50.347999999999999</v>
      </c>
      <c r="G65" s="95">
        <f>SUM(G60:G64)/5</f>
        <v>-0.33200000000000074</v>
      </c>
      <c r="H65" s="63"/>
      <c r="I65" s="63"/>
      <c r="N65" s="92"/>
      <c r="O65" s="117"/>
      <c r="P65" s="117"/>
      <c r="Q65" s="117"/>
      <c r="R65" s="117"/>
      <c r="S65" s="117"/>
      <c r="T65" s="117"/>
      <c r="U65" s="117"/>
      <c r="V65" s="117"/>
      <c r="W65" s="117"/>
      <c r="X65" s="117"/>
    </row>
    <row r="66" spans="1:28">
      <c r="A66" s="10"/>
      <c r="B66" s="8" t="s">
        <v>30</v>
      </c>
      <c r="C66" s="228"/>
      <c r="D66" s="229"/>
      <c r="E66" s="42"/>
      <c r="F66" s="42"/>
      <c r="G66" s="96">
        <f>_xlfn.STDEV.S(G60:G64)</f>
        <v>0</v>
      </c>
      <c r="H66" s="44"/>
      <c r="I66" s="63"/>
      <c r="N66" s="25" t="s">
        <v>159</v>
      </c>
      <c r="O66" s="25">
        <v>4</v>
      </c>
      <c r="P66" s="25">
        <v>4</v>
      </c>
      <c r="Q66" s="25">
        <v>4</v>
      </c>
      <c r="R66" s="25">
        <v>4</v>
      </c>
      <c r="S66" s="25">
        <v>4</v>
      </c>
      <c r="T66" s="25">
        <v>4</v>
      </c>
      <c r="U66" s="25">
        <v>4</v>
      </c>
      <c r="V66" s="25">
        <v>4</v>
      </c>
      <c r="W66" s="25">
        <v>4</v>
      </c>
      <c r="X66" s="25">
        <v>4</v>
      </c>
    </row>
    <row r="67" spans="1:28">
      <c r="A67" s="7"/>
      <c r="B67" s="6" t="s">
        <v>27</v>
      </c>
      <c r="C67" s="230"/>
      <c r="D67" s="231"/>
      <c r="E67" s="73"/>
      <c r="F67" s="73"/>
      <c r="G67" s="97">
        <f>G66/SQRT(5)</f>
        <v>0</v>
      </c>
      <c r="H67" s="44"/>
      <c r="I67" s="63"/>
      <c r="N67" s="25" t="s">
        <v>160</v>
      </c>
      <c r="O67" s="53">
        <f>10^10</f>
        <v>10000000000</v>
      </c>
      <c r="P67" s="53">
        <f t="shared" ref="P67:X67" si="7">10^10</f>
        <v>10000000000</v>
      </c>
      <c r="Q67" s="53">
        <f t="shared" si="7"/>
        <v>10000000000</v>
      </c>
      <c r="R67" s="53">
        <f t="shared" si="7"/>
        <v>10000000000</v>
      </c>
      <c r="S67" s="53">
        <f t="shared" si="7"/>
        <v>10000000000</v>
      </c>
      <c r="T67" s="53">
        <f t="shared" si="7"/>
        <v>10000000000</v>
      </c>
      <c r="U67" s="53">
        <f t="shared" si="7"/>
        <v>10000000000</v>
      </c>
      <c r="V67" s="53">
        <f t="shared" si="7"/>
        <v>10000000000</v>
      </c>
      <c r="W67" s="53">
        <f t="shared" si="7"/>
        <v>10000000000</v>
      </c>
      <c r="X67" s="53">
        <f t="shared" si="7"/>
        <v>10000000000</v>
      </c>
    </row>
    <row r="68" spans="1:28">
      <c r="A68" s="105">
        <v>4</v>
      </c>
      <c r="B68" s="196">
        <v>100</v>
      </c>
      <c r="C68" s="327">
        <v>100.84</v>
      </c>
      <c r="D68" s="327"/>
      <c r="E68" s="90">
        <v>99.888000000000005</v>
      </c>
      <c r="F68" s="37">
        <f>IF('PERHITUNGAN 13'!$E$12="Burn Engr",'PERHITUNGAN 13'!E68,E68+('regresi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99.888000000000005</v>
      </c>
      <c r="G68" s="90">
        <f>F68-C68</f>
        <v>-0.95199999999999818</v>
      </c>
      <c r="H68" s="63"/>
      <c r="I68" s="63"/>
      <c r="N68" s="25" t="s">
        <v>161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</row>
    <row r="69" spans="1:28" ht="13.5" customHeight="1">
      <c r="A69" s="10"/>
      <c r="C69" s="327">
        <v>100.84</v>
      </c>
      <c r="D69" s="327"/>
      <c r="E69" s="90">
        <v>99.888000000000005</v>
      </c>
      <c r="F69" s="37">
        <f>IF('PERHITUNGAN 13'!$E$12="Burn Engr",'PERHITUNGAN 13'!E69,E69+('regresi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99.888000000000005</v>
      </c>
      <c r="G69" s="90">
        <f>F69-C69</f>
        <v>-0.95199999999999818</v>
      </c>
      <c r="H69" s="63"/>
      <c r="I69" s="63"/>
      <c r="N69" s="25" t="s">
        <v>162</v>
      </c>
      <c r="O69" s="25">
        <v>60</v>
      </c>
      <c r="P69" s="25">
        <v>60</v>
      </c>
      <c r="Q69" s="25">
        <v>60</v>
      </c>
      <c r="R69" s="25">
        <v>60</v>
      </c>
      <c r="S69" s="25">
        <v>60</v>
      </c>
      <c r="T69" s="25">
        <v>60</v>
      </c>
      <c r="U69" s="25">
        <v>60</v>
      </c>
      <c r="V69" s="25">
        <v>60</v>
      </c>
      <c r="W69" s="25">
        <v>60</v>
      </c>
      <c r="X69" s="25">
        <v>60</v>
      </c>
      <c r="AB69" s="1"/>
    </row>
    <row r="70" spans="1:28">
      <c r="A70" s="10"/>
      <c r="C70" s="327">
        <v>100.84</v>
      </c>
      <c r="D70" s="327"/>
      <c r="E70" s="90">
        <v>99.888000000000005</v>
      </c>
      <c r="F70" s="37">
        <f>IF('PERHITUNGAN 13'!$E$12="Burn Engr",'PERHITUNGAN 13'!E70,E70+('regresi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99.888000000000005</v>
      </c>
      <c r="G70" s="90">
        <f>F70-C70</f>
        <v>-0.95199999999999818</v>
      </c>
      <c r="H70" s="63"/>
      <c r="I70" s="63"/>
      <c r="N70" s="25" t="s">
        <v>163</v>
      </c>
      <c r="O70" s="53">
        <f t="shared" ref="O70:X72" si="8">10^10</f>
        <v>10000000000</v>
      </c>
      <c r="P70" s="53">
        <f t="shared" si="8"/>
        <v>10000000000</v>
      </c>
      <c r="Q70" s="53">
        <f t="shared" si="8"/>
        <v>10000000000</v>
      </c>
      <c r="R70" s="53">
        <f t="shared" si="8"/>
        <v>10000000000</v>
      </c>
      <c r="S70" s="53">
        <f t="shared" si="8"/>
        <v>10000000000</v>
      </c>
      <c r="T70" s="53">
        <f t="shared" si="8"/>
        <v>10000000000</v>
      </c>
      <c r="U70" s="53">
        <f t="shared" si="8"/>
        <v>10000000000</v>
      </c>
      <c r="V70" s="53">
        <f t="shared" si="8"/>
        <v>10000000000</v>
      </c>
      <c r="W70" s="53">
        <f t="shared" si="8"/>
        <v>10000000000</v>
      </c>
      <c r="X70" s="53">
        <f t="shared" si="8"/>
        <v>10000000000</v>
      </c>
      <c r="AB70" s="1"/>
    </row>
    <row r="71" spans="1:28">
      <c r="A71" s="10"/>
      <c r="C71" s="327">
        <v>100.84</v>
      </c>
      <c r="D71" s="327"/>
      <c r="E71" s="90">
        <v>99.888000000000005</v>
      </c>
      <c r="F71" s="37">
        <f>IF('PERHITUNGAN 13'!$E$12="Burn Engr",'PERHITUNGAN 13'!E71,E71+('regresi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99.888000000000005</v>
      </c>
      <c r="G71" s="90">
        <f>F71-C71</f>
        <v>-0.95199999999999818</v>
      </c>
      <c r="H71" s="63"/>
      <c r="I71" s="63"/>
      <c r="N71" s="25" t="s">
        <v>164</v>
      </c>
      <c r="O71" s="53">
        <f t="shared" si="8"/>
        <v>10000000000</v>
      </c>
      <c r="P71" s="53">
        <f t="shared" si="8"/>
        <v>10000000000</v>
      </c>
      <c r="Q71" s="53">
        <f t="shared" si="8"/>
        <v>10000000000</v>
      </c>
      <c r="R71" s="53">
        <f t="shared" si="8"/>
        <v>10000000000</v>
      </c>
      <c r="S71" s="53">
        <f t="shared" si="8"/>
        <v>10000000000</v>
      </c>
      <c r="T71" s="53">
        <f t="shared" si="8"/>
        <v>10000000000</v>
      </c>
      <c r="U71" s="53">
        <f t="shared" si="8"/>
        <v>10000000000</v>
      </c>
      <c r="V71" s="53">
        <f t="shared" si="8"/>
        <v>10000000000</v>
      </c>
      <c r="W71" s="53">
        <f t="shared" si="8"/>
        <v>10000000000</v>
      </c>
      <c r="X71" s="53">
        <f t="shared" si="8"/>
        <v>10000000000</v>
      </c>
      <c r="AB71" s="1"/>
    </row>
    <row r="72" spans="1:28">
      <c r="A72" s="10"/>
      <c r="C72" s="327">
        <v>100.84</v>
      </c>
      <c r="D72" s="327"/>
      <c r="E72" s="90">
        <v>99.888000000000005</v>
      </c>
      <c r="F72" s="37">
        <f>IF('PERHITUNGAN 13'!$E$12="Burn Engr",'PERHITUNGAN 13'!E72,E72+('regresi PRT'!$P$40+('regresi PRT'!$P$41*E72)+('regresi PRT'!$P$42*(E72^2))+('regresi PRT'!$P$43*(E72^3))+('regresi PRT'!$P$44*(E72^4))+('regresi PRT'!$P$45*(E72^5))+('regresi PRT'!$P$46*(E72^6))+('regresi PRT'!$P$47*(E72^7))+('regresi PRT'!$P$48*(E72^8))+('regresi PRT'!$P$49*(E72^9))+('regresi PRT'!$P$50*(E72^10))))</f>
        <v>99.888000000000005</v>
      </c>
      <c r="G72" s="90">
        <f>F72-C72</f>
        <v>-0.95199999999999818</v>
      </c>
      <c r="H72" s="63"/>
      <c r="I72" s="63"/>
      <c r="N72" s="25" t="s">
        <v>165</v>
      </c>
      <c r="O72" s="53">
        <f t="shared" si="8"/>
        <v>10000000000</v>
      </c>
      <c r="P72" s="53">
        <f t="shared" si="8"/>
        <v>10000000000</v>
      </c>
      <c r="Q72" s="53">
        <f t="shared" si="8"/>
        <v>10000000000</v>
      </c>
      <c r="R72" s="53">
        <f t="shared" si="8"/>
        <v>10000000000</v>
      </c>
      <c r="S72" s="53">
        <f t="shared" si="8"/>
        <v>10000000000</v>
      </c>
      <c r="T72" s="53">
        <f t="shared" si="8"/>
        <v>10000000000</v>
      </c>
      <c r="U72" s="53">
        <f t="shared" si="8"/>
        <v>10000000000</v>
      </c>
      <c r="V72" s="53">
        <f t="shared" si="8"/>
        <v>10000000000</v>
      </c>
      <c r="W72" s="53">
        <f t="shared" si="8"/>
        <v>10000000000</v>
      </c>
      <c r="X72" s="53">
        <f t="shared" si="8"/>
        <v>10000000000</v>
      </c>
      <c r="AB72" s="1"/>
    </row>
    <row r="73" spans="1:28">
      <c r="A73" s="10"/>
      <c r="B73" s="8" t="s">
        <v>31</v>
      </c>
      <c r="C73" s="333">
        <f>AVERAGE(C68:D72)</f>
        <v>100.84</v>
      </c>
      <c r="D73" s="334"/>
      <c r="E73" s="95">
        <f>AVERAGE(E68:E72)</f>
        <v>99.888000000000005</v>
      </c>
      <c r="F73" s="95">
        <f>SUM(F68:F72)/5</f>
        <v>99.888000000000005</v>
      </c>
      <c r="G73" s="95">
        <f>SUM(G68:G72)/5</f>
        <v>-0.95199999999999818</v>
      </c>
      <c r="H73" s="63"/>
      <c r="I73" s="63"/>
      <c r="N73" s="111" t="s">
        <v>168</v>
      </c>
      <c r="O73" s="118">
        <f>SQRT((O58^2)+(O59^2)+(O60^2)+(O61^2)+(O62^2)+(O63^2)+(O64^2))</f>
        <v>0.11992658554069156</v>
      </c>
      <c r="P73" s="118">
        <f t="shared" ref="P73:X73" si="9">SQRT((P58^2)+(P59^2)+(P60^2)+(P61^2)+(P62^2)+(P63^2)+(P64^2))</f>
        <v>0.12408620358222268</v>
      </c>
      <c r="Q73" s="118">
        <f t="shared" si="9"/>
        <v>0.12378362540921482</v>
      </c>
      <c r="R73" s="118">
        <f t="shared" si="9"/>
        <v>0.12458886755825663</v>
      </c>
      <c r="S73" s="118">
        <f t="shared" si="9"/>
        <v>0.12378362540921482</v>
      </c>
      <c r="T73" s="118">
        <f t="shared" si="9"/>
        <v>0.13340684360050203</v>
      </c>
      <c r="U73" s="118">
        <f t="shared" si="9"/>
        <v>0.13340684360050203</v>
      </c>
      <c r="V73" s="118">
        <f t="shared" si="9"/>
        <v>0.12458886755825663</v>
      </c>
      <c r="W73" s="118">
        <f t="shared" si="9"/>
        <v>0.11992658554069156</v>
      </c>
      <c r="X73" s="118">
        <f t="shared" si="9"/>
        <v>0.11992658554069156</v>
      </c>
      <c r="AB73" s="1"/>
    </row>
    <row r="74" spans="1:28">
      <c r="A74" s="10"/>
      <c r="B74" s="8" t="s">
        <v>30</v>
      </c>
      <c r="C74" s="228"/>
      <c r="D74" s="229"/>
      <c r="E74" s="42"/>
      <c r="F74" s="42"/>
      <c r="G74" s="96">
        <f>_xlfn.STDEV.S(G68:G72)</f>
        <v>0</v>
      </c>
      <c r="H74" s="63"/>
      <c r="I74" s="63"/>
      <c r="N74" s="119" t="s">
        <v>167</v>
      </c>
      <c r="O74" s="120">
        <f>(O73^4)/((O58^4/O66)+(O59^4/O67)+(O60^4/O68)+(O61^4/O69)+(O62^4/O70)+(O63^4/O71)+(O64^4/O72))</f>
        <v>204716.52117676704</v>
      </c>
      <c r="P74" s="120">
        <f t="shared" ref="P74:X74" si="10">(P73^4)/((P58^4/P66)+(P59^4/P67)+(P60^4/P68)+(P61^4/P69)+(P62^4/P70)+(P63^4/P71)+(P64^4/P72))</f>
        <v>9416.4722812540203</v>
      </c>
      <c r="Q74" s="120">
        <f t="shared" si="10"/>
        <v>9383.1936759345881</v>
      </c>
      <c r="R74" s="120">
        <f t="shared" si="10"/>
        <v>9319.3597702782208</v>
      </c>
      <c r="S74" s="120">
        <f t="shared" si="10"/>
        <v>9383.1936759345881</v>
      </c>
      <c r="T74" s="120">
        <f t="shared" si="10"/>
        <v>2452.0362978071348</v>
      </c>
      <c r="U74" s="120">
        <f t="shared" si="10"/>
        <v>2452.0362978071348</v>
      </c>
      <c r="V74" s="120">
        <f t="shared" si="10"/>
        <v>9319.3597702782208</v>
      </c>
      <c r="W74" s="120">
        <f t="shared" si="10"/>
        <v>204716.52117676713</v>
      </c>
      <c r="X74" s="120">
        <f t="shared" si="10"/>
        <v>204716.52117676713</v>
      </c>
      <c r="AB74" s="1"/>
    </row>
    <row r="75" spans="1:28">
      <c r="A75" s="7"/>
      <c r="B75" s="6" t="s">
        <v>27</v>
      </c>
      <c r="C75" s="230"/>
      <c r="D75" s="231"/>
      <c r="E75" s="73"/>
      <c r="F75" s="73"/>
      <c r="G75" s="97">
        <f>G74/SQRT(5)</f>
        <v>0</v>
      </c>
      <c r="H75" s="63"/>
      <c r="I75" s="63"/>
      <c r="L75" s="22"/>
      <c r="N75" s="122" t="s">
        <v>7</v>
      </c>
      <c r="O75" s="123">
        <f>_xlfn.T.INV.2T(0.05,O74)</f>
        <v>1.9599755727109955</v>
      </c>
      <c r="P75" s="123">
        <f t="shared" ref="P75:X75" si="11">_xlfn.T.INV.2T(0.05,P74)</f>
        <v>1.9602159568222499</v>
      </c>
      <c r="Q75" s="123">
        <f t="shared" si="11"/>
        <v>1.9602168431212645</v>
      </c>
      <c r="R75" s="123">
        <f t="shared" si="11"/>
        <v>1.9602185798967604</v>
      </c>
      <c r="S75" s="123">
        <f t="shared" si="11"/>
        <v>1.9602168431212645</v>
      </c>
      <c r="T75" s="123">
        <f t="shared" si="11"/>
        <v>1.9609319383558139</v>
      </c>
      <c r="U75" s="123">
        <f t="shared" si="11"/>
        <v>1.9609319383558139</v>
      </c>
      <c r="V75" s="123">
        <f t="shared" si="11"/>
        <v>1.9602185798967604</v>
      </c>
      <c r="W75" s="123">
        <f t="shared" si="11"/>
        <v>1.9599755727109955</v>
      </c>
      <c r="X75" s="123">
        <f t="shared" si="11"/>
        <v>1.9599755727109955</v>
      </c>
      <c r="Z75" s="124"/>
      <c r="AB75" s="1"/>
    </row>
    <row r="76" spans="1:28">
      <c r="A76" s="105">
        <v>5</v>
      </c>
      <c r="B76" s="196">
        <v>150</v>
      </c>
      <c r="C76" s="327">
        <v>150.53</v>
      </c>
      <c r="D76" s="327"/>
      <c r="E76" s="90">
        <v>149.71799999999999</v>
      </c>
      <c r="F76" s="37">
        <f>IF('PERHITUNGAN 13'!$E$12="Burn Engr",'PERHITUNGAN 13'!E76,E76+('regresi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149.71799999999999</v>
      </c>
      <c r="G76" s="90">
        <f>F76-C76</f>
        <v>-0.81200000000001182</v>
      </c>
      <c r="H76" s="63"/>
      <c r="I76" s="63"/>
      <c r="N76" s="53"/>
      <c r="O76" s="20"/>
      <c r="P76" s="20"/>
      <c r="Q76" s="20"/>
      <c r="R76" s="20"/>
      <c r="S76" s="20"/>
      <c r="T76" s="20"/>
      <c r="U76" s="20"/>
      <c r="V76" s="20"/>
      <c r="W76" s="20"/>
      <c r="X76" s="20"/>
      <c r="AB76" s="1"/>
    </row>
    <row r="77" spans="1:28">
      <c r="A77" s="10"/>
      <c r="C77" s="327">
        <v>150.53</v>
      </c>
      <c r="D77" s="327"/>
      <c r="E77" s="90">
        <v>149.71799999999999</v>
      </c>
      <c r="F77" s="37">
        <f>IF('PERHITUNGAN 13'!$E$12="Burn Engr",'PERHITUNGAN 13'!E77,E77+('regresi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149.71799999999999</v>
      </c>
      <c r="G77" s="90">
        <f>F77-C77</f>
        <v>-0.81200000000001182</v>
      </c>
      <c r="H77" s="63"/>
      <c r="I77" s="63"/>
      <c r="N77" s="111" t="s">
        <v>166</v>
      </c>
      <c r="O77" s="121">
        <f t="shared" ref="O77:X77" si="12">O73*O75</f>
        <v>0.23505317817839114</v>
      </c>
      <c r="P77" s="121">
        <f t="shared" si="12"/>
        <v>0.24323575628336713</v>
      </c>
      <c r="Q77" s="121">
        <f t="shared" si="12"/>
        <v>0.24264274742975622</v>
      </c>
      <c r="R77" s="121">
        <f t="shared" si="12"/>
        <v>0.24422141303599137</v>
      </c>
      <c r="S77" s="121">
        <f t="shared" si="12"/>
        <v>0.24264274742975622</v>
      </c>
      <c r="T77" s="121">
        <f t="shared" si="12"/>
        <v>0.26160174041146339</v>
      </c>
      <c r="U77" s="121">
        <f t="shared" si="12"/>
        <v>0.26160174041146339</v>
      </c>
      <c r="V77" s="121">
        <f t="shared" si="12"/>
        <v>0.24422141303599137</v>
      </c>
      <c r="W77" s="121">
        <f t="shared" si="12"/>
        <v>0.23505317817839114</v>
      </c>
      <c r="X77" s="121">
        <f t="shared" si="12"/>
        <v>0.23505317817839114</v>
      </c>
      <c r="AB77" s="1"/>
    </row>
    <row r="78" spans="1:28">
      <c r="A78" s="10"/>
      <c r="C78" s="327">
        <v>150.53</v>
      </c>
      <c r="D78" s="327"/>
      <c r="E78" s="90">
        <v>149.71799999999999</v>
      </c>
      <c r="F78" s="37">
        <f>IF('PERHITUNGAN 13'!$E$12="Burn Engr",'PERHITUNGAN 13'!E78,E78+('regresi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149.71799999999999</v>
      </c>
      <c r="G78" s="90">
        <f>F78-C78</f>
        <v>-0.81200000000001182</v>
      </c>
      <c r="H78" s="63"/>
      <c r="I78" s="63"/>
      <c r="AB78" s="1"/>
    </row>
    <row r="79" spans="1:28">
      <c r="A79" s="10"/>
      <c r="C79" s="327">
        <v>150.53</v>
      </c>
      <c r="D79" s="327"/>
      <c r="E79" s="90">
        <v>149.71799999999999</v>
      </c>
      <c r="F79" s="37">
        <f>IF('PERHITUNGAN 13'!$E$12="Burn Engr",'PERHITUNGAN 13'!E79,E79+('regresi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149.71799999999999</v>
      </c>
      <c r="G79" s="90">
        <f>F79-C79</f>
        <v>-0.81200000000001182</v>
      </c>
      <c r="H79" s="26"/>
      <c r="I79" s="26"/>
      <c r="AB79" s="1"/>
    </row>
    <row r="80" spans="1:28">
      <c r="A80" s="10"/>
      <c r="C80" s="327">
        <v>150.53</v>
      </c>
      <c r="D80" s="327"/>
      <c r="E80" s="90">
        <v>149.71799999999999</v>
      </c>
      <c r="F80" s="37">
        <f>IF('PERHITUNGAN 13'!$E$12="Burn Engr",'PERHITUNGAN 13'!E80,E80+('regresi PRT'!$P$40+('regresi PRT'!$P$41*E80)+('regresi PRT'!$P$42*(E80^2))+('regresi PRT'!$P$43*(E80^3))+('regresi PRT'!$P$44*(E80^4))+('regresi PRT'!$P$45*(E80^5))+('regresi PRT'!$P$46*(E80^6))+('regresi PRT'!$P$47*(E80^7))+('regresi PRT'!$P$48*(E80^8))+('regresi PRT'!$P$49*(E80^9))+('regresi PRT'!$P$50*(E80^10))))</f>
        <v>149.71799999999999</v>
      </c>
      <c r="G80" s="90">
        <f>F80-C80</f>
        <v>-0.81200000000001182</v>
      </c>
      <c r="AB80" s="1"/>
    </row>
    <row r="81" spans="1:28">
      <c r="A81" s="10"/>
      <c r="B81" s="8" t="s">
        <v>31</v>
      </c>
      <c r="C81" s="333">
        <f>AVERAGE(C76:D80)</f>
        <v>150.53</v>
      </c>
      <c r="D81" s="334"/>
      <c r="E81" s="95">
        <f>AVERAGE(E76:E80)</f>
        <v>149.71799999999999</v>
      </c>
      <c r="F81" s="95">
        <f>SUM(F76:F80)/5</f>
        <v>149.71799999999999</v>
      </c>
      <c r="G81" s="95">
        <f>SUM(G76:G80)/5</f>
        <v>-0.81200000000001182</v>
      </c>
      <c r="AB81" s="1"/>
    </row>
    <row r="82" spans="1:28">
      <c r="A82" s="10"/>
      <c r="B82" s="8" t="s">
        <v>30</v>
      </c>
      <c r="C82" s="228"/>
      <c r="D82" s="229"/>
      <c r="E82" s="42"/>
      <c r="F82" s="42"/>
      <c r="G82" s="96">
        <f>_xlfn.STDEV.S(G76:G80)</f>
        <v>0</v>
      </c>
      <c r="AB82" s="1"/>
    </row>
    <row r="83" spans="1:28">
      <c r="A83" s="7"/>
      <c r="B83" s="6" t="s">
        <v>27</v>
      </c>
      <c r="C83" s="230"/>
      <c r="D83" s="231"/>
      <c r="E83" s="73"/>
      <c r="F83" s="73"/>
      <c r="G83" s="97">
        <f>G82/SQRT(5)</f>
        <v>0</v>
      </c>
      <c r="H83" s="26"/>
      <c r="I83" s="26"/>
      <c r="L83" s="22"/>
      <c r="N83" s="12" t="s">
        <v>34</v>
      </c>
      <c r="AB83" s="1"/>
    </row>
    <row r="84" spans="1:28">
      <c r="A84" s="105">
        <v>6</v>
      </c>
      <c r="B84" s="196">
        <v>200</v>
      </c>
      <c r="C84" s="327">
        <v>199.93</v>
      </c>
      <c r="D84" s="327"/>
      <c r="E84" s="90">
        <v>199.464</v>
      </c>
      <c r="F84" s="37">
        <f>IF('PERHITUNGAN 13'!$E$12="Burn Engr",'PERHITUNGAN 13'!E84,E84+('regresi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199.464</v>
      </c>
      <c r="G84" s="40">
        <f>F84-C84</f>
        <v>-0.46600000000000819</v>
      </c>
      <c r="H84" s="26"/>
      <c r="I84" s="26"/>
      <c r="N84" s="391" t="str">
        <f>CONCATENATE("Penunjukan Alat ", IF($C$2="Celcius","(°C)","(°F)"))</f>
        <v>Penunjukan Alat (°C)</v>
      </c>
      <c r="O84" s="393" t="str">
        <f>CONCATENATE("Koreksi Pengamatan ", IF($C$2="Celcius","(°C)","(°F)"))</f>
        <v>Koreksi Pengamatan (°C)</v>
      </c>
      <c r="P84" s="394"/>
      <c r="Q84" s="397" t="str">
        <f>CONCATENATE("Penunjukan sebenarnya ", IF($C$2="Celcius","(°C)","(°F)"))</f>
        <v>Penunjukan sebenarnya (°C)</v>
      </c>
      <c r="R84" s="398"/>
      <c r="S84" s="352" t="s">
        <v>28</v>
      </c>
      <c r="T84" s="353"/>
      <c r="AB84" s="1"/>
    </row>
    <row r="85" spans="1:28">
      <c r="A85" s="10"/>
      <c r="C85" s="327">
        <v>199.93</v>
      </c>
      <c r="D85" s="327"/>
      <c r="E85" s="90">
        <v>199.464</v>
      </c>
      <c r="F85" s="37">
        <f>IF('PERHITUNGAN 13'!$E$12="Burn Engr",'PERHITUNGAN 13'!E85,E85+('regresi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199.464</v>
      </c>
      <c r="G85" s="40">
        <f>F85-C85</f>
        <v>-0.46600000000000819</v>
      </c>
      <c r="H85" s="26"/>
      <c r="I85" s="26"/>
      <c r="N85" s="392"/>
      <c r="O85" s="395"/>
      <c r="P85" s="396"/>
      <c r="Q85" s="399"/>
      <c r="R85" s="400"/>
      <c r="S85" s="350" t="str">
        <f>IF($C$2="Celcius","(°C)","(°F)")</f>
        <v>(°C)</v>
      </c>
      <c r="T85" s="351"/>
      <c r="AB85" s="1"/>
    </row>
    <row r="86" spans="1:28">
      <c r="A86" s="10"/>
      <c r="C86" s="327">
        <v>199.93</v>
      </c>
      <c r="D86" s="327"/>
      <c r="E86" s="90">
        <v>199.464</v>
      </c>
      <c r="F86" s="37">
        <f>IF('PERHITUNGAN 13'!$E$12="Burn Engr",'PERHITUNGAN 13'!E86,E86+('regresi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199.464</v>
      </c>
      <c r="G86" s="40">
        <f>F86-C86</f>
        <v>-0.46600000000000819</v>
      </c>
      <c r="H86" s="26"/>
      <c r="I86" s="26"/>
      <c r="N86" s="93">
        <f>O57</f>
        <v>-28.440000000000005</v>
      </c>
      <c r="O86" s="403">
        <f>G49</f>
        <v>-1.3679999999999986</v>
      </c>
      <c r="P86" s="404"/>
      <c r="Q86" s="387">
        <f t="shared" ref="Q86:Q95" si="13">N86+O86</f>
        <v>-29.808000000000003</v>
      </c>
      <c r="R86" s="405"/>
      <c r="S86" s="138" t="s">
        <v>35</v>
      </c>
      <c r="T86" s="94">
        <f>IF(N86&lt;$AA$98,MAX($O$98,O77),IF(N86&lt;$AA$99,MAX($O$99,O77),IF(N86&lt;300,MAX(0.707,O77),MAX($O$100,O77))))</f>
        <v>0.23505317817839114</v>
      </c>
      <c r="AB86" s="1"/>
    </row>
    <row r="87" spans="1:28">
      <c r="A87" s="10"/>
      <c r="C87" s="327">
        <v>199.93</v>
      </c>
      <c r="D87" s="327"/>
      <c r="E87" s="90">
        <v>199.464</v>
      </c>
      <c r="F87" s="37">
        <f>IF('PERHITUNGAN 13'!$E$12="Burn Engr",'PERHITUNGAN 13'!E87,E87+('regresi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199.464</v>
      </c>
      <c r="G87" s="40">
        <f>F87-C87</f>
        <v>-0.46600000000000819</v>
      </c>
      <c r="H87" s="63"/>
      <c r="I87" s="63"/>
      <c r="N87" s="93">
        <f>P57</f>
        <v>5.27</v>
      </c>
      <c r="O87" s="403">
        <f>G57</f>
        <v>-5.0779999999999994</v>
      </c>
      <c r="P87" s="404"/>
      <c r="Q87" s="406">
        <f t="shared" si="13"/>
        <v>0.19200000000000017</v>
      </c>
      <c r="R87" s="407"/>
      <c r="S87" s="138" t="s">
        <v>35</v>
      </c>
      <c r="T87" s="94">
        <f>IF(N87&lt;$AA$98,MAX($O$98,P77),IF(N87&lt;$AA$99,MAX($O$99,P77),MAX($O$100,P77)))</f>
        <v>0.24323575628336713</v>
      </c>
      <c r="AB87" s="1"/>
    </row>
    <row r="88" spans="1:28">
      <c r="A88" s="10"/>
      <c r="C88" s="327">
        <v>199.93</v>
      </c>
      <c r="D88" s="327"/>
      <c r="E88" s="90">
        <v>199.464</v>
      </c>
      <c r="F88" s="37">
        <f>IF('PERHITUNGAN 13'!$E$12="Burn Engr",'PERHITUNGAN 13'!E88,E88+('regresi PRT'!$P$40+('regresi PRT'!$P$41*E88)+('regresi PRT'!$P$42*(E88^2))+('regresi PRT'!$P$43*(E88^3))+('regresi PRT'!$P$44*(E88^4))+('regresi PRT'!$P$45*(E88^5))+('regresi PRT'!$P$46*(E88^6))+('regresi PRT'!$P$47*(E88^7))+('regresi PRT'!$P$48*(E88^8))+('regresi PRT'!$P$49*(E88^9))+('regresi PRT'!$P$50*(E88^10))))</f>
        <v>199.464</v>
      </c>
      <c r="G88" s="41">
        <f>F88-C88</f>
        <v>-0.46600000000000819</v>
      </c>
      <c r="H88" s="63"/>
      <c r="I88" s="63"/>
      <c r="N88" s="93">
        <f>Q57</f>
        <v>50.68</v>
      </c>
      <c r="O88" s="403">
        <f>G65</f>
        <v>-0.33200000000000074</v>
      </c>
      <c r="P88" s="404"/>
      <c r="Q88" s="406">
        <f t="shared" si="13"/>
        <v>50.347999999999999</v>
      </c>
      <c r="R88" s="407"/>
      <c r="S88" s="138" t="s">
        <v>35</v>
      </c>
      <c r="T88" s="94">
        <f>IF(N88&lt;$AA$98,MAX($O$98,Q77),IF(N88&lt;$AA$99,MAX($O$99,Q77),MAX($O$100,Q77)))</f>
        <v>0.24264274742975622</v>
      </c>
      <c r="AB88" s="1"/>
    </row>
    <row r="89" spans="1:28">
      <c r="A89" s="10"/>
      <c r="B89" s="8" t="s">
        <v>31</v>
      </c>
      <c r="C89" s="333">
        <f>AVERAGE(C84:D88)</f>
        <v>199.93</v>
      </c>
      <c r="D89" s="334"/>
      <c r="E89" s="95">
        <f>AVERAGE(E84:E88)</f>
        <v>199.464</v>
      </c>
      <c r="F89" s="95">
        <f>SUM(F84:F88)/5</f>
        <v>199.464</v>
      </c>
      <c r="G89" s="95">
        <f>SUM(G84:G88)/5</f>
        <v>-0.46600000000000819</v>
      </c>
      <c r="H89" s="63"/>
      <c r="I89" s="63"/>
      <c r="N89" s="93">
        <f>R57</f>
        <v>100.84</v>
      </c>
      <c r="O89" s="403">
        <f>G73</f>
        <v>-0.95199999999999818</v>
      </c>
      <c r="P89" s="404"/>
      <c r="Q89" s="406">
        <f t="shared" si="13"/>
        <v>99.888000000000005</v>
      </c>
      <c r="R89" s="407"/>
      <c r="S89" s="138" t="s">
        <v>35</v>
      </c>
      <c r="T89" s="94">
        <f>IF(N89&lt;$AA$98,MAX($O$98,R77),IF(N89&lt;$AA$99,MAX($O$99,R77),MAX($O$100,R77)))</f>
        <v>0.24422141303599137</v>
      </c>
      <c r="AB89" s="1"/>
    </row>
    <row r="90" spans="1:28">
      <c r="A90" s="10"/>
      <c r="B90" s="8" t="s">
        <v>30</v>
      </c>
      <c r="C90" s="228"/>
      <c r="D90" s="229"/>
      <c r="E90" s="42"/>
      <c r="F90" s="42"/>
      <c r="G90" s="96">
        <f>_xlfn.STDEV.S(G84:G88)</f>
        <v>0</v>
      </c>
      <c r="H90" s="63"/>
      <c r="I90" s="63"/>
      <c r="N90" s="93">
        <f>S57</f>
        <v>150.53</v>
      </c>
      <c r="O90" s="403">
        <f>G81</f>
        <v>-0.81200000000001182</v>
      </c>
      <c r="P90" s="404"/>
      <c r="Q90" s="406">
        <f t="shared" si="13"/>
        <v>149.71799999999999</v>
      </c>
      <c r="R90" s="407"/>
      <c r="S90" s="138" t="s">
        <v>35</v>
      </c>
      <c r="T90" s="94">
        <f>IF(N90&lt;$AA$98,MAX($O$98,S77),IF(N90&lt;$AA$99,MAX($O$99,S77),MAX($O$100,S77)))</f>
        <v>0.24264274742975622</v>
      </c>
      <c r="AB90" s="1"/>
    </row>
    <row r="91" spans="1:28">
      <c r="A91" s="7"/>
      <c r="B91" s="6" t="s">
        <v>27</v>
      </c>
      <c r="C91" s="230"/>
      <c r="D91" s="231"/>
      <c r="E91" s="73"/>
      <c r="F91" s="73"/>
      <c r="G91" s="97">
        <f>G90/SQRT(5)</f>
        <v>0</v>
      </c>
      <c r="H91" s="63"/>
      <c r="I91" s="63"/>
      <c r="L91" s="22"/>
      <c r="N91" s="93">
        <f>T57</f>
        <v>199.93</v>
      </c>
      <c r="O91" s="403">
        <f>G89</f>
        <v>-0.46600000000000819</v>
      </c>
      <c r="P91" s="404"/>
      <c r="Q91" s="406">
        <f t="shared" si="13"/>
        <v>199.464</v>
      </c>
      <c r="R91" s="407"/>
      <c r="S91" s="138" t="s">
        <v>35</v>
      </c>
      <c r="T91" s="94">
        <f>IF(N91&lt;$AA$98,MAX($O$98,T77),IF(N91&lt;$AA$99,MAX($O$99,T77),MAX($O$100,T77)))</f>
        <v>0.26160174041146339</v>
      </c>
      <c r="AB91" s="1"/>
    </row>
    <row r="92" spans="1:28">
      <c r="A92" s="105">
        <v>7</v>
      </c>
      <c r="B92" s="196">
        <v>250</v>
      </c>
      <c r="C92" s="327">
        <v>249.7</v>
      </c>
      <c r="D92" s="327"/>
      <c r="E92" s="90">
        <v>249.477</v>
      </c>
      <c r="F92" s="37">
        <f>IF('PERHITUNGAN 13'!$E$12="Burn Engr",'PERHITUNGAN 13'!E92,E92+('regresi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249.477</v>
      </c>
      <c r="G92" s="40">
        <f>F92-C92</f>
        <v>-0.22299999999998477</v>
      </c>
      <c r="H92" s="63"/>
      <c r="I92" s="63"/>
      <c r="N92" s="93">
        <f>U57</f>
        <v>249.7</v>
      </c>
      <c r="O92" s="403">
        <f>G97</f>
        <v>-0.22299999999998477</v>
      </c>
      <c r="P92" s="404"/>
      <c r="Q92" s="406">
        <f t="shared" si="13"/>
        <v>249.477</v>
      </c>
      <c r="R92" s="407"/>
      <c r="S92" s="138" t="s">
        <v>35</v>
      </c>
      <c r="T92" s="94">
        <f>IF(N92&lt;$AA$98,MAX($O$98,U77),IF(N92&lt;$AA$99,MAX($O$99,U77),MAX($O$100,U77)))</f>
        <v>0.26160174041146339</v>
      </c>
      <c r="AB92" s="1"/>
    </row>
    <row r="93" spans="1:28">
      <c r="A93" s="10"/>
      <c r="C93" s="327">
        <v>249.7</v>
      </c>
      <c r="D93" s="327"/>
      <c r="E93" s="90">
        <v>249.477</v>
      </c>
      <c r="F93" s="37">
        <f>IF('PERHITUNGAN 13'!$E$12="Burn Engr",'PERHITUNGAN 13'!E93,E93+('regresi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249.477</v>
      </c>
      <c r="G93" s="40">
        <f>F93-C93</f>
        <v>-0.22299999999998477</v>
      </c>
      <c r="H93" s="44"/>
      <c r="I93" s="63"/>
      <c r="N93" s="93">
        <f>V57</f>
        <v>259.73</v>
      </c>
      <c r="O93" s="403">
        <f>G105</f>
        <v>-0.17500000000001137</v>
      </c>
      <c r="P93" s="404"/>
      <c r="Q93" s="406">
        <f t="shared" si="13"/>
        <v>259.55500000000001</v>
      </c>
      <c r="R93" s="407"/>
      <c r="S93" s="138" t="s">
        <v>35</v>
      </c>
      <c r="T93" s="94">
        <f>IF(N93&lt;$AA$98,MAX($O$98,V77),IF(N93&lt;$AA$99,MAX($O$99,V77),MAX($O$100,V77)))</f>
        <v>1.8</v>
      </c>
      <c r="AB93" s="1"/>
    </row>
    <row r="94" spans="1:28">
      <c r="A94" s="10"/>
      <c r="C94" s="327">
        <v>249.7</v>
      </c>
      <c r="D94" s="327"/>
      <c r="E94" s="90">
        <v>249.477</v>
      </c>
      <c r="F94" s="37">
        <f>IF('PERHITUNGAN 13'!$E$12="Burn Engr",'PERHITUNGAN 13'!E94,E94+('regresi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249.477</v>
      </c>
      <c r="G94" s="40">
        <f>F94-C94</f>
        <v>-0.22299999999998477</v>
      </c>
      <c r="H94" s="44"/>
      <c r="I94" s="63"/>
      <c r="N94" s="93" t="e">
        <f>W57</f>
        <v>#DIV/0!</v>
      </c>
      <c r="O94" s="403">
        <f>G113</f>
        <v>0</v>
      </c>
      <c r="P94" s="404"/>
      <c r="Q94" s="406" t="e">
        <f t="shared" si="13"/>
        <v>#DIV/0!</v>
      </c>
      <c r="R94" s="407"/>
      <c r="S94" s="138" t="s">
        <v>35</v>
      </c>
      <c r="T94" s="94" t="e">
        <f>IF(N94&lt;$AA$98,MAX($O$98,W77),IF(N94&lt;$AA$99,MAX($O$99,W77),MAX($O$100,W77)))</f>
        <v>#DIV/0!</v>
      </c>
      <c r="AB94" s="1"/>
    </row>
    <row r="95" spans="1:28">
      <c r="A95" s="10"/>
      <c r="C95" s="327">
        <v>249.7</v>
      </c>
      <c r="D95" s="327"/>
      <c r="E95" s="90">
        <v>249.477</v>
      </c>
      <c r="F95" s="37">
        <f>IF('PERHITUNGAN 13'!$E$12="Burn Engr",'PERHITUNGAN 13'!E95,E95+('regresi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249.477</v>
      </c>
      <c r="G95" s="40">
        <f>F95-C95</f>
        <v>-0.22299999999998477</v>
      </c>
      <c r="H95" s="63"/>
      <c r="I95" s="63"/>
      <c r="N95" s="93" t="e">
        <f>X57</f>
        <v>#DIV/0!</v>
      </c>
      <c r="O95" s="403">
        <f>G121</f>
        <v>0</v>
      </c>
      <c r="P95" s="404"/>
      <c r="Q95" s="406" t="e">
        <f t="shared" si="13"/>
        <v>#DIV/0!</v>
      </c>
      <c r="R95" s="407"/>
      <c r="S95" s="138" t="s">
        <v>35</v>
      </c>
      <c r="T95" s="94" t="e">
        <f>IF(N95&lt;$AA$98,MAX($O$98,X77),IF(N95&lt;$AA$99,MAX($O$99,X77),MAX($O$100,X77)))</f>
        <v>#DIV/0!</v>
      </c>
      <c r="AB95" s="1"/>
    </row>
    <row r="96" spans="1:28">
      <c r="A96" s="10"/>
      <c r="C96" s="327">
        <v>249.7</v>
      </c>
      <c r="D96" s="327"/>
      <c r="E96" s="90">
        <v>249.477</v>
      </c>
      <c r="F96" s="37">
        <f>IF('PERHITUNGAN 13'!$E$12="Burn Engr",'PERHITUNGAN 13'!E96,E96+('regresi PRT'!$P$40+('regresi PRT'!$P$41*E96)+('regresi PRT'!$P$42*(E96^2))+('regresi PRT'!$P$43*(E96^3))+('regresi PRT'!$P$44*(E96^4))+('regresi PRT'!$P$45*(E96^5))+('regresi PRT'!$P$46*(E96^6))+('regresi PRT'!$P$47*(E96^7))+('regresi PRT'!$P$48*(E96^8))+('regresi PRT'!$P$49*(E96^9))+('regresi PRT'!$P$50*(E96^10))))</f>
        <v>249.477</v>
      </c>
      <c r="G96" s="41">
        <f>F96-C96</f>
        <v>-0.22299999999998477</v>
      </c>
      <c r="H96" s="63"/>
      <c r="I96" s="63"/>
      <c r="U96" s="47"/>
      <c r="AB96" s="1"/>
    </row>
    <row r="97" spans="1:27">
      <c r="A97" s="10"/>
      <c r="B97" s="8" t="s">
        <v>31</v>
      </c>
      <c r="C97" s="333">
        <f>AVERAGE(C92:D96)</f>
        <v>249.7</v>
      </c>
      <c r="D97" s="334"/>
      <c r="E97" s="95">
        <f>AVERAGE(E92:E96)</f>
        <v>249.477</v>
      </c>
      <c r="F97" s="95">
        <f>SUM(F92:F96)/5</f>
        <v>249.477</v>
      </c>
      <c r="G97" s="95">
        <f>SUM(G92:G96)/5</f>
        <v>-0.22299999999998477</v>
      </c>
      <c r="H97" s="63"/>
      <c r="I97" s="63"/>
      <c r="N97" s="332" t="str">
        <f>CONCATENATE("CMC in ",IF($C$2="Celcius","(°C)","(°F)"))</f>
        <v>CMC in (°C)</v>
      </c>
      <c r="O97" s="332"/>
      <c r="Z97" s="331"/>
      <c r="AA97" s="331"/>
    </row>
    <row r="98" spans="1:27">
      <c r="A98" s="10"/>
      <c r="B98" s="8" t="s">
        <v>30</v>
      </c>
      <c r="C98" s="228"/>
      <c r="D98" s="229"/>
      <c r="E98" s="42"/>
      <c r="F98" s="42"/>
      <c r="G98" s="96">
        <f>_xlfn.STDEV.S(G92:G96)</f>
        <v>0</v>
      </c>
      <c r="H98" s="63"/>
      <c r="I98" s="63"/>
      <c r="N98" s="74" t="str">
        <f>IF($C$2="Celcius",CONCATENATE(Database!AL3," ~ ",Database!AN3," ="),CONCATENATE((Database!AL3*9/5)+32," ~ ",(Database!AN3*9/5)+32," ="))</f>
        <v>-30 ~ 0 =</v>
      </c>
      <c r="O98">
        <f>IF($C$2="Celcius",Database!AO3,(Database!AO3*9/5))</f>
        <v>7.8E-2</v>
      </c>
      <c r="AA98" s="139">
        <f>IF($C$2="Celcius",Database!AN3,(Database!AN3*9/5)+32)</f>
        <v>0</v>
      </c>
    </row>
    <row r="99" spans="1:27">
      <c r="A99" s="7"/>
      <c r="B99" s="6" t="s">
        <v>27</v>
      </c>
      <c r="C99" s="230"/>
      <c r="D99" s="231"/>
      <c r="E99" s="73"/>
      <c r="F99" s="73"/>
      <c r="G99" s="97">
        <f>G98/SQRT(5)</f>
        <v>0</v>
      </c>
      <c r="H99" s="63"/>
      <c r="I99" s="63"/>
      <c r="L99" s="22"/>
      <c r="N99" s="74" t="str">
        <f>IF($C$2="Celcius",CONCATENATE(Database!AL4," ~ ",Database!AN4," ="),CONCATENATE((Database!AL4*9/5)+32," ~ ",(Database!AN4*9/5)+32," ="))</f>
        <v>0 ~ 250 =</v>
      </c>
      <c r="O99">
        <f>IF($C$2="Celcius",Database!AO4,(Database!AO4*9/5))</f>
        <v>0.16</v>
      </c>
      <c r="AA99" s="139">
        <f>IF($C$2="Celcius",Database!AN4,(Database!AN4*9/5)+32)</f>
        <v>250</v>
      </c>
    </row>
    <row r="100" spans="1:27">
      <c r="A100" s="105">
        <v>8</v>
      </c>
      <c r="B100" s="196">
        <v>260</v>
      </c>
      <c r="C100" s="327">
        <v>259.73</v>
      </c>
      <c r="D100" s="327"/>
      <c r="E100" s="90">
        <v>259.55500000000001</v>
      </c>
      <c r="F100" s="37">
        <f>IF('PERHITUNGAN 13'!$E$12="Burn Engr",'PERHITUNGAN 13'!E100,E100+('regresi PRT'!$P$40+('regresi PRT'!$P$41*E100)+('regresi PRT'!$P$42*(E100^2))+('regresi PRT'!$P$43*(E100^3))+('regresi PRT'!$P$44*(E100^4))+('regresi PRT'!$P$45*(E100^5))+('regresi PRT'!$P$46*(E100^6))+('regresi PRT'!$P$47*(E100^7))+('regresi PRT'!$P$48*(E100^8))+('regresi PRT'!$P$49*(E100^9))+('regresi PRT'!$P$50*(E100^10))))</f>
        <v>259.55500000000001</v>
      </c>
      <c r="G100" s="40">
        <f>F100-C100</f>
        <v>-0.17500000000001137</v>
      </c>
      <c r="H100" s="63"/>
      <c r="I100" s="63"/>
      <c r="N100" s="74" t="str">
        <f>IF($C$2="Celcius",CONCATENATE(Database!AL5," ~ ",Database!AN5," ="),CONCATENATE((Database!AL5*9/5)+32," ~ ",(Database!AN5*9/5)+32," ="))</f>
        <v>300 ~ 400 =</v>
      </c>
      <c r="O100">
        <f>IF($C$2="Celcius",Database!AO5,(Database!AO5*9/5))</f>
        <v>1.8</v>
      </c>
      <c r="AA100" s="139">
        <f>IF($C$2="Celcius",Database!AN5,(Database!AN5*9/5)+32)</f>
        <v>400</v>
      </c>
    </row>
    <row r="101" spans="1:27">
      <c r="A101" s="10"/>
      <c r="C101" s="327">
        <v>259.73</v>
      </c>
      <c r="D101" s="327"/>
      <c r="E101" s="90">
        <v>259.55500000000001</v>
      </c>
      <c r="F101" s="37">
        <f>IF('PERHITUNGAN 13'!$E$12="Burn Engr",'PERHITUNGAN 13'!E101,E101+('regresi PRT'!$P$40+('regresi PRT'!$P$41*E101)+('regresi PRT'!$P$42*(E101^2))+('regresi PRT'!$P$43*(E101^3))+('regresi PRT'!$P$44*(E101^4))+('regresi PRT'!$P$45*(E101^5))+('regresi PRT'!$P$46*(E101^6))+('regresi PRT'!$P$47*(E101^7))+('regresi PRT'!$P$48*(E101^8))+('regresi PRT'!$P$49*(E101^9))+('regresi PRT'!$P$50*(E101^10))))</f>
        <v>259.55500000000001</v>
      </c>
      <c r="G101" s="40">
        <f>F101-C101</f>
        <v>-0.17500000000001137</v>
      </c>
      <c r="H101" s="44"/>
      <c r="I101" s="44"/>
      <c r="M101" s="1"/>
    </row>
    <row r="102" spans="1:27">
      <c r="A102" s="10"/>
      <c r="C102" s="327">
        <v>259.73</v>
      </c>
      <c r="D102" s="327"/>
      <c r="E102" s="90">
        <v>259.55500000000001</v>
      </c>
      <c r="F102" s="37">
        <f>IF('PERHITUNGAN 13'!$E$12="Burn Engr",'PERHITUNGAN 13'!E102,E102+('regresi PRT'!$P$40+('regresi PRT'!$P$41*E102)+('regresi PRT'!$P$42*(E102^2))+('regresi PRT'!$P$43*(E102^3))+('regresi PRT'!$P$44*(E102^4))+('regresi PRT'!$P$45*(E102^5))+('regresi PRT'!$P$46*(E102^6))+('regresi PRT'!$P$47*(E102^7))+('regresi PRT'!$P$48*(E102^8))+('regresi PRT'!$P$49*(E102^9))+('regresi PRT'!$P$50*(E102^10))))</f>
        <v>259.55500000000001</v>
      </c>
      <c r="G102" s="40">
        <f>F102-C102</f>
        <v>-0.17500000000001137</v>
      </c>
      <c r="H102" s="44"/>
      <c r="I102" s="44"/>
    </row>
    <row r="103" spans="1:27">
      <c r="A103" s="10"/>
      <c r="C103" s="327">
        <v>259.73</v>
      </c>
      <c r="D103" s="327"/>
      <c r="E103" s="90">
        <v>259.55500000000001</v>
      </c>
      <c r="F103" s="37">
        <f>IF('PERHITUNGAN 13'!$E$12="Burn Engr",'PERHITUNGAN 13'!E103,E103+('regresi PRT'!$P$40+('regresi PRT'!$P$41*E103)+('regresi PRT'!$P$42*(E103^2))+('regresi PRT'!$P$43*(E103^3))+('regresi PRT'!$P$44*(E103^4))+('regresi PRT'!$P$45*(E103^5))+('regresi PRT'!$P$46*(E103^6))+('regresi PRT'!$P$47*(E103^7))+('regresi PRT'!$P$48*(E103^8))+('regresi PRT'!$P$49*(E103^9))+('regresi PRT'!$P$50*(E103^10))))</f>
        <v>259.55500000000001</v>
      </c>
      <c r="G103" s="40">
        <f>F103-C103</f>
        <v>-0.17500000000001137</v>
      </c>
      <c r="H103" s="63"/>
      <c r="I103" s="63"/>
    </row>
    <row r="104" spans="1:27">
      <c r="A104" s="10"/>
      <c r="C104" s="327">
        <v>259.73</v>
      </c>
      <c r="D104" s="327"/>
      <c r="E104" s="90">
        <v>259.55500000000001</v>
      </c>
      <c r="F104" s="37">
        <f>IF('PERHITUNGAN 13'!$E$12="Burn Engr",'PERHITUNGAN 13'!E104,E104+('regresi PRT'!$P$40+('regresi PRT'!$P$41*E104)+('regresi PRT'!$P$42*(E104^2))+('regresi PRT'!$P$43*(E104^3))+('regresi PRT'!$P$44*(E104^4))+('regresi PRT'!$P$45*(E104^5))+('regresi PRT'!$P$46*(E104^6))+('regresi PRT'!$P$47*(E104^7))+('regresi PRT'!$P$48*(E104^8))+('regresi PRT'!$P$49*(E104^9))+('regresi PRT'!$P$50*(E104^10))))</f>
        <v>259.55500000000001</v>
      </c>
      <c r="G104" s="41">
        <f>F104-C104</f>
        <v>-0.17500000000001137</v>
      </c>
      <c r="H104" s="63"/>
      <c r="I104" s="63"/>
      <c r="N104" s="74"/>
      <c r="O104" s="129"/>
    </row>
    <row r="105" spans="1:27">
      <c r="A105" s="10"/>
      <c r="B105" s="8" t="s">
        <v>31</v>
      </c>
      <c r="C105" s="333">
        <f>AVERAGE(C100:D104)</f>
        <v>259.73</v>
      </c>
      <c r="D105" s="334"/>
      <c r="E105" s="95">
        <f>AVERAGE(E100:E104)</f>
        <v>259.55500000000001</v>
      </c>
      <c r="F105" s="95">
        <f>SUM(F100:F104)/5</f>
        <v>259.55500000000001</v>
      </c>
      <c r="G105" s="95">
        <f>SUM(G100:G104)/5</f>
        <v>-0.17500000000001137</v>
      </c>
      <c r="H105" s="63"/>
      <c r="I105" s="63"/>
      <c r="M105" s="1"/>
      <c r="N105" s="74"/>
      <c r="O105" s="129"/>
    </row>
    <row r="106" spans="1:27">
      <c r="A106" s="10"/>
      <c r="B106" s="8" t="s">
        <v>30</v>
      </c>
      <c r="C106" s="228"/>
      <c r="D106" s="229"/>
      <c r="E106" s="42"/>
      <c r="F106" s="42"/>
      <c r="G106" s="96">
        <f>_xlfn.STDEV.S(G100:G104)</f>
        <v>0</v>
      </c>
      <c r="H106" s="63"/>
      <c r="I106" s="63"/>
      <c r="M106" s="1"/>
      <c r="N106" s="74"/>
      <c r="O106" s="129"/>
    </row>
    <row r="107" spans="1:27">
      <c r="A107" s="7"/>
      <c r="B107" s="6" t="s">
        <v>27</v>
      </c>
      <c r="C107" s="230"/>
      <c r="D107" s="231"/>
      <c r="E107" s="73"/>
      <c r="F107" s="73"/>
      <c r="G107" s="97">
        <f>G106/SQRT(5)</f>
        <v>0</v>
      </c>
      <c r="H107" s="63"/>
      <c r="I107" s="63"/>
      <c r="M107" s="1"/>
    </row>
    <row r="108" spans="1:27">
      <c r="A108" s="105">
        <v>9</v>
      </c>
      <c r="B108" s="196"/>
      <c r="C108" s="327"/>
      <c r="D108" s="327"/>
      <c r="E108" s="90"/>
      <c r="F108" s="37">
        <f>IF('PERHITUNGAN 13'!$E$12="Burn Engr",'PERHITUNGAN 13'!E108,E108+('regresi PRT'!$P$40+('regresi PRT'!$P$41*E108)+('regresi PRT'!$P$42*(E108^2))+('regresi PRT'!$P$43*(E108^3))+('regresi PRT'!$P$44*(E108^4))+('regresi PRT'!$P$45*(E108^5))+('regresi PRT'!$P$46*(E108^6))+('regresi PRT'!$P$47*(E108^7))+('regresi PRT'!$P$48*(E108^8))+('regresi PRT'!$P$49*(E108^9))+('regresi PRT'!$P$50*(E108^10))))</f>
        <v>0</v>
      </c>
      <c r="G108" s="40">
        <f>F108-C108</f>
        <v>0</v>
      </c>
      <c r="H108" s="63"/>
      <c r="I108" s="63"/>
      <c r="M108" s="1"/>
    </row>
    <row r="109" spans="1:27">
      <c r="A109" s="10"/>
      <c r="C109" s="327"/>
      <c r="D109" s="327"/>
      <c r="E109" s="90"/>
      <c r="F109" s="37">
        <f>IF('PERHITUNGAN 13'!$E$12="Burn Engr",'PERHITUNGAN 13'!E109,E109+('regresi PRT'!$P$40+('regresi PRT'!$P$41*E109)+('regresi PRT'!$P$42*(E109^2))+('regresi PRT'!$P$43*(E109^3))+('regresi PRT'!$P$44*(E109^4))+('regresi PRT'!$P$45*(E109^5))+('regresi PRT'!$P$46*(E109^6))+('regresi PRT'!$P$47*(E109^7))+('regresi PRT'!$P$48*(E109^8))+('regresi PRT'!$P$49*(E109^9))+('regresi PRT'!$P$50*(E109^10))))</f>
        <v>0</v>
      </c>
      <c r="G109" s="40">
        <f>F109-C109</f>
        <v>0</v>
      </c>
      <c r="H109" s="44"/>
      <c r="I109" s="44"/>
      <c r="M109" s="1"/>
    </row>
    <row r="110" spans="1:27">
      <c r="A110" s="10"/>
      <c r="C110" s="327"/>
      <c r="D110" s="327"/>
      <c r="E110" s="90"/>
      <c r="F110" s="37">
        <f>IF('PERHITUNGAN 13'!$E$12="Burn Engr",'PERHITUNGAN 13'!E110,E110+('regresi PRT'!$P$40+('regresi PRT'!$P$41*E110)+('regresi PRT'!$P$42*(E110^2))+('regresi PRT'!$P$43*(E110^3))+('regresi PRT'!$P$44*(E110^4))+('regresi PRT'!$P$45*(E110^5))+('regresi PRT'!$P$46*(E110^6))+('regresi PRT'!$P$47*(E110^7))+('regresi PRT'!$P$48*(E110^8))+('regresi PRT'!$P$49*(E110^9))+('regresi PRT'!$P$50*(E110^10))))</f>
        <v>0</v>
      </c>
      <c r="G110" s="40">
        <f>F110-C110</f>
        <v>0</v>
      </c>
      <c r="H110" s="44"/>
      <c r="I110" s="44"/>
    </row>
    <row r="111" spans="1:27">
      <c r="A111" s="10"/>
      <c r="C111" s="327"/>
      <c r="D111" s="327"/>
      <c r="E111" s="90"/>
      <c r="F111" s="37">
        <f>IF('PERHITUNGAN 13'!$E$12="Burn Engr",'PERHITUNGAN 13'!E111,E111+('regresi PRT'!$P$40+('regresi PRT'!$P$41*E111)+('regresi PRT'!$P$42*(E111^2))+('regresi PRT'!$P$43*(E111^3))+('regresi PRT'!$P$44*(E111^4))+('regresi PRT'!$P$45*(E111^5))+('regresi PRT'!$P$46*(E111^6))+('regresi PRT'!$P$47*(E111^7))+('regresi PRT'!$P$48*(E111^8))+('regresi PRT'!$P$49*(E111^9))+('regresi PRT'!$P$50*(E111^10))))</f>
        <v>0</v>
      </c>
      <c r="G111" s="40">
        <f>F111-C111</f>
        <v>0</v>
      </c>
      <c r="H111" s="63"/>
      <c r="I111" s="63"/>
    </row>
    <row r="112" spans="1:27">
      <c r="A112" s="10"/>
      <c r="C112" s="327"/>
      <c r="D112" s="327"/>
      <c r="E112" s="90"/>
      <c r="F112" s="37">
        <f>IF('PERHITUNGAN 13'!$E$12="Burn Engr",'PERHITUNGAN 13'!E112,E112+('regresi PRT'!$P$40+('regresi PRT'!$P$41*E112)+('regresi PRT'!$P$42*(E112^2))+('regresi PRT'!$P$43*(E112^3))+('regresi PRT'!$P$44*(E112^4))+('regresi PRT'!$P$45*(E112^5))+('regresi PRT'!$P$46*(E112^6))+('regresi PRT'!$P$47*(E112^7))+('regresi PRT'!$P$48*(E112^8))+('regresi PRT'!$P$49*(E112^9))+('regresi PRT'!$P$50*(E112^10))))</f>
        <v>0</v>
      </c>
      <c r="G112" s="41">
        <f>F112-C112</f>
        <v>0</v>
      </c>
      <c r="H112" s="63"/>
      <c r="I112" s="63"/>
    </row>
    <row r="113" spans="1:21">
      <c r="A113" s="10"/>
      <c r="B113" s="8" t="s">
        <v>31</v>
      </c>
      <c r="C113" s="333" t="e">
        <f>AVERAGE(C108:D112)</f>
        <v>#DIV/0!</v>
      </c>
      <c r="D113" s="334"/>
      <c r="E113" s="95" t="e">
        <f>AVERAGE(E108:E112)</f>
        <v>#DIV/0!</v>
      </c>
      <c r="F113" s="95">
        <f>SUM(F108:F112)/5</f>
        <v>0</v>
      </c>
      <c r="G113" s="95">
        <f>SUM(G108:G112)/5</f>
        <v>0</v>
      </c>
      <c r="H113" s="63"/>
      <c r="I113" s="63"/>
    </row>
    <row r="114" spans="1:21" ht="15.5">
      <c r="A114" s="10"/>
      <c r="B114" s="8" t="s">
        <v>30</v>
      </c>
      <c r="C114" s="228"/>
      <c r="D114" s="229"/>
      <c r="E114" s="42"/>
      <c r="F114" s="42"/>
      <c r="G114" s="96">
        <f>_xlfn.STDEV.S(G108:G112)</f>
        <v>0</v>
      </c>
      <c r="H114" s="63"/>
      <c r="I114" s="63"/>
      <c r="R114" s="16"/>
      <c r="U114" s="49"/>
    </row>
    <row r="115" spans="1:21">
      <c r="A115" s="7"/>
      <c r="B115" s="6" t="s">
        <v>27</v>
      </c>
      <c r="C115" s="230"/>
      <c r="D115" s="231"/>
      <c r="E115" s="73"/>
      <c r="F115" s="73"/>
      <c r="G115" s="97">
        <f>G114/SQRT(5)</f>
        <v>0</v>
      </c>
      <c r="H115" s="63"/>
      <c r="I115" s="63"/>
    </row>
    <row r="116" spans="1:21">
      <c r="A116" s="105">
        <v>10</v>
      </c>
      <c r="B116" s="196"/>
      <c r="C116" s="224"/>
      <c r="D116" s="225"/>
      <c r="E116" s="90"/>
      <c r="F116" s="37">
        <f>IF('PERHITUNGAN 13'!$E$12="Burn Engr",'PERHITUNGAN 13'!E116,E116+('regresi PRT'!$P$40+('regresi PRT'!$P$41*E116)+('regresi PRT'!$P$42*(E116^2))+('regresi PRT'!$P$43*(E116^3))+('regresi PRT'!$P$44*(E116^4))+('regresi PRT'!$P$45*(E116^5))+('regresi PRT'!$P$46*(E116^6))+('regresi PRT'!$P$47*(E116^7))+('regresi PRT'!$P$48*(E116^8))+('regresi PRT'!$P$49*(E116^9))+('regresi PRT'!$P$50*(E116^10))))</f>
        <v>0</v>
      </c>
      <c r="G116" s="40">
        <f>F116-C116</f>
        <v>0</v>
      </c>
      <c r="H116" s="63"/>
      <c r="I116" s="63"/>
      <c r="N116" s="98"/>
      <c r="U116" s="72"/>
    </row>
    <row r="117" spans="1:21">
      <c r="A117" s="10"/>
      <c r="C117" s="224"/>
      <c r="D117" s="225"/>
      <c r="E117" s="90"/>
      <c r="F117" s="37">
        <f>IF('PERHITUNGAN 13'!$E$12="Burn Engr",'PERHITUNGAN 13'!E117,E117+('regresi PRT'!$P$40+('regresi PRT'!$P$41*E117)+('regresi PRT'!$P$42*(E117^2))+('regresi PRT'!$P$43*(E117^3))+('regresi PRT'!$P$44*(E117^4))+('regresi PRT'!$P$45*(E117^5))+('regresi PRT'!$P$46*(E117^6))+('regresi PRT'!$P$47*(E117^7))+('regresi PRT'!$P$48*(E117^8))+('regresi PRT'!$P$49*(E117^9))+('regresi PRT'!$P$50*(E117^10))))</f>
        <v>0</v>
      </c>
      <c r="G117" s="40">
        <f>F117-C117</f>
        <v>0</v>
      </c>
      <c r="H117" s="44"/>
      <c r="I117" s="44"/>
      <c r="U117" s="49"/>
    </row>
    <row r="118" spans="1:21">
      <c r="A118" s="10"/>
      <c r="C118" s="224"/>
      <c r="D118" s="225"/>
      <c r="E118" s="90"/>
      <c r="F118" s="37">
        <f>IF('PERHITUNGAN 13'!$E$12="Burn Engr",'PERHITUNGAN 13'!E118,E118+('regresi PRT'!$P$40+('regresi PRT'!$P$41*E118)+('regresi PRT'!$P$42*(E118^2))+('regresi PRT'!$P$43*(E118^3))+('regresi PRT'!$P$44*(E118^4))+('regresi PRT'!$P$45*(E118^5))+('regresi PRT'!$P$46*(E118^6))+('regresi PRT'!$P$47*(E118^7))+('regresi PRT'!$P$48*(E118^8))+('regresi PRT'!$P$49*(E118^9))+('regresi PRT'!$P$50*(E118^10))))</f>
        <v>0</v>
      </c>
      <c r="G118" s="40">
        <f>F118-C118</f>
        <v>0</v>
      </c>
      <c r="H118" s="44"/>
      <c r="I118" s="44"/>
      <c r="U118" s="49"/>
    </row>
    <row r="119" spans="1:21">
      <c r="A119" s="10"/>
      <c r="C119" s="224"/>
      <c r="D119" s="225"/>
      <c r="E119" s="90"/>
      <c r="F119" s="37">
        <f>IF('PERHITUNGAN 13'!$E$12="Burn Engr",'PERHITUNGAN 13'!E119,E119+('regresi PRT'!$P$40+('regresi PRT'!$P$41*E119)+('regresi PRT'!$P$42*(E119^2))+('regresi PRT'!$P$43*(E119^3))+('regresi PRT'!$P$44*(E119^4))+('regresi PRT'!$P$45*(E119^5))+('regresi PRT'!$P$46*(E119^6))+('regresi PRT'!$P$47*(E119^7))+('regresi PRT'!$P$48*(E119^8))+('regresi PRT'!$P$49*(E119^9))+('regresi PRT'!$P$50*(E119^10))))</f>
        <v>0</v>
      </c>
      <c r="G119" s="40">
        <f>F119-C119</f>
        <v>0</v>
      </c>
      <c r="H119" s="63"/>
      <c r="I119" s="63"/>
    </row>
    <row r="120" spans="1:21">
      <c r="A120" s="10"/>
      <c r="C120" s="233"/>
      <c r="D120" s="234"/>
      <c r="E120" s="90"/>
      <c r="F120" s="37">
        <f>IF('PERHITUNGAN 13'!$E$12="Burn Engr",'PERHITUNGAN 13'!E120,E120+('regresi PRT'!$P$40+('regresi PRT'!$P$41*E120)+('regresi PRT'!$P$42*(E120^2))+('regresi PRT'!$P$43*(E120^3))+('regresi PRT'!$P$44*(E120^4))+('regresi PRT'!$P$45*(E120^5))+('regresi PRT'!$P$46*(E120^6))+('regresi PRT'!$P$47*(E120^7))+('regresi PRT'!$P$48*(E120^8))+('regresi PRT'!$P$49*(E120^9))+('regresi PRT'!$P$50*(E120^10))))</f>
        <v>0</v>
      </c>
      <c r="G120" s="41">
        <f>F120-C120</f>
        <v>0</v>
      </c>
      <c r="H120" s="63"/>
      <c r="I120" s="63"/>
    </row>
    <row r="121" spans="1:21">
      <c r="A121" s="10"/>
      <c r="B121" s="8" t="s">
        <v>31</v>
      </c>
      <c r="C121" s="226" t="e">
        <f>AVERAGE(C116:D120)</f>
        <v>#DIV/0!</v>
      </c>
      <c r="D121" s="227"/>
      <c r="E121" s="95" t="e">
        <f>AVERAGE(E116:E120)</f>
        <v>#DIV/0!</v>
      </c>
      <c r="F121" s="95">
        <f>SUM(F116:F120)/5</f>
        <v>0</v>
      </c>
      <c r="G121" s="95">
        <f>SUM(G116:G120)/5</f>
        <v>0</v>
      </c>
      <c r="H121" s="63"/>
      <c r="I121" s="63"/>
    </row>
    <row r="122" spans="1:21">
      <c r="A122" s="10"/>
      <c r="B122" s="8" t="s">
        <v>30</v>
      </c>
      <c r="C122" s="228"/>
      <c r="D122" s="229"/>
      <c r="E122" s="42"/>
      <c r="F122" s="42"/>
      <c r="G122" s="96">
        <f>_xlfn.STDEV.S(G116:G120)</f>
        <v>0</v>
      </c>
      <c r="H122" s="63"/>
      <c r="I122" s="63"/>
    </row>
    <row r="123" spans="1:21">
      <c r="A123" s="7"/>
      <c r="B123" s="6" t="s">
        <v>27</v>
      </c>
      <c r="C123" s="230"/>
      <c r="D123" s="231"/>
      <c r="E123" s="73"/>
      <c r="F123" s="73"/>
      <c r="G123" s="97">
        <f>G122/SQRT(5)</f>
        <v>0</v>
      </c>
      <c r="H123" s="63"/>
      <c r="I123" s="63"/>
    </row>
    <row r="124" spans="1:21">
      <c r="C124" s="232"/>
      <c r="D124" s="232"/>
      <c r="H124" s="63"/>
      <c r="I124" s="63"/>
    </row>
    <row r="125" spans="1:21">
      <c r="C125" s="26"/>
      <c r="D125" s="26"/>
      <c r="H125" s="44"/>
      <c r="I125" s="44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330"/>
      <c r="D128" s="330"/>
      <c r="E128" s="63"/>
      <c r="F128" s="63"/>
      <c r="G128" s="63"/>
      <c r="H128" s="63"/>
      <c r="I128" s="63"/>
    </row>
    <row r="129" spans="1:9">
      <c r="C129" s="178"/>
      <c r="D129" s="26"/>
      <c r="E129" s="26"/>
      <c r="F129" s="26"/>
      <c r="G129" s="44"/>
      <c r="H129" s="44"/>
      <c r="I129" s="44"/>
    </row>
    <row r="130" spans="1:9">
      <c r="C130" s="26"/>
      <c r="D130" s="26"/>
      <c r="E130" s="26"/>
      <c r="F130" s="26"/>
      <c r="G130" s="44"/>
      <c r="H130" s="44"/>
      <c r="I130" s="44"/>
    </row>
    <row r="135" spans="1:9"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26"/>
      <c r="D138" s="26"/>
      <c r="E138" s="26"/>
      <c r="F138" s="26"/>
      <c r="G138" s="26"/>
      <c r="H138" s="26"/>
      <c r="I138" s="26"/>
    </row>
    <row r="139" spans="1:9">
      <c r="A139" s="1"/>
      <c r="B139" s="1"/>
      <c r="C139" s="328"/>
      <c r="D139" s="329"/>
      <c r="E139" s="63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26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63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26"/>
      <c r="F143" s="63"/>
      <c r="G143" s="63"/>
      <c r="H143" s="63"/>
      <c r="I143" s="63"/>
    </row>
    <row r="144" spans="1:9">
      <c r="A144" s="1"/>
      <c r="B144" s="1"/>
      <c r="C144" s="328"/>
      <c r="D144" s="329"/>
      <c r="E144" s="63"/>
      <c r="F144" s="63"/>
      <c r="G144" s="63"/>
      <c r="H144" s="63"/>
      <c r="I144" s="63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26"/>
      <c r="D146" s="26"/>
      <c r="E146" s="26"/>
      <c r="F146" s="26"/>
      <c r="G146" s="44"/>
      <c r="H146" s="44"/>
      <c r="I146" s="44"/>
    </row>
    <row r="147" spans="1:9">
      <c r="A147" s="1"/>
      <c r="B147" s="1"/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328"/>
      <c r="D152" s="329"/>
      <c r="E152" s="63"/>
      <c r="F152" s="63"/>
      <c r="G152" s="63"/>
      <c r="H152" s="63"/>
      <c r="I152" s="63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26"/>
      <c r="D154" s="26"/>
      <c r="E154" s="26"/>
      <c r="F154" s="26"/>
      <c r="G154" s="44"/>
      <c r="H154" s="44"/>
      <c r="I154" s="44"/>
    </row>
    <row r="155" spans="1:9">
      <c r="C155" s="178"/>
      <c r="D155" s="26"/>
      <c r="E155" s="26"/>
      <c r="F155" s="26"/>
      <c r="G155" s="44"/>
      <c r="H155" s="44"/>
      <c r="I155" s="44"/>
    </row>
    <row r="156" spans="1:9">
      <c r="C156" s="26"/>
      <c r="D156" s="26"/>
      <c r="E156" s="26"/>
      <c r="F156" s="26"/>
      <c r="G156" s="44"/>
      <c r="H156" s="44"/>
      <c r="I156" s="44"/>
    </row>
    <row r="157" spans="1:9">
      <c r="A157" s="1"/>
      <c r="B157" s="1"/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328"/>
      <c r="D162" s="328"/>
      <c r="E162" s="63"/>
      <c r="F162" s="63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C164" s="26"/>
      <c r="D164" s="26"/>
      <c r="E164" s="26"/>
      <c r="F164" s="26"/>
      <c r="G164" s="63"/>
      <c r="H164" s="63"/>
      <c r="I164" s="63"/>
    </row>
    <row r="165" spans="1:9">
      <c r="A165" s="1"/>
      <c r="B165" s="1"/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328"/>
      <c r="D170" s="328"/>
      <c r="E170" s="63"/>
      <c r="F170" s="63"/>
      <c r="G170" s="63"/>
      <c r="H170" s="63"/>
      <c r="I170" s="63"/>
    </row>
    <row r="171" spans="1:9">
      <c r="C171" s="178"/>
      <c r="D171" s="26"/>
      <c r="E171" s="26"/>
      <c r="F171" s="26"/>
      <c r="G171" s="63"/>
      <c r="H171" s="63"/>
      <c r="I171" s="63"/>
    </row>
    <row r="172" spans="1:9">
      <c r="C172" s="26"/>
      <c r="D172" s="26"/>
      <c r="E172" s="26"/>
      <c r="F172" s="26"/>
      <c r="G172" s="63"/>
      <c r="H172" s="63"/>
      <c r="I172" s="63"/>
    </row>
    <row r="173" spans="1:9">
      <c r="A173" s="1"/>
      <c r="B173" s="1"/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328"/>
      <c r="D178" s="328"/>
      <c r="E178" s="63"/>
      <c r="F178" s="63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C180" s="26"/>
      <c r="D180" s="26"/>
      <c r="E180" s="26"/>
      <c r="F180" s="26"/>
      <c r="G180" s="63"/>
      <c r="H180" s="63"/>
      <c r="I180" s="63"/>
    </row>
    <row r="181" spans="1:9">
      <c r="A181" s="1"/>
      <c r="B181" s="1"/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30"/>
      <c r="D185" s="329"/>
      <c r="E185" s="63"/>
      <c r="F185" s="63"/>
      <c r="G185" s="63"/>
      <c r="H185" s="63"/>
      <c r="I185" s="63"/>
    </row>
    <row r="186" spans="1:9">
      <c r="C186" s="328"/>
      <c r="D186" s="328"/>
      <c r="E186" s="63"/>
      <c r="F186" s="63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  <row r="188" spans="1:9">
      <c r="C188" s="26"/>
      <c r="D188" s="26"/>
      <c r="E188" s="26"/>
      <c r="F188" s="26"/>
      <c r="G188" s="63"/>
      <c r="H188" s="63"/>
      <c r="I188" s="63"/>
    </row>
  </sheetData>
  <mergeCells count="171">
    <mergeCell ref="C186:D186"/>
    <mergeCell ref="C178:D178"/>
    <mergeCell ref="C181:D181"/>
    <mergeCell ref="C182:D182"/>
    <mergeCell ref="C183:D183"/>
    <mergeCell ref="C184:D184"/>
    <mergeCell ref="C185:D185"/>
    <mergeCell ref="C170:D170"/>
    <mergeCell ref="C173:D173"/>
    <mergeCell ref="C174:D174"/>
    <mergeCell ref="C175:D175"/>
    <mergeCell ref="C176:D176"/>
    <mergeCell ref="C177:D177"/>
    <mergeCell ref="C162:D162"/>
    <mergeCell ref="C165:D165"/>
    <mergeCell ref="C166:D166"/>
    <mergeCell ref="C167:D167"/>
    <mergeCell ref="C168:D168"/>
    <mergeCell ref="C169:D169"/>
    <mergeCell ref="C152:D152"/>
    <mergeCell ref="C157:D157"/>
    <mergeCell ref="C158:D158"/>
    <mergeCell ref="C159:D159"/>
    <mergeCell ref="C160:D160"/>
    <mergeCell ref="C161:D161"/>
    <mergeCell ref="C144:D144"/>
    <mergeCell ref="C147:D147"/>
    <mergeCell ref="C148:D148"/>
    <mergeCell ref="C149:D149"/>
    <mergeCell ref="C150:D150"/>
    <mergeCell ref="C151:D151"/>
    <mergeCell ref="C128:D128"/>
    <mergeCell ref="C139:D139"/>
    <mergeCell ref="C140:D140"/>
    <mergeCell ref="C141:D141"/>
    <mergeCell ref="C142:D142"/>
    <mergeCell ref="C143:D143"/>
    <mergeCell ref="C110:D110"/>
    <mergeCell ref="C111:D111"/>
    <mergeCell ref="C112:D112"/>
    <mergeCell ref="C113:D113"/>
    <mergeCell ref="C126:D126"/>
    <mergeCell ref="C127:D127"/>
    <mergeCell ref="C102:D102"/>
    <mergeCell ref="C103:D103"/>
    <mergeCell ref="C104:D104"/>
    <mergeCell ref="C105:D105"/>
    <mergeCell ref="C108:D108"/>
    <mergeCell ref="C109:D109"/>
    <mergeCell ref="C96:D96"/>
    <mergeCell ref="C97:D97"/>
    <mergeCell ref="N97:O97"/>
    <mergeCell ref="Z97:AA97"/>
    <mergeCell ref="C100:D100"/>
    <mergeCell ref="C101:D101"/>
    <mergeCell ref="C94:D94"/>
    <mergeCell ref="O94:P94"/>
    <mergeCell ref="Q94:R94"/>
    <mergeCell ref="C95:D95"/>
    <mergeCell ref="O95:P95"/>
    <mergeCell ref="Q95:R95"/>
    <mergeCell ref="C92:D92"/>
    <mergeCell ref="O92:P92"/>
    <mergeCell ref="Q92:R92"/>
    <mergeCell ref="C93:D93"/>
    <mergeCell ref="O93:P93"/>
    <mergeCell ref="Q93:R93"/>
    <mergeCell ref="C89:D89"/>
    <mergeCell ref="O89:P89"/>
    <mergeCell ref="Q89:R89"/>
    <mergeCell ref="O90:P90"/>
    <mergeCell ref="Q90:R90"/>
    <mergeCell ref="O91:P91"/>
    <mergeCell ref="Q91:R91"/>
    <mergeCell ref="C87:D87"/>
    <mergeCell ref="O87:P87"/>
    <mergeCell ref="Q87:R87"/>
    <mergeCell ref="C88:D88"/>
    <mergeCell ref="O88:P88"/>
    <mergeCell ref="Q88:R88"/>
    <mergeCell ref="S84:T84"/>
    <mergeCell ref="C85:D85"/>
    <mergeCell ref="S85:T85"/>
    <mergeCell ref="C86:D86"/>
    <mergeCell ref="O86:P86"/>
    <mergeCell ref="Q86:R86"/>
    <mergeCell ref="C80:D80"/>
    <mergeCell ref="C81:D81"/>
    <mergeCell ref="C84:D84"/>
    <mergeCell ref="N84:N85"/>
    <mergeCell ref="O84:P85"/>
    <mergeCell ref="Q84:R85"/>
    <mergeCell ref="C72:D72"/>
    <mergeCell ref="C73:D73"/>
    <mergeCell ref="C76:D76"/>
    <mergeCell ref="C77:D77"/>
    <mergeCell ref="C78:D78"/>
    <mergeCell ref="C79:D79"/>
    <mergeCell ref="C64:D64"/>
    <mergeCell ref="C65:D65"/>
    <mergeCell ref="C68:D68"/>
    <mergeCell ref="C69:D69"/>
    <mergeCell ref="C70:D70"/>
    <mergeCell ref="C71:D71"/>
    <mergeCell ref="O56:X56"/>
    <mergeCell ref="C57:D57"/>
    <mergeCell ref="C60:D60"/>
    <mergeCell ref="C61:D61"/>
    <mergeCell ref="C62:D62"/>
    <mergeCell ref="C63:D63"/>
    <mergeCell ref="C52:D52"/>
    <mergeCell ref="C53:D53"/>
    <mergeCell ref="C54:D54"/>
    <mergeCell ref="C55:D55"/>
    <mergeCell ref="C56:D56"/>
    <mergeCell ref="N56:N57"/>
    <mergeCell ref="T46:Y46"/>
    <mergeCell ref="C47:D47"/>
    <mergeCell ref="C48:D48"/>
    <mergeCell ref="C49:D49"/>
    <mergeCell ref="C50:D50"/>
    <mergeCell ref="C51:D51"/>
    <mergeCell ref="C42:D42"/>
    <mergeCell ref="C43:D43"/>
    <mergeCell ref="C44:D44"/>
    <mergeCell ref="C45:D45"/>
    <mergeCell ref="C46:D46"/>
    <mergeCell ref="N46:S46"/>
    <mergeCell ref="T37:T38"/>
    <mergeCell ref="U37:U38"/>
    <mergeCell ref="V37:V38"/>
    <mergeCell ref="W37:W38"/>
    <mergeCell ref="X37:X38"/>
    <mergeCell ref="C41:D41"/>
    <mergeCell ref="N37:N38"/>
    <mergeCell ref="O37:O38"/>
    <mergeCell ref="P37:P38"/>
    <mergeCell ref="Q37:Q38"/>
    <mergeCell ref="R37:R38"/>
    <mergeCell ref="S37:S38"/>
    <mergeCell ref="T29:T30"/>
    <mergeCell ref="U29:U30"/>
    <mergeCell ref="AB29:AC29"/>
    <mergeCell ref="AB31:AC31"/>
    <mergeCell ref="J32:K32"/>
    <mergeCell ref="AB33:AC33"/>
    <mergeCell ref="J27:K27"/>
    <mergeCell ref="N29:N30"/>
    <mergeCell ref="O29:O30"/>
    <mergeCell ref="P29:P30"/>
    <mergeCell ref="Q29:Q30"/>
    <mergeCell ref="S29:S30"/>
    <mergeCell ref="E17:F17"/>
    <mergeCell ref="N17:N21"/>
    <mergeCell ref="E18:F18"/>
    <mergeCell ref="AB19:AC19"/>
    <mergeCell ref="F22:G22"/>
    <mergeCell ref="N22:N26"/>
    <mergeCell ref="T4:T5"/>
    <mergeCell ref="U4:U5"/>
    <mergeCell ref="N6:N11"/>
    <mergeCell ref="U6:U26"/>
    <mergeCell ref="N12:N16"/>
    <mergeCell ref="AB15:AC15"/>
    <mergeCell ref="AB16:AC16"/>
    <mergeCell ref="N4:N5"/>
    <mergeCell ref="O4:O5"/>
    <mergeCell ref="P4:P5"/>
    <mergeCell ref="Q4:Q5"/>
    <mergeCell ref="R4:R5"/>
    <mergeCell ref="S4:S5"/>
  </mergeCells>
  <conditionalFormatting sqref="C57">
    <cfRule type="expression" dxfId="243" priority="18" stopIfTrue="1">
      <formula>COUNT(C52:C56)&lt;&gt;5</formula>
    </cfRule>
  </conditionalFormatting>
  <conditionalFormatting sqref="C65">
    <cfRule type="expression" dxfId="242" priority="2" stopIfTrue="1">
      <formula>COUNT(C60:C64)&lt;&gt;5</formula>
    </cfRule>
  </conditionalFormatting>
  <conditionalFormatting sqref="C73">
    <cfRule type="expression" dxfId="241" priority="8" stopIfTrue="1">
      <formula>COUNT(C68:C72)&lt;&gt;5</formula>
    </cfRule>
  </conditionalFormatting>
  <conditionalFormatting sqref="C81">
    <cfRule type="expression" dxfId="240" priority="7" stopIfTrue="1">
      <formula>COUNT(C76:C80)&lt;&gt;5</formula>
    </cfRule>
  </conditionalFormatting>
  <conditionalFormatting sqref="C89">
    <cfRule type="expression" dxfId="239" priority="6" stopIfTrue="1">
      <formula>COUNT(C84:C88)&lt;&gt;5</formula>
    </cfRule>
  </conditionalFormatting>
  <conditionalFormatting sqref="C97">
    <cfRule type="expression" dxfId="238" priority="5" stopIfTrue="1">
      <formula>COUNT(C92:C96)&lt;&gt;5</formula>
    </cfRule>
  </conditionalFormatting>
  <conditionalFormatting sqref="C105">
    <cfRule type="expression" dxfId="237" priority="4" stopIfTrue="1">
      <formula>COUNT(C100:C104)&lt;&gt;5</formula>
    </cfRule>
  </conditionalFormatting>
  <conditionalFormatting sqref="C113">
    <cfRule type="expression" dxfId="236" priority="3" stopIfTrue="1">
      <formula>COUNT(C108:C112)&lt;&gt;5</formula>
    </cfRule>
  </conditionalFormatting>
  <conditionalFormatting sqref="C49:E49">
    <cfRule type="expression" dxfId="235" priority="19" stopIfTrue="1">
      <formula>COUNT(C44:C48)&lt;&gt;5</formula>
    </cfRule>
  </conditionalFormatting>
  <conditionalFormatting sqref="C121:E121">
    <cfRule type="expression" dxfId="234" priority="9" stopIfTrue="1">
      <formula>COUNT(C116:C120)&lt;&gt;5</formula>
    </cfRule>
  </conditionalFormatting>
  <conditionalFormatting sqref="E57">
    <cfRule type="expression" dxfId="233" priority="17" stopIfTrue="1">
      <formula>COUNT(E52:E56)&lt;&gt;5</formula>
    </cfRule>
  </conditionalFormatting>
  <conditionalFormatting sqref="E65">
    <cfRule type="expression" dxfId="232" priority="1" stopIfTrue="1">
      <formula>COUNT(E60:E64)&lt;&gt;5</formula>
    </cfRule>
  </conditionalFormatting>
  <conditionalFormatting sqref="E73">
    <cfRule type="expression" dxfId="231" priority="16" stopIfTrue="1">
      <formula>COUNT(E68:E72)&lt;&gt;5</formula>
    </cfRule>
  </conditionalFormatting>
  <conditionalFormatting sqref="E81">
    <cfRule type="expression" dxfId="230" priority="15" stopIfTrue="1">
      <formula>COUNT(E76:E80)&lt;&gt;5</formula>
    </cfRule>
  </conditionalFormatting>
  <conditionalFormatting sqref="E89">
    <cfRule type="expression" dxfId="229" priority="14" stopIfTrue="1">
      <formula>COUNT(E84:E88)&lt;&gt;5</formula>
    </cfRule>
  </conditionalFormatting>
  <conditionalFormatting sqref="E97">
    <cfRule type="expression" dxfId="228" priority="13" stopIfTrue="1">
      <formula>COUNT(E92:E96)&lt;&gt;5</formula>
    </cfRule>
  </conditionalFormatting>
  <conditionalFormatting sqref="E105">
    <cfRule type="expression" dxfId="227" priority="12" stopIfTrue="1">
      <formula>COUNT(E100:E104)&lt;&gt;5</formula>
    </cfRule>
  </conditionalFormatting>
  <conditionalFormatting sqref="E113">
    <cfRule type="expression" dxfId="226" priority="11" stopIfTrue="1">
      <formula>COUNT(E108:E112)&lt;&gt;5</formula>
    </cfRule>
  </conditionalFormatting>
  <dataValidations disablePrompts="1" count="1">
    <dataValidation type="list" allowBlank="1" showInputMessage="1" showErrorMessage="1" prompt="Pilih satuan termometer yg dikalibrasi" sqref="C2" xr:uid="{523ABDC7-AD51-418B-83A7-0A65C471844A}">
      <formula1>"Celcius,Farenheit"</formula1>
    </dataValidation>
  </dataValidations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1" max="24" man="1"/>
  </rowBreaks>
  <colBreaks count="2" manualBreakCount="2">
    <brk id="12" max="122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84993" r:id="rId4">
          <objectPr defaultSize="0" autoPict="0" r:id="rId5">
            <anchor moveWithCells="1" sizeWithCells="1">
              <from>
                <xdr:col>15</xdr:col>
                <xdr:colOff>0</xdr:colOff>
                <xdr:row>41</xdr:row>
                <xdr:rowOff>152400</xdr:rowOff>
              </from>
              <to>
                <xdr:col>16</xdr:col>
                <xdr:colOff>0</xdr:colOff>
                <xdr:row>43</xdr:row>
                <xdr:rowOff>146050</xdr:rowOff>
              </to>
            </anchor>
          </objectPr>
        </oleObject>
      </mc:Choice>
      <mc:Fallback>
        <oleObject progId="Equation.3" shapeId="84993" r:id="rId4"/>
      </mc:Fallback>
    </mc:AlternateContent>
    <mc:AlternateContent xmlns:mc="http://schemas.openxmlformats.org/markup-compatibility/2006">
      <mc:Choice Requires="x14">
        <oleObject progId="Equation.3" shapeId="84994" r:id="rId6">
          <objectPr defaultSize="0" autoPict="0" r:id="rId7">
            <anchor moveWithCells="1" sizeWithCells="1">
              <from>
                <xdr:col>19</xdr:col>
                <xdr:colOff>228600</xdr:colOff>
                <xdr:row>41</xdr:row>
                <xdr:rowOff>50800</xdr:rowOff>
              </from>
              <to>
                <xdr:col>21</xdr:col>
                <xdr:colOff>152400</xdr:colOff>
                <xdr:row>44</xdr:row>
                <xdr:rowOff>31750</xdr:rowOff>
              </to>
            </anchor>
          </objectPr>
        </oleObject>
      </mc:Choice>
      <mc:Fallback>
        <oleObject progId="Equation.3" shapeId="84994" r:id="rId6"/>
      </mc:Fallback>
    </mc:AlternateContent>
    <mc:AlternateContent xmlns:mc="http://schemas.openxmlformats.org/markup-compatibility/2006">
      <mc:Choice Requires="x14">
        <oleObject progId="Equation.3" shapeId="84995" r:id="rId8">
          <objectPr defaultSize="0" autoPict="0" r:id="rId9">
            <anchor moveWithCells="1" sizeWithCells="1">
              <from>
                <xdr:col>17</xdr:col>
                <xdr:colOff>95250</xdr:colOff>
                <xdr:row>28</xdr:row>
                <xdr:rowOff>19050</xdr:rowOff>
              </from>
              <to>
                <xdr:col>17</xdr:col>
                <xdr:colOff>323850</xdr:colOff>
                <xdr:row>29</xdr:row>
                <xdr:rowOff>127000</xdr:rowOff>
              </to>
            </anchor>
          </objectPr>
        </oleObject>
      </mc:Choice>
      <mc:Fallback>
        <oleObject progId="Equation.3" shapeId="84995" r:id="rId8"/>
      </mc:Fallback>
    </mc:AlternateContent>
    <mc:AlternateContent xmlns:mc="http://schemas.openxmlformats.org/markup-compatibility/2006">
      <mc:Choice Requires="x14">
        <oleObject progId="Equation.3" shapeId="84996" r:id="rId10">
          <objectPr defaultSize="0" autoPict="0" r:id="rId9">
            <anchor moveWithCells="1" sizeWithCells="1">
              <from>
                <xdr:col>17</xdr:col>
                <xdr:colOff>95250</xdr:colOff>
                <xdr:row>28</xdr:row>
                <xdr:rowOff>19050</xdr:rowOff>
              </from>
              <to>
                <xdr:col>17</xdr:col>
                <xdr:colOff>323850</xdr:colOff>
                <xdr:row>29</xdr:row>
                <xdr:rowOff>127000</xdr:rowOff>
              </to>
            </anchor>
          </objectPr>
        </oleObject>
      </mc:Choice>
      <mc:Fallback>
        <oleObject progId="Equation.3" shapeId="84996" r:id="rId10"/>
      </mc:Fallback>
    </mc:AlternateContent>
  </oleObjects>
  <extLst>
    <ext xmlns:x14="http://schemas.microsoft.com/office/spreadsheetml/2009/9/main" uri="{CCE6A557-97BC-4b89-ADB6-D9C93CAAB3DF}">
      <x14:dataValidations xmlns:xm="http://schemas.microsoft.com/office/excel/2006/main" disablePrompts="1" count="3">
        <x14:dataValidation type="list" allowBlank="1" showInputMessage="1" showErrorMessage="1" xr:uid="{358184D4-9654-43AE-832E-FF6A2F503C0A}">
          <x14:formula1>
            <xm:f>Database!$AG$4:$AG$8</xm:f>
          </x14:formula1>
          <xm:sqref>D33:E34</xm:sqref>
        </x14:dataValidation>
        <x14:dataValidation type="list" allowBlank="1" showInputMessage="1" showErrorMessage="1" xr:uid="{179C7F73-7691-4B5B-BEB2-2D55FC69F7C3}">
          <x14:formula1>
            <xm:f>Database!$AD$4:$AD$8</xm:f>
          </x14:formula1>
          <xm:sqref>D28:E29</xm:sqref>
        </x14:dataValidation>
        <x14:dataValidation type="list" allowBlank="1" showInputMessage="1" showErrorMessage="1" xr:uid="{7835B5B7-4DEE-46D1-AB4F-CF2D5BC13BB3}">
          <x14:formula1>
            <xm:f>Database!$AR$3:$AR$4</xm:f>
          </x14:formula1>
          <xm:sqref>E12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282E0-666E-4D7D-A1AE-F0F1E47EAE57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13'!O86</f>
        <v>-1.3679999999999986</v>
      </c>
      <c r="C2" s="37">
        <f>'PERHITUNGAN 13'!N86</f>
        <v>-28.440000000000005</v>
      </c>
      <c r="D2" s="75">
        <f>C2^2</f>
        <v>808.83360000000027</v>
      </c>
      <c r="E2" s="37">
        <f>C2^3</f>
        <v>-23003.227584000011</v>
      </c>
      <c r="F2" s="91">
        <f>C2^4</f>
        <v>654211.79248896043</v>
      </c>
      <c r="G2" s="91">
        <f>C2^5</f>
        <v>-18605783.378386039</v>
      </c>
      <c r="H2" s="91">
        <f>C2^6</f>
        <v>529148479.281299</v>
      </c>
      <c r="I2" s="91">
        <f>C2^7</f>
        <v>-15048982750.760145</v>
      </c>
      <c r="J2" s="91">
        <f>C2^8</f>
        <v>427993069431.61865</v>
      </c>
      <c r="K2" s="91">
        <f>C2^9</f>
        <v>-12172122894635.236</v>
      </c>
      <c r="L2" s="91">
        <f>C2^10</f>
        <v>346175175123426.19</v>
      </c>
      <c r="Q2" s="12"/>
    </row>
    <row r="3" spans="1:24">
      <c r="A3" s="25">
        <v>2</v>
      </c>
      <c r="B3" s="37">
        <f>'PERHITUNGAN 13'!O87</f>
        <v>-5.0779999999999994</v>
      </c>
      <c r="C3" s="37">
        <f>'PERHITUNGAN 13'!N87</f>
        <v>5.27</v>
      </c>
      <c r="D3" s="75">
        <f t="shared" ref="D3:D9" si="0">C3^2</f>
        <v>27.772899999999996</v>
      </c>
      <c r="E3" s="37">
        <f t="shared" ref="E3:E9" si="1">C3^3</f>
        <v>146.36318299999996</v>
      </c>
      <c r="F3" s="91">
        <f t="shared" ref="F3:F9" si="2">C3^4</f>
        <v>771.33397440999977</v>
      </c>
      <c r="G3" s="91">
        <f t="shared" ref="G3:G9" si="3">C3^5</f>
        <v>4064.9300451406984</v>
      </c>
      <c r="H3" s="91">
        <f t="shared" ref="H3:H9" si="4">C3^6</f>
        <v>21422.181337891481</v>
      </c>
      <c r="I3" s="91">
        <f t="shared" ref="I3:I9" si="5">C3^7</f>
        <v>112894.89565068808</v>
      </c>
      <c r="J3" s="91">
        <f t="shared" ref="J3:J9" si="6">C3^8</f>
        <v>594956.10007912619</v>
      </c>
      <c r="K3" s="91">
        <f t="shared" ref="K3:K9" si="7">C3^9</f>
        <v>3135418.6474169949</v>
      </c>
      <c r="L3" s="91">
        <f t="shared" ref="L3:L9" si="8">C3^10</f>
        <v>16523656.271887561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13'!O88</f>
        <v>-0.33200000000000074</v>
      </c>
      <c r="C4" s="37">
        <f>'PERHITUNGAN 13'!N88</f>
        <v>50.68</v>
      </c>
      <c r="D4" s="75">
        <f t="shared" si="0"/>
        <v>2568.4623999999999</v>
      </c>
      <c r="E4" s="37">
        <f t="shared" si="1"/>
        <v>130169.674432</v>
      </c>
      <c r="F4" s="91">
        <f t="shared" si="2"/>
        <v>6596999.1002137596</v>
      </c>
      <c r="G4" s="91">
        <f t="shared" si="3"/>
        <v>334335914.39883333</v>
      </c>
      <c r="H4" s="91">
        <f t="shared" si="4"/>
        <v>16944144141.732872</v>
      </c>
      <c r="I4" s="91">
        <f t="shared" si="5"/>
        <v>858729225103.02197</v>
      </c>
      <c r="J4" s="91">
        <f t="shared" si="6"/>
        <v>43520397128221.156</v>
      </c>
      <c r="K4" s="91">
        <f t="shared" si="7"/>
        <v>2205613726458248.3</v>
      </c>
      <c r="L4" s="91">
        <f t="shared" si="8"/>
        <v>1.1178050365690402E+17</v>
      </c>
      <c r="R4" s="414" t="str">
        <f>IF('PERHITUNGAN 13'!$C$2="Celcius","(°C)","(°F)")</f>
        <v>(°C)</v>
      </c>
      <c r="S4" s="415"/>
      <c r="T4" s="5" t="str">
        <f>IF('PERHITUNGAN 13'!$C$2="Celcius","(°C)","(°F)")</f>
        <v>(°C)</v>
      </c>
      <c r="U4" s="14"/>
      <c r="V4" s="1"/>
    </row>
    <row r="5" spans="1:24">
      <c r="A5" s="25">
        <v>4</v>
      </c>
      <c r="B5" s="37">
        <f>'PERHITUNGAN 13'!O89</f>
        <v>-0.95199999999999818</v>
      </c>
      <c r="C5" s="37">
        <f>'PERHITUNGAN 13'!N89</f>
        <v>100.84</v>
      </c>
      <c r="D5" s="75">
        <f t="shared" si="0"/>
        <v>10168.705600000001</v>
      </c>
      <c r="E5" s="37">
        <f t="shared" si="1"/>
        <v>1025412.2727040001</v>
      </c>
      <c r="F5" s="91">
        <f t="shared" si="2"/>
        <v>103402573.57947138</v>
      </c>
      <c r="G5" s="91">
        <f t="shared" si="3"/>
        <v>10427115519.753895</v>
      </c>
      <c r="H5" s="91">
        <f t="shared" si="4"/>
        <v>1051470329011.9828</v>
      </c>
      <c r="I5" s="91">
        <f t="shared" si="5"/>
        <v>106030267977568.34</v>
      </c>
      <c r="J5" s="91">
        <f t="shared" si="6"/>
        <v>1.0692092222857992E+16</v>
      </c>
      <c r="K5" s="91">
        <f t="shared" si="7"/>
        <v>1.0781905797529999E+18</v>
      </c>
      <c r="L5" s="91">
        <f t="shared" si="8"/>
        <v>1.0872473806229252E+20</v>
      </c>
      <c r="R5" s="412"/>
      <c r="S5" s="413"/>
      <c r="T5" s="21"/>
      <c r="U5" s="32"/>
    </row>
    <row r="6" spans="1:24">
      <c r="A6" s="25">
        <v>5</v>
      </c>
      <c r="B6" s="37">
        <f>'PERHITUNGAN 13'!O90</f>
        <v>-0.81200000000001182</v>
      </c>
      <c r="C6" s="37">
        <f>'PERHITUNGAN 13'!N90</f>
        <v>150.53</v>
      </c>
      <c r="D6" s="75">
        <f t="shared" si="0"/>
        <v>22659.280900000002</v>
      </c>
      <c r="E6" s="37">
        <f t="shared" si="1"/>
        <v>3410901.5538770002</v>
      </c>
      <c r="F6" s="91">
        <f t="shared" si="2"/>
        <v>513443010.90510488</v>
      </c>
      <c r="G6" s="91">
        <f t="shared" si="3"/>
        <v>77288576431.545441</v>
      </c>
      <c r="H6" s="91">
        <f t="shared" si="4"/>
        <v>11634249410240.535</v>
      </c>
      <c r="I6" s="91">
        <f t="shared" si="5"/>
        <v>1751303563723507.8</v>
      </c>
      <c r="J6" s="91">
        <f t="shared" si="6"/>
        <v>2.6362372544729965E+17</v>
      </c>
      <c r="K6" s="91">
        <f t="shared" si="7"/>
        <v>3.968327939158202E+19</v>
      </c>
      <c r="L6" s="91">
        <f t="shared" si="8"/>
        <v>5.9735240468148414E+21</v>
      </c>
      <c r="Q6" t="s">
        <v>150</v>
      </c>
      <c r="R6" s="408"/>
      <c r="S6" s="409"/>
      <c r="T6" s="23">
        <f>$V$38+($V$39*R6)+($V$40*(R6^2))+($V$41*(R6^3))</f>
        <v>-11.102835137227007</v>
      </c>
      <c r="U6" s="27"/>
      <c r="V6" s="88"/>
    </row>
    <row r="7" spans="1:24">
      <c r="A7" s="25">
        <v>6</v>
      </c>
      <c r="B7" s="37">
        <f>'PERHITUNGAN 13'!O91</f>
        <v>-0.46600000000000819</v>
      </c>
      <c r="C7" s="37">
        <f>'PERHITUNGAN 13'!N91</f>
        <v>199.93</v>
      </c>
      <c r="D7" s="75">
        <f t="shared" si="0"/>
        <v>39972.0049</v>
      </c>
      <c r="E7" s="37">
        <f t="shared" si="1"/>
        <v>7991602.9396569999</v>
      </c>
      <c r="F7" s="91">
        <f t="shared" si="2"/>
        <v>1597761175.7256241</v>
      </c>
      <c r="G7" s="91">
        <f t="shared" si="3"/>
        <v>319440391862.82404</v>
      </c>
      <c r="H7" s="91">
        <f t="shared" si="4"/>
        <v>63865717545134.406</v>
      </c>
      <c r="I7" s="91">
        <f t="shared" si="5"/>
        <v>1.2768672908798722E+16</v>
      </c>
      <c r="J7" s="91">
        <f t="shared" si="6"/>
        <v>2.5528407746561285E+18</v>
      </c>
      <c r="K7" s="91">
        <f t="shared" si="7"/>
        <v>5.1038945607699982E+20</v>
      </c>
      <c r="L7" s="91">
        <f t="shared" si="8"/>
        <v>1.0204216395347456E+23</v>
      </c>
      <c r="R7" s="408"/>
      <c r="S7" s="409"/>
      <c r="T7" s="23">
        <f t="shared" ref="T7:T15" si="9">$V$38+($V$39*R7)+($V$40*(R7^2))+($V$41*(R7^3))</f>
        <v>-11.102835137227007</v>
      </c>
      <c r="U7" s="27"/>
      <c r="V7" s="88"/>
    </row>
    <row r="8" spans="1:24">
      <c r="A8" s="25">
        <v>7</v>
      </c>
      <c r="B8" s="37">
        <f>'PERHITUNGAN 13'!O92</f>
        <v>-0.22299999999998477</v>
      </c>
      <c r="C8" s="37">
        <f>'PERHITUNGAN 13'!N92</f>
        <v>249.7</v>
      </c>
      <c r="D8" s="75">
        <f t="shared" si="0"/>
        <v>62350.09</v>
      </c>
      <c r="E8" s="37">
        <f t="shared" si="1"/>
        <v>15568817.472999999</v>
      </c>
      <c r="F8" s="91">
        <f t="shared" si="2"/>
        <v>3887533723.0080996</v>
      </c>
      <c r="G8" s="91">
        <f t="shared" si="3"/>
        <v>970717170635.12244</v>
      </c>
      <c r="H8" s="91">
        <f t="shared" si="4"/>
        <v>242388077507590.06</v>
      </c>
      <c r="I8" s="91">
        <f t="shared" si="5"/>
        <v>6.052430295364524E+16</v>
      </c>
      <c r="J8" s="91">
        <f t="shared" si="6"/>
        <v>1.5112918447525216E+19</v>
      </c>
      <c r="K8" s="91">
        <f t="shared" si="7"/>
        <v>3.7736957363470462E+21</v>
      </c>
      <c r="L8" s="91">
        <f t="shared" si="8"/>
        <v>9.4229182536585748E+23</v>
      </c>
      <c r="R8" s="408"/>
      <c r="S8" s="409"/>
      <c r="T8" s="23">
        <f t="shared" si="9"/>
        <v>-11.102835137227007</v>
      </c>
      <c r="U8" s="27"/>
      <c r="V8" s="88"/>
    </row>
    <row r="9" spans="1:24">
      <c r="A9" s="25">
        <v>8</v>
      </c>
      <c r="B9" s="37">
        <f>'PERHITUNGAN 13'!O93</f>
        <v>-0.17500000000001137</v>
      </c>
      <c r="C9" s="37">
        <f>'PERHITUNGAN 13'!N93</f>
        <v>259.73</v>
      </c>
      <c r="D9" s="75">
        <f t="shared" si="0"/>
        <v>67459.672900000005</v>
      </c>
      <c r="E9" s="37">
        <f t="shared" si="1"/>
        <v>17521300.842317004</v>
      </c>
      <c r="F9" s="91">
        <f t="shared" si="2"/>
        <v>4550807467.7749949</v>
      </c>
      <c r="G9" s="91">
        <f t="shared" si="3"/>
        <v>1181981223605.1995</v>
      </c>
      <c r="H9" s="91">
        <f t="shared" si="4"/>
        <v>306995983206978.44</v>
      </c>
      <c r="I9" s="91">
        <f t="shared" si="5"/>
        <v>7.9736066718348528E+16</v>
      </c>
      <c r="J9" s="91">
        <f t="shared" si="6"/>
        <v>2.0709848608756662E+19</v>
      </c>
      <c r="K9" s="91">
        <f t="shared" si="7"/>
        <v>5.378968979152368E+21</v>
      </c>
      <c r="L9" s="91">
        <f t="shared" si="8"/>
        <v>1.3970796129552447E+24</v>
      </c>
      <c r="R9" s="408"/>
      <c r="S9" s="409"/>
      <c r="T9" s="23">
        <f t="shared" si="9"/>
        <v>-11.102835137227007</v>
      </c>
      <c r="U9" s="27"/>
      <c r="V9" s="88"/>
    </row>
    <row r="10" spans="1:24">
      <c r="A10" s="25">
        <v>9</v>
      </c>
      <c r="B10" s="37"/>
      <c r="C10" s="37"/>
      <c r="D10" s="75"/>
      <c r="E10" s="37"/>
      <c r="F10" s="91"/>
      <c r="G10" s="91"/>
      <c r="H10" s="91"/>
      <c r="I10" s="91"/>
      <c r="J10" s="91"/>
      <c r="K10" s="91"/>
      <c r="L10" s="91"/>
      <c r="R10" s="408"/>
      <c r="S10" s="409"/>
      <c r="T10" s="23">
        <f t="shared" si="9"/>
        <v>-11.102835137227007</v>
      </c>
      <c r="U10" s="27"/>
      <c r="V10" s="88"/>
    </row>
    <row r="11" spans="1:24">
      <c r="A11" s="25">
        <v>10</v>
      </c>
      <c r="B11" s="37"/>
      <c r="C11" s="37"/>
      <c r="D11" s="75"/>
      <c r="E11" s="37"/>
      <c r="F11" s="91"/>
      <c r="G11" s="91"/>
      <c r="H11" s="91"/>
      <c r="I11" s="91"/>
      <c r="J11" s="91"/>
      <c r="K11" s="91"/>
      <c r="L11" s="91"/>
      <c r="R11" s="408"/>
      <c r="S11" s="409"/>
      <c r="T11" s="23">
        <f t="shared" si="9"/>
        <v>-11.102835137227007</v>
      </c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>
        <f t="shared" si="9"/>
        <v>-11.102835137227007</v>
      </c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>
        <f t="shared" si="9"/>
        <v>-11.102835137227007</v>
      </c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>
        <f t="shared" si="9"/>
        <v>-11.102835137227007</v>
      </c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>
        <f t="shared" si="9"/>
        <v>-11.102835137227007</v>
      </c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v>-10</v>
      </c>
      <c r="S19" s="409"/>
      <c r="T19" s="23">
        <f>$S$38+($S$39*R19)+($S$40*(R19^2))+($S$41*(R19^3))+($S$42*(R19^4))+($S$43*(R19^5))+($S$44*(R19^6))+($S$45*(R19^7))+($S$46*(R19^8))+($S$47*(R19^9))+($S$48*(R19^10))</f>
        <v>-0.88121828832208526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v>0</v>
      </c>
      <c r="S20" s="409"/>
      <c r="T20" s="23">
        <f t="shared" ref="T20:T28" si="10">$S$38+($S$39*R20)+($S$40*(R20^2))+($S$41*(R20^3))+($S$42*(R20^4))+($S$43*(R20^5))+($S$44*(R20^6))+($S$45*(R20^7))+($S$46*(R20^8))+($S$47*(R20^9))+($S$48*(R20^10))</f>
        <v>-0.46071808509844114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v>25</v>
      </c>
      <c r="S21" s="409"/>
      <c r="T21" s="23">
        <f t="shared" si="10"/>
        <v>0.32258343025158998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v>50</v>
      </c>
      <c r="S22" s="409"/>
      <c r="T22" s="23">
        <f t="shared" si="10"/>
        <v>0.75633801576894211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v>100</v>
      </c>
      <c r="S23" s="409"/>
      <c r="T23" s="23">
        <f t="shared" si="10"/>
        <v>0.74139312463563978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v>125</v>
      </c>
      <c r="S24" s="409"/>
      <c r="T24" s="23">
        <f t="shared" si="10"/>
        <v>0.37578701165000117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v>150</v>
      </c>
      <c r="S25" s="409"/>
      <c r="T25" s="23">
        <f t="shared" si="10"/>
        <v>-0.17317930383828761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v>200</v>
      </c>
      <c r="S26" s="409"/>
      <c r="T26" s="23">
        <f t="shared" si="10"/>
        <v>-1.6550058149927787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/>
      <c r="S27" s="409"/>
      <c r="T27" s="23">
        <f t="shared" si="10"/>
        <v>-0.46071808509844114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/>
      <c r="S28" s="409"/>
      <c r="T28" s="23">
        <f t="shared" si="10"/>
        <v>-0.46071808509844114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0.99448035016280667</v>
      </c>
      <c r="Q33" s="31" t="s">
        <v>100</v>
      </c>
      <c r="U33" s="70"/>
    </row>
    <row r="34" spans="2:24">
      <c r="B34" t="s">
        <v>76</v>
      </c>
      <c r="C34">
        <v>0.98899116685993849</v>
      </c>
      <c r="X34" s="46"/>
    </row>
    <row r="35" spans="2:24">
      <c r="B35" t="s">
        <v>77</v>
      </c>
      <c r="C35">
        <v>0.9807345420048923</v>
      </c>
      <c r="Q35" t="s">
        <v>99</v>
      </c>
    </row>
    <row r="36" spans="2:24">
      <c r="B36" t="s">
        <v>78</v>
      </c>
      <c r="C36">
        <v>0.11852272321984848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1">C46</f>
        <v>-0.46071808509844114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1"/>
        <v>3.8876954968421591E-2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1"/>
        <v>-3.1287488933214925E-4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5.0479420163222102</v>
      </c>
      <c r="E41">
        <v>1.6826473387740701</v>
      </c>
      <c r="F41">
        <v>119.78153110050795</v>
      </c>
      <c r="G41">
        <v>2.2640390381163065E-4</v>
      </c>
      <c r="R41" s="26" t="s">
        <v>112</v>
      </c>
      <c r="S41">
        <f t="shared" si="11"/>
        <v>4.4316460621341428E-7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5.6190543677795239E-2</v>
      </c>
      <c r="E42">
        <v>1.404763591944881E-2</v>
      </c>
      <c r="R42" s="26" t="s">
        <v>137</v>
      </c>
      <c r="S42">
        <f t="shared" si="11"/>
        <v>0</v>
      </c>
      <c r="U42" s="26"/>
    </row>
    <row r="43" spans="2:24" ht="13.5" thickBot="1">
      <c r="B43" s="67" t="s">
        <v>83</v>
      </c>
      <c r="C43" s="67">
        <v>7</v>
      </c>
      <c r="D43" s="67">
        <v>5.1041325600000054</v>
      </c>
      <c r="E43" s="67"/>
      <c r="F43" s="67"/>
      <c r="G43" s="67"/>
      <c r="R43" s="26" t="s">
        <v>88</v>
      </c>
      <c r="S43">
        <f t="shared" si="11"/>
        <v>0</v>
      </c>
      <c r="U43" s="26"/>
    </row>
    <row r="44" spans="2:24" ht="13.5" thickBot="1">
      <c r="R44" s="26" t="s">
        <v>138</v>
      </c>
      <c r="S44">
        <f t="shared" si="11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1"/>
        <v>0</v>
      </c>
      <c r="U45" s="26"/>
    </row>
    <row r="46" spans="2:24">
      <c r="B46" t="s">
        <v>84</v>
      </c>
      <c r="C46">
        <v>-0.46071808509844114</v>
      </c>
      <c r="D46">
        <v>7.1184387722242046E-2</v>
      </c>
      <c r="E46">
        <v>-6.472178799881517</v>
      </c>
      <c r="F46">
        <v>2.9363587408360258E-3</v>
      </c>
      <c r="G46">
        <v>-0.65835762995636193</v>
      </c>
      <c r="H46">
        <v>-0.26307854024052035</v>
      </c>
      <c r="I46">
        <v>-0.65835762995636193</v>
      </c>
      <c r="J46">
        <v>-0.26307854024052035</v>
      </c>
      <c r="R46" s="26" t="s">
        <v>140</v>
      </c>
      <c r="S46">
        <f t="shared" si="11"/>
        <v>0</v>
      </c>
      <c r="U46" s="26"/>
    </row>
    <row r="47" spans="2:24">
      <c r="B47" t="s">
        <v>95</v>
      </c>
      <c r="C47">
        <v>3.8876954968421591E-2</v>
      </c>
      <c r="D47">
        <v>4.0849128756769099E-3</v>
      </c>
      <c r="E47">
        <v>9.5172054219098374</v>
      </c>
      <c r="F47">
        <v>6.8046531708956175E-4</v>
      </c>
      <c r="G47">
        <v>2.7535418609588993E-2</v>
      </c>
      <c r="H47">
        <v>5.0218491327254186E-2</v>
      </c>
      <c r="I47">
        <v>2.7535418609588993E-2</v>
      </c>
      <c r="J47">
        <v>5.0218491327254186E-2</v>
      </c>
      <c r="R47" s="26" t="s">
        <v>141</v>
      </c>
      <c r="S47">
        <f t="shared" si="11"/>
        <v>0</v>
      </c>
      <c r="U47" s="26"/>
    </row>
    <row r="48" spans="2:24">
      <c r="B48" t="s">
        <v>108</v>
      </c>
      <c r="C48">
        <v>-3.1287488933214925E-4</v>
      </c>
      <c r="D48">
        <v>5.4059866343607061E-5</v>
      </c>
      <c r="E48">
        <v>-5.7875631312793434</v>
      </c>
      <c r="F48">
        <v>4.4291651401800651E-3</v>
      </c>
      <c r="G48">
        <v>-4.6296914062950401E-4</v>
      </c>
      <c r="H48">
        <v>-1.627806380347945E-4</v>
      </c>
      <c r="I48">
        <v>-4.6296914062950401E-4</v>
      </c>
      <c r="J48">
        <v>-1.627806380347945E-4</v>
      </c>
      <c r="R48" s="26" t="s">
        <v>142</v>
      </c>
      <c r="S48">
        <f t="shared" si="11"/>
        <v>0</v>
      </c>
      <c r="U48" s="26"/>
    </row>
    <row r="49" spans="2:21" ht="13.5" thickBot="1">
      <c r="B49" s="67" t="s">
        <v>109</v>
      </c>
      <c r="C49" s="67">
        <v>4.4316460621341428E-7</v>
      </c>
      <c r="D49" s="67">
        <v>1.812426907676456E-7</v>
      </c>
      <c r="E49" s="67">
        <v>2.4451447081060742</v>
      </c>
      <c r="F49" s="67">
        <v>7.0814640950746299E-2</v>
      </c>
      <c r="G49" s="67">
        <v>-6.004577542129268E-8</v>
      </c>
      <c r="H49" s="67">
        <v>9.4637498784812123E-7</v>
      </c>
      <c r="I49" s="67">
        <v>-6.004577542129268E-8</v>
      </c>
      <c r="J49" s="67">
        <v>9.4637498784812123E-7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56" spans="2:21" ht="13.5" thickBot="1">
      <c r="B56" s="67"/>
      <c r="C56" s="67"/>
      <c r="D56" s="67"/>
      <c r="E56" s="67"/>
      <c r="F56" s="67"/>
      <c r="G56" s="67"/>
      <c r="H56" s="67"/>
      <c r="I56" s="67"/>
      <c r="J56" s="67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C2C3E-B41D-4C51-B7EB-CBD5C6599F2A}">
  <dimension ref="A1:AH187"/>
  <sheetViews>
    <sheetView workbookViewId="0">
      <selection activeCell="I103" sqref="I103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0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13'!$C$2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13'!G3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13'!E5</f>
        <v>Termometer Digital</v>
      </c>
      <c r="F5" s="11"/>
      <c r="G5" s="11" t="s">
        <v>127</v>
      </c>
      <c r="H5" s="11" t="s">
        <v>16</v>
      </c>
      <c r="I5" s="66" t="str">
        <f>'PERHITUNGAN 13'!I5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13'!E6</f>
        <v>Hioki / LR 8431-20</v>
      </c>
      <c r="F6" s="11"/>
      <c r="G6" s="11" t="s">
        <v>128</v>
      </c>
      <c r="H6" s="11" t="s">
        <v>16</v>
      </c>
      <c r="I6" s="129">
        <f>'PERHITUNGAN 13'!I6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13'!E7</f>
        <v>210149173</v>
      </c>
      <c r="F7" s="11"/>
      <c r="G7" s="11" t="s">
        <v>44</v>
      </c>
      <c r="H7" s="11" t="s">
        <v>16</v>
      </c>
      <c r="I7" s="31">
        <v>14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13'!E11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13'!E12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13'!E13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13'!E14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13'!E17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13'!E18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13'!E19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13'!E21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13'!D24</f>
        <v>22</v>
      </c>
      <c r="E23" s="244">
        <f>'PERHITUNGAN 13'!E24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13'!D25</f>
        <v>22</v>
      </c>
      <c r="E24" s="244">
        <f>'PERHITUNGAN 13'!E25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13'!D28</f>
        <v>20</v>
      </c>
      <c r="E27" s="244">
        <f>'PERHITUNGAN 13'!E28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13'!D29</f>
        <v>20</v>
      </c>
      <c r="E28" s="244">
        <f>'PERHITUNGAN 13'!E29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13'!D33</f>
        <v>55</v>
      </c>
      <c r="E32" s="244">
        <f>'PERHITUNGAN 13'!E33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13'!D34</f>
        <v>55</v>
      </c>
      <c r="E33" s="244">
        <f>'PERHITUNGAN 13'!E34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A34" s="49"/>
      <c r="B34" s="49"/>
      <c r="C34" s="49"/>
      <c r="D34" s="49"/>
      <c r="E34" s="49"/>
      <c r="F34" s="49"/>
      <c r="G34" s="49"/>
      <c r="H34" s="49"/>
      <c r="I34" s="49"/>
      <c r="J34" s="240"/>
      <c r="K34" s="240"/>
      <c r="L34" s="240"/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-29.78</v>
      </c>
      <c r="P36" s="380">
        <f>F56</f>
        <v>0.19500000000000001</v>
      </c>
      <c r="Q36" s="380">
        <f>F64</f>
        <v>50.345999999999997</v>
      </c>
      <c r="R36" s="380">
        <f>F72</f>
        <v>99.884</v>
      </c>
      <c r="S36" s="380">
        <f>F80</f>
        <v>149.71799999999999</v>
      </c>
      <c r="T36" s="380">
        <f>F88</f>
        <v>199.465</v>
      </c>
      <c r="U36" s="380">
        <f>F96</f>
        <v>249.47999999999996</v>
      </c>
      <c r="V36" s="380">
        <f>F104</f>
        <v>259.55599999999998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14'!$E$11="Burn Engr",IF(O36&lt;=$AA$38,$AB$38,$AB$39),IF(O36&lt;=$AC$38,$AD$38,IF(O36&lt;=$AC$39,$AD$39,$AD$40)))</f>
        <v>0.02</v>
      </c>
      <c r="P38" s="54">
        <f>IF('PERHITUNGAN 14'!$E$11="Burn Engr",IF(P36&lt;=$AA$38,$AB$38,$AB$39),IF(P36&lt;=$AC$38,$AD$38,IF(P36&lt;=$AC$39,$AD$39,$AD$40)))</f>
        <v>7.0000000000000007E-2</v>
      </c>
      <c r="Q38" s="54">
        <f>IF('PERHITUNGAN 14'!$E$11="Burn Engr",IF(Q36&lt;=$AA$38,$AB$38,$AB$39),IF(Q36&lt;=$AC$38,$AD$38,IF(Q36&lt;=$AC$39,$AD$39,$AD$40)))</f>
        <v>7.0000000000000007E-2</v>
      </c>
      <c r="R38" s="54">
        <f>IF('PERHITUNGAN 14'!$E$11="Burn Engr",IF(R36&lt;=$AA$38,$AB$38,$AB$39),IF(R36&lt;=$AC$38,$AD$38,IF(R36&lt;=$AC$39,$AD$39,$AD$40)))</f>
        <v>7.0000000000000007E-2</v>
      </c>
      <c r="S38" s="54">
        <f>IF('PERHITUNGAN 14'!$E$11="Burn Engr",IF(S36&lt;=$AA$38,$AB$38,$AB$39),IF(S36&lt;=$AC$38,$AD$38,IF(S36&lt;=$AC$39,$AD$39,$AD$40)))</f>
        <v>7.0000000000000007E-2</v>
      </c>
      <c r="T38" s="54">
        <f>IF('PERHITUNGAN 14'!$E$11="Burn Engr",IF(T36&lt;=$AA$38,$AB$38,$AB$39),IF(T36&lt;=$AC$38,$AD$38,IF(T36&lt;=$AC$39,$AD$39,$AD$40)))</f>
        <v>7.0000000000000007E-2</v>
      </c>
      <c r="U38" s="54">
        <f>IF('PERHITUNGAN 14'!$E$11="Burn Engr",IF(U36&lt;=$AA$38,$AB$38,$AB$39),IF(U36&lt;=$AC$38,$AD$38,IF(U36&lt;=$AC$39,$AD$39,$AD$40)))</f>
        <v>7.0000000000000007E-2</v>
      </c>
      <c r="V38" s="54">
        <f>IF('PERHITUNGAN 14'!$E$11="Burn Engr",IF(V36&lt;=$AA$38,$AB$38,$AB$39),IF(V36&lt;=$AC$38,$AD$38,IF(V36&lt;=$AC$39,$AD$39,$AD$40)))</f>
        <v>7.0000000000000007E-2</v>
      </c>
      <c r="W38" s="54">
        <f>IF('PERHITUNGAN 14'!$E$11="Burn Engr",IF(W36&lt;=$AA$38,$AB$38,$AB$39),IF(W36&lt;=$AC$38,$AD$38,IF(W36&lt;=$AC$39,$AD$39,$AD$40)))</f>
        <v>0.02</v>
      </c>
      <c r="X38" s="54">
        <f>IF('PERHITUNGAN 14'!$E$11="Burn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0.01</v>
      </c>
      <c r="P40" s="37">
        <f t="shared" ref="P40:X40" si="1">P38/P39</f>
        <v>3.5000000000000003E-2</v>
      </c>
      <c r="Q40" s="37">
        <f t="shared" si="1"/>
        <v>3.5000000000000003E-2</v>
      </c>
      <c r="R40" s="37">
        <f>R38/R39</f>
        <v>3.5000000000000003E-2</v>
      </c>
      <c r="S40" s="37">
        <f t="shared" si="1"/>
        <v>3.5000000000000003E-2</v>
      </c>
      <c r="T40" s="37">
        <f t="shared" si="1"/>
        <v>3.5000000000000003E-2</v>
      </c>
      <c r="U40" s="37">
        <f t="shared" si="1"/>
        <v>3.5000000000000003E-2</v>
      </c>
      <c r="V40" s="37">
        <f t="shared" si="1"/>
        <v>3.5000000000000003E-2</v>
      </c>
      <c r="W40" s="37">
        <f t="shared" si="1"/>
        <v>0.01</v>
      </c>
      <c r="X40" s="37">
        <f t="shared" si="1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-30</v>
      </c>
      <c r="C43" s="373">
        <v>-28.26</v>
      </c>
      <c r="D43" s="374"/>
      <c r="E43" s="90">
        <v>-29.78</v>
      </c>
      <c r="F43" s="37">
        <f>IF('PERHITUNGAN 14'!$E$11="Burn Engr",'PERHITUNGAN 14'!E43,E43+('regresi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-29.78</v>
      </c>
      <c r="G43" s="90">
        <f>F43-C43</f>
        <v>-1.5199999999999996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-28.26</v>
      </c>
      <c r="D44" s="374"/>
      <c r="E44" s="90">
        <v>-29.78</v>
      </c>
      <c r="F44" s="37">
        <f>IF('PERHITUNGAN 14'!$E$11="Burn Engr",'PERHITUNGAN 14'!E44,E44+('regresi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-29.78</v>
      </c>
      <c r="G44" s="90">
        <f>F44-C44</f>
        <v>-1.5199999999999996</v>
      </c>
      <c r="H44" s="63"/>
      <c r="I44" s="63"/>
      <c r="AB44" s="1"/>
    </row>
    <row r="45" spans="1:30" ht="13.5" customHeight="1">
      <c r="A45" s="105"/>
      <c r="C45" s="373">
        <v>-28.26</v>
      </c>
      <c r="D45" s="374"/>
      <c r="E45" s="90">
        <v>-29.78</v>
      </c>
      <c r="F45" s="37">
        <f>IF('PERHITUNGAN 14'!$E$11="Burn Engr",'PERHITUNGAN 14'!E45,E45+('regresi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-29.78</v>
      </c>
      <c r="G45" s="90">
        <f>F45-C45</f>
        <v>-1.5199999999999996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-28.26</v>
      </c>
      <c r="D46" s="374"/>
      <c r="E46" s="90">
        <v>-29.78</v>
      </c>
      <c r="F46" s="37">
        <f>IF('PERHITUNGAN 14'!$E$11="Burn Engr",'PERHITUNGAN 14'!E46,E46+('regresi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-29.78</v>
      </c>
      <c r="G46" s="90">
        <f>F46-C46</f>
        <v>-1.5199999999999996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-28.26</v>
      </c>
      <c r="D47" s="374"/>
      <c r="E47" s="90">
        <v>-29.78</v>
      </c>
      <c r="F47" s="37">
        <f>IF('PERHITUNGAN 14'!$E$11="Burn Engr",'PERHITUNGAN 14'!E47,E47+('regresi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-29.78</v>
      </c>
      <c r="G47" s="90">
        <f>F47-C47</f>
        <v>-1.5199999999999996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-28.26</v>
      </c>
      <c r="D48" s="357"/>
      <c r="E48" s="95">
        <f>AVERAGE(E43:E47)</f>
        <v>-29.78</v>
      </c>
      <c r="F48" s="95">
        <f>AVERAGE(F43:F47)</f>
        <v>-29.78</v>
      </c>
      <c r="G48" s="95">
        <f>SUM(G43:G47)/5</f>
        <v>-1.5199999999999996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0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0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>
        <v>0</v>
      </c>
      <c r="C51" s="373">
        <v>1.33</v>
      </c>
      <c r="D51" s="374"/>
      <c r="E51" s="90">
        <v>0.19500000000000001</v>
      </c>
      <c r="F51" s="37">
        <f>IF('PERHITUNGAN 14'!$E$11="Burn Engr",'PERHITUNGAN 14'!E51,E51+('regresi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0.19500000000000001</v>
      </c>
      <c r="G51" s="90">
        <f>F51-C51</f>
        <v>-1.135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>
        <v>1.33</v>
      </c>
      <c r="D52" s="374"/>
      <c r="E52" s="90">
        <v>0.19500000000000001</v>
      </c>
      <c r="F52" s="37">
        <f>IF('PERHITUNGAN 14'!$E$11="Burn Engr",'PERHITUNGAN 14'!E52,E52+('regresi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0.19500000000000001</v>
      </c>
      <c r="G52" s="90">
        <f>F52-C52</f>
        <v>-1.135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>
        <v>1.33</v>
      </c>
      <c r="D53" s="374"/>
      <c r="E53" s="90">
        <v>0.19500000000000001</v>
      </c>
      <c r="F53" s="37">
        <f>IF('PERHITUNGAN 14'!$E$11="Burn Engr",'PERHITUNGAN 14'!E53,E53+('regresi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0.19500000000000001</v>
      </c>
      <c r="G53" s="90">
        <f>F53-C53</f>
        <v>-1.135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 ht="12" customHeight="1">
      <c r="A54" s="10"/>
      <c r="C54" s="373">
        <v>1.33</v>
      </c>
      <c r="D54" s="374"/>
      <c r="E54" s="90">
        <v>0.19500000000000001</v>
      </c>
      <c r="F54" s="37">
        <f>IF('PERHITUNGAN 14'!$E$11="Burn Engr",'PERHITUNGAN 14'!E54,E54+('regresi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0.19500000000000001</v>
      </c>
      <c r="G54" s="90">
        <f>F54-C54</f>
        <v>-1.135</v>
      </c>
      <c r="H54" s="63"/>
      <c r="I54" s="63"/>
      <c r="AB54" s="1"/>
    </row>
    <row r="55" spans="1:28" ht="13.5" customHeight="1">
      <c r="A55" s="10"/>
      <c r="C55" s="373">
        <v>1.33</v>
      </c>
      <c r="D55" s="374"/>
      <c r="E55" s="90">
        <v>0.19500000000000001</v>
      </c>
      <c r="F55" s="37">
        <f>IF('PERHITUNGAN 14'!$E$11="Burn Engr",'PERHITUNGAN 14'!E55,E55+('regresi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0.19500000000000001</v>
      </c>
      <c r="G55" s="90">
        <f>F55-C55</f>
        <v>-1.135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1.33</v>
      </c>
      <c r="D56" s="334"/>
      <c r="E56" s="95">
        <f>AVERAGE(E51:E55)</f>
        <v>0.19500000000000001</v>
      </c>
      <c r="F56" s="95">
        <f t="shared" ref="F56" si="3">AVERAGE(F51:F55)</f>
        <v>0.19500000000000001</v>
      </c>
      <c r="G56" s="95">
        <f>SUM(G51:G55)/5</f>
        <v>-1.135</v>
      </c>
      <c r="H56" s="63"/>
      <c r="I56" s="63"/>
      <c r="N56" s="390"/>
      <c r="O56" s="115">
        <f>C48</f>
        <v>-28.26</v>
      </c>
      <c r="P56" s="115">
        <f>C56</f>
        <v>1.33</v>
      </c>
      <c r="Q56" s="115">
        <f>C64</f>
        <v>50.67</v>
      </c>
      <c r="R56" s="115">
        <f>C72</f>
        <v>100.63</v>
      </c>
      <c r="S56" s="115">
        <f>C80</f>
        <v>150.55000000000001</v>
      </c>
      <c r="T56" s="115">
        <f>C88</f>
        <v>199.94</v>
      </c>
      <c r="U56" s="115">
        <f>C96</f>
        <v>249.91</v>
      </c>
      <c r="V56" s="115">
        <f>C104</f>
        <v>259.98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0</v>
      </c>
      <c r="H57" s="44"/>
      <c r="I57" s="63"/>
      <c r="N57" s="25" t="s">
        <v>152</v>
      </c>
      <c r="O57" s="112">
        <f>$G$49/5^0.5</f>
        <v>0</v>
      </c>
      <c r="P57" s="112">
        <f>$G$57/5^0.5</f>
        <v>0</v>
      </c>
      <c r="Q57" s="112">
        <f>$G$65/5^0.5</f>
        <v>0</v>
      </c>
      <c r="R57" s="112">
        <f>$G$73/5^0.5</f>
        <v>0</v>
      </c>
      <c r="S57" s="112">
        <f>$G$81/5^0.5</f>
        <v>0</v>
      </c>
      <c r="T57" s="112">
        <f>$G$89/5^0.5</f>
        <v>0</v>
      </c>
      <c r="U57" s="112">
        <f>$G$97/5^0.5</f>
        <v>0</v>
      </c>
      <c r="V57" s="112">
        <f>$G$105/5^0.5</f>
        <v>0</v>
      </c>
      <c r="W57" s="112">
        <f>$G$113/5^0.5</f>
        <v>0</v>
      </c>
      <c r="X57" s="112">
        <f>$G$121/5^0.5</f>
        <v>0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0</v>
      </c>
      <c r="H58" s="44"/>
      <c r="I58" s="63"/>
      <c r="N58" s="25" t="s">
        <v>153</v>
      </c>
      <c r="O58" s="113">
        <f>IF('DRAFT-SERTIF'!$O$27="Ya",'REGRESI 14'!$C$36,0)</f>
        <v>0.35363346191978579</v>
      </c>
      <c r="P58" s="113">
        <f>IF('DRAFT-SERTIF'!$O$27="Ya",'REGRESI 14'!$C$36,0)</f>
        <v>0.35363346191978579</v>
      </c>
      <c r="Q58" s="113">
        <f>IF('DRAFT-SERTIF'!$O$27="Ya",'REGRESI 14'!$C$36,0)</f>
        <v>0.35363346191978579</v>
      </c>
      <c r="R58" s="113">
        <f>IF('DRAFT-SERTIF'!$O$27="Ya",'REGRESI 14'!$C$36,0)</f>
        <v>0.35363346191978579</v>
      </c>
      <c r="S58" s="113">
        <f>IF('DRAFT-SERTIF'!$O$27="Ya",'REGRESI 14'!$C$36,0)</f>
        <v>0.35363346191978579</v>
      </c>
      <c r="T58" s="113">
        <f>IF('DRAFT-SERTIF'!$O$27="Ya",'REGRESI 14'!$C$36,0)</f>
        <v>0.35363346191978579</v>
      </c>
      <c r="U58" s="113">
        <f>IF('DRAFT-SERTIF'!$O$27="Ya",'REGRESI 14'!$C$36,0)</f>
        <v>0.35363346191978579</v>
      </c>
      <c r="V58" s="113">
        <f>IF('DRAFT-SERTIF'!$O$27="Ya",'REGRESI 14'!$C$36,0)</f>
        <v>0.35363346191978579</v>
      </c>
      <c r="W58" s="113">
        <f>IF('DRAFT-SERTIF'!$O$27="Ya",'REGRESI 14'!$C$36,0)</f>
        <v>0.35363346191978579</v>
      </c>
      <c r="X58" s="113">
        <f>IF('DRAFT-SERTIF'!$O$27="Ya",'REGRESI 14'!$C$36,0)</f>
        <v>0.35363346191978579</v>
      </c>
      <c r="AB58" s="1"/>
    </row>
    <row r="59" spans="1:28" ht="13.5" customHeight="1">
      <c r="A59" s="105">
        <v>3</v>
      </c>
      <c r="B59" s="196">
        <v>50</v>
      </c>
      <c r="C59" s="327">
        <v>50.67</v>
      </c>
      <c r="D59" s="327"/>
      <c r="E59" s="15">
        <v>50.345999999999997</v>
      </c>
      <c r="F59" s="37">
        <f>IF('PERHITUNGAN 14'!$E$11="Burn Engr",'PERHITUNGAN 14'!E59,E59+('regresi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50.345999999999997</v>
      </c>
      <c r="G59" s="90">
        <f>F59-C59</f>
        <v>-0.32400000000000517</v>
      </c>
      <c r="H59" s="63"/>
      <c r="I59" s="63"/>
      <c r="N59" s="25" t="s">
        <v>154</v>
      </c>
      <c r="O59" s="91">
        <f t="shared" ref="O59:X59" si="4">O40</f>
        <v>0.01</v>
      </c>
      <c r="P59" s="91">
        <f t="shared" si="4"/>
        <v>3.5000000000000003E-2</v>
      </c>
      <c r="Q59" s="91">
        <f t="shared" si="4"/>
        <v>3.5000000000000003E-2</v>
      </c>
      <c r="R59" s="91">
        <f t="shared" si="4"/>
        <v>3.5000000000000003E-2</v>
      </c>
      <c r="S59" s="91">
        <f t="shared" si="4"/>
        <v>3.5000000000000003E-2</v>
      </c>
      <c r="T59" s="91">
        <f t="shared" si="4"/>
        <v>3.5000000000000003E-2</v>
      </c>
      <c r="U59" s="91">
        <f t="shared" si="4"/>
        <v>3.5000000000000003E-2</v>
      </c>
      <c r="V59" s="91">
        <f t="shared" si="4"/>
        <v>3.5000000000000003E-2</v>
      </c>
      <c r="W59" s="91">
        <f t="shared" si="4"/>
        <v>0.01</v>
      </c>
      <c r="X59" s="91">
        <f t="shared" si="4"/>
        <v>0.01</v>
      </c>
    </row>
    <row r="60" spans="1:28">
      <c r="A60" s="10"/>
      <c r="C60" s="327">
        <v>50.67</v>
      </c>
      <c r="D60" s="327"/>
      <c r="E60" s="15">
        <v>50.345999999999997</v>
      </c>
      <c r="F60" s="37">
        <f>IF('PERHITUNGAN 14'!$E$11="Burn Engr",'PERHITUNGAN 14'!E60,E60+('regresi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50.345999999999997</v>
      </c>
      <c r="G60" s="90">
        <f>F60-C60</f>
        <v>-0.32400000000000517</v>
      </c>
      <c r="H60" s="63"/>
      <c r="I60" s="63"/>
      <c r="N60" s="133" t="s">
        <v>155</v>
      </c>
      <c r="O60" s="134">
        <f>'PERHITUNGAN 13'!O61</f>
        <v>1.5000000000000003E-2</v>
      </c>
      <c r="P60" s="134">
        <f>'PERHITUNGAN 13'!P61</f>
        <v>0.01</v>
      </c>
      <c r="Q60" s="134">
        <f>'PERHITUNGAN 13'!Q61</f>
        <v>5.0000000000000001E-3</v>
      </c>
      <c r="R60" s="134">
        <f>'PERHITUNGAN 13'!R61</f>
        <v>1.4999999999999999E-2</v>
      </c>
      <c r="S60" s="134">
        <f>'PERHITUNGAN 13'!S61</f>
        <v>5.0000000000000001E-3</v>
      </c>
      <c r="T60" s="134">
        <f>'PERHITUNGAN 13'!T61</f>
        <v>0.05</v>
      </c>
      <c r="U60" s="134">
        <f>'PERHITUNGAN 13'!U61</f>
        <v>0.05</v>
      </c>
      <c r="V60" s="134">
        <f>'PERHITUNGAN 13'!V61</f>
        <v>1.5000000000000003E-2</v>
      </c>
      <c r="W60" s="134">
        <f>'PERHITUNGAN 13'!W61</f>
        <v>1.4999999999999999E-2</v>
      </c>
      <c r="X60" s="134">
        <f>'PERHITUNGAN 13'!X61</f>
        <v>1.4999999999999999E-2</v>
      </c>
    </row>
    <row r="61" spans="1:28">
      <c r="A61" s="10"/>
      <c r="C61" s="327">
        <v>50.67</v>
      </c>
      <c r="D61" s="327"/>
      <c r="E61" s="15">
        <v>50.345999999999997</v>
      </c>
      <c r="F61" s="37">
        <f>IF('PERHITUNGAN 14'!$E$11="Burn Engr",'PERHITUNGAN 14'!E61,E61+('regresi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50.345999999999997</v>
      </c>
      <c r="G61" s="90">
        <f>F61-C61</f>
        <v>-0.32400000000000517</v>
      </c>
      <c r="H61" s="63"/>
      <c r="I61" s="63"/>
      <c r="N61" s="25" t="s">
        <v>156</v>
      </c>
      <c r="O61" s="114">
        <f>(0.1*O38)/SQRT(3)</f>
        <v>1.1547005383792516E-3</v>
      </c>
      <c r="P61" s="114">
        <f t="shared" ref="P61:X61" si="5">(0.1*P38)/SQRT(3)</f>
        <v>4.041451884327381E-3</v>
      </c>
      <c r="Q61" s="114">
        <f t="shared" si="5"/>
        <v>4.041451884327381E-3</v>
      </c>
      <c r="R61" s="114">
        <f t="shared" si="5"/>
        <v>4.041451884327381E-3</v>
      </c>
      <c r="S61" s="114">
        <f t="shared" si="5"/>
        <v>4.041451884327381E-3</v>
      </c>
      <c r="T61" s="114">
        <f t="shared" si="5"/>
        <v>4.041451884327381E-3</v>
      </c>
      <c r="U61" s="114">
        <f t="shared" si="5"/>
        <v>4.041451884327381E-3</v>
      </c>
      <c r="V61" s="114">
        <f t="shared" si="5"/>
        <v>4.041451884327381E-3</v>
      </c>
      <c r="W61" s="114">
        <f t="shared" si="5"/>
        <v>1.1547005383792516E-3</v>
      </c>
      <c r="X61" s="114">
        <f t="shared" si="5"/>
        <v>1.1547005383792516E-3</v>
      </c>
    </row>
    <row r="62" spans="1:28">
      <c r="A62" s="10"/>
      <c r="C62" s="327">
        <v>50.67</v>
      </c>
      <c r="D62" s="327"/>
      <c r="E62" s="15">
        <v>50.345999999999997</v>
      </c>
      <c r="F62" s="37">
        <f>IF('PERHITUNGAN 14'!$E$11="Burn Engr",'PERHITUNGAN 14'!E62,E62+('regresi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50.345999999999997</v>
      </c>
      <c r="G62" s="90">
        <f>F62-C62</f>
        <v>-0.32400000000000517</v>
      </c>
      <c r="H62" s="63"/>
      <c r="I62" s="63"/>
      <c r="N62" s="25" t="s">
        <v>157</v>
      </c>
      <c r="O62" s="114">
        <f t="shared" ref="O62:X62" si="6">$T$28</f>
        <v>2.886751345948129E-3</v>
      </c>
      <c r="P62" s="114">
        <f t="shared" si="6"/>
        <v>2.886751345948129E-3</v>
      </c>
      <c r="Q62" s="114">
        <f t="shared" si="6"/>
        <v>2.886751345948129E-3</v>
      </c>
      <c r="R62" s="114">
        <f t="shared" si="6"/>
        <v>2.886751345948129E-3</v>
      </c>
      <c r="S62" s="114">
        <f t="shared" si="6"/>
        <v>2.886751345948129E-3</v>
      </c>
      <c r="T62" s="114">
        <f t="shared" si="6"/>
        <v>2.886751345948129E-3</v>
      </c>
      <c r="U62" s="114">
        <f t="shared" si="6"/>
        <v>2.886751345948129E-3</v>
      </c>
      <c r="V62" s="114">
        <f t="shared" si="6"/>
        <v>2.886751345948129E-3</v>
      </c>
      <c r="W62" s="114">
        <f t="shared" si="6"/>
        <v>2.886751345948129E-3</v>
      </c>
      <c r="X62" s="114">
        <f t="shared" si="6"/>
        <v>2.886751345948129E-3</v>
      </c>
    </row>
    <row r="63" spans="1:28">
      <c r="A63" s="10"/>
      <c r="C63" s="327">
        <v>50.67</v>
      </c>
      <c r="D63" s="327"/>
      <c r="E63" s="15">
        <v>50.345999999999997</v>
      </c>
      <c r="F63" s="37">
        <f>IF('PERHITUNGAN 14'!$E$11="Burn Engr",'PERHITUNGAN 14'!E63,E63+('regresi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50.345999999999997</v>
      </c>
      <c r="G63" s="90">
        <f>F63-C63</f>
        <v>-0.32400000000000517</v>
      </c>
      <c r="H63" s="63"/>
      <c r="I63" s="63"/>
      <c r="N63" s="25" t="s">
        <v>158</v>
      </c>
      <c r="O63" s="114">
        <f t="shared" ref="O63:X63" si="7">$T$26</f>
        <v>2.886751345948129E-4</v>
      </c>
      <c r="P63" s="114">
        <f t="shared" si="7"/>
        <v>2.886751345948129E-4</v>
      </c>
      <c r="Q63" s="114">
        <f t="shared" si="7"/>
        <v>2.886751345948129E-4</v>
      </c>
      <c r="R63" s="114">
        <f t="shared" si="7"/>
        <v>2.886751345948129E-4</v>
      </c>
      <c r="S63" s="114">
        <f t="shared" si="7"/>
        <v>2.886751345948129E-4</v>
      </c>
      <c r="T63" s="114">
        <f t="shared" si="7"/>
        <v>2.886751345948129E-4</v>
      </c>
      <c r="U63" s="114">
        <f t="shared" si="7"/>
        <v>2.886751345948129E-4</v>
      </c>
      <c r="V63" s="114">
        <f t="shared" si="7"/>
        <v>2.886751345948129E-4</v>
      </c>
      <c r="W63" s="114">
        <f t="shared" si="7"/>
        <v>2.886751345948129E-4</v>
      </c>
      <c r="X63" s="114">
        <f t="shared" si="7"/>
        <v>2.886751345948129E-4</v>
      </c>
    </row>
    <row r="64" spans="1:28">
      <c r="A64" s="10"/>
      <c r="B64" s="8" t="s">
        <v>31</v>
      </c>
      <c r="C64" s="333">
        <f>AVERAGE(C59:D63)</f>
        <v>50.67</v>
      </c>
      <c r="D64" s="334"/>
      <c r="E64" s="95">
        <f>AVERAGE(E59:E63)</f>
        <v>50.345999999999997</v>
      </c>
      <c r="F64" s="95">
        <f t="shared" ref="F64" si="8">AVERAGE(F59:F63)</f>
        <v>50.345999999999997</v>
      </c>
      <c r="G64" s="95">
        <f>SUM(G59:G63)/5</f>
        <v>-0.32400000000000517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9">10^10</f>
        <v>10000000000</v>
      </c>
      <c r="Q66" s="53">
        <f t="shared" si="9"/>
        <v>10000000000</v>
      </c>
      <c r="R66" s="53">
        <f t="shared" si="9"/>
        <v>10000000000</v>
      </c>
      <c r="S66" s="53">
        <f t="shared" si="9"/>
        <v>10000000000</v>
      </c>
      <c r="T66" s="53">
        <f t="shared" si="9"/>
        <v>10000000000</v>
      </c>
      <c r="U66" s="53">
        <f t="shared" si="9"/>
        <v>10000000000</v>
      </c>
      <c r="V66" s="53">
        <f t="shared" si="9"/>
        <v>10000000000</v>
      </c>
      <c r="W66" s="53">
        <f t="shared" si="9"/>
        <v>10000000000</v>
      </c>
      <c r="X66" s="53">
        <f t="shared" si="9"/>
        <v>10000000000</v>
      </c>
    </row>
    <row r="67" spans="1:28">
      <c r="A67" s="105">
        <v>4</v>
      </c>
      <c r="B67" s="196">
        <v>100</v>
      </c>
      <c r="C67" s="327">
        <v>100.63</v>
      </c>
      <c r="D67" s="327"/>
      <c r="E67" s="90">
        <v>99.884</v>
      </c>
      <c r="F67" s="37">
        <f>IF('PERHITUNGAN 14'!$E$11="Burn Engr",'PERHITUNGAN 14'!E67,E67+('regresi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99.884</v>
      </c>
      <c r="G67" s="90">
        <f>F67-C67</f>
        <v>-0.74599999999999511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100.63</v>
      </c>
      <c r="D68" s="327"/>
      <c r="E68" s="90">
        <v>99.884</v>
      </c>
      <c r="F68" s="37">
        <f>IF('PERHITUNGAN 14'!$E$11="Burn Engr",'PERHITUNGAN 14'!E68,E68+('regresi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99.884</v>
      </c>
      <c r="G68" s="90">
        <f>F68-C68</f>
        <v>-0.74599999999999511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100.63</v>
      </c>
      <c r="D69" s="327"/>
      <c r="E69" s="90">
        <v>99.884</v>
      </c>
      <c r="F69" s="37">
        <f>IF('PERHITUNGAN 14'!$E$11="Burn Engr",'PERHITUNGAN 14'!E69,E69+('regresi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99.884</v>
      </c>
      <c r="G69" s="90">
        <f>F69-C69</f>
        <v>-0.74599999999999511</v>
      </c>
      <c r="H69" s="63"/>
      <c r="I69" s="63"/>
      <c r="N69" s="25" t="s">
        <v>163</v>
      </c>
      <c r="O69" s="53">
        <f t="shared" ref="O69:X71" si="10">10^10</f>
        <v>10000000000</v>
      </c>
      <c r="P69" s="53">
        <f t="shared" si="10"/>
        <v>10000000000</v>
      </c>
      <c r="Q69" s="53">
        <f t="shared" si="10"/>
        <v>10000000000</v>
      </c>
      <c r="R69" s="53">
        <f t="shared" si="10"/>
        <v>10000000000</v>
      </c>
      <c r="S69" s="53">
        <f t="shared" si="10"/>
        <v>10000000000</v>
      </c>
      <c r="T69" s="53">
        <f t="shared" si="10"/>
        <v>10000000000</v>
      </c>
      <c r="U69" s="53">
        <f t="shared" si="10"/>
        <v>10000000000</v>
      </c>
      <c r="V69" s="53">
        <f t="shared" si="10"/>
        <v>10000000000</v>
      </c>
      <c r="W69" s="53">
        <f t="shared" si="10"/>
        <v>10000000000</v>
      </c>
      <c r="X69" s="53">
        <f t="shared" si="10"/>
        <v>10000000000</v>
      </c>
      <c r="AB69" s="1"/>
    </row>
    <row r="70" spans="1:28">
      <c r="A70" s="10"/>
      <c r="C70" s="327">
        <v>100.63</v>
      </c>
      <c r="D70" s="327"/>
      <c r="E70" s="90">
        <v>99.884</v>
      </c>
      <c r="F70" s="37">
        <f>IF('PERHITUNGAN 14'!$E$11="Burn Engr",'PERHITUNGAN 14'!E70,E70+('regresi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99.884</v>
      </c>
      <c r="G70" s="90">
        <f>F70-C70</f>
        <v>-0.74599999999999511</v>
      </c>
      <c r="H70" s="63"/>
      <c r="I70" s="63"/>
      <c r="N70" s="25" t="s">
        <v>164</v>
      </c>
      <c r="O70" s="53">
        <f t="shared" si="10"/>
        <v>10000000000</v>
      </c>
      <c r="P70" s="53">
        <f t="shared" si="10"/>
        <v>10000000000</v>
      </c>
      <c r="Q70" s="53">
        <f t="shared" si="10"/>
        <v>10000000000</v>
      </c>
      <c r="R70" s="53">
        <f t="shared" si="10"/>
        <v>10000000000</v>
      </c>
      <c r="S70" s="53">
        <f t="shared" si="10"/>
        <v>10000000000</v>
      </c>
      <c r="T70" s="53">
        <f t="shared" si="10"/>
        <v>10000000000</v>
      </c>
      <c r="U70" s="53">
        <f t="shared" si="10"/>
        <v>10000000000</v>
      </c>
      <c r="V70" s="53">
        <f t="shared" si="10"/>
        <v>10000000000</v>
      </c>
      <c r="W70" s="53">
        <f t="shared" si="10"/>
        <v>10000000000</v>
      </c>
      <c r="X70" s="53">
        <f t="shared" si="10"/>
        <v>10000000000</v>
      </c>
      <c r="AB70" s="1"/>
    </row>
    <row r="71" spans="1:28">
      <c r="A71" s="10"/>
      <c r="C71" s="327">
        <v>100.63</v>
      </c>
      <c r="D71" s="327"/>
      <c r="E71" s="90">
        <v>99.884</v>
      </c>
      <c r="F71" s="37">
        <f>IF('PERHITUNGAN 14'!$E$11="Burn Engr",'PERHITUNGAN 14'!E71,E71+('regresi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99.884</v>
      </c>
      <c r="G71" s="90">
        <f>F71-C71</f>
        <v>-0.74599999999999511</v>
      </c>
      <c r="H71" s="63"/>
      <c r="I71" s="63"/>
      <c r="N71" s="25" t="s">
        <v>165</v>
      </c>
      <c r="O71" s="53">
        <f t="shared" si="10"/>
        <v>10000000000</v>
      </c>
      <c r="P71" s="53">
        <f t="shared" si="10"/>
        <v>10000000000</v>
      </c>
      <c r="Q71" s="53">
        <f t="shared" si="10"/>
        <v>10000000000</v>
      </c>
      <c r="R71" s="53">
        <f t="shared" si="10"/>
        <v>10000000000</v>
      </c>
      <c r="S71" s="53">
        <f t="shared" si="10"/>
        <v>10000000000</v>
      </c>
      <c r="T71" s="53">
        <f t="shared" si="10"/>
        <v>10000000000</v>
      </c>
      <c r="U71" s="53">
        <f t="shared" si="10"/>
        <v>10000000000</v>
      </c>
      <c r="V71" s="53">
        <f t="shared" si="10"/>
        <v>10000000000</v>
      </c>
      <c r="W71" s="53">
        <f t="shared" si="10"/>
        <v>10000000000</v>
      </c>
      <c r="X71" s="53">
        <f t="shared" si="10"/>
        <v>10000000000</v>
      </c>
      <c r="AB71" s="1"/>
    </row>
    <row r="72" spans="1:28">
      <c r="A72" s="10"/>
      <c r="B72" s="8" t="s">
        <v>31</v>
      </c>
      <c r="C72" s="333">
        <f>AVERAGE(C67:D71)</f>
        <v>100.63</v>
      </c>
      <c r="D72" s="334"/>
      <c r="E72" s="95">
        <f>AVERAGE(E67:E71)</f>
        <v>99.884</v>
      </c>
      <c r="F72" s="95">
        <f t="shared" ref="F72" si="11">AVERAGE(F67:F71)</f>
        <v>99.884</v>
      </c>
      <c r="G72" s="95">
        <f>SUM(G67:G71)/5</f>
        <v>-0.74599999999999511</v>
      </c>
      <c r="H72" s="63"/>
      <c r="I72" s="63"/>
      <c r="N72" s="111" t="s">
        <v>168</v>
      </c>
      <c r="O72" s="118">
        <f>SQRT((O57^2)+(O58^2)+(O59^2)+(O60^2)+(O61^2)+(O62^2)+(O63^2))</f>
        <v>0.35410644641035921</v>
      </c>
      <c r="P72" s="118">
        <f t="shared" ref="P72:X72" si="12">SQRT((P57^2)+(P58^2)+(P59^2)+(P60^2)+(P61^2)+(P62^2)+(P63^2))</f>
        <v>0.35553674267137653</v>
      </c>
      <c r="Q72" s="118">
        <f t="shared" si="12"/>
        <v>0.35543125269082992</v>
      </c>
      <c r="R72" s="118">
        <f t="shared" si="12"/>
        <v>0.35571248978546227</v>
      </c>
      <c r="S72" s="118">
        <f t="shared" si="12"/>
        <v>0.35543125269082992</v>
      </c>
      <c r="T72" s="118">
        <f t="shared" si="12"/>
        <v>0.35889605095260191</v>
      </c>
      <c r="U72" s="118">
        <f t="shared" si="12"/>
        <v>0.35889605095260191</v>
      </c>
      <c r="V72" s="118">
        <f t="shared" si="12"/>
        <v>0.35571248978546227</v>
      </c>
      <c r="W72" s="118">
        <f t="shared" si="12"/>
        <v>0.35410644641035921</v>
      </c>
      <c r="X72" s="118">
        <f t="shared" si="12"/>
        <v>0.35410644641035921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15536856.429784009</v>
      </c>
      <c r="P73" s="120">
        <f t="shared" ref="P73:X73" si="13">(P72^4)/((P57^4/P65)+(P58^4/P66)+(P59^4/P67)+(P60^4/P68)+(P61^4/P69)+(P62^4/P70)+(P63^4/P71))</f>
        <v>634608.03040199191</v>
      </c>
      <c r="Q73" s="120">
        <f t="shared" si="13"/>
        <v>637813.24581931473</v>
      </c>
      <c r="R73" s="120">
        <f t="shared" si="13"/>
        <v>619212.3988430691</v>
      </c>
      <c r="S73" s="120">
        <f t="shared" si="13"/>
        <v>637813.24581931473</v>
      </c>
      <c r="T73" s="120">
        <f t="shared" si="13"/>
        <v>128435.17635640052</v>
      </c>
      <c r="U73" s="120">
        <f t="shared" si="13"/>
        <v>128435.17635640052</v>
      </c>
      <c r="V73" s="120">
        <f t="shared" si="13"/>
        <v>619212.3988430691</v>
      </c>
      <c r="W73" s="120">
        <f t="shared" si="13"/>
        <v>15536856.429784019</v>
      </c>
      <c r="X73" s="120">
        <f t="shared" si="13"/>
        <v>15536856.429784019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1.9599641373198466</v>
      </c>
      <c r="P74" s="123">
        <f t="shared" ref="P74:X74" si="14">_xlfn.T.INV.2T(0.05,P73)</f>
        <v>1.9599677227139976</v>
      </c>
      <c r="Q74" s="123">
        <f t="shared" si="14"/>
        <v>1.9599677039175596</v>
      </c>
      <c r="R74" s="123">
        <f t="shared" si="14"/>
        <v>1.9599678156621743</v>
      </c>
      <c r="S74" s="123">
        <f t="shared" si="14"/>
        <v>1.9599677039175596</v>
      </c>
      <c r="T74" s="123">
        <f t="shared" si="14"/>
        <v>1.9599824553054581</v>
      </c>
      <c r="U74" s="123">
        <f t="shared" si="14"/>
        <v>1.9599824553054581</v>
      </c>
      <c r="V74" s="123">
        <f t="shared" si="14"/>
        <v>1.9599678156621743</v>
      </c>
      <c r="W74" s="123">
        <f t="shared" si="14"/>
        <v>1.9599641373198466</v>
      </c>
      <c r="X74" s="123">
        <f t="shared" si="14"/>
        <v>1.9599641373198466</v>
      </c>
      <c r="Z74" s="124"/>
      <c r="AB74" s="1"/>
    </row>
    <row r="75" spans="1:28">
      <c r="A75" s="105">
        <v>5</v>
      </c>
      <c r="B75" s="196">
        <v>150</v>
      </c>
      <c r="C75" s="327">
        <v>150.55000000000001</v>
      </c>
      <c r="D75" s="327"/>
      <c r="E75" s="90">
        <v>149.71799999999999</v>
      </c>
      <c r="F75" s="37">
        <f>IF('PERHITUNGAN 14'!$E$11="Burn Engr",'PERHITUNGAN 14'!E75,E75+('regresi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149.71799999999999</v>
      </c>
      <c r="G75" s="90">
        <f>F75-C75</f>
        <v>-0.83200000000002206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150.55000000000001</v>
      </c>
      <c r="D76" s="327"/>
      <c r="E76" s="90">
        <v>149.71799999999999</v>
      </c>
      <c r="F76" s="37">
        <f>IF('PERHITUNGAN 14'!$E$11="Burn Engr",'PERHITUNGAN 14'!E76,E76+('regresi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149.71799999999999</v>
      </c>
      <c r="G76" s="90">
        <f>F76-C76</f>
        <v>-0.83200000000002206</v>
      </c>
      <c r="H76" s="63"/>
      <c r="I76" s="63"/>
      <c r="N76" s="111" t="s">
        <v>166</v>
      </c>
      <c r="O76" s="121">
        <f t="shared" ref="O76:X76" si="15">O72*O74</f>
        <v>0.69403593575807621</v>
      </c>
      <c r="P76" s="121">
        <f t="shared" si="15"/>
        <v>0.69684053987477046</v>
      </c>
      <c r="Q76" s="121">
        <f t="shared" si="15"/>
        <v>0.69663377623698786</v>
      </c>
      <c r="R76" s="121">
        <f t="shared" si="15"/>
        <v>0.69718503160856593</v>
      </c>
      <c r="S76" s="121">
        <f t="shared" si="15"/>
        <v>0.69663377623698786</v>
      </c>
      <c r="T76" s="121">
        <f t="shared" si="15"/>
        <v>0.70342996314551354</v>
      </c>
      <c r="U76" s="121">
        <f t="shared" si="15"/>
        <v>0.70342996314551354</v>
      </c>
      <c r="V76" s="121">
        <f t="shared" si="15"/>
        <v>0.69718503160856593</v>
      </c>
      <c r="W76" s="121">
        <f t="shared" si="15"/>
        <v>0.69403593575807621</v>
      </c>
      <c r="X76" s="121">
        <f t="shared" si="15"/>
        <v>0.69403593575807621</v>
      </c>
      <c r="AB76" s="1"/>
    </row>
    <row r="77" spans="1:28">
      <c r="A77" s="10"/>
      <c r="C77" s="327">
        <v>150.55000000000001</v>
      </c>
      <c r="D77" s="327"/>
      <c r="E77" s="90">
        <v>149.71799999999999</v>
      </c>
      <c r="F77" s="37">
        <f>IF('PERHITUNGAN 14'!$E$11="Burn Engr",'PERHITUNGAN 14'!E77,E77+('regresi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149.71799999999999</v>
      </c>
      <c r="G77" s="90">
        <f>F77-C77</f>
        <v>-0.83200000000002206</v>
      </c>
      <c r="H77" s="63"/>
      <c r="I77" s="63"/>
      <c r="AB77" s="1"/>
    </row>
    <row r="78" spans="1:28">
      <c r="A78" s="10"/>
      <c r="C78" s="327">
        <v>150.55000000000001</v>
      </c>
      <c r="D78" s="327"/>
      <c r="E78" s="90">
        <v>149.71799999999999</v>
      </c>
      <c r="F78" s="37">
        <f>IF('PERHITUNGAN 14'!$E$11="Burn Engr",'PERHITUNGAN 14'!E78,E78+('regresi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149.71799999999999</v>
      </c>
      <c r="G78" s="90">
        <f>F78-C78</f>
        <v>-0.83200000000002206</v>
      </c>
      <c r="H78" s="26"/>
      <c r="I78" s="26"/>
      <c r="AB78" s="1"/>
    </row>
    <row r="79" spans="1:28">
      <c r="A79" s="10"/>
      <c r="C79" s="327">
        <v>150.55000000000001</v>
      </c>
      <c r="D79" s="327"/>
      <c r="E79" s="90">
        <v>149.71799999999999</v>
      </c>
      <c r="F79" s="37">
        <f>IF('PERHITUNGAN 14'!$E$11="Burn Engr",'PERHITUNGAN 14'!E79,E79+('regresi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149.71799999999999</v>
      </c>
      <c r="G79" s="90">
        <f>F79-C79</f>
        <v>-0.83200000000002206</v>
      </c>
      <c r="AB79" s="1"/>
    </row>
    <row r="80" spans="1:28">
      <c r="A80" s="10"/>
      <c r="B80" s="8" t="s">
        <v>31</v>
      </c>
      <c r="C80" s="333">
        <f>AVERAGE(C75:D79)</f>
        <v>150.55000000000001</v>
      </c>
      <c r="D80" s="334"/>
      <c r="E80" s="95">
        <f>AVERAGE(E75:E79)</f>
        <v>149.71799999999999</v>
      </c>
      <c r="F80" s="95">
        <f t="shared" ref="F80" si="16">AVERAGE(F75:F79)</f>
        <v>149.71799999999999</v>
      </c>
      <c r="G80" s="95">
        <f>SUM(G75:G79)/5</f>
        <v>-0.83200000000002206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200</v>
      </c>
      <c r="C83" s="327">
        <v>199.94</v>
      </c>
      <c r="D83" s="327"/>
      <c r="E83" s="90">
        <v>199.465</v>
      </c>
      <c r="F83" s="37">
        <f>IF('PERHITUNGAN 14'!$E$11="Burn Engr",'PERHITUNGAN 14'!E83,E83+('regresi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199.465</v>
      </c>
      <c r="G83" s="40">
        <f>F83-C83</f>
        <v>-0.47499999999999432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199.94</v>
      </c>
      <c r="D84" s="327"/>
      <c r="E84" s="90">
        <v>199.465</v>
      </c>
      <c r="F84" s="37">
        <f>IF('PERHITUNGAN 14'!$E$11="Burn Engr",'PERHITUNGAN 14'!E84,E84+('regresi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199.465</v>
      </c>
      <c r="G84" s="40">
        <f>F84-C84</f>
        <v>-0.47499999999999432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199.94</v>
      </c>
      <c r="D85" s="327"/>
      <c r="E85" s="90">
        <v>199.465</v>
      </c>
      <c r="F85" s="37">
        <f>IF('PERHITUNGAN 14'!$E$11="Burn Engr",'PERHITUNGAN 14'!E85,E85+('regresi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199.465</v>
      </c>
      <c r="G85" s="40">
        <f>F85-C85</f>
        <v>-0.47499999999999432</v>
      </c>
      <c r="H85" s="26"/>
      <c r="I85" s="26"/>
      <c r="N85" s="93">
        <f>O56</f>
        <v>-28.26</v>
      </c>
      <c r="O85" s="403">
        <f>G48</f>
        <v>-1.5199999999999996</v>
      </c>
      <c r="P85" s="404"/>
      <c r="Q85" s="387">
        <f t="shared" ref="Q85:Q94" si="17">N85+O85</f>
        <v>-29.78</v>
      </c>
      <c r="R85" s="405"/>
      <c r="S85" s="138" t="s">
        <v>35</v>
      </c>
      <c r="T85" s="94">
        <f>IF(N85&lt;$AA$98,MAX($O$97,O76),IF(N85&lt;$AA$99,MAX($O$98,O76),IF(N85&lt;300,MAX(0.707,O76),MAX($O$99,O76))))</f>
        <v>0.69403593575807621</v>
      </c>
      <c r="AB85" s="1"/>
    </row>
    <row r="86" spans="1:28">
      <c r="A86" s="10"/>
      <c r="C86" s="327">
        <v>199.94</v>
      </c>
      <c r="D86" s="327"/>
      <c r="E86" s="90">
        <v>199.465</v>
      </c>
      <c r="F86" s="37">
        <f>IF('PERHITUNGAN 14'!$E$11="Burn Engr",'PERHITUNGAN 14'!E86,E86+('regresi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199.465</v>
      </c>
      <c r="G86" s="40">
        <f>F86-C86</f>
        <v>-0.47499999999999432</v>
      </c>
      <c r="H86" s="63"/>
      <c r="I86" s="63"/>
      <c r="N86" s="93">
        <f>P56</f>
        <v>1.33</v>
      </c>
      <c r="O86" s="403">
        <f>G56</f>
        <v>-1.135</v>
      </c>
      <c r="P86" s="404"/>
      <c r="Q86" s="406">
        <f t="shared" si="17"/>
        <v>0.19500000000000006</v>
      </c>
      <c r="R86" s="407"/>
      <c r="S86" s="138" t="s">
        <v>35</v>
      </c>
      <c r="T86" s="94">
        <f>IF(N86&lt;$AA$97,MAX($O$97,P76),IF(N86&lt;$AA$98,MAX($O$98,P76),MAX($O$99,P76)))</f>
        <v>0.69684053987477046</v>
      </c>
      <c r="AB86" s="1"/>
    </row>
    <row r="87" spans="1:28">
      <c r="A87" s="10"/>
      <c r="C87" s="327">
        <v>199.94</v>
      </c>
      <c r="D87" s="327"/>
      <c r="E87" s="90">
        <v>199.465</v>
      </c>
      <c r="F87" s="37">
        <f>IF('PERHITUNGAN 14'!$E$11="Burn Engr",'PERHITUNGAN 14'!E87,E87+('regresi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199.465</v>
      </c>
      <c r="G87" s="41">
        <f>F87-C87</f>
        <v>-0.47499999999999432</v>
      </c>
      <c r="H87" s="63"/>
      <c r="I87" s="63"/>
      <c r="N87" s="93">
        <f>Q56</f>
        <v>50.67</v>
      </c>
      <c r="O87" s="403">
        <f>G64</f>
        <v>-0.32400000000000517</v>
      </c>
      <c r="P87" s="404"/>
      <c r="Q87" s="406">
        <f t="shared" si="17"/>
        <v>50.345999999999997</v>
      </c>
      <c r="R87" s="407"/>
      <c r="S87" s="138" t="s">
        <v>35</v>
      </c>
      <c r="T87" s="94">
        <f>IF(N87&lt;$AA$97,MAX($O$97,Q76),IF(N87&lt;$AA$98,MAX($O$98,Q76),MAX($O$99,Q76)))</f>
        <v>0.69663377623698786</v>
      </c>
      <c r="AB87" s="1"/>
    </row>
    <row r="88" spans="1:28">
      <c r="A88" s="10"/>
      <c r="B88" s="8" t="s">
        <v>31</v>
      </c>
      <c r="C88" s="333">
        <f>AVERAGE(C83:D87)</f>
        <v>199.94</v>
      </c>
      <c r="D88" s="334"/>
      <c r="E88" s="95">
        <f>AVERAGE(E83:E87)</f>
        <v>199.465</v>
      </c>
      <c r="F88" s="95">
        <f t="shared" ref="F88" si="18">AVERAGE(F83:F87)</f>
        <v>199.465</v>
      </c>
      <c r="G88" s="95">
        <f>SUM(G83:G87)/5</f>
        <v>-0.47499999999999432</v>
      </c>
      <c r="H88" s="63"/>
      <c r="I88" s="63"/>
      <c r="N88" s="93">
        <f>R56</f>
        <v>100.63</v>
      </c>
      <c r="O88" s="403">
        <f>G72</f>
        <v>-0.74599999999999511</v>
      </c>
      <c r="P88" s="404"/>
      <c r="Q88" s="406">
        <f t="shared" si="17"/>
        <v>99.884</v>
      </c>
      <c r="R88" s="407"/>
      <c r="S88" s="138" t="s">
        <v>35</v>
      </c>
      <c r="T88" s="94">
        <f>IF(N88&lt;$AA$97,MAX($O$97,R76),IF(N88&lt;$AA$98,MAX($O$98,R76),MAX($O$99,R76)))</f>
        <v>0.69718503160856593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150.55000000000001</v>
      </c>
      <c r="O89" s="403">
        <f>G80</f>
        <v>-0.83200000000002206</v>
      </c>
      <c r="P89" s="404"/>
      <c r="Q89" s="406">
        <f t="shared" si="17"/>
        <v>149.71799999999999</v>
      </c>
      <c r="R89" s="407"/>
      <c r="S89" s="138" t="s">
        <v>35</v>
      </c>
      <c r="T89" s="94">
        <f>IF(N89&lt;$AA$97,MAX($O$97,S76),IF(N89&lt;$AA$98,MAX($O$98,S76),MAX($O$99,S76)))</f>
        <v>0.69663377623698786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199.94</v>
      </c>
      <c r="O90" s="403">
        <f>G88</f>
        <v>-0.47499999999999432</v>
      </c>
      <c r="P90" s="404"/>
      <c r="Q90" s="406">
        <f t="shared" si="17"/>
        <v>199.465</v>
      </c>
      <c r="R90" s="407"/>
      <c r="S90" s="138" t="s">
        <v>35</v>
      </c>
      <c r="T90" s="94">
        <f>IF(N90&lt;$AA$97,MAX($O$97,T76),IF(N90&lt;$AA$98,MAX($O$98,T76),MAX($O$99,T76)))</f>
        <v>0.70342996314551354</v>
      </c>
      <c r="AB90" s="1"/>
    </row>
    <row r="91" spans="1:28">
      <c r="A91" s="105">
        <v>7</v>
      </c>
      <c r="B91" s="196">
        <v>250</v>
      </c>
      <c r="C91" s="327">
        <v>249.91</v>
      </c>
      <c r="D91" s="327"/>
      <c r="E91" s="90">
        <v>249.48</v>
      </c>
      <c r="F91" s="37">
        <f>IF('PERHITUNGAN 14'!$E$11="Burn Engr",'PERHITUNGAN 14'!E91,E91+('regresi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249.48</v>
      </c>
      <c r="G91" s="40">
        <f>F91-C91</f>
        <v>-0.43000000000000682</v>
      </c>
      <c r="H91" s="63"/>
      <c r="I91" s="63"/>
      <c r="N91" s="93">
        <f>U56</f>
        <v>249.91</v>
      </c>
      <c r="O91" s="403">
        <f>G96</f>
        <v>-0.43000000000000682</v>
      </c>
      <c r="P91" s="404"/>
      <c r="Q91" s="406">
        <f t="shared" si="17"/>
        <v>249.48</v>
      </c>
      <c r="R91" s="407"/>
      <c r="S91" s="138" t="s">
        <v>35</v>
      </c>
      <c r="T91" s="94">
        <f>IF(N91&lt;$AA$97,MAX($O$97,U76),IF(N91&lt;$AA$98,MAX($O$98,U76),MAX($O$99,U76)))</f>
        <v>0.70342996314551354</v>
      </c>
      <c r="AB91" s="1"/>
    </row>
    <row r="92" spans="1:28">
      <c r="A92" s="10"/>
      <c r="C92" s="327">
        <v>249.91</v>
      </c>
      <c r="D92" s="327"/>
      <c r="E92" s="90">
        <v>249.48</v>
      </c>
      <c r="F92" s="37">
        <f>IF('PERHITUNGAN 14'!$E$11="Burn Engr",'PERHITUNGAN 14'!E92,E92+('regresi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249.48</v>
      </c>
      <c r="G92" s="40">
        <f>F92-C92</f>
        <v>-0.43000000000000682</v>
      </c>
      <c r="H92" s="44"/>
      <c r="I92" s="63"/>
      <c r="N92" s="93">
        <f>V56</f>
        <v>259.98</v>
      </c>
      <c r="O92" s="403">
        <f>G104</f>
        <v>-0.42400000000003502</v>
      </c>
      <c r="P92" s="404"/>
      <c r="Q92" s="406">
        <f t="shared" si="17"/>
        <v>259.55599999999998</v>
      </c>
      <c r="R92" s="407"/>
      <c r="S92" s="138" t="s">
        <v>35</v>
      </c>
      <c r="T92" s="94">
        <f>IF(N92&lt;$AA$97,MAX($O$97,V76),IF(N92&lt;$AA$98,MAX($O$98,V76),MAX($O$99,V76)))</f>
        <v>1.8</v>
      </c>
      <c r="AB92" s="1"/>
    </row>
    <row r="93" spans="1:28">
      <c r="A93" s="10"/>
      <c r="C93" s="327">
        <v>249.91</v>
      </c>
      <c r="D93" s="327"/>
      <c r="E93" s="90">
        <v>249.48</v>
      </c>
      <c r="F93" s="37">
        <f>IF('PERHITUNGAN 14'!$E$11="Burn Engr",'PERHITUNGAN 14'!E93,E93+('regresi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249.48</v>
      </c>
      <c r="G93" s="40">
        <f>F93-C93</f>
        <v>-0.43000000000000682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7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249.91</v>
      </c>
      <c r="D94" s="327"/>
      <c r="E94" s="90">
        <v>249.48</v>
      </c>
      <c r="F94" s="37">
        <f>IF('PERHITUNGAN 14'!$E$11="Burn Engr",'PERHITUNGAN 14'!E94,E94+('regresi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249.48</v>
      </c>
      <c r="G94" s="40">
        <f>F94-C94</f>
        <v>-0.43000000000000682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7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249.91</v>
      </c>
      <c r="D95" s="327"/>
      <c r="E95" s="90">
        <v>249.48</v>
      </c>
      <c r="F95" s="37">
        <f>IF('PERHITUNGAN 14'!$E$11="Burn Engr",'PERHITUNGAN 14'!E95,E95+('regresi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249.48</v>
      </c>
      <c r="G95" s="41">
        <f>F95-C95</f>
        <v>-0.43000000000000682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249.91</v>
      </c>
      <c r="D96" s="334"/>
      <c r="E96" s="95">
        <f>AVERAGE(E91:E95)</f>
        <v>249.47999999999996</v>
      </c>
      <c r="F96" s="95">
        <f t="shared" ref="F96" si="19">AVERAGE(F91:F95)</f>
        <v>249.47999999999996</v>
      </c>
      <c r="G96" s="95">
        <f>SUM(G91:G95)/5</f>
        <v>-0.43000000000000682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0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0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>
        <v>260</v>
      </c>
      <c r="C99" s="327">
        <v>259.98</v>
      </c>
      <c r="D99" s="327"/>
      <c r="E99" s="90">
        <v>259.55599999999998</v>
      </c>
      <c r="F99" s="37">
        <f>IF('PERHITUNGAN 14'!$E$11="Burn Engr",'PERHITUNGAN 14'!E99,E99+('regresi PRT'!$P$40+('regresi PRT'!$P$41*E99)+('regresi PRT'!$P$42*(E99^2))+('regresi PRT'!$P$43*(E99^3))+('regresi PRT'!$P$44*(E99^4))+('regresi PRT'!$P$45*(E99^5))+('regresi PRT'!$P$46*(E99^6))+('regresi PRT'!$P$47*(E99^7))+('regresi PRT'!$P$48*(E99^8))+('regresi PRT'!$P$49*(E99^9))+('regresi PRT'!$P$50*(E99^10))))</f>
        <v>259.55599999999998</v>
      </c>
      <c r="G99" s="40">
        <f>F99-C99</f>
        <v>-0.42400000000003502</v>
      </c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>
        <v>259.98</v>
      </c>
      <c r="D100" s="327"/>
      <c r="E100" s="90">
        <v>259.55599999999998</v>
      </c>
      <c r="F100" s="37">
        <f>IF('PERHITUNGAN 14'!$E$11="Burn Engr",'PERHITUNGAN 14'!E100,E100+('regresi PRT'!$P$40+('regresi PRT'!$P$41*E100)+('regresi PRT'!$P$42*(E100^2))+('regresi PRT'!$P$43*(E100^3))+('regresi PRT'!$P$44*(E100^4))+('regresi PRT'!$P$45*(E100^5))+('regresi PRT'!$P$46*(E100^6))+('regresi PRT'!$P$47*(E100^7))+('regresi PRT'!$P$48*(E100^8))+('regresi PRT'!$P$49*(E100^9))+('regresi PRT'!$P$50*(E100^10))))</f>
        <v>259.55599999999998</v>
      </c>
      <c r="G100" s="40">
        <f>F100-C100</f>
        <v>-0.42400000000003502</v>
      </c>
      <c r="H100" s="44"/>
      <c r="I100" s="44"/>
      <c r="M100" s="1"/>
    </row>
    <row r="101" spans="1:27">
      <c r="A101" s="10"/>
      <c r="C101" s="327">
        <v>259.98</v>
      </c>
      <c r="D101" s="327"/>
      <c r="E101" s="90">
        <v>259.55599999999998</v>
      </c>
      <c r="F101" s="37">
        <f>IF('PERHITUNGAN 14'!$E$11="Burn Engr",'PERHITUNGAN 14'!E101,E101+('regresi PRT'!$P$40+('regresi PRT'!$P$41*E101)+('regresi PRT'!$P$42*(E101^2))+('regresi PRT'!$P$43*(E101^3))+('regresi PRT'!$P$44*(E101^4))+('regresi PRT'!$P$45*(E101^5))+('regresi PRT'!$P$46*(E101^6))+('regresi PRT'!$P$47*(E101^7))+('regresi PRT'!$P$48*(E101^8))+('regresi PRT'!$P$49*(E101^9))+('regresi PRT'!$P$50*(E101^10))))</f>
        <v>259.55599999999998</v>
      </c>
      <c r="G101" s="40">
        <f>F101-C101</f>
        <v>-0.42400000000003502</v>
      </c>
      <c r="H101" s="44"/>
      <c r="I101" s="44"/>
    </row>
    <row r="102" spans="1:27">
      <c r="A102" s="10"/>
      <c r="C102" s="327">
        <v>259.98</v>
      </c>
      <c r="D102" s="327"/>
      <c r="E102" s="90">
        <v>259.55599999999998</v>
      </c>
      <c r="F102" s="37">
        <f>IF('PERHITUNGAN 14'!$E$11="Burn Engr",'PERHITUNGAN 14'!E102,E102+('regresi PRT'!$P$40+('regresi PRT'!$P$41*E102)+('regresi PRT'!$P$42*(E102^2))+('regresi PRT'!$P$43*(E102^3))+('regresi PRT'!$P$44*(E102^4))+('regresi PRT'!$P$45*(E102^5))+('regresi PRT'!$P$46*(E102^6))+('regresi PRT'!$P$47*(E102^7))+('regresi PRT'!$P$48*(E102^8))+('regresi PRT'!$P$49*(E102^9))+('regresi PRT'!$P$50*(E102^10))))</f>
        <v>259.55599999999998</v>
      </c>
      <c r="G102" s="40">
        <f>F102-C102</f>
        <v>-0.42400000000003502</v>
      </c>
      <c r="H102" s="63"/>
      <c r="I102" s="63"/>
    </row>
    <row r="103" spans="1:27">
      <c r="A103" s="10"/>
      <c r="C103" s="327">
        <v>259.98</v>
      </c>
      <c r="D103" s="327"/>
      <c r="E103" s="90">
        <v>259.55599999999998</v>
      </c>
      <c r="F103" s="37">
        <f>IF('PERHITUNGAN 14'!$E$11="Burn Engr",'PERHITUNGAN 14'!E103,E103+('regresi PRT'!$P$40+('regresi PRT'!$P$41*E103)+('regresi PRT'!$P$42*(E103^2))+('regresi PRT'!$P$43*(E103^3))+('regresi PRT'!$P$44*(E103^4))+('regresi PRT'!$P$45*(E103^5))+('regresi PRT'!$P$46*(E103^6))+('regresi PRT'!$P$47*(E103^7))+('regresi PRT'!$P$48*(E103^8))+('regresi PRT'!$P$49*(E103^9))+('regresi PRT'!$P$50*(E103^10))))</f>
        <v>259.55599999999998</v>
      </c>
      <c r="G103" s="41">
        <f>F103-C103</f>
        <v>-0.42400000000003502</v>
      </c>
      <c r="H103" s="63"/>
      <c r="I103" s="63"/>
      <c r="N103" s="74"/>
      <c r="O103" s="129"/>
    </row>
    <row r="104" spans="1:27">
      <c r="A104" s="10"/>
      <c r="B104" s="8" t="s">
        <v>31</v>
      </c>
      <c r="C104" s="333">
        <f>AVERAGE(C99:D103)</f>
        <v>259.98</v>
      </c>
      <c r="D104" s="334"/>
      <c r="E104" s="95">
        <f>AVERAGE(E99:E103)</f>
        <v>259.55599999999998</v>
      </c>
      <c r="F104" s="95">
        <f>SUM(F99:F103)/5</f>
        <v>259.55599999999998</v>
      </c>
      <c r="G104" s="95">
        <f>SUM(G99:G103)/5</f>
        <v>-0.42400000000003502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>
        <f>_xlfn.STDEV.S(G99:G103)</f>
        <v>0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>
        <f>G105/SQRT(5)</f>
        <v>0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>
        <f>IF('PERHITUNGAN 14'!$E$11="Burn Engr",'PERHITUNGAN 14'!E107,E107+('regresi PRT'!$P$40+('regresi PRT'!$P$41*E107)+('regresi PRT'!$P$42*(E107^2))+('regresi PRT'!$P$43*(E107^3))+('regresi PRT'!$P$44*(E107^4))+('regresi PRT'!$P$45*(E107^5))+('regresi PRT'!$P$46*(E107^6))+('regresi PRT'!$P$47*(E107^7))+('regresi PRT'!$P$48*(E107^8))+('regresi PRT'!$P$49*(E107^9))+('regresi PRT'!$P$50*(E107^10))))</f>
        <v>0</v>
      </c>
      <c r="G107" s="40">
        <f>F107-C107</f>
        <v>0</v>
      </c>
      <c r="H107" s="63"/>
      <c r="I107" s="63"/>
      <c r="M107" s="1"/>
    </row>
    <row r="108" spans="1:27">
      <c r="A108" s="10"/>
      <c r="C108" s="327"/>
      <c r="D108" s="327"/>
      <c r="E108" s="90"/>
      <c r="F108" s="37">
        <f>IF('PERHITUNGAN 14'!$E$11="Burn Engr",'PERHITUNGAN 14'!E108,E108+('regresi PRT'!$P$40+('regresi PRT'!$P$41*E108)+('regresi PRT'!$P$42*(E108^2))+('regresi PRT'!$P$43*(E108^3))+('regresi PRT'!$P$44*(E108^4))+('regresi PRT'!$P$45*(E108^5))+('regresi PRT'!$P$46*(E108^6))+('regresi PRT'!$P$47*(E108^7))+('regresi PRT'!$P$48*(E108^8))+('regresi PRT'!$P$49*(E108^9))+('regresi PRT'!$P$50*(E108^10))))</f>
        <v>0</v>
      </c>
      <c r="G108" s="40">
        <f>F108-C108</f>
        <v>0</v>
      </c>
      <c r="H108" s="44"/>
      <c r="I108" s="44"/>
      <c r="M108" s="1"/>
    </row>
    <row r="109" spans="1:27">
      <c r="A109" s="10"/>
      <c r="C109" s="327"/>
      <c r="D109" s="327"/>
      <c r="E109" s="90"/>
      <c r="F109" s="37">
        <f>IF('PERHITUNGAN 14'!$E$11="Burn Engr",'PERHITUNGAN 14'!E109,E109+('regresi PRT'!$P$40+('regresi PRT'!$P$41*E109)+('regresi PRT'!$P$42*(E109^2))+('regresi PRT'!$P$43*(E109^3))+('regresi PRT'!$P$44*(E109^4))+('regresi PRT'!$P$45*(E109^5))+('regresi PRT'!$P$46*(E109^6))+('regresi PRT'!$P$47*(E109^7))+('regresi PRT'!$P$48*(E109^8))+('regresi PRT'!$P$49*(E109^9))+('regresi PRT'!$P$50*(E109^10))))</f>
        <v>0</v>
      </c>
      <c r="G109" s="40">
        <f>F109-C109</f>
        <v>0</v>
      </c>
      <c r="H109" s="44"/>
      <c r="I109" s="44"/>
    </row>
    <row r="110" spans="1:27">
      <c r="A110" s="10"/>
      <c r="C110" s="327"/>
      <c r="D110" s="327"/>
      <c r="E110" s="90"/>
      <c r="F110" s="37">
        <f>IF('PERHITUNGAN 14'!$E$11="Burn Engr",'PERHITUNGAN 14'!E110,E110+('regresi PRT'!$P$40+('regresi PRT'!$P$41*E110)+('regresi PRT'!$P$42*(E110^2))+('regresi PRT'!$P$43*(E110^3))+('regresi PRT'!$P$44*(E110^4))+('regresi PRT'!$P$45*(E110^5))+('regresi PRT'!$P$46*(E110^6))+('regresi PRT'!$P$47*(E110^7))+('regresi PRT'!$P$48*(E110^8))+('regresi PRT'!$P$49*(E110^9))+('regresi PRT'!$P$50*(E110^10))))</f>
        <v>0</v>
      </c>
      <c r="G110" s="40">
        <f>F110-C110</f>
        <v>0</v>
      </c>
      <c r="H110" s="63"/>
      <c r="I110" s="63"/>
    </row>
    <row r="111" spans="1:27">
      <c r="A111" s="10"/>
      <c r="C111" s="327"/>
      <c r="D111" s="327"/>
      <c r="E111" s="90"/>
      <c r="F111" s="37">
        <f>IF('PERHITUNGAN 14'!$E$11="Burn Engr",'PERHITUNGAN 14'!E111,E111+('regresi PRT'!$P$40+('regresi PRT'!$P$41*E111)+('regresi PRT'!$P$42*(E111^2))+('regresi PRT'!$P$43*(E111^3))+('regresi PRT'!$P$44*(E111^4))+('regresi PRT'!$P$45*(E111^5))+('regresi PRT'!$P$46*(E111^6))+('regresi PRT'!$P$47*(E111^7))+('regresi PRT'!$P$48*(E111^8))+('regresi PRT'!$P$49*(E111^9))+('regresi PRT'!$P$50*(E111^10))))</f>
        <v>0</v>
      </c>
      <c r="G111" s="41">
        <f>F111-C111</f>
        <v>0</v>
      </c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>
        <f>_xlfn.STDEV.S(G107:G111)</f>
        <v>0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>
        <f>G113/SQRT(5)</f>
        <v>0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>
        <f>IF('PERHITUNGAN 14'!$E$11="Burn Engr",'PERHITUNGAN 14'!E115,E115+('regresi PRT'!$P$40+('regresi PRT'!$P$41*E115)+('regresi PRT'!$P$42*(E115^2))+('regresi PRT'!$P$43*(E115^3))+('regresi PRT'!$P$44*(E115^4))+('regresi PRT'!$P$45*(E115^5))+('regresi PRT'!$P$46*(E115^6))+('regresi PRT'!$P$47*(E115^7))+('regresi PRT'!$P$48*(E115^8))+('regresi PRT'!$P$49*(E115^9))+('regresi PRT'!$P$50*(E115^10))))</f>
        <v>0</v>
      </c>
      <c r="G115" s="40">
        <f>F115-C115</f>
        <v>0</v>
      </c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>
        <f>IF('PERHITUNGAN 14'!$E$11="Burn Engr",'PERHITUNGAN 14'!E116,E116+('regresi PRT'!$P$40+('regresi PRT'!$P$41*E116)+('regresi PRT'!$P$42*(E116^2))+('regresi PRT'!$P$43*(E116^3))+('regresi PRT'!$P$44*(E116^4))+('regresi PRT'!$P$45*(E116^5))+('regresi PRT'!$P$46*(E116^6))+('regresi PRT'!$P$47*(E116^7))+('regresi PRT'!$P$48*(E116^8))+('regresi PRT'!$P$49*(E116^9))+('regresi PRT'!$P$50*(E116^10))))</f>
        <v>0</v>
      </c>
      <c r="G116" s="40">
        <f>F116-C116</f>
        <v>0</v>
      </c>
      <c r="H116" s="44"/>
      <c r="I116" s="44"/>
      <c r="U116" s="49"/>
    </row>
    <row r="117" spans="1:21">
      <c r="A117" s="10"/>
      <c r="C117" s="224"/>
      <c r="D117" s="225"/>
      <c r="E117" s="90"/>
      <c r="F117" s="37">
        <f>IF('PERHITUNGAN 14'!$E$11="Burn Engr",'PERHITUNGAN 14'!E117,E117+('regresi PRT'!$P$40+('regresi PRT'!$P$41*E117)+('regresi PRT'!$P$42*(E117^2))+('regresi PRT'!$P$43*(E117^3))+('regresi PRT'!$P$44*(E117^4))+('regresi PRT'!$P$45*(E117^5))+('regresi PRT'!$P$46*(E117^6))+('regresi PRT'!$P$47*(E117^7))+('regresi PRT'!$P$48*(E117^8))+('regresi PRT'!$P$49*(E117^9))+('regresi PRT'!$P$50*(E117^10))))</f>
        <v>0</v>
      </c>
      <c r="G117" s="40">
        <f>F117-C117</f>
        <v>0</v>
      </c>
      <c r="H117" s="44"/>
      <c r="I117" s="44"/>
      <c r="U117" s="49"/>
    </row>
    <row r="118" spans="1:21">
      <c r="A118" s="10"/>
      <c r="C118" s="224"/>
      <c r="D118" s="225"/>
      <c r="E118" s="90"/>
      <c r="F118" s="37">
        <f>IF('PERHITUNGAN 14'!$E$11="Burn Engr",'PERHITUNGAN 14'!E118,E118+('regresi PRT'!$P$40+('regresi PRT'!$P$41*E118)+('regresi PRT'!$P$42*(E118^2))+('regresi PRT'!$P$43*(E118^3))+('regresi PRT'!$P$44*(E118^4))+('regresi PRT'!$P$45*(E118^5))+('regresi PRT'!$P$46*(E118^6))+('regresi PRT'!$P$47*(E118^7))+('regresi PRT'!$P$48*(E118^8))+('regresi PRT'!$P$49*(E118^9))+('regresi PRT'!$P$50*(E118^10))))</f>
        <v>0</v>
      </c>
      <c r="G118" s="40">
        <f>F118-C118</f>
        <v>0</v>
      </c>
      <c r="H118" s="63"/>
      <c r="I118" s="63"/>
    </row>
    <row r="119" spans="1:21">
      <c r="A119" s="10"/>
      <c r="C119" s="233"/>
      <c r="D119" s="234"/>
      <c r="E119" s="90"/>
      <c r="F119" s="37">
        <f>IF('PERHITUNGAN 14'!$E$11="Burn Engr",'PERHITUNGAN 14'!E119,E119+('regresi PRT'!$P$40+('regresi PRT'!$P$41*E119)+('regresi PRT'!$P$42*(E119^2))+('regresi PRT'!$P$43*(E119^3))+('regresi PRT'!$P$44*(E119^4))+('regresi PRT'!$P$45*(E119^5))+('regresi PRT'!$P$46*(E119^6))+('regresi PRT'!$P$47*(E119^7))+('regresi PRT'!$P$48*(E119^8))+('regresi PRT'!$P$49*(E119^9))+('regresi PRT'!$P$50*(E119^10))))</f>
        <v>0</v>
      </c>
      <c r="G119" s="41">
        <f>F119-C119</f>
        <v>0</v>
      </c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>
        <f>_xlfn.STDEV.S(G115:G119)</f>
        <v>0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>
        <f>G121/SQRT(5)</f>
        <v>0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26"/>
      <c r="D125" s="26"/>
      <c r="H125" s="44"/>
      <c r="I125" s="44"/>
    </row>
    <row r="126" spans="1:21">
      <c r="C126" s="26"/>
      <c r="D126" s="26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0">
    <mergeCell ref="C181:D181"/>
    <mergeCell ref="C182:D182"/>
    <mergeCell ref="C183:D183"/>
    <mergeCell ref="C184:D184"/>
    <mergeCell ref="C185:D185"/>
    <mergeCell ref="C173:D173"/>
    <mergeCell ref="C174:D174"/>
    <mergeCell ref="C175:D175"/>
    <mergeCell ref="C176:D176"/>
    <mergeCell ref="C177:D177"/>
    <mergeCell ref="C180:D180"/>
    <mergeCell ref="C165:D165"/>
    <mergeCell ref="C166:D166"/>
    <mergeCell ref="C167:D167"/>
    <mergeCell ref="C168:D168"/>
    <mergeCell ref="C169:D169"/>
    <mergeCell ref="C172:D172"/>
    <mergeCell ref="C157:D157"/>
    <mergeCell ref="C158:D158"/>
    <mergeCell ref="C159:D159"/>
    <mergeCell ref="C160:D160"/>
    <mergeCell ref="C161:D161"/>
    <mergeCell ref="C164:D164"/>
    <mergeCell ref="C147:D147"/>
    <mergeCell ref="C148:D148"/>
    <mergeCell ref="C149:D149"/>
    <mergeCell ref="C150:D150"/>
    <mergeCell ref="C151:D151"/>
    <mergeCell ref="C156:D156"/>
    <mergeCell ref="C139:D139"/>
    <mergeCell ref="C140:D140"/>
    <mergeCell ref="C141:D141"/>
    <mergeCell ref="C142:D142"/>
    <mergeCell ref="C143:D143"/>
    <mergeCell ref="C146:D146"/>
    <mergeCell ref="C109:D109"/>
    <mergeCell ref="C110:D110"/>
    <mergeCell ref="C111:D111"/>
    <mergeCell ref="C112:D112"/>
    <mergeCell ref="C127:D127"/>
    <mergeCell ref="C138:D138"/>
    <mergeCell ref="C101:D101"/>
    <mergeCell ref="C102:D102"/>
    <mergeCell ref="C103:D103"/>
    <mergeCell ref="C104:D104"/>
    <mergeCell ref="C107:D107"/>
    <mergeCell ref="C108:D108"/>
    <mergeCell ref="C95:D95"/>
    <mergeCell ref="C96:D96"/>
    <mergeCell ref="N96:O96"/>
    <mergeCell ref="Z96:AA96"/>
    <mergeCell ref="C99:D99"/>
    <mergeCell ref="C100:D100"/>
    <mergeCell ref="C93:D93"/>
    <mergeCell ref="O93:P93"/>
    <mergeCell ref="Q93:R93"/>
    <mergeCell ref="C94:D94"/>
    <mergeCell ref="O94:P94"/>
    <mergeCell ref="Q94:R94"/>
    <mergeCell ref="C91:D91"/>
    <mergeCell ref="O91:P91"/>
    <mergeCell ref="Q91:R91"/>
    <mergeCell ref="C92:D92"/>
    <mergeCell ref="O92:P92"/>
    <mergeCell ref="Q92:R92"/>
    <mergeCell ref="C88:D88"/>
    <mergeCell ref="O88:P88"/>
    <mergeCell ref="Q88:R88"/>
    <mergeCell ref="O89:P89"/>
    <mergeCell ref="Q89:R89"/>
    <mergeCell ref="O90:P90"/>
    <mergeCell ref="Q90:R90"/>
    <mergeCell ref="C86:D86"/>
    <mergeCell ref="O86:P86"/>
    <mergeCell ref="Q86:R86"/>
    <mergeCell ref="C87:D87"/>
    <mergeCell ref="O87:P87"/>
    <mergeCell ref="Q87:R87"/>
    <mergeCell ref="S83:T83"/>
    <mergeCell ref="C84:D84"/>
    <mergeCell ref="S84:T84"/>
    <mergeCell ref="C85:D85"/>
    <mergeCell ref="O85:P85"/>
    <mergeCell ref="Q85:R85"/>
    <mergeCell ref="C79:D79"/>
    <mergeCell ref="C80:D80"/>
    <mergeCell ref="C83:D83"/>
    <mergeCell ref="N83:N84"/>
    <mergeCell ref="O83:P84"/>
    <mergeCell ref="Q83:R84"/>
    <mergeCell ref="C71:D71"/>
    <mergeCell ref="C72:D72"/>
    <mergeCell ref="C75:D75"/>
    <mergeCell ref="C76:D76"/>
    <mergeCell ref="C77:D77"/>
    <mergeCell ref="C78:D78"/>
    <mergeCell ref="C63:D63"/>
    <mergeCell ref="C64:D64"/>
    <mergeCell ref="C67:D67"/>
    <mergeCell ref="C68:D68"/>
    <mergeCell ref="C69:D69"/>
    <mergeCell ref="C70:D70"/>
    <mergeCell ref="O55:X55"/>
    <mergeCell ref="C56:D56"/>
    <mergeCell ref="C59:D59"/>
    <mergeCell ref="C60:D60"/>
    <mergeCell ref="C61:D61"/>
    <mergeCell ref="C62:D62"/>
    <mergeCell ref="C51:D51"/>
    <mergeCell ref="C52:D52"/>
    <mergeCell ref="C53:D53"/>
    <mergeCell ref="C54:D54"/>
    <mergeCell ref="C55:D55"/>
    <mergeCell ref="N55:N56"/>
    <mergeCell ref="T45:Y4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N45:S45"/>
    <mergeCell ref="T36:T37"/>
    <mergeCell ref="U36:U37"/>
    <mergeCell ref="V36:V37"/>
    <mergeCell ref="W36:W37"/>
    <mergeCell ref="X36:X37"/>
    <mergeCell ref="C40:D40"/>
    <mergeCell ref="N36:N37"/>
    <mergeCell ref="O36:O37"/>
    <mergeCell ref="P36:P37"/>
    <mergeCell ref="Q36:Q37"/>
    <mergeCell ref="R36:R37"/>
    <mergeCell ref="S36:S37"/>
    <mergeCell ref="T28:T29"/>
    <mergeCell ref="U28:U29"/>
    <mergeCell ref="AB28:AC28"/>
    <mergeCell ref="AB30:AC30"/>
    <mergeCell ref="J31:K31"/>
    <mergeCell ref="AB32:AC32"/>
    <mergeCell ref="J26:K26"/>
    <mergeCell ref="N28:N29"/>
    <mergeCell ref="O28:O29"/>
    <mergeCell ref="P28:P29"/>
    <mergeCell ref="Q28:Q29"/>
    <mergeCell ref="S28:S29"/>
    <mergeCell ref="E16:F16"/>
    <mergeCell ref="N16:N20"/>
    <mergeCell ref="E17:F17"/>
    <mergeCell ref="E18:F18"/>
    <mergeCell ref="AB18:AC18"/>
    <mergeCell ref="F21:G21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</mergeCells>
  <conditionalFormatting sqref="C56">
    <cfRule type="expression" dxfId="225" priority="18" stopIfTrue="1">
      <formula>COUNT(C51:C55)&lt;&gt;5</formula>
    </cfRule>
  </conditionalFormatting>
  <conditionalFormatting sqref="C64">
    <cfRule type="expression" dxfId="224" priority="2" stopIfTrue="1">
      <formula>COUNT(C59:C63)&lt;&gt;5</formula>
    </cfRule>
  </conditionalFormatting>
  <conditionalFormatting sqref="C72">
    <cfRule type="expression" dxfId="223" priority="8" stopIfTrue="1">
      <formula>COUNT(C67:C71)&lt;&gt;5</formula>
    </cfRule>
  </conditionalFormatting>
  <conditionalFormatting sqref="C80">
    <cfRule type="expression" dxfId="222" priority="7" stopIfTrue="1">
      <formula>COUNT(C75:C79)&lt;&gt;5</formula>
    </cfRule>
  </conditionalFormatting>
  <conditionalFormatting sqref="C88">
    <cfRule type="expression" dxfId="221" priority="6" stopIfTrue="1">
      <formula>COUNT(C83:C87)&lt;&gt;5</formula>
    </cfRule>
  </conditionalFormatting>
  <conditionalFormatting sqref="C96">
    <cfRule type="expression" dxfId="220" priority="5" stopIfTrue="1">
      <formula>COUNT(C91:C95)&lt;&gt;5</formula>
    </cfRule>
  </conditionalFormatting>
  <conditionalFormatting sqref="C104">
    <cfRule type="expression" dxfId="219" priority="4" stopIfTrue="1">
      <formula>COUNT(C99:C103)&lt;&gt;5</formula>
    </cfRule>
  </conditionalFormatting>
  <conditionalFormatting sqref="C112">
    <cfRule type="expression" dxfId="218" priority="3" stopIfTrue="1">
      <formula>COUNT(C107:C111)&lt;&gt;5</formula>
    </cfRule>
  </conditionalFormatting>
  <conditionalFormatting sqref="C48:E48">
    <cfRule type="expression" dxfId="217" priority="19" stopIfTrue="1">
      <formula>COUNT(C43:C47)&lt;&gt;5</formula>
    </cfRule>
  </conditionalFormatting>
  <conditionalFormatting sqref="C120:E120">
    <cfRule type="expression" dxfId="216" priority="9" stopIfTrue="1">
      <formula>COUNT(C115:C119)&lt;&gt;5</formula>
    </cfRule>
  </conditionalFormatting>
  <conditionalFormatting sqref="E56">
    <cfRule type="expression" dxfId="215" priority="17" stopIfTrue="1">
      <formula>COUNT(E51:E55)&lt;&gt;5</formula>
    </cfRule>
  </conditionalFormatting>
  <conditionalFormatting sqref="E64">
    <cfRule type="expression" dxfId="214" priority="1" stopIfTrue="1">
      <formula>COUNT(E59:E63)&lt;&gt;5</formula>
    </cfRule>
  </conditionalFormatting>
  <conditionalFormatting sqref="E72">
    <cfRule type="expression" dxfId="213" priority="16" stopIfTrue="1">
      <formula>COUNT(E67:E71)&lt;&gt;5</formula>
    </cfRule>
  </conditionalFormatting>
  <conditionalFormatting sqref="E80">
    <cfRule type="expression" dxfId="212" priority="15" stopIfTrue="1">
      <formula>COUNT(E75:E79)&lt;&gt;5</formula>
    </cfRule>
  </conditionalFormatting>
  <conditionalFormatting sqref="E88">
    <cfRule type="expression" dxfId="211" priority="14" stopIfTrue="1">
      <formula>COUNT(E83:E87)&lt;&gt;5</formula>
    </cfRule>
  </conditionalFormatting>
  <conditionalFormatting sqref="E96">
    <cfRule type="expression" dxfId="210" priority="13" stopIfTrue="1">
      <formula>COUNT(E91:E95)&lt;&gt;5</formula>
    </cfRule>
  </conditionalFormatting>
  <conditionalFormatting sqref="E104">
    <cfRule type="expression" dxfId="209" priority="12" stopIfTrue="1">
      <formula>COUNT(E99:E103)&lt;&gt;5</formula>
    </cfRule>
  </conditionalFormatting>
  <conditionalFormatting sqref="E112">
    <cfRule type="expression" dxfId="208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87041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87041" r:id="rId4"/>
      </mc:Fallback>
    </mc:AlternateContent>
    <mc:AlternateContent xmlns:mc="http://schemas.openxmlformats.org/markup-compatibility/2006">
      <mc:Choice Requires="x14">
        <oleObject progId="Equation.3" shapeId="87042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87042" r:id="rId6"/>
      </mc:Fallback>
    </mc:AlternateContent>
    <mc:AlternateContent xmlns:mc="http://schemas.openxmlformats.org/markup-compatibility/2006">
      <mc:Choice Requires="x14">
        <oleObject progId="Equation.3" shapeId="87043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87043" r:id="rId8"/>
      </mc:Fallback>
    </mc:AlternateContent>
    <mc:AlternateContent xmlns:mc="http://schemas.openxmlformats.org/markup-compatibility/2006">
      <mc:Choice Requires="x14">
        <oleObject progId="Equation.3" shapeId="87044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87044" r:id="rId10"/>
      </mc:Fallback>
    </mc:AlternateContent>
  </oleObjec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BF34A-7A52-409B-BB4E-5D6F81DD3938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14'!O85</f>
        <v>-1.5199999999999996</v>
      </c>
      <c r="C2" s="37">
        <f>'PERHITUNGAN 14'!N85</f>
        <v>-28.26</v>
      </c>
      <c r="D2" s="75">
        <f>C2^2</f>
        <v>798.62760000000014</v>
      </c>
      <c r="E2" s="37">
        <f>C2^3</f>
        <v>-22569.215976000007</v>
      </c>
      <c r="F2" s="91">
        <f>C2^4</f>
        <v>637806.04348176019</v>
      </c>
      <c r="G2" s="91">
        <f>C2^5</f>
        <v>-18024398.788794544</v>
      </c>
      <c r="H2" s="91">
        <f>C2^6</f>
        <v>509369509.77133387</v>
      </c>
      <c r="I2" s="91">
        <f>C2^7</f>
        <v>-14394782346.137897</v>
      </c>
      <c r="J2" s="91">
        <f>C2^8</f>
        <v>406796549101.85699</v>
      </c>
      <c r="K2" s="91">
        <f>C2^9</f>
        <v>-11496070477618.479</v>
      </c>
      <c r="L2" s="91">
        <f>C2^10</f>
        <v>324878951697498.25</v>
      </c>
      <c r="Q2" s="12"/>
    </row>
    <row r="3" spans="1:24">
      <c r="A3" s="25">
        <v>2</v>
      </c>
      <c r="B3" s="37">
        <f>'PERHITUNGAN 14'!O86</f>
        <v>-1.135</v>
      </c>
      <c r="C3" s="37">
        <f>'PERHITUNGAN 14'!N86</f>
        <v>1.33</v>
      </c>
      <c r="D3" s="75">
        <f t="shared" ref="D3:D9" si="0">C3^2</f>
        <v>1.7689000000000001</v>
      </c>
      <c r="E3" s="37">
        <f t="shared" ref="E3:E9" si="1">C3^3</f>
        <v>2.3526370000000001</v>
      </c>
      <c r="F3" s="91">
        <f t="shared" ref="F3:F9" si="2">C3^4</f>
        <v>3.1290072100000006</v>
      </c>
      <c r="G3" s="91">
        <f t="shared" ref="G3:G9" si="3">C3^5</f>
        <v>4.1615795893000014</v>
      </c>
      <c r="H3" s="91">
        <f t="shared" ref="H3:H9" si="4">C3^6</f>
        <v>5.5349008537690016</v>
      </c>
      <c r="I3" s="91">
        <f t="shared" ref="I3:I9" si="5">C3^7</f>
        <v>7.3614181355127712</v>
      </c>
      <c r="J3" s="91">
        <f t="shared" ref="J3:J9" si="6">C3^8</f>
        <v>9.790686120231987</v>
      </c>
      <c r="K3" s="91">
        <f t="shared" ref="K3:K9" si="7">C3^9</f>
        <v>13.021612539908544</v>
      </c>
      <c r="L3" s="91">
        <f t="shared" ref="L3:L9" si="8">C3^10</f>
        <v>17.318744678078364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14'!O87</f>
        <v>-0.32400000000000517</v>
      </c>
      <c r="C4" s="37">
        <f>'PERHITUNGAN 14'!N87</f>
        <v>50.67</v>
      </c>
      <c r="D4" s="75">
        <f t="shared" si="0"/>
        <v>2567.4489000000003</v>
      </c>
      <c r="E4" s="37">
        <f t="shared" si="1"/>
        <v>130092.63576300003</v>
      </c>
      <c r="F4" s="91">
        <f t="shared" si="2"/>
        <v>6591793.8541112114</v>
      </c>
      <c r="G4" s="91">
        <f t="shared" si="3"/>
        <v>334006194.58781511</v>
      </c>
      <c r="H4" s="91">
        <f t="shared" si="4"/>
        <v>16924093879.764593</v>
      </c>
      <c r="I4" s="91">
        <f t="shared" si="5"/>
        <v>857543836887.672</v>
      </c>
      <c r="J4" s="91">
        <f t="shared" si="6"/>
        <v>43451746215098.336</v>
      </c>
      <c r="K4" s="91">
        <f t="shared" si="7"/>
        <v>2201699980719032.8</v>
      </c>
      <c r="L4" s="91">
        <f t="shared" si="8"/>
        <v>1.1156013802303339E+17</v>
      </c>
      <c r="R4" s="414" t="str">
        <f>IF('PERHITUNGAN 13'!$C$2="Celcius","(°C)","(°F)")</f>
        <v>(°C)</v>
      </c>
      <c r="S4" s="415"/>
      <c r="T4" s="5" t="str">
        <f>IF('PERHITUNGAN 13'!$C$2="Celcius","(°C)","(°F)")</f>
        <v>(°C)</v>
      </c>
      <c r="U4" s="14"/>
      <c r="V4" s="1"/>
    </row>
    <row r="5" spans="1:24">
      <c r="A5" s="25">
        <v>4</v>
      </c>
      <c r="B5" s="37">
        <f>'PERHITUNGAN 14'!O88</f>
        <v>-0.74599999999999511</v>
      </c>
      <c r="C5" s="37">
        <f>'PERHITUNGAN 14'!N88</f>
        <v>100.63</v>
      </c>
      <c r="D5" s="75">
        <f t="shared" si="0"/>
        <v>10126.3969</v>
      </c>
      <c r="E5" s="37">
        <f t="shared" si="1"/>
        <v>1019019.320047</v>
      </c>
      <c r="F5" s="91">
        <f t="shared" si="2"/>
        <v>102543914.1763296</v>
      </c>
      <c r="G5" s="91">
        <f t="shared" si="3"/>
        <v>10318994083.564047</v>
      </c>
      <c r="H5" s="91">
        <f t="shared" si="4"/>
        <v>1038400374629.05</v>
      </c>
      <c r="I5" s="91">
        <f t="shared" si="5"/>
        <v>104494229698921.31</v>
      </c>
      <c r="J5" s="91">
        <f t="shared" si="6"/>
        <v>1.051525433460245E+16</v>
      </c>
      <c r="K5" s="91">
        <f t="shared" si="7"/>
        <v>1.0581500436910445E+18</v>
      </c>
      <c r="L5" s="91">
        <f t="shared" si="8"/>
        <v>1.0648163889662981E+20</v>
      </c>
      <c r="R5" s="412"/>
      <c r="S5" s="413"/>
      <c r="T5" s="21"/>
      <c r="U5" s="32"/>
    </row>
    <row r="6" spans="1:24">
      <c r="A6" s="25">
        <v>5</v>
      </c>
      <c r="B6" s="37">
        <f>'PERHITUNGAN 14'!O89</f>
        <v>-0.83200000000002206</v>
      </c>
      <c r="C6" s="37">
        <f>'PERHITUNGAN 14'!N89</f>
        <v>150.55000000000001</v>
      </c>
      <c r="D6" s="75">
        <f t="shared" si="0"/>
        <v>22665.302500000005</v>
      </c>
      <c r="E6" s="37">
        <f t="shared" si="1"/>
        <v>3412261.291375001</v>
      </c>
      <c r="F6" s="91">
        <f t="shared" si="2"/>
        <v>513715937.41650647</v>
      </c>
      <c r="G6" s="91">
        <f t="shared" si="3"/>
        <v>77339934378.055054</v>
      </c>
      <c r="H6" s="91">
        <f t="shared" si="4"/>
        <v>11643527120616.189</v>
      </c>
      <c r="I6" s="91">
        <f t="shared" si="5"/>
        <v>1752933008008767.5</v>
      </c>
      <c r="J6" s="91">
        <f t="shared" si="6"/>
        <v>2.6390406435572E+17</v>
      </c>
      <c r="K6" s="91">
        <f t="shared" si="7"/>
        <v>3.9730756888753652E+19</v>
      </c>
      <c r="L6" s="91">
        <f t="shared" si="8"/>
        <v>5.9814654496018625E+21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14'!O90</f>
        <v>-0.47499999999999432</v>
      </c>
      <c r="C7" s="37">
        <f>'PERHITUNGAN 14'!N90</f>
        <v>199.94</v>
      </c>
      <c r="D7" s="75">
        <f t="shared" si="0"/>
        <v>39976.003599999996</v>
      </c>
      <c r="E7" s="37">
        <f t="shared" si="1"/>
        <v>7992802.1597839994</v>
      </c>
      <c r="F7" s="91">
        <f t="shared" si="2"/>
        <v>1598080863.8272126</v>
      </c>
      <c r="G7" s="91">
        <f t="shared" si="3"/>
        <v>319520287913.61285</v>
      </c>
      <c r="H7" s="91">
        <f t="shared" si="4"/>
        <v>63884886365447.75</v>
      </c>
      <c r="I7" s="91">
        <f t="shared" si="5"/>
        <v>1.2773144179907624E+16</v>
      </c>
      <c r="J7" s="91">
        <f t="shared" si="6"/>
        <v>2.55386244733073E+18</v>
      </c>
      <c r="K7" s="91">
        <f t="shared" si="7"/>
        <v>5.1061925771930613E+20</v>
      </c>
      <c r="L7" s="91">
        <f t="shared" si="8"/>
        <v>1.0209321438839807E+23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14'!O91</f>
        <v>-0.43000000000000682</v>
      </c>
      <c r="C8" s="37">
        <f>'PERHITUNGAN 14'!N91</f>
        <v>249.91</v>
      </c>
      <c r="D8" s="75">
        <f t="shared" si="0"/>
        <v>62455.008099999999</v>
      </c>
      <c r="E8" s="37">
        <f t="shared" si="1"/>
        <v>15608131.074270999</v>
      </c>
      <c r="F8" s="91">
        <f t="shared" si="2"/>
        <v>3900628036.7710657</v>
      </c>
      <c r="G8" s="91">
        <f t="shared" si="3"/>
        <v>974805952669.45703</v>
      </c>
      <c r="H8" s="91">
        <f t="shared" si="4"/>
        <v>243613755631624</v>
      </c>
      <c r="I8" s="91">
        <f t="shared" si="5"/>
        <v>6.0881513669899152E+16</v>
      </c>
      <c r="J8" s="91">
        <f t="shared" si="6"/>
        <v>1.5214899081244498E+19</v>
      </c>
      <c r="K8" s="91">
        <f t="shared" si="7"/>
        <v>3.8023554293938127E+21</v>
      </c>
      <c r="L8" s="91">
        <f t="shared" si="8"/>
        <v>9.5024664535980766E+23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14'!O92</f>
        <v>-0.42400000000003502</v>
      </c>
      <c r="C9" s="37">
        <f>'PERHITUNGAN 14'!N92</f>
        <v>259.98</v>
      </c>
      <c r="D9" s="75">
        <f t="shared" si="0"/>
        <v>67589.60040000001</v>
      </c>
      <c r="E9" s="37">
        <f t="shared" si="1"/>
        <v>17571944.311992005</v>
      </c>
      <c r="F9" s="91">
        <f t="shared" si="2"/>
        <v>4568354082.2316818</v>
      </c>
      <c r="G9" s="91">
        <f t="shared" si="3"/>
        <v>1187680694298.5928</v>
      </c>
      <c r="H9" s="91">
        <f t="shared" si="4"/>
        <v>308773226903748.19</v>
      </c>
      <c r="I9" s="91">
        <f t="shared" si="5"/>
        <v>8.0274863530436448E+16</v>
      </c>
      <c r="J9" s="91">
        <f t="shared" si="6"/>
        <v>2.0869859020642873E+19</v>
      </c>
      <c r="K9" s="91">
        <f t="shared" si="7"/>
        <v>5.4257459481867348E+21</v>
      </c>
      <c r="L9" s="91">
        <f t="shared" si="8"/>
        <v>1.4105854316095875E+24</v>
      </c>
      <c r="R9" s="408"/>
      <c r="S9" s="409"/>
      <c r="T9" s="23"/>
      <c r="U9" s="27"/>
      <c r="V9" s="88"/>
    </row>
    <row r="10" spans="1:24">
      <c r="A10" s="25">
        <v>9</v>
      </c>
      <c r="B10" s="37"/>
      <c r="C10" s="37"/>
      <c r="D10" s="75"/>
      <c r="E10" s="37"/>
      <c r="F10" s="91"/>
      <c r="G10" s="91"/>
      <c r="H10" s="91"/>
      <c r="I10" s="91"/>
      <c r="J10" s="91"/>
      <c r="K10" s="91"/>
      <c r="L10" s="91"/>
      <c r="R10" s="408"/>
      <c r="S10" s="409"/>
      <c r="T10" s="23"/>
      <c r="U10" s="27"/>
      <c r="V10" s="88"/>
    </row>
    <row r="11" spans="1:24">
      <c r="A11" s="25">
        <v>10</v>
      </c>
      <c r="B11" s="37"/>
      <c r="C11" s="37"/>
      <c r="D11" s="75"/>
      <c r="E11" s="37"/>
      <c r="F11" s="91"/>
      <c r="G11" s="91"/>
      <c r="H11" s="91"/>
      <c r="I11" s="91"/>
      <c r="J11" s="91"/>
      <c r="K11" s="91"/>
      <c r="L11" s="91"/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f>'REGRESI 13'!R19:S19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-0.92296925902559268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13'!R20:S20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-0.45546461122117693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13'!R21:S21</f>
        <v>25</v>
      </c>
      <c r="S21" s="409"/>
      <c r="T21" s="23">
        <f t="shared" si="9"/>
        <v>0.46034495517739554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13'!R22:S22</f>
        <v>50</v>
      </c>
      <c r="S22" s="409"/>
      <c r="T22" s="23">
        <f t="shared" si="9"/>
        <v>1.0321458332057136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13'!R23:S23</f>
        <v>100</v>
      </c>
      <c r="S23" s="409"/>
      <c r="T23" s="23">
        <f t="shared" si="9"/>
        <v>1.2304784616750797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13'!R24:S24</f>
        <v>125</v>
      </c>
      <c r="S24" s="409"/>
      <c r="T24" s="23">
        <f t="shared" si="9"/>
        <v>0.90038868087787427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13'!R25:S25</f>
        <v>150</v>
      </c>
      <c r="S25" s="409"/>
      <c r="T25" s="23">
        <f t="shared" si="9"/>
        <v>0.31304714923390664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13'!R26:S26</f>
        <v>200</v>
      </c>
      <c r="S26" s="409"/>
      <c r="T26" s="23">
        <f t="shared" si="9"/>
        <v>-1.5466342290708213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13'!R27:S27</f>
        <v>0</v>
      </c>
      <c r="S27" s="409"/>
      <c r="T27" s="23">
        <f t="shared" si="9"/>
        <v>-0.45546461122117693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13'!R28:S28</f>
        <v>0</v>
      </c>
      <c r="S28" s="409"/>
      <c r="T28" s="23">
        <f t="shared" si="9"/>
        <v>-0.45546461122117693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0.96635473817788509</v>
      </c>
      <c r="Q33" s="31" t="s">
        <v>100</v>
      </c>
      <c r="U33" s="70"/>
    </row>
    <row r="34" spans="2:24">
      <c r="B34" t="s">
        <v>76</v>
      </c>
      <c r="C34">
        <v>0.93384147999884892</v>
      </c>
      <c r="X34" s="46"/>
    </row>
    <row r="35" spans="2:24">
      <c r="B35" t="s">
        <v>77</v>
      </c>
      <c r="C35">
        <v>0.88422258999798564</v>
      </c>
      <c r="Q35" t="s">
        <v>99</v>
      </c>
    </row>
    <row r="36" spans="2:24">
      <c r="B36" t="s">
        <v>78</v>
      </c>
      <c r="C36">
        <v>0.35363346191978579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-0.45546461122117693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0"/>
        <v>4.380174621509296E-2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-2.9255833820090196E-4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7.0608026984425534</v>
      </c>
      <c r="E41">
        <v>2.3536008994808513</v>
      </c>
      <c r="F41">
        <v>18.820281549679994</v>
      </c>
      <c r="G41">
        <v>8.0234914068271785E-3</v>
      </c>
      <c r="R41" s="26" t="s">
        <v>112</v>
      </c>
      <c r="S41">
        <f t="shared" si="10"/>
        <v>2.3135183339598038E-7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0.50022650155749027</v>
      </c>
      <c r="E42">
        <v>0.12505662538937257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7.5610292000000436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-0.45546461122117693</v>
      </c>
      <c r="D46">
        <v>0.21212910632614715</v>
      </c>
      <c r="E46">
        <v>-2.147110404174819</v>
      </c>
      <c r="F46">
        <v>9.8299838188176336E-2</v>
      </c>
      <c r="G46">
        <v>-1.0444294301503905</v>
      </c>
      <c r="H46">
        <v>0.13350020770803656</v>
      </c>
      <c r="I46">
        <v>-1.0444294301503905</v>
      </c>
      <c r="J46">
        <v>0.13350020770803656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4.380174621509296E-2</v>
      </c>
      <c r="D47">
        <v>1.2132603448524704E-2</v>
      </c>
      <c r="E47">
        <v>3.6102512046100994</v>
      </c>
      <c r="F47">
        <v>2.2551571772419229E-2</v>
      </c>
      <c r="G47">
        <v>1.0116238757130677E-2</v>
      </c>
      <c r="H47">
        <v>7.7487253673055242E-2</v>
      </c>
      <c r="I47">
        <v>1.0116238757130677E-2</v>
      </c>
      <c r="J47">
        <v>7.7487253673055242E-2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-2.9255833820090196E-4</v>
      </c>
      <c r="D48">
        <v>1.6110311560148962E-4</v>
      </c>
      <c r="E48">
        <v>-1.8159694622206106</v>
      </c>
      <c r="F48">
        <v>0.143547774360993</v>
      </c>
      <c r="G48">
        <v>-7.398522949447721E-4</v>
      </c>
      <c r="H48">
        <v>1.5473561854296818E-4</v>
      </c>
      <c r="I48">
        <v>-7.398522949447721E-4</v>
      </c>
      <c r="J48">
        <v>1.5473561854296818E-4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2.3135183339598038E-7</v>
      </c>
      <c r="D49" s="67">
        <v>5.4151436055116351E-7</v>
      </c>
      <c r="E49" s="67">
        <v>0.42723120613183024</v>
      </c>
      <c r="F49" s="67">
        <v>0.69120454358060512</v>
      </c>
      <c r="G49" s="67">
        <v>-1.2721330623506106E-6</v>
      </c>
      <c r="H49" s="67">
        <v>1.7348367291425713E-6</v>
      </c>
      <c r="I49" s="67">
        <v>-1.2721330623506106E-6</v>
      </c>
      <c r="J49" s="67">
        <v>1.7348367291425713E-6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56" spans="2:21" ht="13.5" thickBot="1">
      <c r="B56" s="67"/>
      <c r="C56" s="67"/>
      <c r="D56" s="67"/>
      <c r="E56" s="67"/>
      <c r="F56" s="67"/>
      <c r="G56" s="67"/>
      <c r="H56" s="67"/>
      <c r="I56" s="67"/>
      <c r="J56" s="67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F0CE4-9AD4-42C5-BFD2-9DFB8AD43685}">
  <dimension ref="A1:AH187"/>
  <sheetViews>
    <sheetView workbookViewId="0">
      <selection activeCell="K127" sqref="K127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13'!$C$2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13'!G3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13'!E5</f>
        <v>Termometer Digital</v>
      </c>
      <c r="F5" s="11"/>
      <c r="G5" s="11" t="s">
        <v>127</v>
      </c>
      <c r="H5" s="11" t="s">
        <v>16</v>
      </c>
      <c r="I5" s="66" t="str">
        <f>'PERHITUNGAN 13'!I5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13'!E6</f>
        <v>Hioki / LR 8431-20</v>
      </c>
      <c r="F6" s="11"/>
      <c r="G6" s="11" t="s">
        <v>128</v>
      </c>
      <c r="H6" s="11" t="s">
        <v>16</v>
      </c>
      <c r="I6" s="129">
        <f>'PERHITUNGAN 13'!I6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13'!E7</f>
        <v>210149173</v>
      </c>
      <c r="F7" s="11"/>
      <c r="G7" s="11" t="s">
        <v>44</v>
      </c>
      <c r="H7" s="11" t="s">
        <v>16</v>
      </c>
      <c r="I7" s="31" t="s">
        <v>229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13'!E11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13'!E12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13'!E13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13'!E14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13'!E17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13'!E18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13'!E19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13'!E21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13'!D24</f>
        <v>22</v>
      </c>
      <c r="E23" s="244">
        <f>'PERHITUNGAN 13'!E24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13'!D25</f>
        <v>22</v>
      </c>
      <c r="E24" s="244">
        <f>'PERHITUNGAN 13'!E25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13'!D28</f>
        <v>20</v>
      </c>
      <c r="E27" s="244">
        <f>'PERHITUNGAN 13'!E28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13'!D29</f>
        <v>20</v>
      </c>
      <c r="E28" s="244">
        <f>'PERHITUNGAN 13'!E29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13'!D33</f>
        <v>55</v>
      </c>
      <c r="E32" s="244">
        <f>'PERHITUNGAN 13'!E33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13'!D34</f>
        <v>55</v>
      </c>
      <c r="E33" s="244">
        <f>'PERHITUNGAN 13'!E34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 t="e">
        <f>F48</f>
        <v>#DIV/0!</v>
      </c>
      <c r="P36" s="380" t="e">
        <f>F56</f>
        <v>#DIV/0!</v>
      </c>
      <c r="Q36" s="380" t="e">
        <f>F64</f>
        <v>#DIV/0!</v>
      </c>
      <c r="R36" s="380" t="e">
        <f>F72</f>
        <v>#DIV/0!</v>
      </c>
      <c r="S36" s="380" t="e">
        <f>F80</f>
        <v>#DIV/0!</v>
      </c>
      <c r="T36" s="380" t="e">
        <f>F88</f>
        <v>#DIV/0!</v>
      </c>
      <c r="U36" s="380" t="e">
        <f>F96</f>
        <v>#DIV/0!</v>
      </c>
      <c r="V36" s="380">
        <f>F104</f>
        <v>0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 t="e">
        <f>IF('PERHITUNGAN 15'!$E$11="Burn Engr",IF(O36&lt;=$AA$38,$AB$38,$AB$39),IF(O36&lt;=$AC$38,$AD$38,IF(O36&lt;=$AC$39,$AD$39,$AD$40)))</f>
        <v>#DIV/0!</v>
      </c>
      <c r="P38" s="54" t="e">
        <f>IF('PERHITUNGAN 15'!$E$11="Burn Engr",IF(P36&lt;=$AA$38,$AB$38,$AB$39),IF(P36&lt;=$AC$38,$AD$38,IF(P36&lt;=$AC$39,$AD$39,$AD$40)))</f>
        <v>#DIV/0!</v>
      </c>
      <c r="Q38" s="54" t="e">
        <f>IF('PERHITUNGAN 15'!$E$11="Burn Engr",IF(Q36&lt;=$AA$38,$AB$38,$AB$39),IF(Q36&lt;=$AC$38,$AD$38,IF(Q36&lt;=$AC$39,$AD$39,$AD$40)))</f>
        <v>#DIV/0!</v>
      </c>
      <c r="R38" s="54" t="e">
        <f>IF('PERHITUNGAN 15'!$E$11="Burn Engr",IF(R36&lt;=$AA$38,$AB$38,$AB$39),IF(R36&lt;=$AC$38,$AD$38,IF(R36&lt;=$AC$39,$AD$39,$AD$40)))</f>
        <v>#DIV/0!</v>
      </c>
      <c r="S38" s="54" t="e">
        <f>IF('PERHITUNGAN 15'!$E$11="Burn Engr",IF(S36&lt;=$AA$38,$AB$38,$AB$39),IF(S36&lt;=$AC$38,$AD$38,IF(S36&lt;=$AC$39,$AD$39,$AD$40)))</f>
        <v>#DIV/0!</v>
      </c>
      <c r="T38" s="54" t="e">
        <f>IF('PERHITUNGAN 15'!$E$11="Burn Engr",IF(T36&lt;=$AA$38,$AB$38,$AB$39),IF(T36&lt;=$AC$38,$AD$38,IF(T36&lt;=$AC$39,$AD$39,$AD$40)))</f>
        <v>#DIV/0!</v>
      </c>
      <c r="U38" s="54" t="e">
        <f>IF('PERHITUNGAN 15'!$E$11="Burn Engr",IF(U36&lt;=$AA$38,$AB$38,$AB$39),IF(U36&lt;=$AC$38,$AD$38,IF(U36&lt;=$AC$39,$AD$39,$AD$40)))</f>
        <v>#DIV/0!</v>
      </c>
      <c r="V38" s="54">
        <f>IF('PERHITUNGAN 15'!$E$11="Burn Engr",IF(V36&lt;=$AA$38,$AB$38,$AB$39),IF(V36&lt;=$AC$38,$AD$38,IF(V36&lt;=$AC$39,$AD$39,$AD$40)))</f>
        <v>0.02</v>
      </c>
      <c r="W38" s="54">
        <f>IF('PERHITUNGAN 15'!$E$11="Burn Engr",IF(W36&lt;=$AA$38,$AB$38,$AB$39),IF(W36&lt;=$AC$38,$AD$38,IF(W36&lt;=$AC$39,$AD$39,$AD$40)))</f>
        <v>0.02</v>
      </c>
      <c r="X38" s="54">
        <f>IF('PERHITUNGAN 15'!$E$11="Burn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 t="e">
        <f>O38/O39</f>
        <v>#DIV/0!</v>
      </c>
      <c r="P40" s="37" t="e">
        <f t="shared" ref="P40:X40" si="1">P38/P39</f>
        <v>#DIV/0!</v>
      </c>
      <c r="Q40" s="37" t="e">
        <f t="shared" si="1"/>
        <v>#DIV/0!</v>
      </c>
      <c r="R40" s="37" t="e">
        <f>R38/R39</f>
        <v>#DIV/0!</v>
      </c>
      <c r="S40" s="37" t="e">
        <f t="shared" si="1"/>
        <v>#DIV/0!</v>
      </c>
      <c r="T40" s="37" t="e">
        <f t="shared" si="1"/>
        <v>#DIV/0!</v>
      </c>
      <c r="U40" s="37" t="e">
        <f t="shared" si="1"/>
        <v>#DIV/0!</v>
      </c>
      <c r="V40" s="37">
        <f t="shared" si="1"/>
        <v>0.01</v>
      </c>
      <c r="W40" s="37">
        <f t="shared" si="1"/>
        <v>0.01</v>
      </c>
      <c r="X40" s="37">
        <f t="shared" si="1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/>
      <c r="C43" s="373"/>
      <c r="D43" s="374"/>
      <c r="E43" s="90"/>
      <c r="F43" s="37"/>
      <c r="G43" s="90"/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/>
      <c r="D44" s="374"/>
      <c r="E44" s="90"/>
      <c r="F44" s="37"/>
      <c r="G44" s="90"/>
      <c r="H44" s="63"/>
      <c r="I44" s="63"/>
      <c r="AB44" s="1"/>
    </row>
    <row r="45" spans="1:30" ht="13.5" customHeight="1">
      <c r="A45" s="105"/>
      <c r="C45" s="373"/>
      <c r="D45" s="374"/>
      <c r="E45" s="90"/>
      <c r="F45" s="37"/>
      <c r="G45" s="90"/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/>
      <c r="D46" s="374"/>
      <c r="E46" s="90"/>
      <c r="F46" s="37"/>
      <c r="G46" s="90"/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/>
      <c r="D47" s="374"/>
      <c r="E47" s="90"/>
      <c r="F47" s="37"/>
      <c r="G47" s="90"/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 t="e">
        <f>AVERAGE(C43:D47)</f>
        <v>#DIV/0!</v>
      </c>
      <c r="D48" s="357"/>
      <c r="E48" s="95" t="e">
        <f>AVERAGE(E43:E47)</f>
        <v>#DIV/0!</v>
      </c>
      <c r="F48" s="95" t="e">
        <f>AVERAGE(F43:F47)</f>
        <v>#DIV/0!</v>
      </c>
      <c r="G48" s="95">
        <f>SUM(G43:G47)/5</f>
        <v>0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 t="e">
        <f>_xlfn.STDEV.S(G43:G47)</f>
        <v>#DIV/0!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 t="e">
        <f>G49/SQRT(5)</f>
        <v>#DIV/0!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/>
      <c r="C51" s="373"/>
      <c r="D51" s="374"/>
      <c r="E51" s="90"/>
      <c r="F51" s="37"/>
      <c r="G51" s="90"/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/>
      <c r="D52" s="374"/>
      <c r="E52" s="90"/>
      <c r="F52" s="37"/>
      <c r="G52" s="90"/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/>
      <c r="D53" s="374"/>
      <c r="E53" s="90"/>
      <c r="F53" s="37"/>
      <c r="G53" s="90"/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/>
      <c r="D54" s="374"/>
      <c r="E54" s="90"/>
      <c r="F54" s="37"/>
      <c r="G54" s="90"/>
      <c r="H54" s="63"/>
      <c r="I54" s="63"/>
      <c r="AB54" s="1"/>
    </row>
    <row r="55" spans="1:28" ht="13.5" customHeight="1">
      <c r="A55" s="10"/>
      <c r="C55" s="373"/>
      <c r="D55" s="374"/>
      <c r="E55" s="90"/>
      <c r="F55" s="37"/>
      <c r="G55" s="90"/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 t="e">
        <f>AVERAGE(C51:D55)</f>
        <v>#DIV/0!</v>
      </c>
      <c r="D56" s="334"/>
      <c r="E56" s="95" t="e">
        <f>AVERAGE(E51:E55)</f>
        <v>#DIV/0!</v>
      </c>
      <c r="F56" s="95" t="e">
        <f t="shared" ref="F56" si="3">AVERAGE(F51:F55)</f>
        <v>#DIV/0!</v>
      </c>
      <c r="G56" s="95">
        <f>SUM(G51:G55)/5</f>
        <v>0</v>
      </c>
      <c r="H56" s="63"/>
      <c r="I56" s="63"/>
      <c r="N56" s="390"/>
      <c r="O56" s="115" t="e">
        <f>C48</f>
        <v>#DIV/0!</v>
      </c>
      <c r="P56" s="115" t="e">
        <f>C56</f>
        <v>#DIV/0!</v>
      </c>
      <c r="Q56" s="115" t="e">
        <f>C64</f>
        <v>#DIV/0!</v>
      </c>
      <c r="R56" s="115" t="e">
        <f>C72</f>
        <v>#DIV/0!</v>
      </c>
      <c r="S56" s="115" t="e">
        <f>C80</f>
        <v>#DIV/0!</v>
      </c>
      <c r="T56" s="115" t="e">
        <f>C88</f>
        <v>#DIV/0!</v>
      </c>
      <c r="U56" s="115" t="e">
        <f>C96</f>
        <v>#DIV/0!</v>
      </c>
      <c r="V56" s="115">
        <f>C104</f>
        <v>0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 t="e">
        <f>_xlfn.STDEV.S(G51:G55)</f>
        <v>#DIV/0!</v>
      </c>
      <c r="H57" s="44"/>
      <c r="I57" s="63"/>
      <c r="N57" s="25" t="s">
        <v>152</v>
      </c>
      <c r="O57" s="112" t="e">
        <f>$G$49/5^0.5</f>
        <v>#DIV/0!</v>
      </c>
      <c r="P57" s="112" t="e">
        <f>$G$57/5^0.5</f>
        <v>#DIV/0!</v>
      </c>
      <c r="Q57" s="112" t="e">
        <f>$G$65/5^0.5</f>
        <v>#DIV/0!</v>
      </c>
      <c r="R57" s="112" t="e">
        <f>$G$73/5^0.5</f>
        <v>#DIV/0!</v>
      </c>
      <c r="S57" s="112" t="e">
        <f>$G$81/5^0.5</f>
        <v>#DIV/0!</v>
      </c>
      <c r="T57" s="112" t="e">
        <f>$G$89/5^0.5</f>
        <v>#DIV/0!</v>
      </c>
      <c r="U57" s="112" t="e">
        <f>$G$97/5^0.5</f>
        <v>#DIV/0!</v>
      </c>
      <c r="V57" s="112" t="e">
        <f>$G$105/5^0.5</f>
        <v>#DIV/0!</v>
      </c>
      <c r="W57" s="112" t="e">
        <f>$G$113/5^0.5</f>
        <v>#DIV/0!</v>
      </c>
      <c r="X57" s="112" t="e">
        <f>$G$121/5^0.5</f>
        <v>#DIV/0!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 t="e">
        <f>G57/SQRT(5)</f>
        <v>#DIV/0!</v>
      </c>
      <c r="H58" s="44"/>
      <c r="I58" s="63"/>
      <c r="N58" s="25" t="s">
        <v>153</v>
      </c>
      <c r="O58" s="113">
        <f>IF('DRAFT-SERTIF'!$O$27="Ya",'REGRESI 15'!$C$36,0)</f>
        <v>9.99697708110628E-2</v>
      </c>
      <c r="P58" s="113">
        <f>IF('DRAFT-SERTIF'!$O$27="Ya",'REGRESI 15'!$C$36,0)</f>
        <v>9.99697708110628E-2</v>
      </c>
      <c r="Q58" s="113">
        <f>IF('DRAFT-SERTIF'!$O$27="Ya",'REGRESI 15'!$C$36,0)</f>
        <v>9.99697708110628E-2</v>
      </c>
      <c r="R58" s="113">
        <f>IF('DRAFT-SERTIF'!$O$27="Ya",'REGRESI 15'!$C$36,0)</f>
        <v>9.99697708110628E-2</v>
      </c>
      <c r="S58" s="113">
        <f>IF('DRAFT-SERTIF'!$O$27="Ya",'REGRESI 15'!$C$36,0)</f>
        <v>9.99697708110628E-2</v>
      </c>
      <c r="T58" s="113">
        <f>IF('DRAFT-SERTIF'!$O$27="Ya",'REGRESI 15'!$C$36,0)</f>
        <v>9.99697708110628E-2</v>
      </c>
      <c r="U58" s="113">
        <f>IF('DRAFT-SERTIF'!$O$27="Ya",'REGRESI 15'!$C$36,0)</f>
        <v>9.99697708110628E-2</v>
      </c>
      <c r="V58" s="113">
        <f>IF('DRAFT-SERTIF'!$O$27="Ya",'REGRESI 15'!$C$36,0)</f>
        <v>9.99697708110628E-2</v>
      </c>
      <c r="W58" s="113">
        <f>IF('DRAFT-SERTIF'!$O$27="Ya",'REGRESI 15'!$C$36,0)</f>
        <v>9.99697708110628E-2</v>
      </c>
      <c r="X58" s="113">
        <f>IF('DRAFT-SERTIF'!$O$27="Ya",'REGRESI 15'!$C$36,0)</f>
        <v>9.99697708110628E-2</v>
      </c>
      <c r="AB58" s="1"/>
    </row>
    <row r="59" spans="1:28" ht="13.5" customHeight="1">
      <c r="A59" s="105">
        <v>3</v>
      </c>
      <c r="B59" s="196"/>
      <c r="C59" s="327"/>
      <c r="D59" s="327"/>
      <c r="E59" s="15"/>
      <c r="F59" s="37"/>
      <c r="G59" s="90"/>
      <c r="H59" s="63"/>
      <c r="I59" s="63"/>
      <c r="N59" s="25" t="s">
        <v>154</v>
      </c>
      <c r="O59" s="91" t="e">
        <f t="shared" ref="O59:X59" si="4">O40</f>
        <v>#DIV/0!</v>
      </c>
      <c r="P59" s="91" t="e">
        <f t="shared" si="4"/>
        <v>#DIV/0!</v>
      </c>
      <c r="Q59" s="91" t="e">
        <f t="shared" si="4"/>
        <v>#DIV/0!</v>
      </c>
      <c r="R59" s="91" t="e">
        <f t="shared" si="4"/>
        <v>#DIV/0!</v>
      </c>
      <c r="S59" s="91" t="e">
        <f t="shared" si="4"/>
        <v>#DIV/0!</v>
      </c>
      <c r="T59" s="91" t="e">
        <f t="shared" si="4"/>
        <v>#DIV/0!</v>
      </c>
      <c r="U59" s="91" t="e">
        <f t="shared" si="4"/>
        <v>#DIV/0!</v>
      </c>
      <c r="V59" s="91">
        <f t="shared" si="4"/>
        <v>0.01</v>
      </c>
      <c r="W59" s="91">
        <f t="shared" si="4"/>
        <v>0.01</v>
      </c>
      <c r="X59" s="91">
        <f t="shared" si="4"/>
        <v>0.01</v>
      </c>
    </row>
    <row r="60" spans="1:28">
      <c r="A60" s="10"/>
      <c r="C60" s="327"/>
      <c r="D60" s="327"/>
      <c r="E60" s="15"/>
      <c r="F60" s="37"/>
      <c r="G60" s="90"/>
      <c r="H60" s="63"/>
      <c r="I60" s="63"/>
      <c r="N60" s="133" t="s">
        <v>155</v>
      </c>
      <c r="O60" s="134">
        <f>'PERHITUNGAN 13'!O61</f>
        <v>1.5000000000000003E-2</v>
      </c>
      <c r="P60" s="134">
        <f>'PERHITUNGAN 13'!P61</f>
        <v>0.01</v>
      </c>
      <c r="Q60" s="134">
        <f>'PERHITUNGAN 13'!Q61</f>
        <v>5.0000000000000001E-3</v>
      </c>
      <c r="R60" s="134">
        <f>'PERHITUNGAN 13'!R61</f>
        <v>1.4999999999999999E-2</v>
      </c>
      <c r="S60" s="134">
        <f>'PERHITUNGAN 13'!S61</f>
        <v>5.0000000000000001E-3</v>
      </c>
      <c r="T60" s="134">
        <f>'PERHITUNGAN 13'!T61</f>
        <v>0.05</v>
      </c>
      <c r="U60" s="134">
        <f>'PERHITUNGAN 13'!U61</f>
        <v>0.05</v>
      </c>
      <c r="V60" s="134">
        <f>'PERHITUNGAN 13'!V61</f>
        <v>1.5000000000000003E-2</v>
      </c>
      <c r="W60" s="134">
        <f>'PERHITUNGAN 13'!W61</f>
        <v>1.4999999999999999E-2</v>
      </c>
      <c r="X60" s="134">
        <f>'PERHITUNGAN 13'!X61</f>
        <v>1.4999999999999999E-2</v>
      </c>
    </row>
    <row r="61" spans="1:28">
      <c r="A61" s="10"/>
      <c r="C61" s="327"/>
      <c r="D61" s="327"/>
      <c r="E61" s="15"/>
      <c r="F61" s="37"/>
      <c r="G61" s="90"/>
      <c r="H61" s="63"/>
      <c r="I61" s="63"/>
      <c r="N61" s="25" t="s">
        <v>156</v>
      </c>
      <c r="O61" s="114" t="e">
        <f>(0.1*O38)/SQRT(3)</f>
        <v>#DIV/0!</v>
      </c>
      <c r="P61" s="114" t="e">
        <f t="shared" ref="P61:X61" si="5">(0.1*P38)/SQRT(3)</f>
        <v>#DIV/0!</v>
      </c>
      <c r="Q61" s="114" t="e">
        <f t="shared" si="5"/>
        <v>#DIV/0!</v>
      </c>
      <c r="R61" s="114" t="e">
        <f t="shared" si="5"/>
        <v>#DIV/0!</v>
      </c>
      <c r="S61" s="114" t="e">
        <f t="shared" si="5"/>
        <v>#DIV/0!</v>
      </c>
      <c r="T61" s="114" t="e">
        <f t="shared" si="5"/>
        <v>#DIV/0!</v>
      </c>
      <c r="U61" s="114" t="e">
        <f t="shared" si="5"/>
        <v>#DIV/0!</v>
      </c>
      <c r="V61" s="114">
        <f t="shared" si="5"/>
        <v>1.1547005383792516E-3</v>
      </c>
      <c r="W61" s="114">
        <f t="shared" si="5"/>
        <v>1.1547005383792516E-3</v>
      </c>
      <c r="X61" s="114">
        <f t="shared" si="5"/>
        <v>1.1547005383792516E-3</v>
      </c>
    </row>
    <row r="62" spans="1:28">
      <c r="A62" s="10"/>
      <c r="C62" s="327"/>
      <c r="D62" s="327"/>
      <c r="E62" s="15"/>
      <c r="F62" s="37"/>
      <c r="G62" s="90"/>
      <c r="H62" s="63"/>
      <c r="I62" s="63"/>
      <c r="N62" s="25" t="s">
        <v>157</v>
      </c>
      <c r="O62" s="114">
        <f t="shared" ref="O62:X62" si="6">$T$28</f>
        <v>2.886751345948129E-3</v>
      </c>
      <c r="P62" s="114">
        <f t="shared" si="6"/>
        <v>2.886751345948129E-3</v>
      </c>
      <c r="Q62" s="114">
        <f t="shared" si="6"/>
        <v>2.886751345948129E-3</v>
      </c>
      <c r="R62" s="114">
        <f t="shared" si="6"/>
        <v>2.886751345948129E-3</v>
      </c>
      <c r="S62" s="114">
        <f t="shared" si="6"/>
        <v>2.886751345948129E-3</v>
      </c>
      <c r="T62" s="114">
        <f t="shared" si="6"/>
        <v>2.886751345948129E-3</v>
      </c>
      <c r="U62" s="114">
        <f t="shared" si="6"/>
        <v>2.886751345948129E-3</v>
      </c>
      <c r="V62" s="114">
        <f t="shared" si="6"/>
        <v>2.886751345948129E-3</v>
      </c>
      <c r="W62" s="114">
        <f t="shared" si="6"/>
        <v>2.886751345948129E-3</v>
      </c>
      <c r="X62" s="114">
        <f t="shared" si="6"/>
        <v>2.886751345948129E-3</v>
      </c>
    </row>
    <row r="63" spans="1:28">
      <c r="A63" s="10"/>
      <c r="C63" s="327"/>
      <c r="D63" s="327"/>
      <c r="E63" s="15"/>
      <c r="F63" s="37"/>
      <c r="G63" s="90"/>
      <c r="H63" s="63"/>
      <c r="I63" s="63"/>
      <c r="N63" s="25" t="s">
        <v>158</v>
      </c>
      <c r="O63" s="114">
        <f t="shared" ref="O63:X63" si="7">$T$26</f>
        <v>2.886751345948129E-4</v>
      </c>
      <c r="P63" s="114">
        <f t="shared" si="7"/>
        <v>2.886751345948129E-4</v>
      </c>
      <c r="Q63" s="114">
        <f t="shared" si="7"/>
        <v>2.886751345948129E-4</v>
      </c>
      <c r="R63" s="114">
        <f t="shared" si="7"/>
        <v>2.886751345948129E-4</v>
      </c>
      <c r="S63" s="114">
        <f t="shared" si="7"/>
        <v>2.886751345948129E-4</v>
      </c>
      <c r="T63" s="114">
        <f t="shared" si="7"/>
        <v>2.886751345948129E-4</v>
      </c>
      <c r="U63" s="114">
        <f t="shared" si="7"/>
        <v>2.886751345948129E-4</v>
      </c>
      <c r="V63" s="114">
        <f t="shared" si="7"/>
        <v>2.886751345948129E-4</v>
      </c>
      <c r="W63" s="114">
        <f t="shared" si="7"/>
        <v>2.886751345948129E-4</v>
      </c>
      <c r="X63" s="114">
        <f t="shared" si="7"/>
        <v>2.886751345948129E-4</v>
      </c>
    </row>
    <row r="64" spans="1:28">
      <c r="A64" s="10"/>
      <c r="B64" s="8" t="s">
        <v>31</v>
      </c>
      <c r="C64" s="333" t="e">
        <f>AVERAGE(C59:D63)</f>
        <v>#DIV/0!</v>
      </c>
      <c r="D64" s="334"/>
      <c r="E64" s="95" t="e">
        <f>AVERAGE(E59:E63)</f>
        <v>#DIV/0!</v>
      </c>
      <c r="F64" s="95" t="e">
        <f t="shared" ref="F64" si="8">AVERAGE(F59:F63)</f>
        <v>#DIV/0!</v>
      </c>
      <c r="G64" s="95">
        <f>SUM(G59:G63)/5</f>
        <v>0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 t="e">
        <f>_xlfn.STDEV.S(G59:G63)</f>
        <v>#DIV/0!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 t="e">
        <f>G65/SQRT(5)</f>
        <v>#DIV/0!</v>
      </c>
      <c r="H66" s="44"/>
      <c r="I66" s="63"/>
      <c r="N66" s="25" t="s">
        <v>160</v>
      </c>
      <c r="O66" s="53">
        <f>10^10</f>
        <v>10000000000</v>
      </c>
      <c r="P66" s="53">
        <f t="shared" ref="P66:X66" si="9">10^10</f>
        <v>10000000000</v>
      </c>
      <c r="Q66" s="53">
        <f t="shared" si="9"/>
        <v>10000000000</v>
      </c>
      <c r="R66" s="53">
        <f t="shared" si="9"/>
        <v>10000000000</v>
      </c>
      <c r="S66" s="53">
        <f t="shared" si="9"/>
        <v>10000000000</v>
      </c>
      <c r="T66" s="53">
        <f t="shared" si="9"/>
        <v>10000000000</v>
      </c>
      <c r="U66" s="53">
        <f t="shared" si="9"/>
        <v>10000000000</v>
      </c>
      <c r="V66" s="53">
        <f t="shared" si="9"/>
        <v>10000000000</v>
      </c>
      <c r="W66" s="53">
        <f t="shared" si="9"/>
        <v>10000000000</v>
      </c>
      <c r="X66" s="53">
        <f t="shared" si="9"/>
        <v>10000000000</v>
      </c>
    </row>
    <row r="67" spans="1:28">
      <c r="A67" s="105">
        <v>4</v>
      </c>
      <c r="B67" s="196"/>
      <c r="C67" s="327"/>
      <c r="D67" s="327"/>
      <c r="E67" s="90"/>
      <c r="F67" s="37"/>
      <c r="G67" s="90"/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/>
      <c r="D68" s="327"/>
      <c r="E68" s="90"/>
      <c r="F68" s="37"/>
      <c r="G68" s="90"/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/>
      <c r="D69" s="327"/>
      <c r="E69" s="90"/>
      <c r="F69" s="37"/>
      <c r="G69" s="90"/>
      <c r="H69" s="63"/>
      <c r="I69" s="63"/>
      <c r="N69" s="25" t="s">
        <v>163</v>
      </c>
      <c r="O69" s="53">
        <f t="shared" ref="O69:X71" si="10">10^10</f>
        <v>10000000000</v>
      </c>
      <c r="P69" s="53">
        <f t="shared" si="10"/>
        <v>10000000000</v>
      </c>
      <c r="Q69" s="53">
        <f t="shared" si="10"/>
        <v>10000000000</v>
      </c>
      <c r="R69" s="53">
        <f t="shared" si="10"/>
        <v>10000000000</v>
      </c>
      <c r="S69" s="53">
        <f t="shared" si="10"/>
        <v>10000000000</v>
      </c>
      <c r="T69" s="53">
        <f t="shared" si="10"/>
        <v>10000000000</v>
      </c>
      <c r="U69" s="53">
        <f t="shared" si="10"/>
        <v>10000000000</v>
      </c>
      <c r="V69" s="53">
        <f t="shared" si="10"/>
        <v>10000000000</v>
      </c>
      <c r="W69" s="53">
        <f t="shared" si="10"/>
        <v>10000000000</v>
      </c>
      <c r="X69" s="53">
        <f t="shared" si="10"/>
        <v>10000000000</v>
      </c>
      <c r="AB69" s="1"/>
    </row>
    <row r="70" spans="1:28">
      <c r="A70" s="10"/>
      <c r="C70" s="327"/>
      <c r="D70" s="327"/>
      <c r="E70" s="90"/>
      <c r="F70" s="37"/>
      <c r="G70" s="90"/>
      <c r="H70" s="63"/>
      <c r="I70" s="63"/>
      <c r="N70" s="25" t="s">
        <v>164</v>
      </c>
      <c r="O70" s="53">
        <f t="shared" si="10"/>
        <v>10000000000</v>
      </c>
      <c r="P70" s="53">
        <f t="shared" si="10"/>
        <v>10000000000</v>
      </c>
      <c r="Q70" s="53">
        <f t="shared" si="10"/>
        <v>10000000000</v>
      </c>
      <c r="R70" s="53">
        <f t="shared" si="10"/>
        <v>10000000000</v>
      </c>
      <c r="S70" s="53">
        <f t="shared" si="10"/>
        <v>10000000000</v>
      </c>
      <c r="T70" s="53">
        <f t="shared" si="10"/>
        <v>10000000000</v>
      </c>
      <c r="U70" s="53">
        <f t="shared" si="10"/>
        <v>10000000000</v>
      </c>
      <c r="V70" s="53">
        <f t="shared" si="10"/>
        <v>10000000000</v>
      </c>
      <c r="W70" s="53">
        <f t="shared" si="10"/>
        <v>10000000000</v>
      </c>
      <c r="X70" s="53">
        <f t="shared" si="10"/>
        <v>10000000000</v>
      </c>
      <c r="AB70" s="1"/>
    </row>
    <row r="71" spans="1:28">
      <c r="A71" s="10"/>
      <c r="C71" s="327"/>
      <c r="D71" s="327"/>
      <c r="E71" s="90"/>
      <c r="F71" s="37"/>
      <c r="G71" s="90"/>
      <c r="H71" s="63"/>
      <c r="I71" s="63"/>
      <c r="N71" s="25" t="s">
        <v>165</v>
      </c>
      <c r="O71" s="53">
        <f t="shared" si="10"/>
        <v>10000000000</v>
      </c>
      <c r="P71" s="53">
        <f t="shared" si="10"/>
        <v>10000000000</v>
      </c>
      <c r="Q71" s="53">
        <f t="shared" si="10"/>
        <v>10000000000</v>
      </c>
      <c r="R71" s="53">
        <f t="shared" si="10"/>
        <v>10000000000</v>
      </c>
      <c r="S71" s="53">
        <f t="shared" si="10"/>
        <v>10000000000</v>
      </c>
      <c r="T71" s="53">
        <f t="shared" si="10"/>
        <v>10000000000</v>
      </c>
      <c r="U71" s="53">
        <f t="shared" si="10"/>
        <v>10000000000</v>
      </c>
      <c r="V71" s="53">
        <f t="shared" si="10"/>
        <v>10000000000</v>
      </c>
      <c r="W71" s="53">
        <f t="shared" si="10"/>
        <v>10000000000</v>
      </c>
      <c r="X71" s="53">
        <f t="shared" si="10"/>
        <v>10000000000</v>
      </c>
      <c r="AB71" s="1"/>
    </row>
    <row r="72" spans="1:28">
      <c r="A72" s="10"/>
      <c r="B72" s="8" t="s">
        <v>31</v>
      </c>
      <c r="C72" s="333" t="e">
        <f>AVERAGE(C67:D71)</f>
        <v>#DIV/0!</v>
      </c>
      <c r="D72" s="334"/>
      <c r="E72" s="95" t="e">
        <f>AVERAGE(E67:E71)</f>
        <v>#DIV/0!</v>
      </c>
      <c r="F72" s="95" t="e">
        <f t="shared" ref="F72" si="11">AVERAGE(F67:F71)</f>
        <v>#DIV/0!</v>
      </c>
      <c r="G72" s="95">
        <f>SUM(G67:G71)/5</f>
        <v>0</v>
      </c>
      <c r="H72" s="63"/>
      <c r="I72" s="63"/>
      <c r="N72" s="111" t="s">
        <v>168</v>
      </c>
      <c r="O72" s="118" t="e">
        <f>SQRT((O57^2)+(O58^2)+(O59^2)+(O60^2)+(O61^2)+(O62^2)+(O63^2))</f>
        <v>#DIV/0!</v>
      </c>
      <c r="P72" s="118" t="e">
        <f t="shared" ref="P72:X72" si="12">SQRT((P57^2)+(P58^2)+(P59^2)+(P60^2)+(P61^2)+(P62^2)+(P63^2))</f>
        <v>#DIV/0!</v>
      </c>
      <c r="Q72" s="118" t="e">
        <f t="shared" si="12"/>
        <v>#DIV/0!</v>
      </c>
      <c r="R72" s="118" t="e">
        <f t="shared" si="12"/>
        <v>#DIV/0!</v>
      </c>
      <c r="S72" s="118" t="e">
        <f t="shared" si="12"/>
        <v>#DIV/0!</v>
      </c>
      <c r="T72" s="118" t="e">
        <f t="shared" si="12"/>
        <v>#DIV/0!</v>
      </c>
      <c r="U72" s="118" t="e">
        <f t="shared" si="12"/>
        <v>#DIV/0!</v>
      </c>
      <c r="V72" s="118" t="e">
        <f t="shared" si="12"/>
        <v>#DIV/0!</v>
      </c>
      <c r="W72" s="118" t="e">
        <f t="shared" si="12"/>
        <v>#DIV/0!</v>
      </c>
      <c r="X72" s="118" t="e">
        <f t="shared" si="12"/>
        <v>#DIV/0!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 t="e">
        <f>_xlfn.STDEV.S(G67:G71)</f>
        <v>#DIV/0!</v>
      </c>
      <c r="H73" s="63"/>
      <c r="I73" s="63"/>
      <c r="N73" s="119" t="s">
        <v>167</v>
      </c>
      <c r="O73" s="120" t="e">
        <f>(O72^4)/((O57^4/O65)+(O58^4/O66)+(O59^4/O67)+(O60^4/O68)+(O61^4/O69)+(O62^4/O70)+(O63^4/O71))</f>
        <v>#DIV/0!</v>
      </c>
      <c r="P73" s="120" t="e">
        <f t="shared" ref="P73:X73" si="13">(P72^4)/((P57^4/P65)+(P58^4/P66)+(P59^4/P67)+(P60^4/P68)+(P61^4/P69)+(P62^4/P70)+(P63^4/P71))</f>
        <v>#DIV/0!</v>
      </c>
      <c r="Q73" s="120" t="e">
        <f t="shared" si="13"/>
        <v>#DIV/0!</v>
      </c>
      <c r="R73" s="120" t="e">
        <f t="shared" si="13"/>
        <v>#DIV/0!</v>
      </c>
      <c r="S73" s="120" t="e">
        <f t="shared" si="13"/>
        <v>#DIV/0!</v>
      </c>
      <c r="T73" s="120" t="e">
        <f t="shared" si="13"/>
        <v>#DIV/0!</v>
      </c>
      <c r="U73" s="120" t="e">
        <f t="shared" si="13"/>
        <v>#DIV/0!</v>
      </c>
      <c r="V73" s="120" t="e">
        <f t="shared" si="13"/>
        <v>#DIV/0!</v>
      </c>
      <c r="W73" s="120" t="e">
        <f t="shared" si="13"/>
        <v>#DIV/0!</v>
      </c>
      <c r="X73" s="120" t="e">
        <f t="shared" si="13"/>
        <v>#DIV/0!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 t="e">
        <f>G73/SQRT(5)</f>
        <v>#DIV/0!</v>
      </c>
      <c r="H74" s="63"/>
      <c r="I74" s="63"/>
      <c r="L74" s="22"/>
      <c r="N74" s="122" t="s">
        <v>7</v>
      </c>
      <c r="O74" s="123" t="e">
        <f>_xlfn.T.INV.2T(0.05,O73)</f>
        <v>#DIV/0!</v>
      </c>
      <c r="P74" s="123" t="e">
        <f t="shared" ref="P74:X74" si="14">_xlfn.T.INV.2T(0.05,P73)</f>
        <v>#DIV/0!</v>
      </c>
      <c r="Q74" s="123" t="e">
        <f t="shared" si="14"/>
        <v>#DIV/0!</v>
      </c>
      <c r="R74" s="123" t="e">
        <f t="shared" si="14"/>
        <v>#DIV/0!</v>
      </c>
      <c r="S74" s="123" t="e">
        <f t="shared" si="14"/>
        <v>#DIV/0!</v>
      </c>
      <c r="T74" s="123" t="e">
        <f t="shared" si="14"/>
        <v>#DIV/0!</v>
      </c>
      <c r="U74" s="123" t="e">
        <f t="shared" si="14"/>
        <v>#DIV/0!</v>
      </c>
      <c r="V74" s="123" t="e">
        <f t="shared" si="14"/>
        <v>#DIV/0!</v>
      </c>
      <c r="W74" s="123" t="e">
        <f t="shared" si="14"/>
        <v>#DIV/0!</v>
      </c>
      <c r="X74" s="123" t="e">
        <f t="shared" si="14"/>
        <v>#DIV/0!</v>
      </c>
      <c r="Z74" s="124"/>
      <c r="AB74" s="1"/>
    </row>
    <row r="75" spans="1:28">
      <c r="A75" s="105">
        <v>5</v>
      </c>
      <c r="B75" s="196"/>
      <c r="C75" s="327"/>
      <c r="D75" s="327"/>
      <c r="E75" s="90"/>
      <c r="F75" s="37"/>
      <c r="G75" s="90"/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/>
      <c r="D76" s="327"/>
      <c r="E76" s="90"/>
      <c r="F76" s="37"/>
      <c r="G76" s="90"/>
      <c r="H76" s="63"/>
      <c r="I76" s="63"/>
      <c r="N76" s="111" t="s">
        <v>166</v>
      </c>
      <c r="O76" s="121" t="e">
        <f t="shared" ref="O76:X76" si="15">O72*O74</f>
        <v>#DIV/0!</v>
      </c>
      <c r="P76" s="121" t="e">
        <f t="shared" si="15"/>
        <v>#DIV/0!</v>
      </c>
      <c r="Q76" s="121" t="e">
        <f t="shared" si="15"/>
        <v>#DIV/0!</v>
      </c>
      <c r="R76" s="121" t="e">
        <f t="shared" si="15"/>
        <v>#DIV/0!</v>
      </c>
      <c r="S76" s="121" t="e">
        <f t="shared" si="15"/>
        <v>#DIV/0!</v>
      </c>
      <c r="T76" s="121" t="e">
        <f t="shared" si="15"/>
        <v>#DIV/0!</v>
      </c>
      <c r="U76" s="121" t="e">
        <f t="shared" si="15"/>
        <v>#DIV/0!</v>
      </c>
      <c r="V76" s="121" t="e">
        <f t="shared" si="15"/>
        <v>#DIV/0!</v>
      </c>
      <c r="W76" s="121" t="e">
        <f t="shared" si="15"/>
        <v>#DIV/0!</v>
      </c>
      <c r="X76" s="121" t="e">
        <f t="shared" si="15"/>
        <v>#DIV/0!</v>
      </c>
      <c r="AB76" s="1"/>
    </row>
    <row r="77" spans="1:28">
      <c r="A77" s="10"/>
      <c r="C77" s="327"/>
      <c r="D77" s="327"/>
      <c r="E77" s="90"/>
      <c r="F77" s="37"/>
      <c r="G77" s="90"/>
      <c r="H77" s="63"/>
      <c r="I77" s="63"/>
      <c r="AB77" s="1"/>
    </row>
    <row r="78" spans="1:28">
      <c r="A78" s="10"/>
      <c r="C78" s="327"/>
      <c r="D78" s="327"/>
      <c r="E78" s="90"/>
      <c r="F78" s="37"/>
      <c r="G78" s="90"/>
      <c r="H78" s="26"/>
      <c r="I78" s="26"/>
      <c r="AB78" s="1"/>
    </row>
    <row r="79" spans="1:28">
      <c r="A79" s="10"/>
      <c r="C79" s="327"/>
      <c r="D79" s="327"/>
      <c r="E79" s="90"/>
      <c r="F79" s="37"/>
      <c r="G79" s="90"/>
      <c r="AB79" s="1"/>
    </row>
    <row r="80" spans="1:28">
      <c r="A80" s="10"/>
      <c r="B80" s="8" t="s">
        <v>31</v>
      </c>
      <c r="C80" s="333" t="e">
        <f>AVERAGE(C75:D79)</f>
        <v>#DIV/0!</v>
      </c>
      <c r="D80" s="334"/>
      <c r="E80" s="95" t="e">
        <f>AVERAGE(E75:E79)</f>
        <v>#DIV/0!</v>
      </c>
      <c r="F80" s="95" t="e">
        <f t="shared" ref="F80" si="16">AVERAGE(F75:F79)</f>
        <v>#DIV/0!</v>
      </c>
      <c r="G80" s="95">
        <f>SUM(G75:G79)/5</f>
        <v>0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 t="e">
        <f>_xlfn.STDEV.S(G75:G79)</f>
        <v>#DIV/0!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 t="e">
        <f>G81/SQRT(5)</f>
        <v>#DIV/0!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/>
      <c r="C83" s="327"/>
      <c r="D83" s="327"/>
      <c r="E83" s="90"/>
      <c r="F83" s="37"/>
      <c r="G83" s="40"/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/>
      <c r="D84" s="327"/>
      <c r="E84" s="90"/>
      <c r="F84" s="37"/>
      <c r="G84" s="40"/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/>
      <c r="D85" s="327"/>
      <c r="E85" s="90"/>
      <c r="F85" s="37"/>
      <c r="G85" s="40"/>
      <c r="H85" s="26"/>
      <c r="I85" s="26"/>
      <c r="N85" s="93" t="e">
        <f>O56</f>
        <v>#DIV/0!</v>
      </c>
      <c r="O85" s="403">
        <f>G48</f>
        <v>0</v>
      </c>
      <c r="P85" s="404"/>
      <c r="Q85" s="387" t="e">
        <f t="shared" ref="Q85:Q94" si="17">N85+O85</f>
        <v>#DIV/0!</v>
      </c>
      <c r="R85" s="405"/>
      <c r="S85" s="138" t="s">
        <v>35</v>
      </c>
      <c r="T85" s="94" t="e">
        <f>IF(N85&lt;$AA$97,MAX($O$97,O76),IF(N85&lt;$AA$98,MAX($O$98,O76),MAX($O$99,O76)))</f>
        <v>#DIV/0!</v>
      </c>
      <c r="AB85" s="1"/>
    </row>
    <row r="86" spans="1:28">
      <c r="A86" s="10"/>
      <c r="C86" s="327"/>
      <c r="D86" s="327"/>
      <c r="E86" s="90"/>
      <c r="F86" s="37"/>
      <c r="G86" s="40"/>
      <c r="H86" s="63"/>
      <c r="I86" s="63"/>
      <c r="N86" s="93" t="e">
        <f>P56</f>
        <v>#DIV/0!</v>
      </c>
      <c r="O86" s="403">
        <f>G56</f>
        <v>0</v>
      </c>
      <c r="P86" s="404"/>
      <c r="Q86" s="406" t="e">
        <f t="shared" si="17"/>
        <v>#DIV/0!</v>
      </c>
      <c r="R86" s="407"/>
      <c r="S86" s="138" t="s">
        <v>35</v>
      </c>
      <c r="T86" s="94" t="e">
        <f>IF(N86&lt;$AA$97,MAX($O$97,P76),IF(N86&lt;$AA$98,MAX($O$98,P76),MAX($O$99,P76)))</f>
        <v>#DIV/0!</v>
      </c>
      <c r="AB86" s="1"/>
    </row>
    <row r="87" spans="1:28">
      <c r="A87" s="10"/>
      <c r="C87" s="327"/>
      <c r="D87" s="327"/>
      <c r="E87" s="90"/>
      <c r="F87" s="37"/>
      <c r="G87" s="41"/>
      <c r="H87" s="63"/>
      <c r="I87" s="63"/>
      <c r="N87" s="93" t="e">
        <f>Q56</f>
        <v>#DIV/0!</v>
      </c>
      <c r="O87" s="403">
        <f>G64</f>
        <v>0</v>
      </c>
      <c r="P87" s="404"/>
      <c r="Q87" s="406" t="e">
        <f t="shared" si="17"/>
        <v>#DIV/0!</v>
      </c>
      <c r="R87" s="407"/>
      <c r="S87" s="138" t="s">
        <v>35</v>
      </c>
      <c r="T87" s="94" t="e">
        <f>IF(N87&lt;$AA$97,MAX($O$97,Q76),IF(N87&lt;$AA$98,MAX($O$98,Q76),MAX($O$99,Q76)))</f>
        <v>#DIV/0!</v>
      </c>
      <c r="AB87" s="1"/>
    </row>
    <row r="88" spans="1:28">
      <c r="A88" s="10"/>
      <c r="B88" s="8" t="s">
        <v>31</v>
      </c>
      <c r="C88" s="333" t="e">
        <f>AVERAGE(C83:D87)</f>
        <v>#DIV/0!</v>
      </c>
      <c r="D88" s="334"/>
      <c r="E88" s="95" t="e">
        <f>AVERAGE(E83:E87)</f>
        <v>#DIV/0!</v>
      </c>
      <c r="F88" s="95" t="e">
        <f t="shared" ref="F88" si="18">AVERAGE(F83:F87)</f>
        <v>#DIV/0!</v>
      </c>
      <c r="G88" s="95">
        <f>SUM(G83:G87)/5</f>
        <v>0</v>
      </c>
      <c r="H88" s="63"/>
      <c r="I88" s="63"/>
      <c r="N88" s="93" t="e">
        <f>R56</f>
        <v>#DIV/0!</v>
      </c>
      <c r="O88" s="403">
        <f>G72</f>
        <v>0</v>
      </c>
      <c r="P88" s="404"/>
      <c r="Q88" s="406" t="e">
        <f t="shared" si="17"/>
        <v>#DIV/0!</v>
      </c>
      <c r="R88" s="407"/>
      <c r="S88" s="138" t="s">
        <v>35</v>
      </c>
      <c r="T88" s="94" t="e">
        <f>IF(N88&lt;$AA$97,MAX($O$97,R76),IF(N88&lt;$AA$98,MAX($O$98,R76),MAX($O$99,R76)))</f>
        <v>#DIV/0!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 t="e">
        <f>_xlfn.STDEV.S(G83:G87)</f>
        <v>#DIV/0!</v>
      </c>
      <c r="H89" s="63"/>
      <c r="I89" s="63"/>
      <c r="N89" s="93" t="e">
        <f>S56</f>
        <v>#DIV/0!</v>
      </c>
      <c r="O89" s="403">
        <f>G80</f>
        <v>0</v>
      </c>
      <c r="P89" s="404"/>
      <c r="Q89" s="406" t="e">
        <f t="shared" si="17"/>
        <v>#DIV/0!</v>
      </c>
      <c r="R89" s="407"/>
      <c r="S89" s="138" t="s">
        <v>35</v>
      </c>
      <c r="T89" s="94" t="e">
        <f>IF(N89&lt;$AA$97,MAX($O$97,S76),IF(N89&lt;$AA$98,MAX($O$98,S76),MAX($O$99,S76)))</f>
        <v>#DIV/0!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 t="e">
        <f>G89/SQRT(5)</f>
        <v>#DIV/0!</v>
      </c>
      <c r="H90" s="63"/>
      <c r="I90" s="63"/>
      <c r="L90" s="22"/>
      <c r="N90" s="93" t="e">
        <f>T56</f>
        <v>#DIV/0!</v>
      </c>
      <c r="O90" s="403">
        <f>G88</f>
        <v>0</v>
      </c>
      <c r="P90" s="404"/>
      <c r="Q90" s="406" t="e">
        <f t="shared" si="17"/>
        <v>#DIV/0!</v>
      </c>
      <c r="R90" s="407"/>
      <c r="S90" s="138" t="s">
        <v>35</v>
      </c>
      <c r="T90" s="94" t="e">
        <f>IF(N90&lt;$AA$97,MAX($O$97,T76),IF(N90&lt;$AA$98,MAX($O$98,T76),MAX($O$99,T76)))</f>
        <v>#DIV/0!</v>
      </c>
      <c r="AB90" s="1"/>
    </row>
    <row r="91" spans="1:28">
      <c r="A91" s="105">
        <v>7</v>
      </c>
      <c r="B91" s="196"/>
      <c r="C91" s="327"/>
      <c r="D91" s="327"/>
      <c r="E91" s="90"/>
      <c r="F91" s="37"/>
      <c r="G91" s="40"/>
      <c r="H91" s="63"/>
      <c r="I91" s="63"/>
      <c r="N91" s="93" t="e">
        <f>U56</f>
        <v>#DIV/0!</v>
      </c>
      <c r="O91" s="403">
        <f>G96</f>
        <v>0</v>
      </c>
      <c r="P91" s="404"/>
      <c r="Q91" s="406" t="e">
        <f t="shared" si="17"/>
        <v>#DIV/0!</v>
      </c>
      <c r="R91" s="407"/>
      <c r="S91" s="138" t="s">
        <v>35</v>
      </c>
      <c r="T91" s="94" t="e">
        <f>IF(N91&lt;$AA$97,MAX($O$97,U76),IF(N91&lt;$AA$98,MAX($O$98,U76),MAX($O$99,U76)))</f>
        <v>#DIV/0!</v>
      </c>
      <c r="AB91" s="1"/>
    </row>
    <row r="92" spans="1:28">
      <c r="A92" s="10"/>
      <c r="C92" s="327"/>
      <c r="D92" s="327"/>
      <c r="E92" s="90"/>
      <c r="F92" s="37"/>
      <c r="G92" s="40"/>
      <c r="H92" s="44"/>
      <c r="I92" s="63"/>
      <c r="N92" s="93">
        <f>V56</f>
        <v>0</v>
      </c>
      <c r="O92" s="403">
        <f>G104</f>
        <v>0</v>
      </c>
      <c r="P92" s="404"/>
      <c r="Q92" s="406">
        <f t="shared" si="17"/>
        <v>0</v>
      </c>
      <c r="R92" s="407"/>
      <c r="S92" s="138" t="s">
        <v>35</v>
      </c>
      <c r="T92" s="94" t="e">
        <f>IF(N92&lt;$AA$97,MAX($O$97,V76),IF(N92&lt;$AA$98,MAX($O$98,V76),MAX($O$99,V76)))</f>
        <v>#DIV/0!</v>
      </c>
      <c r="AB92" s="1"/>
    </row>
    <row r="93" spans="1:28">
      <c r="A93" s="10"/>
      <c r="C93" s="327"/>
      <c r="D93" s="327"/>
      <c r="E93" s="90"/>
      <c r="F93" s="37"/>
      <c r="G93" s="40"/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7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/>
      <c r="D94" s="327"/>
      <c r="E94" s="90"/>
      <c r="F94" s="37"/>
      <c r="G94" s="40"/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7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/>
      <c r="D95" s="327"/>
      <c r="E95" s="90"/>
      <c r="F95" s="37"/>
      <c r="G95" s="41"/>
      <c r="H95" s="63"/>
      <c r="I95" s="63"/>
      <c r="U95" s="47"/>
      <c r="AB95" s="1"/>
    </row>
    <row r="96" spans="1:28">
      <c r="A96" s="10"/>
      <c r="B96" s="8" t="s">
        <v>31</v>
      </c>
      <c r="C96" s="333" t="e">
        <f>AVERAGE(C91:D95)</f>
        <v>#DIV/0!</v>
      </c>
      <c r="D96" s="334"/>
      <c r="E96" s="95" t="e">
        <f>AVERAGE(E91:E95)</f>
        <v>#DIV/0!</v>
      </c>
      <c r="F96" s="95" t="e">
        <f t="shared" ref="F96" si="19">AVERAGE(F91:F95)</f>
        <v>#DIV/0!</v>
      </c>
      <c r="G96" s="95">
        <f>SUM(G91:G95)/5</f>
        <v>0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 t="e">
        <f>_xlfn.STDEV.S(G91:G95)</f>
        <v>#DIV/0!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 t="e">
        <f>G97/SQRT(5)</f>
        <v>#DIV/0!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/>
      <c r="C99" s="327"/>
      <c r="D99" s="327"/>
      <c r="E99" s="90"/>
      <c r="F99" s="37"/>
      <c r="G99" s="40"/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/>
      <c r="D100" s="327"/>
      <c r="E100" s="90"/>
      <c r="F100" s="37"/>
      <c r="G100" s="40"/>
      <c r="H100" s="44"/>
      <c r="I100" s="44"/>
      <c r="M100" s="1"/>
    </row>
    <row r="101" spans="1:27">
      <c r="A101" s="10"/>
      <c r="C101" s="327"/>
      <c r="D101" s="327"/>
      <c r="E101" s="90"/>
      <c r="F101" s="37"/>
      <c r="G101" s="40"/>
      <c r="H101" s="44"/>
      <c r="I101" s="44"/>
    </row>
    <row r="102" spans="1:27">
      <c r="A102" s="10"/>
      <c r="C102" s="327"/>
      <c r="D102" s="327"/>
      <c r="E102" s="90"/>
      <c r="F102" s="37"/>
      <c r="G102" s="40"/>
      <c r="H102" s="63"/>
      <c r="I102" s="63"/>
    </row>
    <row r="103" spans="1:27">
      <c r="A103" s="10"/>
      <c r="C103" s="327"/>
      <c r="D103" s="327"/>
      <c r="E103" s="90"/>
      <c r="F103" s="37"/>
      <c r="G103" s="41"/>
      <c r="H103" s="63"/>
      <c r="I103" s="63"/>
      <c r="N103" s="74"/>
      <c r="O103" s="129"/>
    </row>
    <row r="104" spans="1:27">
      <c r="A104" s="10"/>
      <c r="B104" s="8" t="s">
        <v>31</v>
      </c>
      <c r="C104" s="333"/>
      <c r="D104" s="334"/>
      <c r="E104" s="95"/>
      <c r="F104" s="95"/>
      <c r="G104" s="95"/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 t="e">
        <f>_xlfn.STDEV.S(G99:G103)</f>
        <v>#DIV/0!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 t="e">
        <f>G105/SQRT(5)</f>
        <v>#DIV/0!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/>
      <c r="G107" s="40"/>
      <c r="H107" s="63"/>
      <c r="I107" s="63"/>
      <c r="M107" s="1"/>
    </row>
    <row r="108" spans="1:27">
      <c r="A108" s="10"/>
      <c r="C108" s="327"/>
      <c r="D108" s="327"/>
      <c r="E108" s="90"/>
      <c r="F108" s="37"/>
      <c r="G108" s="40"/>
      <c r="H108" s="44"/>
      <c r="I108" s="44"/>
      <c r="M108" s="1"/>
    </row>
    <row r="109" spans="1:27">
      <c r="A109" s="10"/>
      <c r="C109" s="327"/>
      <c r="D109" s="327"/>
      <c r="E109" s="90"/>
      <c r="F109" s="37"/>
      <c r="G109" s="40"/>
      <c r="H109" s="44"/>
      <c r="I109" s="44"/>
    </row>
    <row r="110" spans="1:27">
      <c r="A110" s="10"/>
      <c r="C110" s="327"/>
      <c r="D110" s="327"/>
      <c r="E110" s="90"/>
      <c r="F110" s="37"/>
      <c r="G110" s="40"/>
      <c r="H110" s="63"/>
      <c r="I110" s="63"/>
    </row>
    <row r="111" spans="1:27">
      <c r="A111" s="10"/>
      <c r="C111" s="327"/>
      <c r="D111" s="327"/>
      <c r="E111" s="90"/>
      <c r="F111" s="37"/>
      <c r="G111" s="41"/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 t="e">
        <f>_xlfn.STDEV.S(G107:G111)</f>
        <v>#DIV/0!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 t="e">
        <f>G113/SQRT(5)</f>
        <v>#DIV/0!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/>
      <c r="G115" s="40"/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/>
      <c r="G116" s="40"/>
      <c r="H116" s="44"/>
      <c r="I116" s="44"/>
      <c r="U116" s="49"/>
    </row>
    <row r="117" spans="1:21">
      <c r="A117" s="10"/>
      <c r="C117" s="224"/>
      <c r="D117" s="225"/>
      <c r="E117" s="90"/>
      <c r="F117" s="37"/>
      <c r="G117" s="40"/>
      <c r="H117" s="44"/>
      <c r="I117" s="44"/>
      <c r="U117" s="49"/>
    </row>
    <row r="118" spans="1:21">
      <c r="A118" s="10"/>
      <c r="C118" s="224"/>
      <c r="D118" s="225"/>
      <c r="E118" s="90"/>
      <c r="F118" s="37"/>
      <c r="G118" s="40"/>
      <c r="H118" s="63"/>
      <c r="I118" s="63"/>
    </row>
    <row r="119" spans="1:21">
      <c r="A119" s="10"/>
      <c r="C119" s="233"/>
      <c r="D119" s="234"/>
      <c r="E119" s="90"/>
      <c r="F119" s="37"/>
      <c r="G119" s="41"/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 t="e">
        <f>_xlfn.STDEV.S(G115:G119)</f>
        <v>#DIV/0!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 t="e">
        <f>G121/SQRT(5)</f>
        <v>#DIV/0!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330"/>
      <c r="D125" s="330"/>
      <c r="E125" s="63"/>
      <c r="F125" s="63"/>
      <c r="G125" s="63"/>
      <c r="H125" s="63"/>
      <c r="I125" s="63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2">
    <mergeCell ref="C185:D185"/>
    <mergeCell ref="C177:D177"/>
    <mergeCell ref="C180:D180"/>
    <mergeCell ref="C181:D181"/>
    <mergeCell ref="C182:D182"/>
    <mergeCell ref="C183:D183"/>
    <mergeCell ref="C184:D184"/>
    <mergeCell ref="C169:D169"/>
    <mergeCell ref="C172:D172"/>
    <mergeCell ref="C173:D173"/>
    <mergeCell ref="C174:D174"/>
    <mergeCell ref="C175:D175"/>
    <mergeCell ref="C176:D176"/>
    <mergeCell ref="C161:D161"/>
    <mergeCell ref="C164:D164"/>
    <mergeCell ref="C165:D165"/>
    <mergeCell ref="C166:D166"/>
    <mergeCell ref="C167:D167"/>
    <mergeCell ref="C168:D168"/>
    <mergeCell ref="C151:D151"/>
    <mergeCell ref="C156:D156"/>
    <mergeCell ref="C157:D157"/>
    <mergeCell ref="C158:D158"/>
    <mergeCell ref="C159:D159"/>
    <mergeCell ref="C160:D160"/>
    <mergeCell ref="C143:D143"/>
    <mergeCell ref="C146:D146"/>
    <mergeCell ref="C147:D147"/>
    <mergeCell ref="C148:D148"/>
    <mergeCell ref="C149:D149"/>
    <mergeCell ref="C150:D150"/>
    <mergeCell ref="C127:D127"/>
    <mergeCell ref="C138:D138"/>
    <mergeCell ref="C139:D139"/>
    <mergeCell ref="C140:D140"/>
    <mergeCell ref="C141:D141"/>
    <mergeCell ref="C142:D142"/>
    <mergeCell ref="C109:D109"/>
    <mergeCell ref="C110:D110"/>
    <mergeCell ref="C111:D111"/>
    <mergeCell ref="C112:D112"/>
    <mergeCell ref="C125:D125"/>
    <mergeCell ref="C126:D126"/>
    <mergeCell ref="C101:D101"/>
    <mergeCell ref="C102:D102"/>
    <mergeCell ref="C103:D103"/>
    <mergeCell ref="C104:D104"/>
    <mergeCell ref="C107:D107"/>
    <mergeCell ref="C108:D108"/>
    <mergeCell ref="C95:D95"/>
    <mergeCell ref="C96:D96"/>
    <mergeCell ref="N96:O96"/>
    <mergeCell ref="Z96:AA96"/>
    <mergeCell ref="C99:D99"/>
    <mergeCell ref="C100:D100"/>
    <mergeCell ref="C93:D93"/>
    <mergeCell ref="O93:P93"/>
    <mergeCell ref="Q93:R93"/>
    <mergeCell ref="C94:D94"/>
    <mergeCell ref="O94:P94"/>
    <mergeCell ref="Q94:R94"/>
    <mergeCell ref="C91:D91"/>
    <mergeCell ref="O91:P91"/>
    <mergeCell ref="Q91:R91"/>
    <mergeCell ref="C92:D92"/>
    <mergeCell ref="O92:P92"/>
    <mergeCell ref="Q92:R92"/>
    <mergeCell ref="C88:D88"/>
    <mergeCell ref="O88:P88"/>
    <mergeCell ref="Q88:R88"/>
    <mergeCell ref="O89:P89"/>
    <mergeCell ref="Q89:R89"/>
    <mergeCell ref="O90:P90"/>
    <mergeCell ref="Q90:R90"/>
    <mergeCell ref="C86:D86"/>
    <mergeCell ref="O86:P86"/>
    <mergeCell ref="Q86:R86"/>
    <mergeCell ref="C87:D87"/>
    <mergeCell ref="O87:P87"/>
    <mergeCell ref="Q87:R87"/>
    <mergeCell ref="S83:T83"/>
    <mergeCell ref="C84:D84"/>
    <mergeCell ref="S84:T84"/>
    <mergeCell ref="C85:D85"/>
    <mergeCell ref="O85:P85"/>
    <mergeCell ref="Q85:R85"/>
    <mergeCell ref="C79:D79"/>
    <mergeCell ref="C80:D80"/>
    <mergeCell ref="C83:D83"/>
    <mergeCell ref="N83:N84"/>
    <mergeCell ref="O83:P84"/>
    <mergeCell ref="Q83:R84"/>
    <mergeCell ref="C71:D71"/>
    <mergeCell ref="C72:D72"/>
    <mergeCell ref="C75:D75"/>
    <mergeCell ref="C76:D76"/>
    <mergeCell ref="C77:D77"/>
    <mergeCell ref="C78:D78"/>
    <mergeCell ref="C63:D63"/>
    <mergeCell ref="C64:D64"/>
    <mergeCell ref="C67:D67"/>
    <mergeCell ref="C68:D68"/>
    <mergeCell ref="C69:D69"/>
    <mergeCell ref="C70:D70"/>
    <mergeCell ref="O55:X55"/>
    <mergeCell ref="C56:D56"/>
    <mergeCell ref="C59:D59"/>
    <mergeCell ref="C60:D60"/>
    <mergeCell ref="C61:D61"/>
    <mergeCell ref="C62:D62"/>
    <mergeCell ref="C51:D51"/>
    <mergeCell ref="C52:D52"/>
    <mergeCell ref="C53:D53"/>
    <mergeCell ref="C54:D54"/>
    <mergeCell ref="C55:D55"/>
    <mergeCell ref="N55:N56"/>
    <mergeCell ref="T45:Y4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N45:S45"/>
    <mergeCell ref="T36:T37"/>
    <mergeCell ref="U36:U37"/>
    <mergeCell ref="V36:V37"/>
    <mergeCell ref="W36:W37"/>
    <mergeCell ref="X36:X37"/>
    <mergeCell ref="C40:D40"/>
    <mergeCell ref="N36:N37"/>
    <mergeCell ref="O36:O37"/>
    <mergeCell ref="P36:P37"/>
    <mergeCell ref="Q36:Q37"/>
    <mergeCell ref="R36:R37"/>
    <mergeCell ref="S36:S37"/>
    <mergeCell ref="T28:T29"/>
    <mergeCell ref="U28:U29"/>
    <mergeCell ref="AB28:AC28"/>
    <mergeCell ref="AB30:AC30"/>
    <mergeCell ref="J31:K31"/>
    <mergeCell ref="AB32:AC32"/>
    <mergeCell ref="J26:K26"/>
    <mergeCell ref="N28:N29"/>
    <mergeCell ref="O28:O29"/>
    <mergeCell ref="P28:P29"/>
    <mergeCell ref="Q28:Q29"/>
    <mergeCell ref="S28:S29"/>
    <mergeCell ref="E16:F16"/>
    <mergeCell ref="N16:N20"/>
    <mergeCell ref="E17:F17"/>
    <mergeCell ref="E18:F18"/>
    <mergeCell ref="AB18:AC18"/>
    <mergeCell ref="F21:G21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</mergeCells>
  <conditionalFormatting sqref="C56">
    <cfRule type="expression" dxfId="207" priority="18" stopIfTrue="1">
      <formula>COUNT(C51:C55)&lt;&gt;5</formula>
    </cfRule>
  </conditionalFormatting>
  <conditionalFormatting sqref="C64">
    <cfRule type="expression" dxfId="206" priority="2" stopIfTrue="1">
      <formula>COUNT(C59:C63)&lt;&gt;5</formula>
    </cfRule>
  </conditionalFormatting>
  <conditionalFormatting sqref="C72">
    <cfRule type="expression" dxfId="205" priority="8" stopIfTrue="1">
      <formula>COUNT(C67:C71)&lt;&gt;5</formula>
    </cfRule>
  </conditionalFormatting>
  <conditionalFormatting sqref="C80">
    <cfRule type="expression" dxfId="204" priority="7" stopIfTrue="1">
      <formula>COUNT(C75:C79)&lt;&gt;5</formula>
    </cfRule>
  </conditionalFormatting>
  <conditionalFormatting sqref="C88">
    <cfRule type="expression" dxfId="203" priority="6" stopIfTrue="1">
      <formula>COUNT(C83:C87)&lt;&gt;5</formula>
    </cfRule>
  </conditionalFormatting>
  <conditionalFormatting sqref="C96">
    <cfRule type="expression" dxfId="202" priority="5" stopIfTrue="1">
      <formula>COUNT(C91:C95)&lt;&gt;5</formula>
    </cfRule>
  </conditionalFormatting>
  <conditionalFormatting sqref="C104">
    <cfRule type="expression" dxfId="201" priority="4" stopIfTrue="1">
      <formula>COUNT(C99:C103)&lt;&gt;5</formula>
    </cfRule>
  </conditionalFormatting>
  <conditionalFormatting sqref="C112">
    <cfRule type="expression" dxfId="200" priority="3" stopIfTrue="1">
      <formula>COUNT(C107:C111)&lt;&gt;5</formula>
    </cfRule>
  </conditionalFormatting>
  <conditionalFormatting sqref="C48:E48">
    <cfRule type="expression" dxfId="199" priority="19" stopIfTrue="1">
      <formula>COUNT(C43:C47)&lt;&gt;5</formula>
    </cfRule>
  </conditionalFormatting>
  <conditionalFormatting sqref="C120:E120">
    <cfRule type="expression" dxfId="198" priority="9" stopIfTrue="1">
      <formula>COUNT(C115:C119)&lt;&gt;5</formula>
    </cfRule>
  </conditionalFormatting>
  <conditionalFormatting sqref="E56">
    <cfRule type="expression" dxfId="197" priority="17" stopIfTrue="1">
      <formula>COUNT(E51:E55)&lt;&gt;5</formula>
    </cfRule>
  </conditionalFormatting>
  <conditionalFormatting sqref="E64">
    <cfRule type="expression" dxfId="196" priority="1" stopIfTrue="1">
      <formula>COUNT(E59:E63)&lt;&gt;5</formula>
    </cfRule>
  </conditionalFormatting>
  <conditionalFormatting sqref="E72">
    <cfRule type="expression" dxfId="195" priority="16" stopIfTrue="1">
      <formula>COUNT(E67:E71)&lt;&gt;5</formula>
    </cfRule>
  </conditionalFormatting>
  <conditionalFormatting sqref="E80">
    <cfRule type="expression" dxfId="194" priority="15" stopIfTrue="1">
      <formula>COUNT(E75:E79)&lt;&gt;5</formula>
    </cfRule>
  </conditionalFormatting>
  <conditionalFormatting sqref="E88">
    <cfRule type="expression" dxfId="193" priority="14" stopIfTrue="1">
      <formula>COUNT(E83:E87)&lt;&gt;5</formula>
    </cfRule>
  </conditionalFormatting>
  <conditionalFormatting sqref="E96">
    <cfRule type="expression" dxfId="192" priority="13" stopIfTrue="1">
      <formula>COUNT(E91:E95)&lt;&gt;5</formula>
    </cfRule>
  </conditionalFormatting>
  <conditionalFormatting sqref="E104">
    <cfRule type="expression" dxfId="191" priority="12" stopIfTrue="1">
      <formula>COUNT(E99:E103)&lt;&gt;5</formula>
    </cfRule>
  </conditionalFormatting>
  <conditionalFormatting sqref="E112">
    <cfRule type="expression" dxfId="190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89089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89089" r:id="rId4"/>
      </mc:Fallback>
    </mc:AlternateContent>
    <mc:AlternateContent xmlns:mc="http://schemas.openxmlformats.org/markup-compatibility/2006">
      <mc:Choice Requires="x14">
        <oleObject progId="Equation.3" shapeId="89090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89090" r:id="rId6"/>
      </mc:Fallback>
    </mc:AlternateContent>
    <mc:AlternateContent xmlns:mc="http://schemas.openxmlformats.org/markup-compatibility/2006">
      <mc:Choice Requires="x14">
        <oleObject progId="Equation.3" shapeId="89091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89091" r:id="rId8"/>
      </mc:Fallback>
    </mc:AlternateContent>
    <mc:AlternateContent xmlns:mc="http://schemas.openxmlformats.org/markup-compatibility/2006">
      <mc:Choice Requires="x14">
        <oleObject progId="Equation.3" shapeId="89092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89092" r:id="rId10"/>
      </mc:Fallback>
    </mc:AlternateContent>
  </oleObjec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134AF-C4D2-48E3-B651-F2233EAF2AEA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15'!O85</f>
        <v>0</v>
      </c>
      <c r="C2" s="37" t="e">
        <f>'PERHITUNGAN 15'!N85</f>
        <v>#DIV/0!</v>
      </c>
      <c r="D2" s="75" t="e">
        <f>C2^2</f>
        <v>#DIV/0!</v>
      </c>
      <c r="E2" s="37" t="e">
        <f>C2^3</f>
        <v>#DIV/0!</v>
      </c>
      <c r="F2" s="91" t="e">
        <f>C2^4</f>
        <v>#DIV/0!</v>
      </c>
      <c r="G2" s="91" t="e">
        <f>C2^5</f>
        <v>#DIV/0!</v>
      </c>
      <c r="H2" s="91" t="e">
        <f>C2^6</f>
        <v>#DIV/0!</v>
      </c>
      <c r="I2" s="91" t="e">
        <f>C2^7</f>
        <v>#DIV/0!</v>
      </c>
      <c r="J2" s="91" t="e">
        <f>C2^8</f>
        <v>#DIV/0!</v>
      </c>
      <c r="K2" s="91" t="e">
        <f>C2^9</f>
        <v>#DIV/0!</v>
      </c>
      <c r="L2" s="91" t="e">
        <f>C2^10</f>
        <v>#DIV/0!</v>
      </c>
      <c r="Q2" s="12"/>
    </row>
    <row r="3" spans="1:24">
      <c r="A3" s="25">
        <v>2</v>
      </c>
      <c r="B3" s="37">
        <f>'PERHITUNGAN 15'!O86</f>
        <v>0</v>
      </c>
      <c r="C3" s="37" t="e">
        <f>'PERHITUNGAN 15'!N86</f>
        <v>#DIV/0!</v>
      </c>
      <c r="D3" s="75" t="e">
        <f t="shared" ref="D3:D9" si="0">C3^2</f>
        <v>#DIV/0!</v>
      </c>
      <c r="E3" s="37" t="e">
        <f t="shared" ref="E3:E9" si="1">C3^3</f>
        <v>#DIV/0!</v>
      </c>
      <c r="F3" s="91" t="e">
        <f t="shared" ref="F3:F9" si="2">C3^4</f>
        <v>#DIV/0!</v>
      </c>
      <c r="G3" s="91" t="e">
        <f t="shared" ref="G3:G9" si="3">C3^5</f>
        <v>#DIV/0!</v>
      </c>
      <c r="H3" s="91" t="e">
        <f t="shared" ref="H3:H9" si="4">C3^6</f>
        <v>#DIV/0!</v>
      </c>
      <c r="I3" s="91" t="e">
        <f t="shared" ref="I3:I9" si="5">C3^7</f>
        <v>#DIV/0!</v>
      </c>
      <c r="J3" s="91" t="e">
        <f t="shared" ref="J3:J9" si="6">C3^8</f>
        <v>#DIV/0!</v>
      </c>
      <c r="K3" s="91" t="e">
        <f t="shared" ref="K3:K9" si="7">C3^9</f>
        <v>#DIV/0!</v>
      </c>
      <c r="L3" s="91" t="e">
        <f t="shared" ref="L3:L9" si="8">C3^10</f>
        <v>#DIV/0!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15'!O87</f>
        <v>0</v>
      </c>
      <c r="C4" s="37" t="e">
        <f>'PERHITUNGAN 15'!N87</f>
        <v>#DIV/0!</v>
      </c>
      <c r="D4" s="75" t="e">
        <f t="shared" si="0"/>
        <v>#DIV/0!</v>
      </c>
      <c r="E4" s="37" t="e">
        <f t="shared" si="1"/>
        <v>#DIV/0!</v>
      </c>
      <c r="F4" s="91" t="e">
        <f t="shared" si="2"/>
        <v>#DIV/0!</v>
      </c>
      <c r="G4" s="91" t="e">
        <f t="shared" si="3"/>
        <v>#DIV/0!</v>
      </c>
      <c r="H4" s="91" t="e">
        <f t="shared" si="4"/>
        <v>#DIV/0!</v>
      </c>
      <c r="I4" s="91" t="e">
        <f t="shared" si="5"/>
        <v>#DIV/0!</v>
      </c>
      <c r="J4" s="91" t="e">
        <f t="shared" si="6"/>
        <v>#DIV/0!</v>
      </c>
      <c r="K4" s="91" t="e">
        <f t="shared" si="7"/>
        <v>#DIV/0!</v>
      </c>
      <c r="L4" s="91" t="e">
        <f t="shared" si="8"/>
        <v>#DIV/0!</v>
      </c>
      <c r="R4" s="414" t="str">
        <f>IF('PERHITUNGAN 13'!$C$2="Celcius","(°C)","(°F)")</f>
        <v>(°C)</v>
      </c>
      <c r="S4" s="415"/>
      <c r="T4" s="5" t="str">
        <f>IF('PERHITUNGAN 13'!$C$2="Celcius","(°C)","(°F)")</f>
        <v>(°C)</v>
      </c>
      <c r="U4" s="14"/>
      <c r="V4" s="1"/>
    </row>
    <row r="5" spans="1:24">
      <c r="A5" s="25">
        <v>4</v>
      </c>
      <c r="B5" s="37">
        <f>'PERHITUNGAN 15'!O88</f>
        <v>0</v>
      </c>
      <c r="C5" s="37" t="e">
        <f>'PERHITUNGAN 15'!N88</f>
        <v>#DIV/0!</v>
      </c>
      <c r="D5" s="75" t="e">
        <f t="shared" si="0"/>
        <v>#DIV/0!</v>
      </c>
      <c r="E5" s="37" t="e">
        <f t="shared" si="1"/>
        <v>#DIV/0!</v>
      </c>
      <c r="F5" s="91" t="e">
        <f t="shared" si="2"/>
        <v>#DIV/0!</v>
      </c>
      <c r="G5" s="91" t="e">
        <f t="shared" si="3"/>
        <v>#DIV/0!</v>
      </c>
      <c r="H5" s="91" t="e">
        <f t="shared" si="4"/>
        <v>#DIV/0!</v>
      </c>
      <c r="I5" s="91" t="e">
        <f t="shared" si="5"/>
        <v>#DIV/0!</v>
      </c>
      <c r="J5" s="91" t="e">
        <f t="shared" si="6"/>
        <v>#DIV/0!</v>
      </c>
      <c r="K5" s="91" t="e">
        <f t="shared" si="7"/>
        <v>#DIV/0!</v>
      </c>
      <c r="L5" s="91" t="e">
        <f t="shared" si="8"/>
        <v>#DIV/0!</v>
      </c>
      <c r="R5" s="412"/>
      <c r="S5" s="413"/>
      <c r="T5" s="21"/>
      <c r="U5" s="32"/>
    </row>
    <row r="6" spans="1:24">
      <c r="A6" s="25">
        <v>5</v>
      </c>
      <c r="B6" s="37">
        <f>'PERHITUNGAN 15'!O89</f>
        <v>0</v>
      </c>
      <c r="C6" s="37" t="e">
        <f>'PERHITUNGAN 15'!N89</f>
        <v>#DIV/0!</v>
      </c>
      <c r="D6" s="75" t="e">
        <f t="shared" si="0"/>
        <v>#DIV/0!</v>
      </c>
      <c r="E6" s="37" t="e">
        <f t="shared" si="1"/>
        <v>#DIV/0!</v>
      </c>
      <c r="F6" s="91" t="e">
        <f t="shared" si="2"/>
        <v>#DIV/0!</v>
      </c>
      <c r="G6" s="91" t="e">
        <f t="shared" si="3"/>
        <v>#DIV/0!</v>
      </c>
      <c r="H6" s="91" t="e">
        <f t="shared" si="4"/>
        <v>#DIV/0!</v>
      </c>
      <c r="I6" s="91" t="e">
        <f t="shared" si="5"/>
        <v>#DIV/0!</v>
      </c>
      <c r="J6" s="91" t="e">
        <f t="shared" si="6"/>
        <v>#DIV/0!</v>
      </c>
      <c r="K6" s="91" t="e">
        <f t="shared" si="7"/>
        <v>#DIV/0!</v>
      </c>
      <c r="L6" s="91" t="e">
        <f t="shared" si="8"/>
        <v>#DIV/0!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15'!O90</f>
        <v>0</v>
      </c>
      <c r="C7" s="37" t="e">
        <f>'PERHITUNGAN 15'!N90</f>
        <v>#DIV/0!</v>
      </c>
      <c r="D7" s="75" t="e">
        <f t="shared" si="0"/>
        <v>#DIV/0!</v>
      </c>
      <c r="E7" s="37" t="e">
        <f t="shared" si="1"/>
        <v>#DIV/0!</v>
      </c>
      <c r="F7" s="91" t="e">
        <f t="shared" si="2"/>
        <v>#DIV/0!</v>
      </c>
      <c r="G7" s="91" t="e">
        <f t="shared" si="3"/>
        <v>#DIV/0!</v>
      </c>
      <c r="H7" s="91" t="e">
        <f t="shared" si="4"/>
        <v>#DIV/0!</v>
      </c>
      <c r="I7" s="91" t="e">
        <f t="shared" si="5"/>
        <v>#DIV/0!</v>
      </c>
      <c r="J7" s="91" t="e">
        <f t="shared" si="6"/>
        <v>#DIV/0!</v>
      </c>
      <c r="K7" s="91" t="e">
        <f t="shared" si="7"/>
        <v>#DIV/0!</v>
      </c>
      <c r="L7" s="91" t="e">
        <f t="shared" si="8"/>
        <v>#DIV/0!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15'!O91</f>
        <v>0</v>
      </c>
      <c r="C8" s="37" t="e">
        <f>'PERHITUNGAN 15'!N91</f>
        <v>#DIV/0!</v>
      </c>
      <c r="D8" s="75" t="e">
        <f t="shared" si="0"/>
        <v>#DIV/0!</v>
      </c>
      <c r="E8" s="37" t="e">
        <f t="shared" si="1"/>
        <v>#DIV/0!</v>
      </c>
      <c r="F8" s="91" t="e">
        <f t="shared" si="2"/>
        <v>#DIV/0!</v>
      </c>
      <c r="G8" s="91" t="e">
        <f t="shared" si="3"/>
        <v>#DIV/0!</v>
      </c>
      <c r="H8" s="91" t="e">
        <f t="shared" si="4"/>
        <v>#DIV/0!</v>
      </c>
      <c r="I8" s="91" t="e">
        <f t="shared" si="5"/>
        <v>#DIV/0!</v>
      </c>
      <c r="J8" s="91" t="e">
        <f t="shared" si="6"/>
        <v>#DIV/0!</v>
      </c>
      <c r="K8" s="91" t="e">
        <f t="shared" si="7"/>
        <v>#DIV/0!</v>
      </c>
      <c r="L8" s="91" t="e">
        <f t="shared" si="8"/>
        <v>#DIV/0!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15'!O92</f>
        <v>0</v>
      </c>
      <c r="C9" s="37">
        <f>'PERHITUNGAN 15'!N92</f>
        <v>0</v>
      </c>
      <c r="D9" s="75">
        <f t="shared" si="0"/>
        <v>0</v>
      </c>
      <c r="E9" s="37">
        <f t="shared" si="1"/>
        <v>0</v>
      </c>
      <c r="F9" s="91">
        <f t="shared" si="2"/>
        <v>0</v>
      </c>
      <c r="G9" s="91">
        <f t="shared" si="3"/>
        <v>0</v>
      </c>
      <c r="H9" s="91">
        <f t="shared" si="4"/>
        <v>0</v>
      </c>
      <c r="I9" s="91">
        <f t="shared" si="5"/>
        <v>0</v>
      </c>
      <c r="J9" s="91">
        <f t="shared" si="6"/>
        <v>0</v>
      </c>
      <c r="K9" s="91">
        <f t="shared" si="7"/>
        <v>0</v>
      </c>
      <c r="L9" s="91">
        <f t="shared" si="8"/>
        <v>0</v>
      </c>
      <c r="R9" s="408"/>
      <c r="S9" s="409"/>
      <c r="T9" s="23"/>
      <c r="U9" s="27"/>
      <c r="V9" s="88"/>
    </row>
    <row r="10" spans="1:24">
      <c r="A10" s="25">
        <v>9</v>
      </c>
      <c r="B10" s="37"/>
      <c r="C10" s="37"/>
      <c r="D10" s="75"/>
      <c r="E10" s="37"/>
      <c r="F10" s="91"/>
      <c r="G10" s="91"/>
      <c r="H10" s="91"/>
      <c r="I10" s="91"/>
      <c r="J10" s="91"/>
      <c r="K10" s="91"/>
      <c r="L10" s="91"/>
      <c r="R10" s="408"/>
      <c r="S10" s="409"/>
      <c r="T10" s="23"/>
      <c r="U10" s="27"/>
      <c r="V10" s="88"/>
    </row>
    <row r="11" spans="1:24">
      <c r="A11" s="25">
        <v>10</v>
      </c>
      <c r="B11" s="37"/>
      <c r="C11" s="37"/>
      <c r="D11" s="75"/>
      <c r="E11" s="37"/>
      <c r="F11" s="91"/>
      <c r="G11" s="91"/>
      <c r="H11" s="91"/>
      <c r="I11" s="91"/>
      <c r="J11" s="91"/>
      <c r="K11" s="91"/>
      <c r="L11" s="91"/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f>'REGRESI 14'!R19:S19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-0.91202928933661442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14'!R20:S20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-0.4627406367271798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14'!R21:S21</f>
        <v>25</v>
      </c>
      <c r="S21" s="409"/>
      <c r="T21" s="23">
        <f t="shared" si="9"/>
        <v>0.36779863241106608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14'!R22:S22</f>
        <v>50</v>
      </c>
      <c r="S22" s="409"/>
      <c r="T22" s="23">
        <f t="shared" si="9"/>
        <v>0.82222531626347461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14'!R23:S23</f>
        <v>100</v>
      </c>
      <c r="S23" s="409"/>
      <c r="T23" s="23">
        <f t="shared" si="9"/>
        <v>0.81276630443402798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14'!R24:S24</f>
        <v>125</v>
      </c>
      <c r="S24" s="409"/>
      <c r="T24" s="23">
        <f t="shared" si="9"/>
        <v>0.45389329691379698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14'!R25:S25</f>
        <v>150</v>
      </c>
      <c r="S25" s="409"/>
      <c r="T25" s="23">
        <f t="shared" si="9"/>
        <v>-7.1066919569024556E-2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14'!R26:S26</f>
        <v>200</v>
      </c>
      <c r="S26" s="409"/>
      <c r="T26" s="23">
        <f t="shared" si="9"/>
        <v>-1.4092236030991883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14'!R27:S27</f>
        <v>0</v>
      </c>
      <c r="S27" s="409"/>
      <c r="T27" s="23">
        <f t="shared" si="9"/>
        <v>-0.4627406367271798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14'!R28:S28</f>
        <v>0</v>
      </c>
      <c r="S28" s="409"/>
      <c r="T28" s="23">
        <f t="shared" si="9"/>
        <v>-0.4627406367271798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0.99574825326837746</v>
      </c>
      <c r="Q33" s="31" t="s">
        <v>100</v>
      </c>
      <c r="U33" s="70"/>
    </row>
    <row r="34" spans="2:24">
      <c r="B34" t="s">
        <v>76</v>
      </c>
      <c r="C34">
        <v>0.99151458388702485</v>
      </c>
      <c r="X34" s="46"/>
    </row>
    <row r="35" spans="2:24">
      <c r="B35" t="s">
        <v>77</v>
      </c>
      <c r="C35">
        <v>0.98515052180229357</v>
      </c>
      <c r="Q35" t="s">
        <v>99</v>
      </c>
    </row>
    <row r="36" spans="2:24">
      <c r="B36" t="s">
        <v>78</v>
      </c>
      <c r="C36">
        <v>9.99697708110628E-2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-0.4627406367271798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0"/>
        <v>4.1443907058990738E-2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-3.4289514349331935E-4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4.6711449746959754</v>
      </c>
      <c r="E41">
        <v>1.5570483248986584</v>
      </c>
      <c r="F41">
        <v>155.79901180817549</v>
      </c>
      <c r="G41">
        <v>1.3462182193269134E-4</v>
      </c>
      <c r="R41" s="26" t="s">
        <v>112</v>
      </c>
      <c r="S41">
        <f t="shared" si="10"/>
        <v>5.6006767019532726E-7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3.9975820304065698E-2</v>
      </c>
      <c r="E42">
        <v>9.9939550760164246E-3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4.7111207950000411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-0.4627406367271798</v>
      </c>
      <c r="D46">
        <v>6.004139059969358E-2</v>
      </c>
      <c r="E46">
        <v>-7.7070273040868145</v>
      </c>
      <c r="F46">
        <v>1.525340301067676E-3</v>
      </c>
      <c r="G46">
        <v>-0.62944226176696783</v>
      </c>
      <c r="H46">
        <v>-0.29603901168739177</v>
      </c>
      <c r="I46">
        <v>-0.62944226176696783</v>
      </c>
      <c r="J46">
        <v>-0.29603901168739177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4.1443907058990738E-2</v>
      </c>
      <c r="D47">
        <v>3.4467253507531243E-3</v>
      </c>
      <c r="E47">
        <v>12.024139680852455</v>
      </c>
      <c r="F47">
        <v>2.7426500080936266E-4</v>
      </c>
      <c r="G47">
        <v>3.1874263329931082E-2</v>
      </c>
      <c r="H47">
        <v>5.1013550788050394E-2</v>
      </c>
      <c r="I47">
        <v>3.1874263329931082E-2</v>
      </c>
      <c r="J47">
        <v>5.1013550788050394E-2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-3.4289514349331935E-4</v>
      </c>
      <c r="D48">
        <v>4.5687269376633993E-5</v>
      </c>
      <c r="E48">
        <v>-7.5052667443654988</v>
      </c>
      <c r="F48">
        <v>1.686392859155834E-3</v>
      </c>
      <c r="G48">
        <v>-4.6974333892392788E-4</v>
      </c>
      <c r="H48">
        <v>-2.1604694806271084E-4</v>
      </c>
      <c r="I48">
        <v>-4.6974333892392788E-4</v>
      </c>
      <c r="J48">
        <v>-2.1604694806271084E-4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5.6006767019532726E-7</v>
      </c>
      <c r="D49" s="67">
        <v>1.5343575674141153E-7</v>
      </c>
      <c r="E49" s="67">
        <v>3.6501769997408164</v>
      </c>
      <c r="F49" s="67">
        <v>2.1768067645872365E-2</v>
      </c>
      <c r="G49" s="67">
        <v>1.3406171442831592E-7</v>
      </c>
      <c r="H49" s="67">
        <v>9.860736259623386E-7</v>
      </c>
      <c r="I49" s="67">
        <v>1.3406171442831592E-7</v>
      </c>
      <c r="J49" s="67">
        <v>9.860736259623386E-7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FB00-DB37-4224-8E43-7F4CEAF39CE2}">
  <dimension ref="A1:AH187"/>
  <sheetViews>
    <sheetView workbookViewId="0">
      <selection activeCell="K112" sqref="K112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13'!$C$2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13'!G3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13'!E5</f>
        <v>Termometer Digital</v>
      </c>
      <c r="F5" s="11"/>
      <c r="G5" s="11" t="s">
        <v>127</v>
      </c>
      <c r="H5" s="11" t="s">
        <v>16</v>
      </c>
      <c r="I5" s="66" t="str">
        <f>'PERHITUNGAN 13'!I5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13'!E6</f>
        <v>Hioki / LR 8431-20</v>
      </c>
      <c r="F6" s="11"/>
      <c r="G6" s="11" t="s">
        <v>128</v>
      </c>
      <c r="H6" s="11" t="s">
        <v>16</v>
      </c>
      <c r="I6" s="129">
        <f>'PERHITUNGAN 13'!I6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13'!E7</f>
        <v>210149173</v>
      </c>
      <c r="F7" s="11"/>
      <c r="G7" s="11" t="s">
        <v>44</v>
      </c>
      <c r="H7" s="11" t="s">
        <v>16</v>
      </c>
      <c r="I7" s="31">
        <v>16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13'!E11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13'!E12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13'!E13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13'!E14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13'!E17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13'!E18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13'!E19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13'!E21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13'!D24</f>
        <v>22</v>
      </c>
      <c r="E23" s="244">
        <f>'PERHITUNGAN 13'!E24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13'!D25</f>
        <v>22</v>
      </c>
      <c r="E24" s="244">
        <f>'PERHITUNGAN 13'!E25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13'!D28</f>
        <v>20</v>
      </c>
      <c r="E27" s="244">
        <f>'PERHITUNGAN 13'!E28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13'!D29</f>
        <v>20</v>
      </c>
      <c r="E28" s="244">
        <f>'PERHITUNGAN 13'!E29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13'!D33</f>
        <v>55</v>
      </c>
      <c r="E32" s="244">
        <f>'PERHITUNGAN 13'!E33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13'!D34</f>
        <v>55</v>
      </c>
      <c r="E33" s="244">
        <f>'PERHITUNGAN 13'!E34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0.20300000000000001</v>
      </c>
      <c r="P36" s="380">
        <f>F56</f>
        <v>50.347999999999999</v>
      </c>
      <c r="Q36" s="380">
        <f>F64</f>
        <v>99.885000000000005</v>
      </c>
      <c r="R36" s="380">
        <f>F72</f>
        <v>149.72</v>
      </c>
      <c r="S36" s="380">
        <f>F80</f>
        <v>199.464</v>
      </c>
      <c r="T36" s="380">
        <f>F88</f>
        <v>249.47800000000001</v>
      </c>
      <c r="U36" s="380">
        <f>F96</f>
        <v>259.553</v>
      </c>
      <c r="V36" s="380" t="e">
        <f>F104</f>
        <v>#DIV/0!</v>
      </c>
      <c r="W36" s="380" t="e">
        <f>F112</f>
        <v>#DIV/0!</v>
      </c>
      <c r="X36" s="380" t="e">
        <f>F120</f>
        <v>#DIV/0!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16'!$E$11="Burn Engr",IF(O36&lt;=$AA$38,$AB$38,$AB$39),IF(O36&lt;=$AC$38,$AD$38,IF(O36&lt;=$AC$39,$AD$39,$AD$40)))</f>
        <v>7.0000000000000007E-2</v>
      </c>
      <c r="P38" s="54">
        <f>IF('PERHITUNGAN 16'!$E$11="Burn Engr",IF(P36&lt;=$AA$38,$AB$38,$AB$39),IF(P36&lt;=$AC$38,$AD$38,IF(P36&lt;=$AC$39,$AD$39,$AD$40)))</f>
        <v>7.0000000000000007E-2</v>
      </c>
      <c r="Q38" s="54">
        <f>IF('PERHITUNGAN 16'!$E$11="Burn Engr",IF(Q36&lt;=$AA$38,$AB$38,$AB$39),IF(Q36&lt;=$AC$38,$AD$38,IF(Q36&lt;=$AC$39,$AD$39,$AD$40)))</f>
        <v>7.0000000000000007E-2</v>
      </c>
      <c r="R38" s="54">
        <f>IF('PERHITUNGAN 16'!$E$11="Burn Engr",IF(R36&lt;=$AA$38,$AB$38,$AB$39),IF(R36&lt;=$AC$38,$AD$38,IF(R36&lt;=$AC$39,$AD$39,$AD$40)))</f>
        <v>7.0000000000000007E-2</v>
      </c>
      <c r="S38" s="54">
        <f>IF('PERHITUNGAN 16'!$E$11="Burn Engr",IF(S36&lt;=$AA$38,$AB$38,$AB$39),IF(S36&lt;=$AC$38,$AD$38,IF(S36&lt;=$AC$39,$AD$39,$AD$40)))</f>
        <v>7.0000000000000007E-2</v>
      </c>
      <c r="T38" s="54">
        <f>IF('PERHITUNGAN 16'!$E$11="Burn Engr",IF(T36&lt;=$AA$38,$AB$38,$AB$39),IF(T36&lt;=$AC$38,$AD$38,IF(T36&lt;=$AC$39,$AD$39,$AD$40)))</f>
        <v>7.0000000000000007E-2</v>
      </c>
      <c r="U38" s="54">
        <f>IF('PERHITUNGAN 16'!$E$11="Burn Engr",IF(U36&lt;=$AA$38,$AB$38,$AB$39),IF(U36&lt;=$AC$38,$AD$38,IF(U36&lt;=$AC$39,$AD$39,$AD$40)))</f>
        <v>7.0000000000000007E-2</v>
      </c>
      <c r="V38" s="54" t="e">
        <f>IF('PERHITUNGAN 16'!$E$11="Burn Engr",IF(V36&lt;=$AA$38,$AB$38,$AB$39),IF(V36&lt;=$AC$38,$AD$38,IF(V36&lt;=$AC$39,$AD$39,$AD$40)))</f>
        <v>#DIV/0!</v>
      </c>
      <c r="W38" s="54" t="e">
        <f>IF('PERHITUNGAN 16'!$E$11="Burn Engr",IF(W36&lt;=$AA$38,$AB$38,$AB$39),IF(W36&lt;=$AC$38,$AD$38,IF(W36&lt;=$AC$39,$AD$39,$AD$40)))</f>
        <v>#DIV/0!</v>
      </c>
      <c r="X38" s="54" t="e">
        <f>IF('PERHITUNGAN 16'!$E$11="Burn Engr",IF(X36&lt;=$AA$38,$AB$38,$AB$39),IF(X36&lt;=$AC$38,$AD$38,IF(X36&lt;=$AC$39,$AD$39,$AD$40)))</f>
        <v>#DIV/0!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3.5000000000000003E-2</v>
      </c>
      <c r="P40" s="37">
        <f t="shared" ref="P40:X40" si="1">P38/P39</f>
        <v>3.5000000000000003E-2</v>
      </c>
      <c r="Q40" s="37">
        <f t="shared" si="1"/>
        <v>3.5000000000000003E-2</v>
      </c>
      <c r="R40" s="37">
        <f>R38/R39</f>
        <v>3.5000000000000003E-2</v>
      </c>
      <c r="S40" s="37">
        <f t="shared" si="1"/>
        <v>3.5000000000000003E-2</v>
      </c>
      <c r="T40" s="37">
        <f t="shared" si="1"/>
        <v>3.5000000000000003E-2</v>
      </c>
      <c r="U40" s="37">
        <f t="shared" si="1"/>
        <v>3.5000000000000003E-2</v>
      </c>
      <c r="V40" s="37" t="e">
        <f t="shared" si="1"/>
        <v>#DIV/0!</v>
      </c>
      <c r="W40" s="37" t="e">
        <f t="shared" si="1"/>
        <v>#DIV/0!</v>
      </c>
      <c r="X40" s="37" t="e">
        <f t="shared" si="1"/>
        <v>#DIV/0!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0</v>
      </c>
      <c r="C43" s="373">
        <v>0.49</v>
      </c>
      <c r="D43" s="374"/>
      <c r="E43" s="90">
        <v>0.20300000000000001</v>
      </c>
      <c r="F43" s="37">
        <f>IF('PERHITUNGAN 16'!$E$11="Burn Engr",'PERHITUNGAN 16'!E43,E43+('regresi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0.20300000000000001</v>
      </c>
      <c r="G43" s="90">
        <f>F43-C43</f>
        <v>-0.28699999999999998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0.49</v>
      </c>
      <c r="D44" s="374"/>
      <c r="E44" s="90">
        <v>0.20300000000000001</v>
      </c>
      <c r="F44" s="37">
        <f>IF('PERHITUNGAN 16'!$E$11="Burn Engr",'PERHITUNGAN 16'!E44,E44+('regresi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0.20300000000000001</v>
      </c>
      <c r="G44" s="90">
        <f>F44-C44</f>
        <v>-0.28699999999999998</v>
      </c>
      <c r="H44" s="63"/>
      <c r="I44" s="63"/>
      <c r="AB44" s="1"/>
    </row>
    <row r="45" spans="1:30" ht="13.5" customHeight="1">
      <c r="A45" s="105"/>
      <c r="C45" s="373">
        <v>0.49</v>
      </c>
      <c r="D45" s="374"/>
      <c r="E45" s="90">
        <v>0.20300000000000001</v>
      </c>
      <c r="F45" s="37">
        <f>IF('PERHITUNGAN 16'!$E$11="Burn Engr",'PERHITUNGAN 16'!E45,E45+('regresi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0.20300000000000001</v>
      </c>
      <c r="G45" s="90">
        <f>F45-C45</f>
        <v>-0.28699999999999998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0.49</v>
      </c>
      <c r="D46" s="374"/>
      <c r="E46" s="90">
        <v>0.20300000000000001</v>
      </c>
      <c r="F46" s="37">
        <f>IF('PERHITUNGAN 16'!$E$11="Burn Engr",'PERHITUNGAN 16'!E46,E46+('regresi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0.20300000000000001</v>
      </c>
      <c r="G46" s="90">
        <f>F46-C46</f>
        <v>-0.28699999999999998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0.49</v>
      </c>
      <c r="D47" s="374"/>
      <c r="E47" s="90">
        <v>0.20300000000000001</v>
      </c>
      <c r="F47" s="37">
        <f>IF('PERHITUNGAN 16'!$E$11="Burn Engr",'PERHITUNGAN 16'!E47,E47+('regresi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0.20300000000000001</v>
      </c>
      <c r="G47" s="90">
        <f>F47-C47</f>
        <v>-0.28699999999999998</v>
      </c>
      <c r="H47" s="63"/>
      <c r="I47" s="63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0.49000000000000005</v>
      </c>
      <c r="D48" s="357"/>
      <c r="E48" s="95">
        <f>AVERAGE(E43:E47)</f>
        <v>0.20300000000000001</v>
      </c>
      <c r="F48" s="95">
        <f>AVERAGE(F43:F47)</f>
        <v>0.20300000000000001</v>
      </c>
      <c r="G48" s="95">
        <f>SUM(G43:G47)/5</f>
        <v>-0.28699999999999998</v>
      </c>
      <c r="H48" s="63"/>
      <c r="I48" s="63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0</v>
      </c>
      <c r="H49" s="44"/>
      <c r="I49" s="63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0</v>
      </c>
      <c r="H50" s="44"/>
      <c r="I50" s="63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>
        <v>50</v>
      </c>
      <c r="C51" s="373">
        <v>50.33</v>
      </c>
      <c r="D51" s="374"/>
      <c r="E51" s="90">
        <v>50.347999999999999</v>
      </c>
      <c r="F51" s="37">
        <f>IF('PERHITUNGAN 16'!$E$11="Burn Engr",'PERHITUNGAN 16'!E51,E51+('regresi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50.347999999999999</v>
      </c>
      <c r="G51" s="90">
        <f>F51-C51</f>
        <v>1.8000000000000682E-2</v>
      </c>
      <c r="H51" s="63"/>
      <c r="I51" s="63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>
        <v>50.33</v>
      </c>
      <c r="D52" s="374"/>
      <c r="E52" s="90">
        <v>50.347999999999999</v>
      </c>
      <c r="F52" s="37">
        <f>IF('PERHITUNGAN 16'!$E$11="Burn Engr",'PERHITUNGAN 16'!E52,E52+('regresi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50.347999999999999</v>
      </c>
      <c r="G52" s="90">
        <f>F52-C52</f>
        <v>1.8000000000000682E-2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>
        <v>50.33</v>
      </c>
      <c r="D53" s="374"/>
      <c r="E53" s="90">
        <v>50.347999999999999</v>
      </c>
      <c r="F53" s="37">
        <f>IF('PERHITUNGAN 16'!$E$11="Burn Engr",'PERHITUNGAN 16'!E53,E53+('regresi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50.347999999999999</v>
      </c>
      <c r="G53" s="90">
        <f>F53-C53</f>
        <v>1.8000000000000682E-2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50.33</v>
      </c>
      <c r="D54" s="374"/>
      <c r="E54" s="90">
        <v>50.347999999999999</v>
      </c>
      <c r="F54" s="37">
        <f>IF('PERHITUNGAN 16'!$E$11="Burn Engr",'PERHITUNGAN 16'!E54,E54+('regresi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50.347999999999999</v>
      </c>
      <c r="G54" s="90">
        <f>F54-C54</f>
        <v>1.8000000000000682E-2</v>
      </c>
      <c r="H54" s="63"/>
      <c r="I54" s="63"/>
      <c r="AB54" s="1"/>
    </row>
    <row r="55" spans="1:28" ht="13.5" customHeight="1">
      <c r="A55" s="10"/>
      <c r="C55" s="373">
        <v>50.33</v>
      </c>
      <c r="D55" s="374"/>
      <c r="E55" s="90">
        <v>50.347999999999999</v>
      </c>
      <c r="F55" s="37">
        <f>IF('PERHITUNGAN 16'!$E$11="Burn Engr",'PERHITUNGAN 16'!E55,E55+('regresi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50.347999999999999</v>
      </c>
      <c r="G55" s="90">
        <f>F55-C55</f>
        <v>1.8000000000000682E-2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50.33</v>
      </c>
      <c r="D56" s="334"/>
      <c r="E56" s="95">
        <f>AVERAGE(E51:E55)</f>
        <v>50.347999999999999</v>
      </c>
      <c r="F56" s="95">
        <f t="shared" ref="F56" si="3">AVERAGE(F51:F55)</f>
        <v>50.347999999999999</v>
      </c>
      <c r="G56" s="95">
        <f>SUM(G51:G55)/5</f>
        <v>1.8000000000000682E-2</v>
      </c>
      <c r="H56" s="63"/>
      <c r="I56" s="63"/>
      <c r="N56" s="390"/>
      <c r="O56" s="115">
        <f>C48</f>
        <v>0.49000000000000005</v>
      </c>
      <c r="P56" s="115">
        <f>C56</f>
        <v>50.33</v>
      </c>
      <c r="Q56" s="115">
        <f>C64</f>
        <v>99.83</v>
      </c>
      <c r="R56" s="115">
        <f>C72</f>
        <v>149.72999999999999</v>
      </c>
      <c r="S56" s="115">
        <f>C80</f>
        <v>199.29</v>
      </c>
      <c r="T56" s="115">
        <f>C88</f>
        <v>249.27000000000004</v>
      </c>
      <c r="U56" s="115">
        <f>C96</f>
        <v>259.31</v>
      </c>
      <c r="V56" s="115" t="e">
        <f>C104</f>
        <v>#DIV/0!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0</v>
      </c>
      <c r="H57" s="44"/>
      <c r="I57" s="63"/>
      <c r="N57" s="25" t="s">
        <v>152</v>
      </c>
      <c r="O57" s="112">
        <f>$G$49/5^0.5</f>
        <v>0</v>
      </c>
      <c r="P57" s="112">
        <f>$G$57/5^0.5</f>
        <v>0</v>
      </c>
      <c r="Q57" s="112">
        <f>$G$65/5^0.5</f>
        <v>0</v>
      </c>
      <c r="R57" s="112">
        <f>$G$73/5^0.5</f>
        <v>0</v>
      </c>
      <c r="S57" s="112">
        <f>$G$81/5^0.5</f>
        <v>0</v>
      </c>
      <c r="T57" s="112">
        <f>$G$89/5^0.5</f>
        <v>0</v>
      </c>
      <c r="U57" s="112">
        <f>$G$97/5^0.5</f>
        <v>0</v>
      </c>
      <c r="V57" s="112" t="e">
        <f>$G$105/5^0.5</f>
        <v>#DIV/0!</v>
      </c>
      <c r="W57" s="112" t="e">
        <f>$G$113/5^0.5</f>
        <v>#DIV/0!</v>
      </c>
      <c r="X57" s="112" t="e">
        <f>$G$121/5^0.5</f>
        <v>#DIV/0!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0</v>
      </c>
      <c r="H58" s="44"/>
      <c r="I58" s="63"/>
      <c r="N58" s="25" t="s">
        <v>153</v>
      </c>
      <c r="O58" s="113">
        <f>IF('DRAFT-SERTIF'!$O$27="Ya",'REGRESI 16'!$C$36,0)</f>
        <v>0.34017152024521169</v>
      </c>
      <c r="P58" s="113">
        <f>IF('DRAFT-SERTIF'!$O$27="Ya",'REGRESI 16'!$C$36,0)</f>
        <v>0.34017152024521169</v>
      </c>
      <c r="Q58" s="113">
        <f>IF('DRAFT-SERTIF'!$O$27="Ya",'REGRESI 16'!$C$36,0)</f>
        <v>0.34017152024521169</v>
      </c>
      <c r="R58" s="113">
        <f>IF('DRAFT-SERTIF'!$O$27="Ya",'REGRESI 16'!$C$36,0)</f>
        <v>0.34017152024521169</v>
      </c>
      <c r="S58" s="113">
        <f>IF('DRAFT-SERTIF'!$O$27="Ya",'REGRESI 16'!$C$36,0)</f>
        <v>0.34017152024521169</v>
      </c>
      <c r="T58" s="113">
        <f>IF('DRAFT-SERTIF'!$O$27="Ya",'REGRESI 16'!$C$36,0)</f>
        <v>0.34017152024521169</v>
      </c>
      <c r="U58" s="113">
        <f>IF('DRAFT-SERTIF'!$O$27="Ya",'REGRESI 16'!$C$36,0)</f>
        <v>0.34017152024521169</v>
      </c>
      <c r="V58" s="113">
        <f>IF('DRAFT-SERTIF'!$O$27="Ya",'REGRESI 16'!$C$36,0)</f>
        <v>0.34017152024521169</v>
      </c>
      <c r="W58" s="113">
        <f>IF('DRAFT-SERTIF'!$O$27="Ya",'REGRESI 16'!$C$36,0)</f>
        <v>0.34017152024521169</v>
      </c>
      <c r="X58" s="113">
        <f>IF('DRAFT-SERTIF'!$O$27="Ya",'REGRESI 16'!$C$36,0)</f>
        <v>0.34017152024521169</v>
      </c>
      <c r="AB58" s="1"/>
    </row>
    <row r="59" spans="1:28" ht="13.5" customHeight="1">
      <c r="A59" s="105">
        <v>3</v>
      </c>
      <c r="B59" s="196">
        <v>100</v>
      </c>
      <c r="C59" s="327">
        <v>99.83</v>
      </c>
      <c r="D59" s="327"/>
      <c r="E59" s="15">
        <v>99.885000000000005</v>
      </c>
      <c r="F59" s="37">
        <f>IF('PERHITUNGAN 16'!$E$11="Burn Engr",'PERHITUNGAN 16'!E59,E59+('regresi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99.885000000000005</v>
      </c>
      <c r="G59" s="90">
        <f>F59-C59</f>
        <v>5.5000000000006821E-2</v>
      </c>
      <c r="H59" s="63"/>
      <c r="I59" s="63"/>
      <c r="J59" s="15"/>
      <c r="N59" s="25" t="s">
        <v>154</v>
      </c>
      <c r="O59" s="91">
        <f t="shared" ref="O59:X59" si="4">O40</f>
        <v>3.5000000000000003E-2</v>
      </c>
      <c r="P59" s="91">
        <f t="shared" si="4"/>
        <v>3.5000000000000003E-2</v>
      </c>
      <c r="Q59" s="91">
        <f t="shared" si="4"/>
        <v>3.5000000000000003E-2</v>
      </c>
      <c r="R59" s="91">
        <f t="shared" si="4"/>
        <v>3.5000000000000003E-2</v>
      </c>
      <c r="S59" s="91">
        <f t="shared" si="4"/>
        <v>3.5000000000000003E-2</v>
      </c>
      <c r="T59" s="91">
        <f t="shared" si="4"/>
        <v>3.5000000000000003E-2</v>
      </c>
      <c r="U59" s="91">
        <f t="shared" si="4"/>
        <v>3.5000000000000003E-2</v>
      </c>
      <c r="V59" s="91" t="e">
        <f t="shared" si="4"/>
        <v>#DIV/0!</v>
      </c>
      <c r="W59" s="91" t="e">
        <f t="shared" si="4"/>
        <v>#DIV/0!</v>
      </c>
      <c r="X59" s="91" t="e">
        <f t="shared" si="4"/>
        <v>#DIV/0!</v>
      </c>
    </row>
    <row r="60" spans="1:28">
      <c r="A60" s="10"/>
      <c r="C60" s="327">
        <v>99.83</v>
      </c>
      <c r="D60" s="327"/>
      <c r="E60" s="15">
        <v>99.885000000000005</v>
      </c>
      <c r="F60" s="37">
        <f>IF('PERHITUNGAN 16'!$E$11="Burn Engr",'PERHITUNGAN 16'!E60,E60+('regresi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99.885000000000005</v>
      </c>
      <c r="G60" s="90">
        <f>F60-C60</f>
        <v>5.5000000000006821E-2</v>
      </c>
      <c r="H60" s="63"/>
      <c r="I60" s="63"/>
      <c r="J60" s="15"/>
      <c r="N60" s="133" t="s">
        <v>155</v>
      </c>
      <c r="O60" s="134">
        <f>'PERHITUNGAN 13'!O61</f>
        <v>1.5000000000000003E-2</v>
      </c>
      <c r="P60" s="134">
        <f>'PERHITUNGAN 13'!P61</f>
        <v>0.01</v>
      </c>
      <c r="Q60" s="134">
        <f>'PERHITUNGAN 13'!Q61</f>
        <v>5.0000000000000001E-3</v>
      </c>
      <c r="R60" s="134">
        <f>'PERHITUNGAN 13'!R61</f>
        <v>1.4999999999999999E-2</v>
      </c>
      <c r="S60" s="134">
        <f>'PERHITUNGAN 13'!S61</f>
        <v>5.0000000000000001E-3</v>
      </c>
      <c r="T60" s="134">
        <f>'PERHITUNGAN 13'!T61</f>
        <v>0.05</v>
      </c>
      <c r="U60" s="134">
        <f>'PERHITUNGAN 13'!U61</f>
        <v>0.05</v>
      </c>
      <c r="V60" s="134">
        <f>'PERHITUNGAN 13'!V61</f>
        <v>1.5000000000000003E-2</v>
      </c>
      <c r="W60" s="134">
        <f>'PERHITUNGAN 13'!W61</f>
        <v>1.4999999999999999E-2</v>
      </c>
      <c r="X60" s="134">
        <f>'PERHITUNGAN 13'!X61</f>
        <v>1.4999999999999999E-2</v>
      </c>
    </row>
    <row r="61" spans="1:28">
      <c r="A61" s="10"/>
      <c r="C61" s="327">
        <v>99.83</v>
      </c>
      <c r="D61" s="327"/>
      <c r="E61" s="15">
        <v>99.885000000000005</v>
      </c>
      <c r="F61" s="37">
        <f>IF('PERHITUNGAN 16'!$E$11="Burn Engr",'PERHITUNGAN 16'!E61,E61+('regresi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99.885000000000005</v>
      </c>
      <c r="G61" s="90">
        <f>F61-C61</f>
        <v>5.5000000000006821E-2</v>
      </c>
      <c r="H61" s="63"/>
      <c r="I61" s="63"/>
      <c r="J61" s="15"/>
      <c r="N61" s="25" t="s">
        <v>156</v>
      </c>
      <c r="O61" s="114">
        <f>(0.1*O38)/SQRT(3)</f>
        <v>4.041451884327381E-3</v>
      </c>
      <c r="P61" s="114">
        <f t="shared" ref="P61:X61" si="5">(0.1*P38)/SQRT(3)</f>
        <v>4.041451884327381E-3</v>
      </c>
      <c r="Q61" s="114">
        <f t="shared" si="5"/>
        <v>4.041451884327381E-3</v>
      </c>
      <c r="R61" s="114">
        <f t="shared" si="5"/>
        <v>4.041451884327381E-3</v>
      </c>
      <c r="S61" s="114">
        <f t="shared" si="5"/>
        <v>4.041451884327381E-3</v>
      </c>
      <c r="T61" s="114">
        <f t="shared" si="5"/>
        <v>4.041451884327381E-3</v>
      </c>
      <c r="U61" s="114">
        <f t="shared" si="5"/>
        <v>4.041451884327381E-3</v>
      </c>
      <c r="V61" s="114" t="e">
        <f t="shared" si="5"/>
        <v>#DIV/0!</v>
      </c>
      <c r="W61" s="114" t="e">
        <f t="shared" si="5"/>
        <v>#DIV/0!</v>
      </c>
      <c r="X61" s="114" t="e">
        <f t="shared" si="5"/>
        <v>#DIV/0!</v>
      </c>
    </row>
    <row r="62" spans="1:28">
      <c r="A62" s="10"/>
      <c r="C62" s="327">
        <v>99.83</v>
      </c>
      <c r="D62" s="327"/>
      <c r="E62" s="15">
        <v>99.885000000000005</v>
      </c>
      <c r="F62" s="37">
        <f>IF('PERHITUNGAN 16'!$E$11="Burn Engr",'PERHITUNGAN 16'!E62,E62+('regresi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99.885000000000005</v>
      </c>
      <c r="G62" s="90">
        <f>F62-C62</f>
        <v>5.5000000000006821E-2</v>
      </c>
      <c r="H62" s="63"/>
      <c r="I62" s="63"/>
      <c r="J62" s="15"/>
      <c r="N62" s="25" t="s">
        <v>157</v>
      </c>
      <c r="O62" s="114">
        <f t="shared" ref="O62:X62" si="6">$T$28</f>
        <v>2.886751345948129E-3</v>
      </c>
      <c r="P62" s="114">
        <f t="shared" si="6"/>
        <v>2.886751345948129E-3</v>
      </c>
      <c r="Q62" s="114">
        <f t="shared" si="6"/>
        <v>2.886751345948129E-3</v>
      </c>
      <c r="R62" s="114">
        <f t="shared" si="6"/>
        <v>2.886751345948129E-3</v>
      </c>
      <c r="S62" s="114">
        <f t="shared" si="6"/>
        <v>2.886751345948129E-3</v>
      </c>
      <c r="T62" s="114">
        <f t="shared" si="6"/>
        <v>2.886751345948129E-3</v>
      </c>
      <c r="U62" s="114">
        <f t="shared" si="6"/>
        <v>2.886751345948129E-3</v>
      </c>
      <c r="V62" s="114">
        <f t="shared" si="6"/>
        <v>2.886751345948129E-3</v>
      </c>
      <c r="W62" s="114">
        <f t="shared" si="6"/>
        <v>2.886751345948129E-3</v>
      </c>
      <c r="X62" s="114">
        <f t="shared" si="6"/>
        <v>2.886751345948129E-3</v>
      </c>
    </row>
    <row r="63" spans="1:28">
      <c r="A63" s="10"/>
      <c r="C63" s="327">
        <v>99.83</v>
      </c>
      <c r="D63" s="327"/>
      <c r="E63" s="15">
        <v>99.885000000000005</v>
      </c>
      <c r="F63" s="37">
        <f>IF('PERHITUNGAN 16'!$E$11="Burn Engr",'PERHITUNGAN 16'!E63,E63+('regresi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99.885000000000005</v>
      </c>
      <c r="G63" s="90">
        <f>F63-C63</f>
        <v>5.5000000000006821E-2</v>
      </c>
      <c r="H63" s="63"/>
      <c r="I63" s="63"/>
      <c r="J63" s="15"/>
      <c r="N63" s="25" t="s">
        <v>158</v>
      </c>
      <c r="O63" s="114">
        <f t="shared" ref="O63:X63" si="7">$T$26</f>
        <v>2.886751345948129E-4</v>
      </c>
      <c r="P63" s="114">
        <f t="shared" si="7"/>
        <v>2.886751345948129E-4</v>
      </c>
      <c r="Q63" s="114">
        <f t="shared" si="7"/>
        <v>2.886751345948129E-4</v>
      </c>
      <c r="R63" s="114">
        <f t="shared" si="7"/>
        <v>2.886751345948129E-4</v>
      </c>
      <c r="S63" s="114">
        <f t="shared" si="7"/>
        <v>2.886751345948129E-4</v>
      </c>
      <c r="T63" s="114">
        <f t="shared" si="7"/>
        <v>2.886751345948129E-4</v>
      </c>
      <c r="U63" s="114">
        <f t="shared" si="7"/>
        <v>2.886751345948129E-4</v>
      </c>
      <c r="V63" s="114">
        <f t="shared" si="7"/>
        <v>2.886751345948129E-4</v>
      </c>
      <c r="W63" s="114">
        <f t="shared" si="7"/>
        <v>2.886751345948129E-4</v>
      </c>
      <c r="X63" s="114">
        <f t="shared" si="7"/>
        <v>2.886751345948129E-4</v>
      </c>
    </row>
    <row r="64" spans="1:28">
      <c r="A64" s="10"/>
      <c r="B64" s="8" t="s">
        <v>31</v>
      </c>
      <c r="C64" s="333">
        <f>AVERAGE(C59:D63)</f>
        <v>99.83</v>
      </c>
      <c r="D64" s="334"/>
      <c r="E64" s="95">
        <f>AVERAGE(E59:E63)</f>
        <v>99.885000000000005</v>
      </c>
      <c r="F64" s="95">
        <f t="shared" ref="F64" si="8">AVERAGE(F59:F63)</f>
        <v>99.885000000000005</v>
      </c>
      <c r="G64" s="95">
        <f>SUM(G59:G63)/5</f>
        <v>5.5000000000006821E-2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9">10^10</f>
        <v>10000000000</v>
      </c>
      <c r="Q66" s="53">
        <f t="shared" si="9"/>
        <v>10000000000</v>
      </c>
      <c r="R66" s="53">
        <f t="shared" si="9"/>
        <v>10000000000</v>
      </c>
      <c r="S66" s="53">
        <f t="shared" si="9"/>
        <v>10000000000</v>
      </c>
      <c r="T66" s="53">
        <f t="shared" si="9"/>
        <v>10000000000</v>
      </c>
      <c r="U66" s="53">
        <f t="shared" si="9"/>
        <v>10000000000</v>
      </c>
      <c r="V66" s="53">
        <f t="shared" si="9"/>
        <v>10000000000</v>
      </c>
      <c r="W66" s="53">
        <f t="shared" si="9"/>
        <v>10000000000</v>
      </c>
      <c r="X66" s="53">
        <f t="shared" si="9"/>
        <v>10000000000</v>
      </c>
    </row>
    <row r="67" spans="1:28">
      <c r="A67" s="105">
        <v>4</v>
      </c>
      <c r="B67" s="196">
        <v>150</v>
      </c>
      <c r="C67" s="327">
        <v>149.72999999999999</v>
      </c>
      <c r="D67" s="327"/>
      <c r="E67" s="90">
        <v>149.72</v>
      </c>
      <c r="F67" s="37">
        <f>IF('PERHITUNGAN 16'!$E$11="Burn Engr",'PERHITUNGAN 16'!E67,E67+('regresi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149.72</v>
      </c>
      <c r="G67" s="90">
        <f>F67-C67</f>
        <v>-9.9999999999909051E-3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149.72999999999999</v>
      </c>
      <c r="D68" s="327"/>
      <c r="E68" s="90">
        <v>149.72</v>
      </c>
      <c r="F68" s="37">
        <f>IF('PERHITUNGAN 16'!$E$11="Burn Engr",'PERHITUNGAN 16'!E68,E68+('regresi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149.72</v>
      </c>
      <c r="G68" s="90">
        <f>F68-C68</f>
        <v>-9.9999999999909051E-3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149.72999999999999</v>
      </c>
      <c r="D69" s="327"/>
      <c r="E69" s="90">
        <v>149.72</v>
      </c>
      <c r="F69" s="37">
        <f>IF('PERHITUNGAN 16'!$E$11="Burn Engr",'PERHITUNGAN 16'!E69,E69+('regresi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149.72</v>
      </c>
      <c r="G69" s="90">
        <f>F69-C69</f>
        <v>-9.9999999999909051E-3</v>
      </c>
      <c r="H69" s="63"/>
      <c r="I69" s="63"/>
      <c r="N69" s="25" t="s">
        <v>163</v>
      </c>
      <c r="O69" s="53">
        <f t="shared" ref="O69:X71" si="10">10^10</f>
        <v>10000000000</v>
      </c>
      <c r="P69" s="53">
        <f t="shared" si="10"/>
        <v>10000000000</v>
      </c>
      <c r="Q69" s="53">
        <f t="shared" si="10"/>
        <v>10000000000</v>
      </c>
      <c r="R69" s="53">
        <f t="shared" si="10"/>
        <v>10000000000</v>
      </c>
      <c r="S69" s="53">
        <f t="shared" si="10"/>
        <v>10000000000</v>
      </c>
      <c r="T69" s="53">
        <f t="shared" si="10"/>
        <v>10000000000</v>
      </c>
      <c r="U69" s="53">
        <f t="shared" si="10"/>
        <v>10000000000</v>
      </c>
      <c r="V69" s="53">
        <f t="shared" si="10"/>
        <v>10000000000</v>
      </c>
      <c r="W69" s="53">
        <f t="shared" si="10"/>
        <v>10000000000</v>
      </c>
      <c r="X69" s="53">
        <f t="shared" si="10"/>
        <v>10000000000</v>
      </c>
      <c r="AB69" s="1"/>
    </row>
    <row r="70" spans="1:28">
      <c r="A70" s="10"/>
      <c r="C70" s="327">
        <v>149.72999999999999</v>
      </c>
      <c r="D70" s="327"/>
      <c r="E70" s="90">
        <v>149.72</v>
      </c>
      <c r="F70" s="37">
        <f>IF('PERHITUNGAN 16'!$E$11="Burn Engr",'PERHITUNGAN 16'!E70,E70+('regresi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149.72</v>
      </c>
      <c r="G70" s="90">
        <f>F70-C70</f>
        <v>-9.9999999999909051E-3</v>
      </c>
      <c r="H70" s="63"/>
      <c r="I70" s="63"/>
      <c r="N70" s="25" t="s">
        <v>164</v>
      </c>
      <c r="O70" s="53">
        <f t="shared" si="10"/>
        <v>10000000000</v>
      </c>
      <c r="P70" s="53">
        <f t="shared" si="10"/>
        <v>10000000000</v>
      </c>
      <c r="Q70" s="53">
        <f t="shared" si="10"/>
        <v>10000000000</v>
      </c>
      <c r="R70" s="53">
        <f t="shared" si="10"/>
        <v>10000000000</v>
      </c>
      <c r="S70" s="53">
        <f t="shared" si="10"/>
        <v>10000000000</v>
      </c>
      <c r="T70" s="53">
        <f t="shared" si="10"/>
        <v>10000000000</v>
      </c>
      <c r="U70" s="53">
        <f t="shared" si="10"/>
        <v>10000000000</v>
      </c>
      <c r="V70" s="53">
        <f t="shared" si="10"/>
        <v>10000000000</v>
      </c>
      <c r="W70" s="53">
        <f t="shared" si="10"/>
        <v>10000000000</v>
      </c>
      <c r="X70" s="53">
        <f t="shared" si="10"/>
        <v>10000000000</v>
      </c>
      <c r="AB70" s="1"/>
    </row>
    <row r="71" spans="1:28">
      <c r="A71" s="10"/>
      <c r="C71" s="327">
        <v>149.72999999999999</v>
      </c>
      <c r="D71" s="327"/>
      <c r="E71" s="90">
        <v>149.72</v>
      </c>
      <c r="F71" s="37">
        <f>IF('PERHITUNGAN 16'!$E$11="Burn Engr",'PERHITUNGAN 16'!E71,E71+('regresi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149.72</v>
      </c>
      <c r="G71" s="90">
        <f>F71-C71</f>
        <v>-9.9999999999909051E-3</v>
      </c>
      <c r="H71" s="63"/>
      <c r="I71" s="63"/>
      <c r="N71" s="25" t="s">
        <v>165</v>
      </c>
      <c r="O71" s="53">
        <f t="shared" si="10"/>
        <v>10000000000</v>
      </c>
      <c r="P71" s="53">
        <f t="shared" si="10"/>
        <v>10000000000</v>
      </c>
      <c r="Q71" s="53">
        <f t="shared" si="10"/>
        <v>10000000000</v>
      </c>
      <c r="R71" s="53">
        <f t="shared" si="10"/>
        <v>10000000000</v>
      </c>
      <c r="S71" s="53">
        <f t="shared" si="10"/>
        <v>10000000000</v>
      </c>
      <c r="T71" s="53">
        <f t="shared" si="10"/>
        <v>10000000000</v>
      </c>
      <c r="U71" s="53">
        <f t="shared" si="10"/>
        <v>10000000000</v>
      </c>
      <c r="V71" s="53">
        <f t="shared" si="10"/>
        <v>10000000000</v>
      </c>
      <c r="W71" s="53">
        <f t="shared" si="10"/>
        <v>10000000000</v>
      </c>
      <c r="X71" s="53">
        <f t="shared" si="10"/>
        <v>10000000000</v>
      </c>
      <c r="AB71" s="1"/>
    </row>
    <row r="72" spans="1:28">
      <c r="A72" s="10"/>
      <c r="B72" s="8" t="s">
        <v>31</v>
      </c>
      <c r="C72" s="333">
        <f>AVERAGE(C67:D71)</f>
        <v>149.72999999999999</v>
      </c>
      <c r="D72" s="334"/>
      <c r="E72" s="95">
        <f>AVERAGE(E67:E71)</f>
        <v>149.72</v>
      </c>
      <c r="F72" s="95">
        <f t="shared" ref="F72" si="11">AVERAGE(F67:F71)</f>
        <v>149.72</v>
      </c>
      <c r="G72" s="95">
        <f>SUM(G67:G71)/5</f>
        <v>-9.9999999999909051E-3</v>
      </c>
      <c r="H72" s="63"/>
      <c r="I72" s="63"/>
      <c r="N72" s="111" t="s">
        <v>168</v>
      </c>
      <c r="O72" s="118">
        <f>SQRT((O57^2)+(O58^2)+(O59^2)+(O60^2)+(O61^2)+(O62^2)+(O63^2))</f>
        <v>0.34233231396690916</v>
      </c>
      <c r="P72" s="118">
        <f t="shared" ref="P72:X72" si="12">SQRT((P57^2)+(P58^2)+(P59^2)+(P60^2)+(P61^2)+(P62^2)+(P63^2))</f>
        <v>0.34214969411931156</v>
      </c>
      <c r="Q72" s="118">
        <f t="shared" si="12"/>
        <v>0.34204007540921061</v>
      </c>
      <c r="R72" s="118">
        <f t="shared" si="12"/>
        <v>0.34233231396690916</v>
      </c>
      <c r="S72" s="118">
        <f t="shared" si="12"/>
        <v>0.34204007540921061</v>
      </c>
      <c r="T72" s="118">
        <f t="shared" si="12"/>
        <v>0.3456391372312147</v>
      </c>
      <c r="U72" s="118">
        <f t="shared" si="12"/>
        <v>0.3456391372312147</v>
      </c>
      <c r="V72" s="118" t="e">
        <f t="shared" si="12"/>
        <v>#DIV/0!</v>
      </c>
      <c r="W72" s="118" t="e">
        <f t="shared" si="12"/>
        <v>#DIV/0!</v>
      </c>
      <c r="X72" s="118" t="e">
        <f t="shared" si="12"/>
        <v>#DIV/0!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531176.12485217373</v>
      </c>
      <c r="P73" s="120">
        <f t="shared" ref="P73:X73" si="13">(P72^4)/((P57^4/P65)+(P58^4/P66)+(P59^4/P67)+(P60^4/P68)+(P61^4/P69)+(P62^4/P70)+(P63^4/P71))</f>
        <v>544297.21195116662</v>
      </c>
      <c r="Q73" s="120">
        <f t="shared" si="13"/>
        <v>546994.50383281976</v>
      </c>
      <c r="R73" s="120">
        <f t="shared" si="13"/>
        <v>531176.12485217373</v>
      </c>
      <c r="S73" s="120">
        <f t="shared" si="13"/>
        <v>546994.50383281976</v>
      </c>
      <c r="T73" s="120">
        <f t="shared" si="13"/>
        <v>110484.58107699409</v>
      </c>
      <c r="U73" s="120">
        <f t="shared" si="13"/>
        <v>110484.58107699409</v>
      </c>
      <c r="V73" s="120" t="e">
        <f t="shared" si="13"/>
        <v>#DIV/0!</v>
      </c>
      <c r="W73" s="120" t="e">
        <f t="shared" si="13"/>
        <v>#DIV/0!</v>
      </c>
      <c r="X73" s="120" t="e">
        <f t="shared" si="13"/>
        <v>#DIV/0!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1.9599684506311856</v>
      </c>
      <c r="P74" s="123">
        <f t="shared" ref="P74:X74" si="14">_xlfn.T.INV.2T(0.05,P73)</f>
        <v>1.9599683429576866</v>
      </c>
      <c r="Q74" s="123">
        <f t="shared" si="14"/>
        <v>1.959968321469574</v>
      </c>
      <c r="R74" s="123">
        <f t="shared" si="14"/>
        <v>1.9599684506311856</v>
      </c>
      <c r="S74" s="123">
        <f t="shared" si="14"/>
        <v>1.959968321469574</v>
      </c>
      <c r="T74" s="123">
        <f t="shared" si="14"/>
        <v>1.959985456400495</v>
      </c>
      <c r="U74" s="123">
        <f t="shared" si="14"/>
        <v>1.959985456400495</v>
      </c>
      <c r="V74" s="123" t="e">
        <f t="shared" si="14"/>
        <v>#DIV/0!</v>
      </c>
      <c r="W74" s="123" t="e">
        <f t="shared" si="14"/>
        <v>#DIV/0!</v>
      </c>
      <c r="X74" s="123" t="e">
        <f t="shared" si="14"/>
        <v>#DIV/0!</v>
      </c>
      <c r="Z74" s="124"/>
      <c r="AB74" s="1"/>
    </row>
    <row r="75" spans="1:28">
      <c r="A75" s="105">
        <v>5</v>
      </c>
      <c r="B75" s="196">
        <v>200</v>
      </c>
      <c r="C75" s="327">
        <v>199.29</v>
      </c>
      <c r="D75" s="327"/>
      <c r="E75" s="90">
        <v>199.464</v>
      </c>
      <c r="F75" s="37">
        <f>IF('PERHITUNGAN 16'!$E$11="Burn Engr",'PERHITUNGAN 16'!E75,E75+('regresi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199.464</v>
      </c>
      <c r="G75" s="90">
        <f>F75-C75</f>
        <v>0.17400000000000659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199.29</v>
      </c>
      <c r="D76" s="327"/>
      <c r="E76" s="90">
        <v>199.464</v>
      </c>
      <c r="F76" s="37">
        <f>IF('PERHITUNGAN 16'!$E$11="Burn Engr",'PERHITUNGAN 16'!E76,E76+('regresi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199.464</v>
      </c>
      <c r="G76" s="90">
        <f>F76-C76</f>
        <v>0.17400000000000659</v>
      </c>
      <c r="H76" s="63"/>
      <c r="I76" s="63"/>
      <c r="N76" s="111" t="s">
        <v>166</v>
      </c>
      <c r="O76" s="121">
        <f t="shared" ref="O76:X76" si="15">O72*O74</f>
        <v>0.67096053500671149</v>
      </c>
      <c r="P76" s="121">
        <f t="shared" si="15"/>
        <v>0.67060256902650639</v>
      </c>
      <c r="Q76" s="121">
        <f t="shared" si="15"/>
        <v>0.67038771247511708</v>
      </c>
      <c r="R76" s="121">
        <f t="shared" si="15"/>
        <v>0.67096053500671149</v>
      </c>
      <c r="S76" s="121">
        <f t="shared" si="15"/>
        <v>0.67038771247511708</v>
      </c>
      <c r="T76" s="121">
        <f t="shared" si="15"/>
        <v>0.67744768213599571</v>
      </c>
      <c r="U76" s="121">
        <f t="shared" si="15"/>
        <v>0.67744768213599571</v>
      </c>
      <c r="V76" s="121" t="e">
        <f t="shared" si="15"/>
        <v>#DIV/0!</v>
      </c>
      <c r="W76" s="121" t="e">
        <f t="shared" si="15"/>
        <v>#DIV/0!</v>
      </c>
      <c r="X76" s="121" t="e">
        <f t="shared" si="15"/>
        <v>#DIV/0!</v>
      </c>
      <c r="AB76" s="1"/>
    </row>
    <row r="77" spans="1:28">
      <c r="A77" s="10"/>
      <c r="C77" s="327">
        <v>199.29</v>
      </c>
      <c r="D77" s="327"/>
      <c r="E77" s="90">
        <v>199.464</v>
      </c>
      <c r="F77" s="37">
        <f>IF('PERHITUNGAN 16'!$E$11="Burn Engr",'PERHITUNGAN 16'!E77,E77+('regresi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199.464</v>
      </c>
      <c r="G77" s="90">
        <f>F77-C77</f>
        <v>0.17400000000000659</v>
      </c>
      <c r="H77" s="63"/>
      <c r="I77" s="63"/>
      <c r="AB77" s="1"/>
    </row>
    <row r="78" spans="1:28">
      <c r="A78" s="10"/>
      <c r="C78" s="327">
        <v>199.29</v>
      </c>
      <c r="D78" s="327"/>
      <c r="E78" s="90">
        <v>199.464</v>
      </c>
      <c r="F78" s="37">
        <f>IF('PERHITUNGAN 16'!$E$11="Burn Engr",'PERHITUNGAN 16'!E78,E78+('regresi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199.464</v>
      </c>
      <c r="G78" s="90">
        <f>F78-C78</f>
        <v>0.17400000000000659</v>
      </c>
      <c r="H78" s="26"/>
      <c r="I78" s="26"/>
      <c r="AB78" s="1"/>
    </row>
    <row r="79" spans="1:28">
      <c r="A79" s="10"/>
      <c r="C79" s="327">
        <v>199.29</v>
      </c>
      <c r="D79" s="327"/>
      <c r="E79" s="90">
        <v>199.464</v>
      </c>
      <c r="F79" s="37">
        <f>IF('PERHITUNGAN 16'!$E$11="Burn Engr",'PERHITUNGAN 16'!E79,E79+('regresi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199.464</v>
      </c>
      <c r="G79" s="90">
        <f>F79-C79</f>
        <v>0.17400000000000659</v>
      </c>
      <c r="AB79" s="1"/>
    </row>
    <row r="80" spans="1:28">
      <c r="A80" s="10"/>
      <c r="B80" s="8" t="s">
        <v>31</v>
      </c>
      <c r="C80" s="333">
        <f>AVERAGE(C75:D79)</f>
        <v>199.29</v>
      </c>
      <c r="D80" s="334"/>
      <c r="E80" s="95">
        <f>AVERAGE(E75:E79)</f>
        <v>199.464</v>
      </c>
      <c r="F80" s="95">
        <f t="shared" ref="F80" si="16">AVERAGE(F75:F79)</f>
        <v>199.464</v>
      </c>
      <c r="G80" s="95">
        <f>SUM(G75:G79)/5</f>
        <v>0.17400000000000659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250</v>
      </c>
      <c r="C83" s="327">
        <v>249.27</v>
      </c>
      <c r="D83" s="327"/>
      <c r="E83" s="90">
        <v>249.47800000000001</v>
      </c>
      <c r="F83" s="37">
        <f>IF('PERHITUNGAN 16'!$E$11="Burn Engr",'PERHITUNGAN 16'!E83,E83+('regresi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249.47800000000001</v>
      </c>
      <c r="G83" s="40">
        <f>F83-C83</f>
        <v>0.20799999999999841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249.27</v>
      </c>
      <c r="D84" s="327"/>
      <c r="E84" s="90">
        <v>249.47800000000001</v>
      </c>
      <c r="F84" s="37">
        <f>IF('PERHITUNGAN 16'!$E$11="Burn Engr",'PERHITUNGAN 16'!E84,E84+('regresi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249.47800000000001</v>
      </c>
      <c r="G84" s="40">
        <f>F84-C84</f>
        <v>0.20799999999999841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249.27</v>
      </c>
      <c r="D85" s="327"/>
      <c r="E85" s="90">
        <v>249.47800000000001</v>
      </c>
      <c r="F85" s="37">
        <f>IF('PERHITUNGAN 16'!$E$11="Burn Engr",'PERHITUNGAN 16'!E85,E85+('regresi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249.47800000000001</v>
      </c>
      <c r="G85" s="40">
        <f>F85-C85</f>
        <v>0.20799999999999841</v>
      </c>
      <c r="H85" s="26"/>
      <c r="I85" s="26"/>
      <c r="N85" s="93">
        <f>O56</f>
        <v>0.49000000000000005</v>
      </c>
      <c r="O85" s="403">
        <f>G48</f>
        <v>-0.28699999999999998</v>
      </c>
      <c r="P85" s="404"/>
      <c r="Q85" s="387">
        <f t="shared" ref="Q85:Q94" si="17">N85+O85</f>
        <v>0.20300000000000007</v>
      </c>
      <c r="R85" s="405"/>
      <c r="S85" s="138" t="s">
        <v>35</v>
      </c>
      <c r="T85" s="94">
        <f>IF(N85&lt;$AA$97,MAX($O$97,O76),IF(N85&lt;$AA$98,MAX($O$98,O76),MAX($O$99,O76)))</f>
        <v>0.67096053500671149</v>
      </c>
      <c r="AB85" s="1"/>
    </row>
    <row r="86" spans="1:28">
      <c r="A86" s="10"/>
      <c r="C86" s="327">
        <v>249.27</v>
      </c>
      <c r="D86" s="327"/>
      <c r="E86" s="90">
        <v>249.47800000000001</v>
      </c>
      <c r="F86" s="37">
        <f>IF('PERHITUNGAN 16'!$E$11="Burn Engr",'PERHITUNGAN 16'!E86,E86+('regresi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249.47800000000001</v>
      </c>
      <c r="G86" s="40">
        <f>F86-C86</f>
        <v>0.20799999999999841</v>
      </c>
      <c r="H86" s="63"/>
      <c r="I86" s="63"/>
      <c r="N86" s="93">
        <f>P56</f>
        <v>50.33</v>
      </c>
      <c r="O86" s="403">
        <f>G56</f>
        <v>1.8000000000000682E-2</v>
      </c>
      <c r="P86" s="404"/>
      <c r="Q86" s="406">
        <f t="shared" si="17"/>
        <v>50.347999999999999</v>
      </c>
      <c r="R86" s="407"/>
      <c r="S86" s="138" t="s">
        <v>35</v>
      </c>
      <c r="T86" s="94">
        <f>IF(N86&lt;$AA$97,MAX($O$97,P76),IF(N86&lt;$AA$98,MAX($O$98,P76),MAX($O$99,P76)))</f>
        <v>0.67060256902650639</v>
      </c>
      <c r="AB86" s="1"/>
    </row>
    <row r="87" spans="1:28">
      <c r="A87" s="10"/>
      <c r="C87" s="327">
        <v>249.27</v>
      </c>
      <c r="D87" s="327"/>
      <c r="E87" s="90">
        <v>249.47800000000001</v>
      </c>
      <c r="F87" s="37">
        <f>IF('PERHITUNGAN 16'!$E$11="Burn Engr",'PERHITUNGAN 16'!E87,E87+('regresi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249.47800000000001</v>
      </c>
      <c r="G87" s="41">
        <f>F87-C87</f>
        <v>0.20799999999999841</v>
      </c>
      <c r="H87" s="63"/>
      <c r="I87" s="63"/>
      <c r="N87" s="93">
        <f>Q56</f>
        <v>99.83</v>
      </c>
      <c r="O87" s="403">
        <f>G64</f>
        <v>5.5000000000006821E-2</v>
      </c>
      <c r="P87" s="404"/>
      <c r="Q87" s="406">
        <f t="shared" si="17"/>
        <v>99.885000000000005</v>
      </c>
      <c r="R87" s="407"/>
      <c r="S87" s="138" t="s">
        <v>35</v>
      </c>
      <c r="T87" s="94">
        <f>IF(N87&lt;$AA$97,MAX($O$97,Q76),IF(N87&lt;$AA$98,MAX($O$98,Q76),MAX($O$99,Q76)))</f>
        <v>0.67038771247511708</v>
      </c>
      <c r="AB87" s="1"/>
    </row>
    <row r="88" spans="1:28">
      <c r="A88" s="10"/>
      <c r="B88" s="8" t="s">
        <v>31</v>
      </c>
      <c r="C88" s="333">
        <f>AVERAGE(C83:D87)</f>
        <v>249.27000000000004</v>
      </c>
      <c r="D88" s="334"/>
      <c r="E88" s="95">
        <f>AVERAGE(E83:E87)</f>
        <v>249.47800000000001</v>
      </c>
      <c r="F88" s="95">
        <f t="shared" ref="F88" si="18">AVERAGE(F83:F87)</f>
        <v>249.47800000000001</v>
      </c>
      <c r="G88" s="95">
        <f>SUM(G83:G87)/5</f>
        <v>0.20799999999999841</v>
      </c>
      <c r="H88" s="63"/>
      <c r="I88" s="63"/>
      <c r="N88" s="93">
        <f>R56</f>
        <v>149.72999999999999</v>
      </c>
      <c r="O88" s="403">
        <f>G72</f>
        <v>-9.9999999999909051E-3</v>
      </c>
      <c r="P88" s="404"/>
      <c r="Q88" s="406">
        <f t="shared" si="17"/>
        <v>149.72</v>
      </c>
      <c r="R88" s="407"/>
      <c r="S88" s="138" t="s">
        <v>35</v>
      </c>
      <c r="T88" s="94">
        <f>IF(N88&lt;$AA$97,MAX($O$97,R76),IF(N88&lt;$AA$98,MAX($O$98,R76),MAX($O$99,R76)))</f>
        <v>0.67096053500671149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199.29</v>
      </c>
      <c r="O89" s="403">
        <f>G80</f>
        <v>0.17400000000000659</v>
      </c>
      <c r="P89" s="404"/>
      <c r="Q89" s="406">
        <f t="shared" si="17"/>
        <v>199.464</v>
      </c>
      <c r="R89" s="407"/>
      <c r="S89" s="138" t="s">
        <v>35</v>
      </c>
      <c r="T89" s="94">
        <f>IF(N89&lt;$AA$97,MAX($O$97,S76),IF(N89&lt;$AA$98,MAX($O$98,S76),MAX($O$99,S76)))</f>
        <v>0.67038771247511708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249.27000000000004</v>
      </c>
      <c r="O90" s="403">
        <f>G88</f>
        <v>0.20799999999999841</v>
      </c>
      <c r="P90" s="404"/>
      <c r="Q90" s="406">
        <f t="shared" si="17"/>
        <v>249.47800000000004</v>
      </c>
      <c r="R90" s="407"/>
      <c r="S90" s="138" t="s">
        <v>35</v>
      </c>
      <c r="T90" s="94">
        <f>IF(N90&lt;$AA$97,MAX($O$97,T76),IF(N90&lt;$AA$98,MAX($O$98,T76),MAX($O$99,T76)))</f>
        <v>0.67744768213599571</v>
      </c>
      <c r="AB90" s="1"/>
    </row>
    <row r="91" spans="1:28">
      <c r="A91" s="105">
        <v>7</v>
      </c>
      <c r="B91" s="196">
        <v>260</v>
      </c>
      <c r="C91" s="327">
        <v>259.31</v>
      </c>
      <c r="D91" s="327"/>
      <c r="E91" s="90">
        <v>259.553</v>
      </c>
      <c r="F91" s="37">
        <f>IF('PERHITUNGAN 16'!$E$11="Burn Engr",'PERHITUNGAN 16'!E91,E91+('regresi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259.553</v>
      </c>
      <c r="G91" s="40">
        <f>F91-C91</f>
        <v>0.242999999999995</v>
      </c>
      <c r="H91" s="63"/>
      <c r="I91" s="63"/>
      <c r="N91" s="93">
        <f>U56</f>
        <v>259.31</v>
      </c>
      <c r="O91" s="403">
        <f>G96</f>
        <v>0.242999999999995</v>
      </c>
      <c r="P91" s="404"/>
      <c r="Q91" s="406">
        <f t="shared" si="17"/>
        <v>259.553</v>
      </c>
      <c r="R91" s="407"/>
      <c r="S91" s="138" t="s">
        <v>35</v>
      </c>
      <c r="T91" s="94">
        <f>IF(N91&lt;$AA$97,MAX($O$97,U76),IF(N91&lt;$AA$98,MAX($O$98,U76),MAX($O$99,U76)))</f>
        <v>1.8</v>
      </c>
      <c r="AB91" s="1"/>
    </row>
    <row r="92" spans="1:28">
      <c r="A92" s="10"/>
      <c r="C92" s="327">
        <v>259.31</v>
      </c>
      <c r="D92" s="327"/>
      <c r="E92" s="90">
        <v>259.553</v>
      </c>
      <c r="F92" s="37">
        <f>IF('PERHITUNGAN 16'!$E$11="Burn Engr",'PERHITUNGAN 16'!E92,E92+('regresi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259.553</v>
      </c>
      <c r="G92" s="40">
        <f>F92-C92</f>
        <v>0.242999999999995</v>
      </c>
      <c r="H92" s="44"/>
      <c r="I92" s="63"/>
      <c r="N92" s="93" t="e">
        <f>V56</f>
        <v>#DIV/0!</v>
      </c>
      <c r="O92" s="403">
        <f>G104</f>
        <v>0</v>
      </c>
      <c r="P92" s="404"/>
      <c r="Q92" s="406" t="e">
        <f t="shared" si="17"/>
        <v>#DIV/0!</v>
      </c>
      <c r="R92" s="407"/>
      <c r="S92" s="138" t="s">
        <v>35</v>
      </c>
      <c r="T92" s="94" t="e">
        <f>IF(N92&lt;$AA$97,MAX($O$97,V76),IF(N92&lt;$AA$98,MAX($O$98,V76),MAX($O$99,V76)))</f>
        <v>#DIV/0!</v>
      </c>
      <c r="AB92" s="1"/>
    </row>
    <row r="93" spans="1:28">
      <c r="A93" s="10"/>
      <c r="C93" s="327">
        <v>259.31</v>
      </c>
      <c r="D93" s="327"/>
      <c r="E93" s="90">
        <v>259.553</v>
      </c>
      <c r="F93" s="37">
        <f>IF('PERHITUNGAN 16'!$E$11="Burn Engr",'PERHITUNGAN 16'!E93,E93+('regresi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259.553</v>
      </c>
      <c r="G93" s="40">
        <f>F93-C93</f>
        <v>0.242999999999995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7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259.31</v>
      </c>
      <c r="D94" s="327"/>
      <c r="E94" s="90">
        <v>259.553</v>
      </c>
      <c r="F94" s="37">
        <f>IF('PERHITUNGAN 16'!$E$11="Burn Engr",'PERHITUNGAN 16'!E94,E94+('regresi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259.553</v>
      </c>
      <c r="G94" s="40">
        <f>F94-C94</f>
        <v>0.242999999999995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7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259.31</v>
      </c>
      <c r="D95" s="327"/>
      <c r="E95" s="90">
        <v>259.553</v>
      </c>
      <c r="F95" s="37">
        <f>IF('PERHITUNGAN 16'!$E$11="Burn Engr",'PERHITUNGAN 16'!E95,E95+('regresi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259.553</v>
      </c>
      <c r="G95" s="41">
        <f>F95-C95</f>
        <v>0.242999999999995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259.31</v>
      </c>
      <c r="D96" s="334"/>
      <c r="E96" s="95">
        <f>AVERAGE(E91:E95)</f>
        <v>259.553</v>
      </c>
      <c r="F96" s="95">
        <f t="shared" ref="F96" si="19">AVERAGE(F91:F95)</f>
        <v>259.553</v>
      </c>
      <c r="G96" s="95">
        <f>SUM(G91:G95)/5</f>
        <v>0.242999999999995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0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0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/>
      <c r="C99" s="327"/>
      <c r="D99" s="327"/>
      <c r="E99" s="90"/>
      <c r="F99" s="37"/>
      <c r="G99" s="40"/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/>
      <c r="D100" s="327"/>
      <c r="E100" s="90"/>
      <c r="F100" s="37"/>
      <c r="G100" s="40"/>
      <c r="H100" s="44"/>
      <c r="I100" s="44"/>
      <c r="M100" s="1"/>
    </row>
    <row r="101" spans="1:27">
      <c r="A101" s="10"/>
      <c r="C101" s="327"/>
      <c r="D101" s="327"/>
      <c r="E101" s="90"/>
      <c r="F101" s="37"/>
      <c r="G101" s="40"/>
      <c r="H101" s="44"/>
      <c r="I101" s="44"/>
    </row>
    <row r="102" spans="1:27">
      <c r="A102" s="10"/>
      <c r="C102" s="327"/>
      <c r="D102" s="327"/>
      <c r="E102" s="90"/>
      <c r="F102" s="37"/>
      <c r="G102" s="40"/>
      <c r="H102" s="63"/>
      <c r="I102" s="63"/>
    </row>
    <row r="103" spans="1:27">
      <c r="A103" s="10"/>
      <c r="C103" s="327"/>
      <c r="D103" s="327"/>
      <c r="E103" s="90"/>
      <c r="F103" s="37"/>
      <c r="G103" s="41"/>
      <c r="H103" s="63"/>
      <c r="I103" s="63"/>
      <c r="N103" s="74"/>
      <c r="O103" s="129"/>
    </row>
    <row r="104" spans="1:27">
      <c r="A104" s="10"/>
      <c r="B104" s="8" t="s">
        <v>31</v>
      </c>
      <c r="C104" s="333" t="e">
        <f>AVERAGE(C99:D103)</f>
        <v>#DIV/0!</v>
      </c>
      <c r="D104" s="334"/>
      <c r="E104" s="95" t="e">
        <f>AVERAGE(E99:E103)</f>
        <v>#DIV/0!</v>
      </c>
      <c r="F104" s="95" t="e">
        <f t="shared" ref="F104" si="20">AVERAGE(F99:F103)</f>
        <v>#DIV/0!</v>
      </c>
      <c r="G104" s="95">
        <f>SUM(G99:G103)/5</f>
        <v>0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 t="e">
        <f>_xlfn.STDEV.S(G99:G103)</f>
        <v>#DIV/0!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 t="e">
        <f>G105/SQRT(5)</f>
        <v>#DIV/0!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/>
      <c r="G107" s="40"/>
      <c r="H107" s="63"/>
      <c r="I107" s="63"/>
      <c r="M107" s="1"/>
    </row>
    <row r="108" spans="1:27">
      <c r="A108" s="10"/>
      <c r="C108" s="327"/>
      <c r="D108" s="327"/>
      <c r="E108" s="90"/>
      <c r="F108" s="37"/>
      <c r="G108" s="40"/>
      <c r="H108" s="44"/>
      <c r="I108" s="44"/>
      <c r="M108" s="1"/>
    </row>
    <row r="109" spans="1:27">
      <c r="A109" s="10"/>
      <c r="C109" s="327"/>
      <c r="D109" s="327"/>
      <c r="E109" s="90"/>
      <c r="F109" s="37"/>
      <c r="G109" s="40"/>
      <c r="H109" s="44"/>
      <c r="I109" s="44"/>
    </row>
    <row r="110" spans="1:27">
      <c r="A110" s="10"/>
      <c r="C110" s="327"/>
      <c r="D110" s="327"/>
      <c r="E110" s="90"/>
      <c r="F110" s="37"/>
      <c r="G110" s="40"/>
      <c r="H110" s="63"/>
      <c r="I110" s="63"/>
    </row>
    <row r="111" spans="1:27">
      <c r="A111" s="10"/>
      <c r="C111" s="327"/>
      <c r="D111" s="327"/>
      <c r="E111" s="90"/>
      <c r="F111" s="37"/>
      <c r="G111" s="41"/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 t="e">
        <f t="shared" ref="F112" si="21">AVERAGE(F107:F111)</f>
        <v>#DIV/0!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 t="e">
        <f>_xlfn.STDEV.S(G107:G111)</f>
        <v>#DIV/0!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 t="e">
        <f>G113/SQRT(5)</f>
        <v>#DIV/0!</v>
      </c>
      <c r="H114" s="63"/>
      <c r="I114" s="63"/>
    </row>
    <row r="115" spans="1:21">
      <c r="A115" s="105">
        <v>10</v>
      </c>
      <c r="B115" s="196"/>
      <c r="C115" s="327"/>
      <c r="D115" s="327"/>
      <c r="E115" s="90"/>
      <c r="F115" s="37"/>
      <c r="G115" s="40"/>
      <c r="H115" s="63"/>
      <c r="I115" s="63"/>
      <c r="N115" s="98"/>
      <c r="U115" s="72"/>
    </row>
    <row r="116" spans="1:21">
      <c r="A116" s="10"/>
      <c r="C116" s="327"/>
      <c r="D116" s="327"/>
      <c r="E116" s="90"/>
      <c r="F116" s="37"/>
      <c r="G116" s="40"/>
      <c r="H116" s="44"/>
      <c r="I116" s="44"/>
      <c r="U116" s="49"/>
    </row>
    <row r="117" spans="1:21">
      <c r="A117" s="10"/>
      <c r="C117" s="327"/>
      <c r="D117" s="327"/>
      <c r="E117" s="90"/>
      <c r="F117" s="37"/>
      <c r="G117" s="40"/>
      <c r="H117" s="44"/>
      <c r="I117" s="44"/>
      <c r="U117" s="49"/>
    </row>
    <row r="118" spans="1:21">
      <c r="A118" s="10"/>
      <c r="C118" s="327"/>
      <c r="D118" s="327"/>
      <c r="E118" s="90"/>
      <c r="F118" s="37"/>
      <c r="G118" s="40"/>
      <c r="H118" s="63"/>
      <c r="I118" s="63"/>
    </row>
    <row r="119" spans="1:21">
      <c r="A119" s="10"/>
      <c r="C119" s="327"/>
      <c r="D119" s="327"/>
      <c r="E119" s="90"/>
      <c r="F119" s="37"/>
      <c r="G119" s="41"/>
      <c r="H119" s="63"/>
      <c r="I119" s="63"/>
    </row>
    <row r="120" spans="1:21">
      <c r="A120" s="10"/>
      <c r="B120" s="8" t="s">
        <v>31</v>
      </c>
      <c r="C120" s="333" t="e">
        <f>AVERAGE(C115:D119)</f>
        <v>#DIV/0!</v>
      </c>
      <c r="D120" s="334"/>
      <c r="E120" s="95" t="e">
        <f>AVERAGE(E115:E119)</f>
        <v>#DIV/0!</v>
      </c>
      <c r="F120" s="95" t="e">
        <f t="shared" ref="F120" si="22">AVERAGE(F115:F119)</f>
        <v>#DIV/0!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 t="e">
        <f>_xlfn.STDEV.S(G115:G119)</f>
        <v>#DIV/0!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 t="e">
        <f>G121/SQRT(5)</f>
        <v>#DIV/0!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330"/>
      <c r="D125" s="330"/>
      <c r="E125" s="63"/>
      <c r="F125" s="63"/>
      <c r="G125" s="63"/>
      <c r="H125" s="63"/>
      <c r="I125" s="63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8">
    <mergeCell ref="C185:D185"/>
    <mergeCell ref="C177:D177"/>
    <mergeCell ref="C180:D180"/>
    <mergeCell ref="C181:D181"/>
    <mergeCell ref="C182:D182"/>
    <mergeCell ref="C183:D183"/>
    <mergeCell ref="C184:D184"/>
    <mergeCell ref="C169:D169"/>
    <mergeCell ref="C172:D172"/>
    <mergeCell ref="C173:D173"/>
    <mergeCell ref="C174:D174"/>
    <mergeCell ref="C175:D175"/>
    <mergeCell ref="C176:D176"/>
    <mergeCell ref="C161:D161"/>
    <mergeCell ref="C164:D164"/>
    <mergeCell ref="C165:D165"/>
    <mergeCell ref="C166:D166"/>
    <mergeCell ref="C167:D167"/>
    <mergeCell ref="C168:D168"/>
    <mergeCell ref="C151:D151"/>
    <mergeCell ref="C156:D156"/>
    <mergeCell ref="C157:D157"/>
    <mergeCell ref="C158:D158"/>
    <mergeCell ref="C159:D159"/>
    <mergeCell ref="C160:D160"/>
    <mergeCell ref="C143:D143"/>
    <mergeCell ref="C146:D146"/>
    <mergeCell ref="C147:D147"/>
    <mergeCell ref="C148:D148"/>
    <mergeCell ref="C149:D149"/>
    <mergeCell ref="C150:D150"/>
    <mergeCell ref="C127:D127"/>
    <mergeCell ref="C138:D138"/>
    <mergeCell ref="C139:D139"/>
    <mergeCell ref="C140:D140"/>
    <mergeCell ref="C141:D141"/>
    <mergeCell ref="C142:D142"/>
    <mergeCell ref="C109:D109"/>
    <mergeCell ref="C110:D110"/>
    <mergeCell ref="C111:D111"/>
    <mergeCell ref="C112:D112"/>
    <mergeCell ref="C125:D125"/>
    <mergeCell ref="C126:D126"/>
    <mergeCell ref="C101:D101"/>
    <mergeCell ref="C102:D102"/>
    <mergeCell ref="C103:D103"/>
    <mergeCell ref="C104:D104"/>
    <mergeCell ref="C107:D107"/>
    <mergeCell ref="C108:D108"/>
    <mergeCell ref="C115:D115"/>
    <mergeCell ref="C116:D116"/>
    <mergeCell ref="C117:D117"/>
    <mergeCell ref="C118:D118"/>
    <mergeCell ref="C119:D119"/>
    <mergeCell ref="C120:D120"/>
    <mergeCell ref="C95:D95"/>
    <mergeCell ref="C96:D96"/>
    <mergeCell ref="N96:O96"/>
    <mergeCell ref="Z96:AA96"/>
    <mergeCell ref="C99:D99"/>
    <mergeCell ref="C100:D100"/>
    <mergeCell ref="C93:D93"/>
    <mergeCell ref="O93:P93"/>
    <mergeCell ref="Q93:R93"/>
    <mergeCell ref="C94:D94"/>
    <mergeCell ref="O94:P94"/>
    <mergeCell ref="Q94:R94"/>
    <mergeCell ref="C91:D91"/>
    <mergeCell ref="O91:P91"/>
    <mergeCell ref="Q91:R91"/>
    <mergeCell ref="C92:D92"/>
    <mergeCell ref="O92:P92"/>
    <mergeCell ref="Q92:R92"/>
    <mergeCell ref="C88:D88"/>
    <mergeCell ref="O88:P88"/>
    <mergeCell ref="Q88:R88"/>
    <mergeCell ref="O89:P89"/>
    <mergeCell ref="Q89:R89"/>
    <mergeCell ref="O90:P90"/>
    <mergeCell ref="Q90:R90"/>
    <mergeCell ref="C86:D86"/>
    <mergeCell ref="O86:P86"/>
    <mergeCell ref="Q86:R86"/>
    <mergeCell ref="C87:D87"/>
    <mergeCell ref="O87:P87"/>
    <mergeCell ref="Q87:R87"/>
    <mergeCell ref="S83:T83"/>
    <mergeCell ref="C84:D84"/>
    <mergeCell ref="S84:T84"/>
    <mergeCell ref="C85:D85"/>
    <mergeCell ref="O85:P85"/>
    <mergeCell ref="Q85:R85"/>
    <mergeCell ref="C79:D79"/>
    <mergeCell ref="C80:D80"/>
    <mergeCell ref="C83:D83"/>
    <mergeCell ref="N83:N84"/>
    <mergeCell ref="O83:P84"/>
    <mergeCell ref="Q83:R84"/>
    <mergeCell ref="C71:D71"/>
    <mergeCell ref="C72:D72"/>
    <mergeCell ref="C75:D75"/>
    <mergeCell ref="C76:D76"/>
    <mergeCell ref="C77:D77"/>
    <mergeCell ref="C78:D78"/>
    <mergeCell ref="C63:D63"/>
    <mergeCell ref="C64:D64"/>
    <mergeCell ref="C67:D67"/>
    <mergeCell ref="C68:D68"/>
    <mergeCell ref="C69:D69"/>
    <mergeCell ref="C70:D70"/>
    <mergeCell ref="O55:X55"/>
    <mergeCell ref="C56:D56"/>
    <mergeCell ref="C59:D59"/>
    <mergeCell ref="C60:D60"/>
    <mergeCell ref="C61:D61"/>
    <mergeCell ref="C62:D62"/>
    <mergeCell ref="C51:D51"/>
    <mergeCell ref="C52:D52"/>
    <mergeCell ref="C53:D53"/>
    <mergeCell ref="C54:D54"/>
    <mergeCell ref="C55:D55"/>
    <mergeCell ref="N55:N56"/>
    <mergeCell ref="T45:Y4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N45:S45"/>
    <mergeCell ref="T36:T37"/>
    <mergeCell ref="U36:U37"/>
    <mergeCell ref="V36:V37"/>
    <mergeCell ref="W36:W37"/>
    <mergeCell ref="X36:X37"/>
    <mergeCell ref="C40:D40"/>
    <mergeCell ref="N36:N37"/>
    <mergeCell ref="O36:O37"/>
    <mergeCell ref="P36:P37"/>
    <mergeCell ref="Q36:Q37"/>
    <mergeCell ref="R36:R37"/>
    <mergeCell ref="S36:S37"/>
    <mergeCell ref="T28:T29"/>
    <mergeCell ref="U28:U29"/>
    <mergeCell ref="AB28:AC28"/>
    <mergeCell ref="AB30:AC30"/>
    <mergeCell ref="J31:K31"/>
    <mergeCell ref="AB32:AC32"/>
    <mergeCell ref="J26:K26"/>
    <mergeCell ref="N28:N29"/>
    <mergeCell ref="O28:O29"/>
    <mergeCell ref="P28:P29"/>
    <mergeCell ref="Q28:Q29"/>
    <mergeCell ref="S28:S29"/>
    <mergeCell ref="E16:F16"/>
    <mergeCell ref="N16:N20"/>
    <mergeCell ref="E17:F17"/>
    <mergeCell ref="E18:F18"/>
    <mergeCell ref="AB18:AC18"/>
    <mergeCell ref="F21:G21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</mergeCells>
  <conditionalFormatting sqref="C56">
    <cfRule type="expression" dxfId="189" priority="26" stopIfTrue="1">
      <formula>COUNT(C51:C55)&lt;&gt;5</formula>
    </cfRule>
  </conditionalFormatting>
  <conditionalFormatting sqref="C64">
    <cfRule type="expression" dxfId="188" priority="10" stopIfTrue="1">
      <formula>COUNT(C59:C63)&lt;&gt;5</formula>
    </cfRule>
  </conditionalFormatting>
  <conditionalFormatting sqref="C72">
    <cfRule type="expression" dxfId="187" priority="16" stopIfTrue="1">
      <formula>COUNT(C67:C71)&lt;&gt;5</formula>
    </cfRule>
  </conditionalFormatting>
  <conditionalFormatting sqref="C80">
    <cfRule type="expression" dxfId="186" priority="15" stopIfTrue="1">
      <formula>COUNT(C75:C79)&lt;&gt;5</formula>
    </cfRule>
  </conditionalFormatting>
  <conditionalFormatting sqref="C88">
    <cfRule type="expression" dxfId="185" priority="14" stopIfTrue="1">
      <formula>COUNT(C83:C87)&lt;&gt;5</formula>
    </cfRule>
  </conditionalFormatting>
  <conditionalFormatting sqref="C96">
    <cfRule type="expression" dxfId="184" priority="13" stopIfTrue="1">
      <formula>COUNT(C91:C95)&lt;&gt;5</formula>
    </cfRule>
  </conditionalFormatting>
  <conditionalFormatting sqref="C48:E48">
    <cfRule type="expression" dxfId="181" priority="27" stopIfTrue="1">
      <formula>COUNT(C43:C47)&lt;&gt;5</formula>
    </cfRule>
  </conditionalFormatting>
  <conditionalFormatting sqref="E56">
    <cfRule type="expression" dxfId="179" priority="25" stopIfTrue="1">
      <formula>COUNT(E51:E55)&lt;&gt;5</formula>
    </cfRule>
  </conditionalFormatting>
  <conditionalFormatting sqref="E64">
    <cfRule type="expression" dxfId="178" priority="9" stopIfTrue="1">
      <formula>COUNT(E59:E63)&lt;&gt;5</formula>
    </cfRule>
  </conditionalFormatting>
  <conditionalFormatting sqref="E72">
    <cfRule type="expression" dxfId="177" priority="24" stopIfTrue="1">
      <formula>COUNT(E67:E71)&lt;&gt;5</formula>
    </cfRule>
  </conditionalFormatting>
  <conditionalFormatting sqref="E80">
    <cfRule type="expression" dxfId="176" priority="23" stopIfTrue="1">
      <formula>COUNT(E75:E79)&lt;&gt;5</formula>
    </cfRule>
  </conditionalFormatting>
  <conditionalFormatting sqref="E88">
    <cfRule type="expression" dxfId="175" priority="22" stopIfTrue="1">
      <formula>COUNT(E83:E87)&lt;&gt;5</formula>
    </cfRule>
  </conditionalFormatting>
  <conditionalFormatting sqref="E96">
    <cfRule type="expression" dxfId="174" priority="21" stopIfTrue="1">
      <formula>COUNT(E91:E95)&lt;&gt;5</formula>
    </cfRule>
  </conditionalFormatting>
  <conditionalFormatting sqref="C112">
    <cfRule type="expression" dxfId="23" priority="5" stopIfTrue="1">
      <formula>COUNT(C107:C111)&lt;&gt;5</formula>
    </cfRule>
  </conditionalFormatting>
  <conditionalFormatting sqref="E112">
    <cfRule type="expression" dxfId="22" priority="6" stopIfTrue="1">
      <formula>COUNT(E107:E111)&lt;&gt;5</formula>
    </cfRule>
  </conditionalFormatting>
  <conditionalFormatting sqref="C120">
    <cfRule type="expression" dxfId="21" priority="3" stopIfTrue="1">
      <formula>COUNT(C115:C119)&lt;&gt;5</formula>
    </cfRule>
  </conditionalFormatting>
  <conditionalFormatting sqref="E120">
    <cfRule type="expression" dxfId="20" priority="4" stopIfTrue="1">
      <formula>COUNT(E115:E119)&lt;&gt;5</formula>
    </cfRule>
  </conditionalFormatting>
  <conditionalFormatting sqref="C104">
    <cfRule type="expression" dxfId="19" priority="1" stopIfTrue="1">
      <formula>COUNT(C99:C103)&lt;&gt;5</formula>
    </cfRule>
  </conditionalFormatting>
  <conditionalFormatting sqref="E104">
    <cfRule type="expression" dxfId="18" priority="2" stopIfTrue="1">
      <formula>COUNT(E99:E103)&lt;&gt;5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91137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91137" r:id="rId4"/>
      </mc:Fallback>
    </mc:AlternateContent>
    <mc:AlternateContent xmlns:mc="http://schemas.openxmlformats.org/markup-compatibility/2006">
      <mc:Choice Requires="x14">
        <oleObject progId="Equation.3" shapeId="91138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91138" r:id="rId6"/>
      </mc:Fallback>
    </mc:AlternateContent>
    <mc:AlternateContent xmlns:mc="http://schemas.openxmlformats.org/markup-compatibility/2006">
      <mc:Choice Requires="x14">
        <oleObject progId="Equation.3" shapeId="91139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91139" r:id="rId8"/>
      </mc:Fallback>
    </mc:AlternateContent>
    <mc:AlternateContent xmlns:mc="http://schemas.openxmlformats.org/markup-compatibility/2006">
      <mc:Choice Requires="x14">
        <oleObject progId="Equation.3" shapeId="91140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91140" r:id="rId10"/>
      </mc:Fallback>
    </mc:AlternateContent>
  </oleObjec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773D1-27F9-4545-8615-25BCD4155970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16'!O85</f>
        <v>-0.28699999999999998</v>
      </c>
      <c r="C2" s="37">
        <f>'PERHITUNGAN 16'!N85</f>
        <v>0.49000000000000005</v>
      </c>
      <c r="D2" s="75">
        <f>C2^2</f>
        <v>0.24010000000000004</v>
      </c>
      <c r="E2" s="37">
        <f>C2^3</f>
        <v>0.11764900000000003</v>
      </c>
      <c r="F2" s="91">
        <f>C2^4</f>
        <v>5.764801000000002E-2</v>
      </c>
      <c r="G2" s="91">
        <f>C2^5</f>
        <v>2.8247524900000012E-2</v>
      </c>
      <c r="H2" s="91">
        <f>C2^6</f>
        <v>1.3841287201000007E-2</v>
      </c>
      <c r="I2" s="91">
        <f>C2^7</f>
        <v>6.7822307284900038E-3</v>
      </c>
      <c r="J2" s="91">
        <f>C2^8</f>
        <v>3.3232930569601022E-3</v>
      </c>
      <c r="K2" s="91">
        <f>C2^9</f>
        <v>1.6284135979104503E-3</v>
      </c>
      <c r="L2" s="91">
        <f>C2^10</f>
        <v>7.9792266297612068E-4</v>
      </c>
      <c r="Q2" s="12"/>
    </row>
    <row r="3" spans="1:24">
      <c r="A3" s="25">
        <v>2</v>
      </c>
      <c r="B3" s="37">
        <f>'PERHITUNGAN 16'!O86</f>
        <v>1.8000000000000682E-2</v>
      </c>
      <c r="C3" s="37">
        <f>'PERHITUNGAN 16'!N86</f>
        <v>50.33</v>
      </c>
      <c r="D3" s="75">
        <f t="shared" ref="D3:D9" si="0">C3^2</f>
        <v>2533.1088999999997</v>
      </c>
      <c r="E3" s="37">
        <f t="shared" ref="E3:E9" si="1">C3^3</f>
        <v>127491.37093699999</v>
      </c>
      <c r="F3" s="91">
        <f t="shared" ref="F3:F9" si="2">C3^4</f>
        <v>6416640.6992592085</v>
      </c>
      <c r="G3" s="91">
        <f t="shared" ref="G3:G9" si="3">C3^5</f>
        <v>322949526.39371598</v>
      </c>
      <c r="H3" s="91">
        <f t="shared" ref="H3:H9" si="4">C3^6</f>
        <v>16254049663.395723</v>
      </c>
      <c r="I3" s="91">
        <f t="shared" ref="I3:I9" si="5">C3^7</f>
        <v>818066319558.70667</v>
      </c>
      <c r="J3" s="91">
        <f t="shared" ref="J3:J9" si="6">C3^8</f>
        <v>41173277863389.703</v>
      </c>
      <c r="K3" s="91">
        <f t="shared" ref="K3:K9" si="7">C3^9</f>
        <v>2072251074864403.8</v>
      </c>
      <c r="L3" s="91">
        <f t="shared" ref="L3:L9" si="8">C3^10</f>
        <v>1.0429639659792542E+17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16'!O87</f>
        <v>5.5000000000006821E-2</v>
      </c>
      <c r="C4" s="37">
        <f>'PERHITUNGAN 16'!N87</f>
        <v>99.83</v>
      </c>
      <c r="D4" s="75">
        <f t="shared" si="0"/>
        <v>9966.0288999999993</v>
      </c>
      <c r="E4" s="37">
        <f t="shared" si="1"/>
        <v>994908.66508699988</v>
      </c>
      <c r="F4" s="91">
        <f t="shared" si="2"/>
        <v>99321732.035635203</v>
      </c>
      <c r="G4" s="91">
        <f t="shared" si="3"/>
        <v>9915288509.1174622</v>
      </c>
      <c r="H4" s="91">
        <f t="shared" si="4"/>
        <v>989843251865.19617</v>
      </c>
      <c r="I4" s="91">
        <f t="shared" si="5"/>
        <v>98816051833702.531</v>
      </c>
      <c r="J4" s="91">
        <f t="shared" si="6"/>
        <v>9864806454558524</v>
      </c>
      <c r="K4" s="91">
        <f t="shared" si="7"/>
        <v>9.8480362835857741E+17</v>
      </c>
      <c r="L4" s="91">
        <f t="shared" si="8"/>
        <v>9.8312946219036787E+19</v>
      </c>
      <c r="R4" s="414" t="str">
        <f>IF('PERHITUNGAN 13'!$C$2="Celcius","(°C)","(°F)")</f>
        <v>(°C)</v>
      </c>
      <c r="S4" s="415"/>
      <c r="T4" s="5" t="str">
        <f>IF('PERHITUNGAN 13'!$C$2="Celcius","(°C)","(°F)")</f>
        <v>(°C)</v>
      </c>
      <c r="U4" s="14"/>
      <c r="V4" s="1"/>
    </row>
    <row r="5" spans="1:24">
      <c r="A5" s="25">
        <v>4</v>
      </c>
      <c r="B5" s="37">
        <f>'PERHITUNGAN 16'!O88</f>
        <v>-9.9999999999909051E-3</v>
      </c>
      <c r="C5" s="37">
        <f>'PERHITUNGAN 16'!N88</f>
        <v>149.72999999999999</v>
      </c>
      <c r="D5" s="75">
        <f t="shared" si="0"/>
        <v>22419.072899999996</v>
      </c>
      <c r="E5" s="37">
        <f t="shared" si="1"/>
        <v>3356807.7853169991</v>
      </c>
      <c r="F5" s="91">
        <f t="shared" si="2"/>
        <v>502614829.6955142</v>
      </c>
      <c r="G5" s="91">
        <f t="shared" si="3"/>
        <v>75256518450.309341</v>
      </c>
      <c r="H5" s="91">
        <f t="shared" si="4"/>
        <v>11268158507564.816</v>
      </c>
      <c r="I5" s="91">
        <f t="shared" si="5"/>
        <v>1687181373337679.8</v>
      </c>
      <c r="J5" s="91">
        <f t="shared" si="6"/>
        <v>2.5262166702985075E+17</v>
      </c>
      <c r="K5" s="91">
        <f t="shared" si="7"/>
        <v>3.7825042204379554E+19</v>
      </c>
      <c r="L5" s="91">
        <f t="shared" si="8"/>
        <v>5.6635435692617493E+21</v>
      </c>
      <c r="R5" s="412"/>
      <c r="S5" s="413"/>
      <c r="T5" s="21"/>
      <c r="U5" s="32"/>
    </row>
    <row r="6" spans="1:24">
      <c r="A6" s="25">
        <v>5</v>
      </c>
      <c r="B6" s="37">
        <f>'PERHITUNGAN 16'!O89</f>
        <v>0.17400000000000659</v>
      </c>
      <c r="C6" s="37">
        <f>'PERHITUNGAN 16'!N89</f>
        <v>199.29</v>
      </c>
      <c r="D6" s="75">
        <f t="shared" si="0"/>
        <v>39716.504099999998</v>
      </c>
      <c r="E6" s="37">
        <f t="shared" si="1"/>
        <v>7915102.102088999</v>
      </c>
      <c r="F6" s="91">
        <f t="shared" si="2"/>
        <v>1577400697.9253166</v>
      </c>
      <c r="G6" s="91">
        <f t="shared" si="3"/>
        <v>314360185089.53632</v>
      </c>
      <c r="H6" s="91">
        <f t="shared" si="4"/>
        <v>62648841286493.695</v>
      </c>
      <c r="I6" s="91">
        <f t="shared" si="5"/>
        <v>1.2485287579985328E+16</v>
      </c>
      <c r="J6" s="91">
        <f t="shared" si="6"/>
        <v>2.488192961815276E+18</v>
      </c>
      <c r="K6" s="91">
        <f t="shared" si="7"/>
        <v>4.9587197536016636E+20</v>
      </c>
      <c r="L6" s="91">
        <f t="shared" si="8"/>
        <v>9.8822325969527557E+22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16'!O90</f>
        <v>0.20799999999999841</v>
      </c>
      <c r="C7" s="37">
        <f>'PERHITUNGAN 16'!N90</f>
        <v>249.27000000000004</v>
      </c>
      <c r="D7" s="75">
        <f t="shared" si="0"/>
        <v>62135.53290000002</v>
      </c>
      <c r="E7" s="37">
        <f t="shared" si="1"/>
        <v>15488524.285983007</v>
      </c>
      <c r="F7" s="91">
        <f t="shared" si="2"/>
        <v>3860824448.7669849</v>
      </c>
      <c r="G7" s="91">
        <f t="shared" si="3"/>
        <v>962387710344.14648</v>
      </c>
      <c r="H7" s="91">
        <f t="shared" si="4"/>
        <v>239894384557485.44</v>
      </c>
      <c r="I7" s="91">
        <f t="shared" si="5"/>
        <v>5.97984732386444E+16</v>
      </c>
      <c r="J7" s="91">
        <f t="shared" si="6"/>
        <v>1.4905965424196893E+19</v>
      </c>
      <c r="K7" s="91">
        <f t="shared" si="7"/>
        <v>3.7156100012895602E+21</v>
      </c>
      <c r="L7" s="91">
        <f t="shared" si="8"/>
        <v>9.2619010502144879E+23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16'!O91</f>
        <v>0.242999999999995</v>
      </c>
      <c r="C8" s="37">
        <f>'PERHITUNGAN 16'!N91</f>
        <v>259.31</v>
      </c>
      <c r="D8" s="75">
        <f t="shared" si="0"/>
        <v>67241.676099999997</v>
      </c>
      <c r="E8" s="37">
        <f t="shared" si="1"/>
        <v>17436439.029491</v>
      </c>
      <c r="F8" s="91">
        <f t="shared" si="2"/>
        <v>4521443004.7373104</v>
      </c>
      <c r="G8" s="91">
        <f t="shared" si="3"/>
        <v>1172455385558.4319</v>
      </c>
      <c r="H8" s="91">
        <f t="shared" si="4"/>
        <v>304029406029157</v>
      </c>
      <c r="I8" s="91">
        <f t="shared" si="5"/>
        <v>7.8837865277420704E+16</v>
      </c>
      <c r="J8" s="91">
        <f t="shared" si="6"/>
        <v>2.0443446845087957E+19</v>
      </c>
      <c r="K8" s="91">
        <f t="shared" si="7"/>
        <v>5.301190201399758E+21</v>
      </c>
      <c r="L8" s="91">
        <f t="shared" si="8"/>
        <v>1.3746516311249712E+24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16'!O92</f>
        <v>0</v>
      </c>
      <c r="C9" s="37" t="e">
        <f>'PERHITUNGAN 16'!N92</f>
        <v>#DIV/0!</v>
      </c>
      <c r="D9" s="75" t="e">
        <f t="shared" si="0"/>
        <v>#DIV/0!</v>
      </c>
      <c r="E9" s="37" t="e">
        <f t="shared" si="1"/>
        <v>#DIV/0!</v>
      </c>
      <c r="F9" s="91" t="e">
        <f t="shared" si="2"/>
        <v>#DIV/0!</v>
      </c>
      <c r="G9" s="91" t="e">
        <f t="shared" si="3"/>
        <v>#DIV/0!</v>
      </c>
      <c r="H9" s="91" t="e">
        <f t="shared" si="4"/>
        <v>#DIV/0!</v>
      </c>
      <c r="I9" s="91" t="e">
        <f t="shared" si="5"/>
        <v>#DIV/0!</v>
      </c>
      <c r="J9" s="91" t="e">
        <f t="shared" si="6"/>
        <v>#DIV/0!</v>
      </c>
      <c r="K9" s="91" t="e">
        <f t="shared" si="7"/>
        <v>#DIV/0!</v>
      </c>
      <c r="L9" s="91" t="e">
        <f t="shared" si="8"/>
        <v>#DIV/0!</v>
      </c>
      <c r="R9" s="408"/>
      <c r="S9" s="409"/>
      <c r="T9" s="23"/>
      <c r="U9" s="27"/>
      <c r="V9" s="88"/>
    </row>
    <row r="10" spans="1:24">
      <c r="A10" s="25">
        <v>9</v>
      </c>
      <c r="B10" s="37"/>
      <c r="C10" s="37"/>
      <c r="D10" s="75"/>
      <c r="E10" s="37"/>
      <c r="F10" s="91"/>
      <c r="G10" s="91"/>
      <c r="H10" s="91"/>
      <c r="I10" s="91"/>
      <c r="J10" s="91"/>
      <c r="K10" s="91"/>
      <c r="L10" s="91"/>
      <c r="R10" s="408"/>
      <c r="S10" s="409"/>
      <c r="T10" s="23"/>
      <c r="U10" s="27"/>
      <c r="V10" s="88"/>
    </row>
    <row r="11" spans="1:24">
      <c r="A11" s="25">
        <v>10</v>
      </c>
      <c r="B11" s="37"/>
      <c r="C11" s="37"/>
      <c r="D11" s="75"/>
      <c r="E11" s="37"/>
      <c r="F11" s="91"/>
      <c r="G11" s="91"/>
      <c r="H11" s="91"/>
      <c r="I11" s="91"/>
      <c r="J11" s="91"/>
      <c r="K11" s="91"/>
      <c r="L11" s="91"/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f>'REGRESI 15'!R19:S19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-0.80365631850890584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15'!R20:S20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-0.46864765392465024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15'!R21:S21</f>
        <v>25</v>
      </c>
      <c r="S21" s="409"/>
      <c r="T21" s="23">
        <f t="shared" si="9"/>
        <v>0.28765051188471075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15'!R22:S22</f>
        <v>50</v>
      </c>
      <c r="S22" s="409"/>
      <c r="T22" s="23">
        <f t="shared" si="9"/>
        <v>0.90394582375890153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15'!R23:S23</f>
        <v>100</v>
      </c>
      <c r="S23" s="409"/>
      <c r="T23" s="23">
        <f t="shared" si="9"/>
        <v>1.5966814421064781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15'!R24:S24</f>
        <v>125</v>
      </c>
      <c r="S24" s="409"/>
      <c r="T24" s="23">
        <f t="shared" si="9"/>
        <v>1.6131985267822164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15'!R25:S25</f>
        <v>150</v>
      </c>
      <c r="S25" s="409"/>
      <c r="T25" s="23">
        <f t="shared" si="9"/>
        <v>1.3698663139274898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15'!R26:S26</f>
        <v>200</v>
      </c>
      <c r="S26" s="409"/>
      <c r="T26" s="23">
        <f t="shared" si="9"/>
        <v>-1.6192447968651713E-2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15'!R27:S27</f>
        <v>0</v>
      </c>
      <c r="S27" s="409"/>
      <c r="T27" s="23">
        <f t="shared" si="9"/>
        <v>-0.46864765392465024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15'!R28:S28</f>
        <v>0</v>
      </c>
      <c r="S28" s="409"/>
      <c r="T28" s="23">
        <f t="shared" si="9"/>
        <v>-0.46864765392465024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0.96416659540183469</v>
      </c>
      <c r="Q33" s="31" t="s">
        <v>100</v>
      </c>
      <c r="U33" s="70"/>
    </row>
    <row r="34" spans="2:24">
      <c r="B34" t="s">
        <v>76</v>
      </c>
      <c r="C34">
        <v>0.92961722368876509</v>
      </c>
      <c r="X34" s="46"/>
    </row>
    <row r="35" spans="2:24">
      <c r="B35" t="s">
        <v>77</v>
      </c>
      <c r="C35">
        <v>0.876830141455339</v>
      </c>
      <c r="Q35" t="s">
        <v>99</v>
      </c>
    </row>
    <row r="36" spans="2:24">
      <c r="B36" t="s">
        <v>78</v>
      </c>
      <c r="C36">
        <v>0.34017152024521169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-0.46864765392465024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0"/>
        <v>3.2652495565760192E-2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-8.8032994429077183E-5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6.1135527072562432</v>
      </c>
      <c r="E41">
        <v>2.0378509024187479</v>
      </c>
      <c r="F41">
        <v>17.61069535114612</v>
      </c>
      <c r="G41">
        <v>9.0673826980058915E-3</v>
      </c>
      <c r="R41" s="26" t="s">
        <v>112</v>
      </c>
      <c r="S41">
        <f t="shared" si="10"/>
        <v>-3.1959051625411908E-7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0.46286665274375388</v>
      </c>
      <c r="E42">
        <v>0.11571666318593847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6.5764193599999974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-0.46864765392465024</v>
      </c>
      <c r="D46">
        <v>0.20405885106671492</v>
      </c>
      <c r="E46">
        <v>-2.2966298765027875</v>
      </c>
      <c r="F46">
        <v>8.3247160066482459E-2</v>
      </c>
      <c r="G46">
        <v>-1.0352058521411163</v>
      </c>
      <c r="H46">
        <v>9.7910544291815893E-2</v>
      </c>
      <c r="I46">
        <v>-1.0352058521411163</v>
      </c>
      <c r="J46">
        <v>9.7910544291815893E-2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3.2652495565760192E-2</v>
      </c>
      <c r="D47">
        <v>1.1739209104273084E-2</v>
      </c>
      <c r="E47">
        <v>2.7814902414400859</v>
      </c>
      <c r="F47">
        <v>4.9742652884850184E-2</v>
      </c>
      <c r="G47">
        <v>5.9225909307819569E-5</v>
      </c>
      <c r="H47">
        <v>6.5245765222212565E-2</v>
      </c>
      <c r="I47">
        <v>5.9225909307819569E-5</v>
      </c>
      <c r="J47">
        <v>6.5245765222212565E-2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-8.8032994429077183E-5</v>
      </c>
      <c r="D48">
        <v>1.5696374292364161E-4</v>
      </c>
      <c r="E48">
        <v>-0.56084923046147495</v>
      </c>
      <c r="F48">
        <v>0.60482894855387315</v>
      </c>
      <c r="G48">
        <v>-5.2383421016294676E-4</v>
      </c>
      <c r="H48">
        <v>3.4776822130479234E-4</v>
      </c>
      <c r="I48">
        <v>-5.2383421016294676E-4</v>
      </c>
      <c r="J48">
        <v>3.4776822130479234E-4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-3.1959051625411908E-7</v>
      </c>
      <c r="D49" s="67">
        <v>5.3130179415716384E-7</v>
      </c>
      <c r="E49" s="67">
        <v>-0.60152350277887701</v>
      </c>
      <c r="F49" s="67">
        <v>0.57992047396167468</v>
      </c>
      <c r="G49" s="67">
        <v>-1.7947207820245823E-6</v>
      </c>
      <c r="H49" s="67">
        <v>1.155539749516344E-6</v>
      </c>
      <c r="I49" s="67">
        <v>-1.7947207820245823E-6</v>
      </c>
      <c r="J49" s="67">
        <v>1.155539749516344E-6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7B40C-9BD8-426A-8F11-EAC93DDBDE02}">
  <dimension ref="A1:AH187"/>
  <sheetViews>
    <sheetView workbookViewId="0">
      <selection activeCell="K101" sqref="K101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13'!$C$2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13'!G3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13'!E5</f>
        <v>Termometer Digital</v>
      </c>
      <c r="F5" s="11"/>
      <c r="G5" s="11" t="s">
        <v>127</v>
      </c>
      <c r="H5" s="11" t="s">
        <v>16</v>
      </c>
      <c r="I5" s="66" t="str">
        <f>'PERHITUNGAN 13'!I5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13'!E6</f>
        <v>Hioki / LR 8431-20</v>
      </c>
      <c r="F6" s="11"/>
      <c r="G6" s="11" t="s">
        <v>128</v>
      </c>
      <c r="H6" s="11" t="s">
        <v>16</v>
      </c>
      <c r="I6" s="129">
        <f>'PERHITUNGAN 13'!I6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13'!E7</f>
        <v>210149173</v>
      </c>
      <c r="F7" s="11"/>
      <c r="G7" s="11" t="s">
        <v>44</v>
      </c>
      <c r="H7" s="11" t="s">
        <v>16</v>
      </c>
      <c r="I7" s="31">
        <v>17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13'!E11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13'!E12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13'!E13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13'!E14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13'!E17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13'!E18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13'!E19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13'!E21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13'!D24</f>
        <v>22</v>
      </c>
      <c r="E23" s="244">
        <f>'PERHITUNGAN 13'!E24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13'!D25</f>
        <v>22</v>
      </c>
      <c r="E24" s="244">
        <f>'PERHITUNGAN 13'!E25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13'!D28</f>
        <v>20</v>
      </c>
      <c r="E27" s="244">
        <f>'PERHITUNGAN 13'!E28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13'!D29</f>
        <v>20</v>
      </c>
      <c r="E28" s="244">
        <f>'PERHITUNGAN 13'!E29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13'!D33</f>
        <v>55</v>
      </c>
      <c r="E32" s="244">
        <f>'PERHITUNGAN 13'!E33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13'!D34</f>
        <v>55</v>
      </c>
      <c r="E33" s="244">
        <f>'PERHITUNGAN 13'!E34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0.20300000000000001</v>
      </c>
      <c r="P36" s="380">
        <f>F56</f>
        <v>50.348999999999997</v>
      </c>
      <c r="Q36" s="380">
        <f>F64</f>
        <v>99.885000000000005</v>
      </c>
      <c r="R36" s="380">
        <f>F72</f>
        <v>149.71799999999999</v>
      </c>
      <c r="S36" s="380">
        <f>F80</f>
        <v>199.46299999999999</v>
      </c>
      <c r="T36" s="380">
        <f>F88</f>
        <v>249.47800000000001</v>
      </c>
      <c r="U36" s="380">
        <f>F96</f>
        <v>259.55399999999997</v>
      </c>
      <c r="V36" s="380" t="e">
        <f>F104</f>
        <v>#DIV/0!</v>
      </c>
      <c r="W36" s="380" t="e">
        <f>F112</f>
        <v>#DIV/0!</v>
      </c>
      <c r="X36" s="380" t="e">
        <f>F120</f>
        <v>#DIV/0!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17'!$E$11="Burn Engr",IF(O36&lt;=$AA$38,$AB$38,$AB$39),IF(O36&lt;=$AC$38,$AD$38,IF(O36&lt;=$AC$39,$AD$39,$AD$40)))</f>
        <v>7.0000000000000007E-2</v>
      </c>
      <c r="P38" s="54">
        <f>IF('PERHITUNGAN 17'!$E$11="Burn Engr",IF(P36&lt;=$AA$38,$AB$38,$AB$39),IF(P36&lt;=$AC$38,$AD$38,IF(P36&lt;=$AC$39,$AD$39,$AD$40)))</f>
        <v>7.0000000000000007E-2</v>
      </c>
      <c r="Q38" s="54">
        <f>IF('PERHITUNGAN 17'!$E$11="Burn Engr",IF(Q36&lt;=$AA$38,$AB$38,$AB$39),IF(Q36&lt;=$AC$38,$AD$38,IF(Q36&lt;=$AC$39,$AD$39,$AD$40)))</f>
        <v>7.0000000000000007E-2</v>
      </c>
      <c r="R38" s="54">
        <f>IF('PERHITUNGAN 17'!$E$11="Burn Engr",IF(R36&lt;=$AA$38,$AB$38,$AB$39),IF(R36&lt;=$AC$38,$AD$38,IF(R36&lt;=$AC$39,$AD$39,$AD$40)))</f>
        <v>7.0000000000000007E-2</v>
      </c>
      <c r="S38" s="54">
        <f>IF('PERHITUNGAN 17'!$E$11="Burn Engr",IF(S36&lt;=$AA$38,$AB$38,$AB$39),IF(S36&lt;=$AC$38,$AD$38,IF(S36&lt;=$AC$39,$AD$39,$AD$40)))</f>
        <v>7.0000000000000007E-2</v>
      </c>
      <c r="T38" s="54">
        <f>IF('PERHITUNGAN 17'!$E$11="Burn Engr",IF(T36&lt;=$AA$38,$AB$38,$AB$39),IF(T36&lt;=$AC$38,$AD$38,IF(T36&lt;=$AC$39,$AD$39,$AD$40)))</f>
        <v>7.0000000000000007E-2</v>
      </c>
      <c r="U38" s="54">
        <f>IF('PERHITUNGAN 17'!$E$11="Burn Engr",IF(U36&lt;=$AA$38,$AB$38,$AB$39),IF(U36&lt;=$AC$38,$AD$38,IF(U36&lt;=$AC$39,$AD$39,$AD$40)))</f>
        <v>7.0000000000000007E-2</v>
      </c>
      <c r="V38" s="54" t="e">
        <f>IF('PERHITUNGAN 17'!$E$11="Burn Engr",IF(V36&lt;=$AA$38,$AB$38,$AB$39),IF(V36&lt;=$AC$38,$AD$38,IF(V36&lt;=$AC$39,$AD$39,$AD$40)))</f>
        <v>#DIV/0!</v>
      </c>
      <c r="W38" s="54" t="e">
        <f>IF('PERHITUNGAN 17'!$E$11="Burn Engr",IF(W36&lt;=$AA$38,$AB$38,$AB$39),IF(W36&lt;=$AC$38,$AD$38,IF(W36&lt;=$AC$39,$AD$39,$AD$40)))</f>
        <v>#DIV/0!</v>
      </c>
      <c r="X38" s="54" t="e">
        <f>IF('PERHITUNGAN 17'!$E$11="Burn Engr",IF(X36&lt;=$AA$38,$AB$38,$AB$39),IF(X36&lt;=$AC$38,$AD$38,IF(X36&lt;=$AC$39,$AD$39,$AD$40)))</f>
        <v>#DIV/0!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3.5000000000000003E-2</v>
      </c>
      <c r="P40" s="37">
        <f t="shared" ref="P40:X40" si="1">P38/P39</f>
        <v>3.5000000000000003E-2</v>
      </c>
      <c r="Q40" s="37">
        <f t="shared" si="1"/>
        <v>3.5000000000000003E-2</v>
      </c>
      <c r="R40" s="37">
        <f>R38/R39</f>
        <v>3.5000000000000003E-2</v>
      </c>
      <c r="S40" s="37">
        <f t="shared" si="1"/>
        <v>3.5000000000000003E-2</v>
      </c>
      <c r="T40" s="37">
        <f t="shared" si="1"/>
        <v>3.5000000000000003E-2</v>
      </c>
      <c r="U40" s="37">
        <f t="shared" si="1"/>
        <v>3.5000000000000003E-2</v>
      </c>
      <c r="V40" s="37" t="e">
        <f t="shared" si="1"/>
        <v>#DIV/0!</v>
      </c>
      <c r="W40" s="37" t="e">
        <f t="shared" si="1"/>
        <v>#DIV/0!</v>
      </c>
      <c r="X40" s="37" t="e">
        <f t="shared" si="1"/>
        <v>#DIV/0!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0</v>
      </c>
      <c r="C43" s="373">
        <v>0.25</v>
      </c>
      <c r="D43" s="374"/>
      <c r="E43" s="90">
        <v>0.20300000000000001</v>
      </c>
      <c r="F43" s="37">
        <f>IF('PERHITUNGAN 17'!$E$11="Burn Engr",'PERHITUNGAN 17'!E43,E43+('regresi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0.20300000000000001</v>
      </c>
      <c r="G43" s="90">
        <f>F43-C43</f>
        <v>-4.6999999999999986E-2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0.25</v>
      </c>
      <c r="D44" s="374"/>
      <c r="E44" s="90">
        <v>0.20300000000000001</v>
      </c>
      <c r="F44" s="37">
        <f>IF('PERHITUNGAN 17'!$E$11="Burn Engr",'PERHITUNGAN 17'!E44,E44+('regresi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0.20300000000000001</v>
      </c>
      <c r="G44" s="90">
        <f>F44-C44</f>
        <v>-4.6999999999999986E-2</v>
      </c>
      <c r="H44" s="63"/>
      <c r="I44" s="63"/>
      <c r="AB44" s="1"/>
    </row>
    <row r="45" spans="1:30" ht="13.5" customHeight="1">
      <c r="A45" s="105"/>
      <c r="C45" s="373">
        <v>0.25</v>
      </c>
      <c r="D45" s="374"/>
      <c r="E45" s="90">
        <v>0.20300000000000001</v>
      </c>
      <c r="F45" s="37">
        <f>IF('PERHITUNGAN 17'!$E$11="Burn Engr",'PERHITUNGAN 17'!E45,E45+('regresi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0.20300000000000001</v>
      </c>
      <c r="G45" s="90">
        <f>F45-C45</f>
        <v>-4.6999999999999986E-2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0.25</v>
      </c>
      <c r="D46" s="374"/>
      <c r="E46" s="90">
        <v>0.20300000000000001</v>
      </c>
      <c r="F46" s="37">
        <f>IF('PERHITUNGAN 17'!$E$11="Burn Engr",'PERHITUNGAN 17'!E46,E46+('regresi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0.20300000000000001</v>
      </c>
      <c r="G46" s="90">
        <f>F46-C46</f>
        <v>-4.6999999999999986E-2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0.25</v>
      </c>
      <c r="D47" s="374"/>
      <c r="E47" s="90">
        <v>0.20300000000000001</v>
      </c>
      <c r="F47" s="37">
        <f>IF('PERHITUNGAN 17'!$E$11="Burn Engr",'PERHITUNGAN 17'!E47,E47+('regresi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0.20300000000000001</v>
      </c>
      <c r="G47" s="90">
        <f>F47-C47</f>
        <v>-4.6999999999999986E-2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0.25</v>
      </c>
      <c r="D48" s="357"/>
      <c r="E48" s="95">
        <f>AVERAGE(E43:E47)</f>
        <v>0.20300000000000001</v>
      </c>
      <c r="F48" s="95">
        <f>AVERAGE(F43:F47)</f>
        <v>0.20300000000000001</v>
      </c>
      <c r="G48" s="95">
        <f>SUM(G43:G47)/5</f>
        <v>-4.6999999999999986E-2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0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0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>
        <v>50</v>
      </c>
      <c r="C51" s="373">
        <v>40.49</v>
      </c>
      <c r="D51" s="374"/>
      <c r="E51" s="90">
        <v>50.348999999999997</v>
      </c>
      <c r="F51" s="37">
        <f>IF('PERHITUNGAN 17'!$E$11="Burn Engr",'PERHITUNGAN 17'!E51,E51+('regresi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50.348999999999997</v>
      </c>
      <c r="G51" s="90">
        <f>F51-C51</f>
        <v>9.8589999999999947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>
        <v>40.49</v>
      </c>
      <c r="D52" s="374"/>
      <c r="E52" s="90">
        <v>50.348999999999997</v>
      </c>
      <c r="F52" s="37">
        <f>IF('PERHITUNGAN 17'!$E$11="Burn Engr",'PERHITUNGAN 17'!E52,E52+('regresi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50.348999999999997</v>
      </c>
      <c r="G52" s="90">
        <f>F52-C52</f>
        <v>9.8589999999999947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>
        <v>40.49</v>
      </c>
      <c r="D53" s="374"/>
      <c r="E53" s="90">
        <v>50.348999999999997</v>
      </c>
      <c r="F53" s="37">
        <f>IF('PERHITUNGAN 17'!$E$11="Burn Engr",'PERHITUNGAN 17'!E53,E53+('regresi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50.348999999999997</v>
      </c>
      <c r="G53" s="90">
        <f>F53-C53</f>
        <v>9.8589999999999947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40.49</v>
      </c>
      <c r="D54" s="374"/>
      <c r="E54" s="90">
        <v>50.348999999999997</v>
      </c>
      <c r="F54" s="37">
        <f>IF('PERHITUNGAN 17'!$E$11="Burn Engr",'PERHITUNGAN 17'!E54,E54+('regresi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50.348999999999997</v>
      </c>
      <c r="G54" s="90">
        <f>F54-C54</f>
        <v>9.8589999999999947</v>
      </c>
      <c r="H54" s="63"/>
      <c r="I54" s="63"/>
      <c r="AB54" s="1"/>
    </row>
    <row r="55" spans="1:28" ht="13.5" customHeight="1">
      <c r="A55" s="10"/>
      <c r="C55" s="373">
        <v>40.49</v>
      </c>
      <c r="D55" s="374"/>
      <c r="E55" s="90">
        <v>50.348999999999997</v>
      </c>
      <c r="F55" s="37">
        <f>IF('PERHITUNGAN 17'!$E$11="Burn Engr",'PERHITUNGAN 17'!E55,E55+('regresi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50.348999999999997</v>
      </c>
      <c r="G55" s="90">
        <f>F55-C55</f>
        <v>9.8589999999999947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40.49</v>
      </c>
      <c r="D56" s="334"/>
      <c r="E56" s="95">
        <f>AVERAGE(E51:E55)</f>
        <v>50.348999999999997</v>
      </c>
      <c r="F56" s="95">
        <f t="shared" ref="F56" si="3">AVERAGE(F51:F55)</f>
        <v>50.348999999999997</v>
      </c>
      <c r="G56" s="95">
        <f>SUM(G51:G55)/5</f>
        <v>9.8589999999999947</v>
      </c>
      <c r="H56" s="63"/>
      <c r="I56" s="63"/>
      <c r="N56" s="390"/>
      <c r="O56" s="115">
        <f>C48</f>
        <v>0.25</v>
      </c>
      <c r="P56" s="115">
        <f>C56</f>
        <v>40.49</v>
      </c>
      <c r="Q56" s="115">
        <f>C64</f>
        <v>100.35</v>
      </c>
      <c r="R56" s="115">
        <f>C72</f>
        <v>149.93</v>
      </c>
      <c r="S56" s="115">
        <f>C80</f>
        <v>199.27</v>
      </c>
      <c r="T56" s="115">
        <f>C88</f>
        <v>249.21999999999997</v>
      </c>
      <c r="U56" s="115">
        <f>C96</f>
        <v>259.33</v>
      </c>
      <c r="V56" s="115" t="e">
        <f>C104</f>
        <v>#DIV/0!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0</v>
      </c>
      <c r="H57" s="44"/>
      <c r="I57" s="63"/>
      <c r="N57" s="25" t="s">
        <v>152</v>
      </c>
      <c r="O57" s="112">
        <f>$G$49/5^0.5</f>
        <v>0</v>
      </c>
      <c r="P57" s="112">
        <f>$G$57/5^0.5</f>
        <v>0</v>
      </c>
      <c r="Q57" s="112">
        <f>$G$65/5^0.5</f>
        <v>0</v>
      </c>
      <c r="R57" s="112">
        <f>$G$73/5^0.5</f>
        <v>0</v>
      </c>
      <c r="S57" s="112">
        <f>$G$81/5^0.5</f>
        <v>0</v>
      </c>
      <c r="T57" s="112">
        <f>$G$89/5^0.5</f>
        <v>0</v>
      </c>
      <c r="U57" s="112">
        <f>$G$97/5^0.5</f>
        <v>0</v>
      </c>
      <c r="V57" s="112" t="e">
        <f>$G$105/5^0.5</f>
        <v>#DIV/0!</v>
      </c>
      <c r="W57" s="112" t="e">
        <f>$G$113/5^0.5</f>
        <v>#DIV/0!</v>
      </c>
      <c r="X57" s="112" t="e">
        <f>$G$121/5^0.5</f>
        <v>#DIV/0!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0</v>
      </c>
      <c r="H58" s="44"/>
      <c r="I58" s="63"/>
      <c r="N58" s="25" t="s">
        <v>153</v>
      </c>
      <c r="O58" s="113">
        <f>IF('DRAFT-SERTIF'!$O$27="Ya",'REGRESI 17'!$C$36,0)</f>
        <v>0.14870455450280831</v>
      </c>
      <c r="P58" s="113">
        <f>IF('DRAFT-SERTIF'!$O$27="Ya",'REGRESI 17'!$C$36,0)</f>
        <v>0.14870455450280831</v>
      </c>
      <c r="Q58" s="113">
        <f>IF('DRAFT-SERTIF'!$O$27="Ya",'REGRESI 17'!$C$36,0)</f>
        <v>0.14870455450280831</v>
      </c>
      <c r="R58" s="113">
        <f>IF('DRAFT-SERTIF'!$O$27="Ya",'REGRESI 17'!$C$36,0)</f>
        <v>0.14870455450280831</v>
      </c>
      <c r="S58" s="113">
        <f>IF('DRAFT-SERTIF'!$O$27="Ya",'REGRESI 17'!$C$36,0)</f>
        <v>0.14870455450280831</v>
      </c>
      <c r="T58" s="113">
        <f>IF('DRAFT-SERTIF'!$O$27="Ya",'REGRESI 17'!$C$36,0)</f>
        <v>0.14870455450280831</v>
      </c>
      <c r="U58" s="113">
        <f>IF('DRAFT-SERTIF'!$O$27="Ya",'REGRESI 17'!$C$36,0)</f>
        <v>0.14870455450280831</v>
      </c>
      <c r="V58" s="113">
        <f>IF('DRAFT-SERTIF'!$O$27="Ya",'REGRESI 17'!$C$36,0)</f>
        <v>0.14870455450280831</v>
      </c>
      <c r="W58" s="113">
        <f>IF('DRAFT-SERTIF'!$O$27="Ya",'REGRESI 17'!$C$36,0)</f>
        <v>0.14870455450280831</v>
      </c>
      <c r="X58" s="113">
        <f>IF('DRAFT-SERTIF'!$O$27="Ya",'REGRESI 17'!$C$36,0)</f>
        <v>0.14870455450280831</v>
      </c>
      <c r="AB58" s="1"/>
    </row>
    <row r="59" spans="1:28" ht="13.5" customHeight="1">
      <c r="A59" s="105">
        <v>3</v>
      </c>
      <c r="B59" s="196">
        <v>100</v>
      </c>
      <c r="C59" s="327">
        <v>100.35</v>
      </c>
      <c r="D59" s="327"/>
      <c r="E59" s="15">
        <v>99.885000000000005</v>
      </c>
      <c r="F59" s="37">
        <f>IF('PERHITUNGAN 17'!$E$11="Burn Engr",'PERHITUNGAN 17'!E59,E59+('regresi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99.885000000000005</v>
      </c>
      <c r="G59" s="90">
        <f>F59-C59</f>
        <v>-0.4649999999999892</v>
      </c>
      <c r="H59" s="63"/>
      <c r="I59" s="63"/>
      <c r="N59" s="25" t="s">
        <v>154</v>
      </c>
      <c r="O59" s="91">
        <f t="shared" ref="O59:X59" si="4">O40</f>
        <v>3.5000000000000003E-2</v>
      </c>
      <c r="P59" s="91">
        <f t="shared" si="4"/>
        <v>3.5000000000000003E-2</v>
      </c>
      <c r="Q59" s="91">
        <f t="shared" si="4"/>
        <v>3.5000000000000003E-2</v>
      </c>
      <c r="R59" s="91">
        <f t="shared" si="4"/>
        <v>3.5000000000000003E-2</v>
      </c>
      <c r="S59" s="91">
        <f t="shared" si="4"/>
        <v>3.5000000000000003E-2</v>
      </c>
      <c r="T59" s="91">
        <f t="shared" si="4"/>
        <v>3.5000000000000003E-2</v>
      </c>
      <c r="U59" s="91">
        <f t="shared" si="4"/>
        <v>3.5000000000000003E-2</v>
      </c>
      <c r="V59" s="91" t="e">
        <f t="shared" si="4"/>
        <v>#DIV/0!</v>
      </c>
      <c r="W59" s="91" t="e">
        <f t="shared" si="4"/>
        <v>#DIV/0!</v>
      </c>
      <c r="X59" s="91" t="e">
        <f t="shared" si="4"/>
        <v>#DIV/0!</v>
      </c>
    </row>
    <row r="60" spans="1:28">
      <c r="A60" s="10"/>
      <c r="C60" s="327">
        <v>100.35</v>
      </c>
      <c r="D60" s="327"/>
      <c r="E60" s="15">
        <v>99.885000000000005</v>
      </c>
      <c r="F60" s="37">
        <f>IF('PERHITUNGAN 17'!$E$11="Burn Engr",'PERHITUNGAN 17'!E60,E60+('regresi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99.885000000000005</v>
      </c>
      <c r="G60" s="90">
        <f>F60-C60</f>
        <v>-0.4649999999999892</v>
      </c>
      <c r="H60" s="63"/>
      <c r="I60" s="63"/>
      <c r="N60" s="133" t="s">
        <v>155</v>
      </c>
      <c r="O60" s="134">
        <f>'PERHITUNGAN 13'!O61</f>
        <v>1.5000000000000003E-2</v>
      </c>
      <c r="P60" s="134">
        <f>'PERHITUNGAN 13'!P61</f>
        <v>0.01</v>
      </c>
      <c r="Q60" s="134">
        <f>'PERHITUNGAN 13'!Q61</f>
        <v>5.0000000000000001E-3</v>
      </c>
      <c r="R60" s="134">
        <f>'PERHITUNGAN 13'!R61</f>
        <v>1.4999999999999999E-2</v>
      </c>
      <c r="S60" s="134">
        <f>'PERHITUNGAN 13'!S61</f>
        <v>5.0000000000000001E-3</v>
      </c>
      <c r="T60" s="134">
        <f>'PERHITUNGAN 13'!T61</f>
        <v>0.05</v>
      </c>
      <c r="U60" s="134">
        <f>'PERHITUNGAN 13'!U61</f>
        <v>0.05</v>
      </c>
      <c r="V60" s="134">
        <f>'PERHITUNGAN 13'!V61</f>
        <v>1.5000000000000003E-2</v>
      </c>
      <c r="W60" s="134">
        <f>'PERHITUNGAN 13'!W61</f>
        <v>1.4999999999999999E-2</v>
      </c>
      <c r="X60" s="134">
        <f>'PERHITUNGAN 13'!X61</f>
        <v>1.4999999999999999E-2</v>
      </c>
    </row>
    <row r="61" spans="1:28">
      <c r="A61" s="10"/>
      <c r="C61" s="327">
        <v>100.35</v>
      </c>
      <c r="D61" s="327"/>
      <c r="E61" s="15">
        <v>99.885000000000005</v>
      </c>
      <c r="F61" s="37">
        <f>IF('PERHITUNGAN 17'!$E$11="Burn Engr",'PERHITUNGAN 17'!E61,E61+('regresi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99.885000000000005</v>
      </c>
      <c r="G61" s="90">
        <f>F61-C61</f>
        <v>-0.4649999999999892</v>
      </c>
      <c r="H61" s="63"/>
      <c r="I61" s="63"/>
      <c r="N61" s="25" t="s">
        <v>156</v>
      </c>
      <c r="O61" s="114">
        <f>(0.1*O38)/SQRT(3)</f>
        <v>4.041451884327381E-3</v>
      </c>
      <c r="P61" s="114">
        <f t="shared" ref="P61:X61" si="5">(0.1*P38)/SQRT(3)</f>
        <v>4.041451884327381E-3</v>
      </c>
      <c r="Q61" s="114">
        <f t="shared" si="5"/>
        <v>4.041451884327381E-3</v>
      </c>
      <c r="R61" s="114">
        <f t="shared" si="5"/>
        <v>4.041451884327381E-3</v>
      </c>
      <c r="S61" s="114">
        <f t="shared" si="5"/>
        <v>4.041451884327381E-3</v>
      </c>
      <c r="T61" s="114">
        <f t="shared" si="5"/>
        <v>4.041451884327381E-3</v>
      </c>
      <c r="U61" s="114">
        <f t="shared" si="5"/>
        <v>4.041451884327381E-3</v>
      </c>
      <c r="V61" s="114" t="e">
        <f t="shared" si="5"/>
        <v>#DIV/0!</v>
      </c>
      <c r="W61" s="114" t="e">
        <f t="shared" si="5"/>
        <v>#DIV/0!</v>
      </c>
      <c r="X61" s="114" t="e">
        <f t="shared" si="5"/>
        <v>#DIV/0!</v>
      </c>
    </row>
    <row r="62" spans="1:28">
      <c r="A62" s="10"/>
      <c r="C62" s="327">
        <v>100.35</v>
      </c>
      <c r="D62" s="327"/>
      <c r="E62" s="15">
        <v>99.885000000000005</v>
      </c>
      <c r="F62" s="37">
        <f>IF('PERHITUNGAN 17'!$E$11="Burn Engr",'PERHITUNGAN 17'!E62,E62+('regresi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99.885000000000005</v>
      </c>
      <c r="G62" s="90">
        <f>F62-C62</f>
        <v>-0.4649999999999892</v>
      </c>
      <c r="H62" s="63"/>
      <c r="I62" s="63"/>
      <c r="N62" s="25" t="s">
        <v>157</v>
      </c>
      <c r="O62" s="114">
        <f t="shared" ref="O62:X62" si="6">$T$28</f>
        <v>2.886751345948129E-3</v>
      </c>
      <c r="P62" s="114">
        <f t="shared" si="6"/>
        <v>2.886751345948129E-3</v>
      </c>
      <c r="Q62" s="114">
        <f t="shared" si="6"/>
        <v>2.886751345948129E-3</v>
      </c>
      <c r="R62" s="114">
        <f t="shared" si="6"/>
        <v>2.886751345948129E-3</v>
      </c>
      <c r="S62" s="114">
        <f t="shared" si="6"/>
        <v>2.886751345948129E-3</v>
      </c>
      <c r="T62" s="114">
        <f t="shared" si="6"/>
        <v>2.886751345948129E-3</v>
      </c>
      <c r="U62" s="114">
        <f t="shared" si="6"/>
        <v>2.886751345948129E-3</v>
      </c>
      <c r="V62" s="114">
        <f t="shared" si="6"/>
        <v>2.886751345948129E-3</v>
      </c>
      <c r="W62" s="114">
        <f t="shared" si="6"/>
        <v>2.886751345948129E-3</v>
      </c>
      <c r="X62" s="114">
        <f t="shared" si="6"/>
        <v>2.886751345948129E-3</v>
      </c>
    </row>
    <row r="63" spans="1:28">
      <c r="A63" s="10"/>
      <c r="C63" s="327">
        <v>100.35</v>
      </c>
      <c r="D63" s="327"/>
      <c r="E63" s="15">
        <v>99.885000000000005</v>
      </c>
      <c r="F63" s="37">
        <f>IF('PERHITUNGAN 17'!$E$11="Burn Engr",'PERHITUNGAN 17'!E63,E63+('regresi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99.885000000000005</v>
      </c>
      <c r="G63" s="90">
        <f>F63-C63</f>
        <v>-0.4649999999999892</v>
      </c>
      <c r="H63" s="63"/>
      <c r="I63" s="63"/>
      <c r="N63" s="25" t="s">
        <v>158</v>
      </c>
      <c r="O63" s="114">
        <f t="shared" ref="O63:X63" si="7">$T$26</f>
        <v>2.886751345948129E-4</v>
      </c>
      <c r="P63" s="114">
        <f t="shared" si="7"/>
        <v>2.886751345948129E-4</v>
      </c>
      <c r="Q63" s="114">
        <f t="shared" si="7"/>
        <v>2.886751345948129E-4</v>
      </c>
      <c r="R63" s="114">
        <f t="shared" si="7"/>
        <v>2.886751345948129E-4</v>
      </c>
      <c r="S63" s="114">
        <f t="shared" si="7"/>
        <v>2.886751345948129E-4</v>
      </c>
      <c r="T63" s="114">
        <f t="shared" si="7"/>
        <v>2.886751345948129E-4</v>
      </c>
      <c r="U63" s="114">
        <f t="shared" si="7"/>
        <v>2.886751345948129E-4</v>
      </c>
      <c r="V63" s="114">
        <f t="shared" si="7"/>
        <v>2.886751345948129E-4</v>
      </c>
      <c r="W63" s="114">
        <f t="shared" si="7"/>
        <v>2.886751345948129E-4</v>
      </c>
      <c r="X63" s="114">
        <f t="shared" si="7"/>
        <v>2.886751345948129E-4</v>
      </c>
    </row>
    <row r="64" spans="1:28">
      <c r="A64" s="10"/>
      <c r="B64" s="8" t="s">
        <v>31</v>
      </c>
      <c r="C64" s="333">
        <f>AVERAGE(C59:D63)</f>
        <v>100.35</v>
      </c>
      <c r="D64" s="334"/>
      <c r="E64" s="95">
        <f>AVERAGE(E59:E63)</f>
        <v>99.885000000000005</v>
      </c>
      <c r="F64" s="95">
        <f t="shared" ref="F64" si="8">AVERAGE(F59:F63)</f>
        <v>99.885000000000005</v>
      </c>
      <c r="G64" s="95">
        <f>SUM(G59:G63)/5</f>
        <v>-0.4649999999999892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9">10^10</f>
        <v>10000000000</v>
      </c>
      <c r="Q66" s="53">
        <f t="shared" si="9"/>
        <v>10000000000</v>
      </c>
      <c r="R66" s="53">
        <f t="shared" si="9"/>
        <v>10000000000</v>
      </c>
      <c r="S66" s="53">
        <f t="shared" si="9"/>
        <v>10000000000</v>
      </c>
      <c r="T66" s="53">
        <f t="shared" si="9"/>
        <v>10000000000</v>
      </c>
      <c r="U66" s="53">
        <f t="shared" si="9"/>
        <v>10000000000</v>
      </c>
      <c r="V66" s="53">
        <f t="shared" si="9"/>
        <v>10000000000</v>
      </c>
      <c r="W66" s="53">
        <f t="shared" si="9"/>
        <v>10000000000</v>
      </c>
      <c r="X66" s="53">
        <f t="shared" si="9"/>
        <v>10000000000</v>
      </c>
    </row>
    <row r="67" spans="1:28">
      <c r="A67" s="105">
        <v>4</v>
      </c>
      <c r="B67" s="196">
        <v>150</v>
      </c>
      <c r="C67" s="327">
        <v>149.93</v>
      </c>
      <c r="D67" s="327"/>
      <c r="E67" s="90">
        <v>149.71799999999999</v>
      </c>
      <c r="F67" s="37">
        <f>IF('PERHITUNGAN 17'!$E$11="Burn Engr",'PERHITUNGAN 17'!E67,E67+('regresi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149.71799999999999</v>
      </c>
      <c r="G67" s="90">
        <f>F67-C67</f>
        <v>-0.21200000000001751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149.93</v>
      </c>
      <c r="D68" s="327"/>
      <c r="E68" s="90">
        <v>149.71799999999999</v>
      </c>
      <c r="F68" s="37">
        <f>IF('PERHITUNGAN 17'!$E$11="Burn Engr",'PERHITUNGAN 17'!E68,E68+('regresi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149.71799999999999</v>
      </c>
      <c r="G68" s="90">
        <f>F68-C68</f>
        <v>-0.21200000000001751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149.93</v>
      </c>
      <c r="D69" s="327"/>
      <c r="E69" s="90">
        <v>149.71799999999999</v>
      </c>
      <c r="F69" s="37">
        <f>IF('PERHITUNGAN 17'!$E$11="Burn Engr",'PERHITUNGAN 17'!E69,E69+('regresi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149.71799999999999</v>
      </c>
      <c r="G69" s="90">
        <f>F69-C69</f>
        <v>-0.21200000000001751</v>
      </c>
      <c r="H69" s="63"/>
      <c r="I69" s="63"/>
      <c r="N69" s="25" t="s">
        <v>163</v>
      </c>
      <c r="O69" s="53">
        <f t="shared" ref="O69:X71" si="10">10^10</f>
        <v>10000000000</v>
      </c>
      <c r="P69" s="53">
        <f t="shared" si="10"/>
        <v>10000000000</v>
      </c>
      <c r="Q69" s="53">
        <f t="shared" si="10"/>
        <v>10000000000</v>
      </c>
      <c r="R69" s="53">
        <f t="shared" si="10"/>
        <v>10000000000</v>
      </c>
      <c r="S69" s="53">
        <f t="shared" si="10"/>
        <v>10000000000</v>
      </c>
      <c r="T69" s="53">
        <f t="shared" si="10"/>
        <v>10000000000</v>
      </c>
      <c r="U69" s="53">
        <f t="shared" si="10"/>
        <v>10000000000</v>
      </c>
      <c r="V69" s="53">
        <f t="shared" si="10"/>
        <v>10000000000</v>
      </c>
      <c r="W69" s="53">
        <f t="shared" si="10"/>
        <v>10000000000</v>
      </c>
      <c r="X69" s="53">
        <f t="shared" si="10"/>
        <v>10000000000</v>
      </c>
      <c r="AB69" s="1"/>
    </row>
    <row r="70" spans="1:28">
      <c r="A70" s="10"/>
      <c r="C70" s="327">
        <v>149.93</v>
      </c>
      <c r="D70" s="327"/>
      <c r="E70" s="90">
        <v>149.71799999999999</v>
      </c>
      <c r="F70" s="37">
        <f>IF('PERHITUNGAN 17'!$E$11="Burn Engr",'PERHITUNGAN 17'!E70,E70+('regresi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149.71799999999999</v>
      </c>
      <c r="G70" s="90">
        <f>F70-C70</f>
        <v>-0.21200000000001751</v>
      </c>
      <c r="H70" s="63"/>
      <c r="I70" s="63"/>
      <c r="N70" s="25" t="s">
        <v>164</v>
      </c>
      <c r="O70" s="53">
        <f t="shared" si="10"/>
        <v>10000000000</v>
      </c>
      <c r="P70" s="53">
        <f t="shared" si="10"/>
        <v>10000000000</v>
      </c>
      <c r="Q70" s="53">
        <f t="shared" si="10"/>
        <v>10000000000</v>
      </c>
      <c r="R70" s="53">
        <f t="shared" si="10"/>
        <v>10000000000</v>
      </c>
      <c r="S70" s="53">
        <f t="shared" si="10"/>
        <v>10000000000</v>
      </c>
      <c r="T70" s="53">
        <f t="shared" si="10"/>
        <v>10000000000</v>
      </c>
      <c r="U70" s="53">
        <f t="shared" si="10"/>
        <v>10000000000</v>
      </c>
      <c r="V70" s="53">
        <f t="shared" si="10"/>
        <v>10000000000</v>
      </c>
      <c r="W70" s="53">
        <f t="shared" si="10"/>
        <v>10000000000</v>
      </c>
      <c r="X70" s="53">
        <f t="shared" si="10"/>
        <v>10000000000</v>
      </c>
      <c r="AB70" s="1"/>
    </row>
    <row r="71" spans="1:28">
      <c r="A71" s="10"/>
      <c r="C71" s="327">
        <v>149.93</v>
      </c>
      <c r="D71" s="327"/>
      <c r="E71" s="90">
        <v>149.71799999999999</v>
      </c>
      <c r="F71" s="37">
        <f>IF('PERHITUNGAN 17'!$E$11="Burn Engr",'PERHITUNGAN 17'!E71,E71+('regresi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149.71799999999999</v>
      </c>
      <c r="G71" s="90">
        <f>F71-C71</f>
        <v>-0.21200000000001751</v>
      </c>
      <c r="H71" s="63"/>
      <c r="I71" s="63"/>
      <c r="N71" s="25" t="s">
        <v>165</v>
      </c>
      <c r="O71" s="53">
        <f t="shared" si="10"/>
        <v>10000000000</v>
      </c>
      <c r="P71" s="53">
        <f t="shared" si="10"/>
        <v>10000000000</v>
      </c>
      <c r="Q71" s="53">
        <f t="shared" si="10"/>
        <v>10000000000</v>
      </c>
      <c r="R71" s="53">
        <f t="shared" si="10"/>
        <v>10000000000</v>
      </c>
      <c r="S71" s="53">
        <f t="shared" si="10"/>
        <v>10000000000</v>
      </c>
      <c r="T71" s="53">
        <f t="shared" si="10"/>
        <v>10000000000</v>
      </c>
      <c r="U71" s="53">
        <f t="shared" si="10"/>
        <v>10000000000</v>
      </c>
      <c r="V71" s="53">
        <f t="shared" si="10"/>
        <v>10000000000</v>
      </c>
      <c r="W71" s="53">
        <f t="shared" si="10"/>
        <v>10000000000</v>
      </c>
      <c r="X71" s="53">
        <f t="shared" si="10"/>
        <v>10000000000</v>
      </c>
      <c r="AB71" s="1"/>
    </row>
    <row r="72" spans="1:28">
      <c r="A72" s="10"/>
      <c r="B72" s="8" t="s">
        <v>31</v>
      </c>
      <c r="C72" s="333">
        <f>AVERAGE(C67:D71)</f>
        <v>149.93</v>
      </c>
      <c r="D72" s="334"/>
      <c r="E72" s="95">
        <f>AVERAGE(E67:E71)</f>
        <v>149.71799999999999</v>
      </c>
      <c r="F72" s="95">
        <f t="shared" ref="F72" si="11">AVERAGE(F67:F71)</f>
        <v>149.71799999999999</v>
      </c>
      <c r="G72" s="95">
        <f>SUM(G67:G71)/5</f>
        <v>-0.21200000000001751</v>
      </c>
      <c r="H72" s="63"/>
      <c r="I72" s="63"/>
      <c r="N72" s="111" t="s">
        <v>168</v>
      </c>
      <c r="O72" s="118">
        <f>SQRT((O57^2)+(O58^2)+(O59^2)+(O60^2)+(O61^2)+(O62^2)+(O63^2))</f>
        <v>0.15358318439815827</v>
      </c>
      <c r="P72" s="118">
        <f t="shared" ref="P72:X72" si="12">SQRT((P57^2)+(P58^2)+(P59^2)+(P60^2)+(P61^2)+(P62^2)+(P63^2))</f>
        <v>0.15317569823532284</v>
      </c>
      <c r="Q72" s="118">
        <f t="shared" si="12"/>
        <v>0.15293068537699911</v>
      </c>
      <c r="R72" s="118">
        <f t="shared" si="12"/>
        <v>0.15358318439815827</v>
      </c>
      <c r="S72" s="118">
        <f t="shared" si="12"/>
        <v>0.15293068537699911</v>
      </c>
      <c r="T72" s="118">
        <f t="shared" si="12"/>
        <v>0.16081913608112278</v>
      </c>
      <c r="U72" s="118">
        <f t="shared" si="12"/>
        <v>0.16081913608112278</v>
      </c>
      <c r="V72" s="118" t="e">
        <f t="shared" si="12"/>
        <v>#DIV/0!</v>
      </c>
      <c r="W72" s="118" t="e">
        <f t="shared" si="12"/>
        <v>#DIV/0!</v>
      </c>
      <c r="X72" s="118" t="e">
        <f t="shared" si="12"/>
        <v>#DIV/0!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21520.051512563594</v>
      </c>
      <c r="P73" s="120">
        <f t="shared" ref="P73:X73" si="13">(P72^4)/((P57^4/P65)+(P58^4/P66)+(P59^4/P67)+(P60^4/P68)+(P61^4/P69)+(P62^4/P70)+(P63^4/P71))</f>
        <v>21865.187904551218</v>
      </c>
      <c r="Q73" s="120">
        <f t="shared" si="13"/>
        <v>21861.296811963337</v>
      </c>
      <c r="R73" s="120">
        <f t="shared" si="13"/>
        <v>21520.051512563594</v>
      </c>
      <c r="S73" s="120">
        <f t="shared" si="13"/>
        <v>21861.296811963337</v>
      </c>
      <c r="T73" s="120">
        <f t="shared" si="13"/>
        <v>5178.038321002563</v>
      </c>
      <c r="U73" s="120">
        <f t="shared" si="13"/>
        <v>5178.038321002563</v>
      </c>
      <c r="V73" s="120" t="e">
        <f t="shared" si="13"/>
        <v>#DIV/0!</v>
      </c>
      <c r="W73" s="120" t="e">
        <f t="shared" si="13"/>
        <v>#DIV/0!</v>
      </c>
      <c r="X73" s="120" t="e">
        <f t="shared" si="13"/>
        <v>#DIV/0!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1.9600742262867912</v>
      </c>
      <c r="P74" s="123">
        <f t="shared" ref="P74:X74" si="14">_xlfn.T.INV.2T(0.05,P73)</f>
        <v>1.960072486726538</v>
      </c>
      <c r="Q74" s="123">
        <f t="shared" si="14"/>
        <v>1.9600725065806042</v>
      </c>
      <c r="R74" s="123">
        <f t="shared" si="14"/>
        <v>1.9600742262867912</v>
      </c>
      <c r="S74" s="123">
        <f t="shared" si="14"/>
        <v>1.9600725065806042</v>
      </c>
      <c r="T74" s="123">
        <f t="shared" si="14"/>
        <v>1.960422234138298</v>
      </c>
      <c r="U74" s="123">
        <f t="shared" si="14"/>
        <v>1.960422234138298</v>
      </c>
      <c r="V74" s="123" t="e">
        <f t="shared" si="14"/>
        <v>#DIV/0!</v>
      </c>
      <c r="W74" s="123" t="e">
        <f t="shared" si="14"/>
        <v>#DIV/0!</v>
      </c>
      <c r="X74" s="123" t="e">
        <f t="shared" si="14"/>
        <v>#DIV/0!</v>
      </c>
      <c r="Z74" s="124"/>
      <c r="AB74" s="1"/>
    </row>
    <row r="75" spans="1:28">
      <c r="A75" s="105">
        <v>5</v>
      </c>
      <c r="B75" s="196">
        <v>200</v>
      </c>
      <c r="C75" s="327">
        <v>199.27</v>
      </c>
      <c r="D75" s="327"/>
      <c r="E75" s="90">
        <v>199.46299999999999</v>
      </c>
      <c r="F75" s="37">
        <f>IF('PERHITUNGAN 17'!$E$11="Burn Engr",'PERHITUNGAN 17'!E75,E75+('regresi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199.46299999999999</v>
      </c>
      <c r="G75" s="90">
        <f>F75-C75</f>
        <v>0.19299999999998363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199.27</v>
      </c>
      <c r="D76" s="327"/>
      <c r="E76" s="90">
        <v>199.46299999999999</v>
      </c>
      <c r="F76" s="37">
        <f>IF('PERHITUNGAN 17'!$E$11="Burn Engr",'PERHITUNGAN 17'!E76,E76+('regresi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199.46299999999999</v>
      </c>
      <c r="G76" s="90">
        <f>F76-C76</f>
        <v>0.19299999999998363</v>
      </c>
      <c r="H76" s="63"/>
      <c r="I76" s="63"/>
      <c r="N76" s="111" t="s">
        <v>166</v>
      </c>
      <c r="O76" s="121">
        <f t="shared" ref="O76:X76" si="15">O72*O74</f>
        <v>0.30103444132988166</v>
      </c>
      <c r="P76" s="121">
        <f t="shared" si="15"/>
        <v>0.30023547174618304</v>
      </c>
      <c r="Q76" s="121">
        <f t="shared" si="15"/>
        <v>0.29975523181998437</v>
      </c>
      <c r="R76" s="121">
        <f t="shared" si="15"/>
        <v>0.30103444132988166</v>
      </c>
      <c r="S76" s="121">
        <f t="shared" si="15"/>
        <v>0.29975523181998437</v>
      </c>
      <c r="T76" s="121">
        <f t="shared" si="15"/>
        <v>0.31527341004834569</v>
      </c>
      <c r="U76" s="121">
        <f t="shared" si="15"/>
        <v>0.31527341004834569</v>
      </c>
      <c r="V76" s="121" t="e">
        <f t="shared" si="15"/>
        <v>#DIV/0!</v>
      </c>
      <c r="W76" s="121" t="e">
        <f t="shared" si="15"/>
        <v>#DIV/0!</v>
      </c>
      <c r="X76" s="121" t="e">
        <f t="shared" si="15"/>
        <v>#DIV/0!</v>
      </c>
      <c r="AB76" s="1"/>
    </row>
    <row r="77" spans="1:28">
      <c r="A77" s="10"/>
      <c r="C77" s="327">
        <v>199.27</v>
      </c>
      <c r="D77" s="327"/>
      <c r="E77" s="90">
        <v>199.46299999999999</v>
      </c>
      <c r="F77" s="37">
        <f>IF('PERHITUNGAN 17'!$E$11="Burn Engr",'PERHITUNGAN 17'!E77,E77+('regresi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199.46299999999999</v>
      </c>
      <c r="G77" s="90">
        <f>F77-C77</f>
        <v>0.19299999999998363</v>
      </c>
      <c r="H77" s="63"/>
      <c r="I77" s="63"/>
      <c r="AB77" s="1"/>
    </row>
    <row r="78" spans="1:28">
      <c r="A78" s="10"/>
      <c r="C78" s="327">
        <v>199.27</v>
      </c>
      <c r="D78" s="327"/>
      <c r="E78" s="90">
        <v>199.46299999999999</v>
      </c>
      <c r="F78" s="37">
        <f>IF('PERHITUNGAN 17'!$E$11="Burn Engr",'PERHITUNGAN 17'!E78,E78+('regresi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199.46299999999999</v>
      </c>
      <c r="G78" s="90">
        <f>F78-C78</f>
        <v>0.19299999999998363</v>
      </c>
      <c r="H78" s="26"/>
      <c r="I78" s="26"/>
      <c r="AB78" s="1"/>
    </row>
    <row r="79" spans="1:28">
      <c r="A79" s="10"/>
      <c r="C79" s="327">
        <v>199.27</v>
      </c>
      <c r="D79" s="327"/>
      <c r="E79" s="90">
        <v>199.46299999999999</v>
      </c>
      <c r="F79" s="37">
        <f>IF('PERHITUNGAN 17'!$E$11="Burn Engr",'PERHITUNGAN 17'!E79,E79+('regresi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199.46299999999999</v>
      </c>
      <c r="G79" s="90">
        <f>F79-C79</f>
        <v>0.19299999999998363</v>
      </c>
      <c r="AB79" s="1"/>
    </row>
    <row r="80" spans="1:28">
      <c r="A80" s="10"/>
      <c r="B80" s="8" t="s">
        <v>31</v>
      </c>
      <c r="C80" s="333">
        <f>AVERAGE(C75:D79)</f>
        <v>199.27</v>
      </c>
      <c r="D80" s="334"/>
      <c r="E80" s="95">
        <f>AVERAGE(E75:E79)</f>
        <v>199.46299999999999</v>
      </c>
      <c r="F80" s="95">
        <f t="shared" ref="F80" si="16">AVERAGE(F75:F79)</f>
        <v>199.46299999999999</v>
      </c>
      <c r="G80" s="95">
        <f>SUM(G75:G79)/5</f>
        <v>0.19299999999998363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250</v>
      </c>
      <c r="C83" s="327">
        <v>249.22</v>
      </c>
      <c r="D83" s="327"/>
      <c r="E83" s="90">
        <v>249.47800000000001</v>
      </c>
      <c r="F83" s="37">
        <f>IF('PERHITUNGAN 17'!$E$11="Burn Engr",'PERHITUNGAN 17'!E83,E83+('regresi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249.47800000000001</v>
      </c>
      <c r="G83" s="40">
        <f>F83-C83</f>
        <v>0.25800000000000978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249.22</v>
      </c>
      <c r="D84" s="327"/>
      <c r="E84" s="90">
        <v>249.47800000000001</v>
      </c>
      <c r="F84" s="37">
        <f>IF('PERHITUNGAN 17'!$E$11="Burn Engr",'PERHITUNGAN 17'!E84,E84+('regresi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249.47800000000001</v>
      </c>
      <c r="G84" s="40">
        <f>F84-C84</f>
        <v>0.25800000000000978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249.22</v>
      </c>
      <c r="D85" s="327"/>
      <c r="E85" s="90">
        <v>249.47800000000001</v>
      </c>
      <c r="F85" s="37">
        <f>IF('PERHITUNGAN 17'!$E$11="Burn Engr",'PERHITUNGAN 17'!E85,E85+('regresi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249.47800000000001</v>
      </c>
      <c r="G85" s="40">
        <f>F85-C85</f>
        <v>0.25800000000000978</v>
      </c>
      <c r="H85" s="26"/>
      <c r="I85" s="26"/>
      <c r="N85" s="93">
        <f>O56</f>
        <v>0.25</v>
      </c>
      <c r="O85" s="403">
        <f>G48</f>
        <v>-4.6999999999999986E-2</v>
      </c>
      <c r="P85" s="404"/>
      <c r="Q85" s="387">
        <f t="shared" ref="Q85:Q94" si="17">N85+O85</f>
        <v>0.20300000000000001</v>
      </c>
      <c r="R85" s="405"/>
      <c r="S85" s="138" t="s">
        <v>35</v>
      </c>
      <c r="T85" s="94">
        <f>IF(N85&lt;$AA$97,MAX($O$97,O76),IF(N85&lt;$AA$98,MAX($O$98,O76),MAX($O$99,O76)))</f>
        <v>0.30103444132988166</v>
      </c>
      <c r="AB85" s="1"/>
    </row>
    <row r="86" spans="1:28">
      <c r="A86" s="10"/>
      <c r="C86" s="327">
        <v>249.22</v>
      </c>
      <c r="D86" s="327"/>
      <c r="E86" s="90">
        <v>249.47800000000001</v>
      </c>
      <c r="F86" s="37">
        <f>IF('PERHITUNGAN 17'!$E$11="Burn Engr",'PERHITUNGAN 17'!E86,E86+('regresi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249.47800000000001</v>
      </c>
      <c r="G86" s="40">
        <f>F86-C86</f>
        <v>0.25800000000000978</v>
      </c>
      <c r="H86" s="63"/>
      <c r="I86" s="63"/>
      <c r="N86" s="93">
        <f>P56</f>
        <v>40.49</v>
      </c>
      <c r="O86" s="403">
        <f>G56</f>
        <v>9.8589999999999947</v>
      </c>
      <c r="P86" s="404"/>
      <c r="Q86" s="406">
        <f t="shared" si="17"/>
        <v>50.348999999999997</v>
      </c>
      <c r="R86" s="407"/>
      <c r="S86" s="138" t="s">
        <v>35</v>
      </c>
      <c r="T86" s="94">
        <f>IF(N86&lt;$AA$97,MAX($O$97,P76),IF(N86&lt;$AA$98,MAX($O$98,P76),MAX($O$99,P76)))</f>
        <v>0.30023547174618304</v>
      </c>
      <c r="AB86" s="1"/>
    </row>
    <row r="87" spans="1:28">
      <c r="A87" s="10"/>
      <c r="C87" s="327">
        <v>249.22</v>
      </c>
      <c r="D87" s="327"/>
      <c r="E87" s="90">
        <v>249.47800000000001</v>
      </c>
      <c r="F87" s="37">
        <f>IF('PERHITUNGAN 17'!$E$11="Burn Engr",'PERHITUNGAN 17'!E87,E87+('regresi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249.47800000000001</v>
      </c>
      <c r="G87" s="41">
        <f>F87-C87</f>
        <v>0.25800000000000978</v>
      </c>
      <c r="H87" s="63"/>
      <c r="I87" s="63"/>
      <c r="N87" s="93">
        <f>Q56</f>
        <v>100.35</v>
      </c>
      <c r="O87" s="403">
        <f>G64</f>
        <v>-0.4649999999999892</v>
      </c>
      <c r="P87" s="404"/>
      <c r="Q87" s="406">
        <f t="shared" si="17"/>
        <v>99.885000000000005</v>
      </c>
      <c r="R87" s="407"/>
      <c r="S87" s="138" t="s">
        <v>35</v>
      </c>
      <c r="T87" s="94">
        <f>IF(N87&lt;$AA$97,MAX($O$97,Q76),IF(N87&lt;$AA$98,MAX($O$98,Q76),MAX($O$99,Q76)))</f>
        <v>0.29975523181998437</v>
      </c>
      <c r="AB87" s="1"/>
    </row>
    <row r="88" spans="1:28">
      <c r="A88" s="10"/>
      <c r="B88" s="8" t="s">
        <v>31</v>
      </c>
      <c r="C88" s="333">
        <f>AVERAGE(C83:D87)</f>
        <v>249.21999999999997</v>
      </c>
      <c r="D88" s="334"/>
      <c r="E88" s="95">
        <f>AVERAGE(E83:E87)</f>
        <v>249.47800000000001</v>
      </c>
      <c r="F88" s="95">
        <f t="shared" ref="F88" si="18">AVERAGE(F83:F87)</f>
        <v>249.47800000000001</v>
      </c>
      <c r="G88" s="95">
        <f>SUM(G83:G87)/5</f>
        <v>0.25800000000000978</v>
      </c>
      <c r="H88" s="63"/>
      <c r="I88" s="63"/>
      <c r="N88" s="93">
        <f>R56</f>
        <v>149.93</v>
      </c>
      <c r="O88" s="403">
        <f>G72</f>
        <v>-0.21200000000001751</v>
      </c>
      <c r="P88" s="404"/>
      <c r="Q88" s="406">
        <f t="shared" si="17"/>
        <v>149.71799999999999</v>
      </c>
      <c r="R88" s="407"/>
      <c r="S88" s="138" t="s">
        <v>35</v>
      </c>
      <c r="T88" s="94">
        <f>IF(N88&lt;$AA$97,MAX($O$97,R76),IF(N88&lt;$AA$98,MAX($O$98,R76),MAX($O$99,R76)))</f>
        <v>0.30103444132988166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199.27</v>
      </c>
      <c r="O89" s="403">
        <f>G80</f>
        <v>0.19299999999998363</v>
      </c>
      <c r="P89" s="404"/>
      <c r="Q89" s="406">
        <f t="shared" si="17"/>
        <v>199.46299999999999</v>
      </c>
      <c r="R89" s="407"/>
      <c r="S89" s="138" t="s">
        <v>35</v>
      </c>
      <c r="T89" s="94">
        <f>IF(N89&lt;$AA$97,MAX($O$97,S76),IF(N89&lt;$AA$98,MAX($O$98,S76),MAX($O$99,S76)))</f>
        <v>0.29975523181998437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249.21999999999997</v>
      </c>
      <c r="O90" s="403">
        <f>G88</f>
        <v>0.25800000000000978</v>
      </c>
      <c r="P90" s="404"/>
      <c r="Q90" s="406">
        <f t="shared" si="17"/>
        <v>249.47799999999998</v>
      </c>
      <c r="R90" s="407"/>
      <c r="S90" s="138" t="s">
        <v>35</v>
      </c>
      <c r="T90" s="94">
        <f>IF(N90&lt;$AA$97,MAX($O$97,T76),IF(N90&lt;$AA$98,MAX($O$98,T76),MAX($O$99,T76)))</f>
        <v>0.31527341004834569</v>
      </c>
      <c r="AB90" s="1"/>
    </row>
    <row r="91" spans="1:28">
      <c r="A91" s="105">
        <v>7</v>
      </c>
      <c r="B91" s="196">
        <v>260</v>
      </c>
      <c r="C91" s="327">
        <v>259.33</v>
      </c>
      <c r="D91" s="327"/>
      <c r="E91" s="90">
        <v>259.55399999999997</v>
      </c>
      <c r="F91" s="37">
        <f>IF('PERHITUNGAN 17'!$E$11="Burn Engr",'PERHITUNGAN 17'!E91,E91+('regresi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259.55399999999997</v>
      </c>
      <c r="G91" s="40">
        <f>F91-C91</f>
        <v>0.22399999999998954</v>
      </c>
      <c r="H91" s="63"/>
      <c r="I91" s="63"/>
      <c r="N91" s="93">
        <f>U56</f>
        <v>259.33</v>
      </c>
      <c r="O91" s="403">
        <f>G96</f>
        <v>0.22399999999998954</v>
      </c>
      <c r="P91" s="404"/>
      <c r="Q91" s="406">
        <f t="shared" si="17"/>
        <v>259.55399999999997</v>
      </c>
      <c r="R91" s="407"/>
      <c r="S91" s="138" t="s">
        <v>35</v>
      </c>
      <c r="T91" s="94">
        <f>IF(N91&lt;$AA$97,MAX($O$97,U76),IF(N91&lt;$AA$98,MAX($O$98,U76),MAX($O$99,U76)))</f>
        <v>1.8</v>
      </c>
      <c r="AB91" s="1"/>
    </row>
    <row r="92" spans="1:28">
      <c r="A92" s="10"/>
      <c r="C92" s="327">
        <v>259.33</v>
      </c>
      <c r="D92" s="327"/>
      <c r="E92" s="90">
        <v>259.55399999999997</v>
      </c>
      <c r="F92" s="37">
        <f>IF('PERHITUNGAN 17'!$E$11="Burn Engr",'PERHITUNGAN 17'!E92,E92+('regresi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259.55399999999997</v>
      </c>
      <c r="G92" s="40">
        <f>F92-C92</f>
        <v>0.22399999999998954</v>
      </c>
      <c r="H92" s="44"/>
      <c r="I92" s="63"/>
      <c r="N92" s="93" t="e">
        <f>V56</f>
        <v>#DIV/0!</v>
      </c>
      <c r="O92" s="403">
        <f>G104</f>
        <v>0</v>
      </c>
      <c r="P92" s="404"/>
      <c r="Q92" s="406" t="e">
        <f t="shared" si="17"/>
        <v>#DIV/0!</v>
      </c>
      <c r="R92" s="407"/>
      <c r="S92" s="138" t="s">
        <v>35</v>
      </c>
      <c r="T92" s="94" t="e">
        <f>IF(N92&lt;$AA$97,MAX($O$97,V76),IF(N92&lt;$AA$98,MAX($O$98,V76),MAX($O$99,V76)))</f>
        <v>#DIV/0!</v>
      </c>
      <c r="AB92" s="1"/>
    </row>
    <row r="93" spans="1:28">
      <c r="A93" s="10"/>
      <c r="C93" s="327">
        <v>259.33</v>
      </c>
      <c r="D93" s="327"/>
      <c r="E93" s="90">
        <v>259.55399999999997</v>
      </c>
      <c r="F93" s="37">
        <f>IF('PERHITUNGAN 17'!$E$11="Burn Engr",'PERHITUNGAN 17'!E93,E93+('regresi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259.55399999999997</v>
      </c>
      <c r="G93" s="40">
        <f>F93-C93</f>
        <v>0.22399999999998954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7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259.33</v>
      </c>
      <c r="D94" s="327"/>
      <c r="E94" s="90">
        <v>259.55399999999997</v>
      </c>
      <c r="F94" s="37">
        <f>IF('PERHITUNGAN 17'!$E$11="Burn Engr",'PERHITUNGAN 17'!E94,E94+('regresi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259.55399999999997</v>
      </c>
      <c r="G94" s="40">
        <f>F94-C94</f>
        <v>0.22399999999998954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7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259.33</v>
      </c>
      <c r="D95" s="327"/>
      <c r="E95" s="90">
        <v>259.55399999999997</v>
      </c>
      <c r="F95" s="37">
        <f>IF('PERHITUNGAN 17'!$E$11="Burn Engr",'PERHITUNGAN 17'!E95,E95+('regresi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259.55399999999997</v>
      </c>
      <c r="G95" s="41">
        <f>F95-C95</f>
        <v>0.22399999999998954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259.33</v>
      </c>
      <c r="D96" s="334"/>
      <c r="E96" s="95">
        <f>AVERAGE(E91:E95)</f>
        <v>259.55399999999997</v>
      </c>
      <c r="F96" s="95">
        <f t="shared" ref="F96" si="19">AVERAGE(F91:F95)</f>
        <v>259.55399999999997</v>
      </c>
      <c r="G96" s="95">
        <f>SUM(G91:G95)/5</f>
        <v>0.22399999999998954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0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0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/>
      <c r="C99" s="327"/>
      <c r="D99" s="327"/>
      <c r="E99" s="90"/>
      <c r="F99" s="37"/>
      <c r="G99" s="40"/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/>
      <c r="D100" s="327"/>
      <c r="E100" s="90"/>
      <c r="F100" s="37"/>
      <c r="G100" s="40"/>
      <c r="H100" s="44"/>
      <c r="I100" s="44"/>
      <c r="M100" s="1"/>
    </row>
    <row r="101" spans="1:27">
      <c r="A101" s="10"/>
      <c r="C101" s="327"/>
      <c r="D101" s="327"/>
      <c r="E101" s="90"/>
      <c r="F101" s="37"/>
      <c r="G101" s="40"/>
      <c r="H101" s="44"/>
      <c r="I101" s="44"/>
    </row>
    <row r="102" spans="1:27">
      <c r="A102" s="10"/>
      <c r="C102" s="327"/>
      <c r="D102" s="327"/>
      <c r="E102" s="90"/>
      <c r="F102" s="37"/>
      <c r="G102" s="40"/>
      <c r="H102" s="63"/>
      <c r="I102" s="63"/>
    </row>
    <row r="103" spans="1:27">
      <c r="A103" s="10"/>
      <c r="C103" s="327"/>
      <c r="D103" s="327"/>
      <c r="E103" s="90"/>
      <c r="F103" s="37"/>
      <c r="G103" s="41"/>
      <c r="H103" s="63"/>
      <c r="I103" s="63"/>
      <c r="N103" s="74"/>
      <c r="O103" s="129"/>
    </row>
    <row r="104" spans="1:27">
      <c r="A104" s="10"/>
      <c r="B104" s="8" t="s">
        <v>31</v>
      </c>
      <c r="C104" s="333" t="e">
        <f>AVERAGE(C99:D103)</f>
        <v>#DIV/0!</v>
      </c>
      <c r="D104" s="334"/>
      <c r="E104" s="95" t="e">
        <f>AVERAGE(E99:E103)</f>
        <v>#DIV/0!</v>
      </c>
      <c r="F104" s="95" t="e">
        <f t="shared" ref="F104" si="20">AVERAGE(F99:F103)</f>
        <v>#DIV/0!</v>
      </c>
      <c r="G104" s="95">
        <f>SUM(G99:G103)/5</f>
        <v>0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 t="e">
        <f>_xlfn.STDEV.S(G99:G103)</f>
        <v>#DIV/0!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 t="e">
        <f>G105/SQRT(5)</f>
        <v>#DIV/0!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/>
      <c r="G107" s="40"/>
      <c r="H107" s="63"/>
      <c r="I107" s="63"/>
      <c r="M107" s="1"/>
    </row>
    <row r="108" spans="1:27">
      <c r="A108" s="10"/>
      <c r="C108" s="327"/>
      <c r="D108" s="327"/>
      <c r="E108" s="90"/>
      <c r="F108" s="37"/>
      <c r="G108" s="40"/>
      <c r="H108" s="44"/>
      <c r="I108" s="44"/>
      <c r="M108" s="1"/>
    </row>
    <row r="109" spans="1:27">
      <c r="A109" s="10"/>
      <c r="C109" s="327"/>
      <c r="D109" s="327"/>
      <c r="E109" s="90"/>
      <c r="F109" s="37"/>
      <c r="G109" s="40"/>
      <c r="H109" s="44"/>
      <c r="I109" s="44"/>
    </row>
    <row r="110" spans="1:27">
      <c r="A110" s="10"/>
      <c r="C110" s="327"/>
      <c r="D110" s="327"/>
      <c r="E110" s="90"/>
      <c r="F110" s="37"/>
      <c r="G110" s="40"/>
      <c r="H110" s="63"/>
      <c r="I110" s="63"/>
    </row>
    <row r="111" spans="1:27">
      <c r="A111" s="10"/>
      <c r="C111" s="327"/>
      <c r="D111" s="327"/>
      <c r="E111" s="90"/>
      <c r="F111" s="37"/>
      <c r="G111" s="41"/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 t="e">
        <f t="shared" ref="F112" si="21">AVERAGE(F107:F111)</f>
        <v>#DIV/0!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 t="e">
        <f>_xlfn.STDEV.S(G107:G111)</f>
        <v>#DIV/0!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 t="e">
        <f>G113/SQRT(5)</f>
        <v>#DIV/0!</v>
      </c>
      <c r="H114" s="63"/>
      <c r="I114" s="63"/>
    </row>
    <row r="115" spans="1:21">
      <c r="A115" s="105">
        <v>10</v>
      </c>
      <c r="B115" s="196"/>
      <c r="C115" s="327"/>
      <c r="D115" s="327"/>
      <c r="E115" s="90"/>
      <c r="F115" s="37"/>
      <c r="G115" s="40"/>
      <c r="H115" s="63"/>
      <c r="I115" s="63"/>
      <c r="N115" s="98"/>
      <c r="U115" s="72"/>
    </row>
    <row r="116" spans="1:21">
      <c r="A116" s="10"/>
      <c r="C116" s="327"/>
      <c r="D116" s="327"/>
      <c r="E116" s="90"/>
      <c r="F116" s="37"/>
      <c r="G116" s="40"/>
      <c r="H116" s="44"/>
      <c r="I116" s="44"/>
      <c r="U116" s="49"/>
    </row>
    <row r="117" spans="1:21">
      <c r="A117" s="10"/>
      <c r="C117" s="327"/>
      <c r="D117" s="327"/>
      <c r="E117" s="90"/>
      <c r="F117" s="37"/>
      <c r="G117" s="40"/>
      <c r="H117" s="44"/>
      <c r="I117" s="44"/>
      <c r="U117" s="49"/>
    </row>
    <row r="118" spans="1:21">
      <c r="A118" s="10"/>
      <c r="C118" s="327"/>
      <c r="D118" s="327"/>
      <c r="E118" s="90"/>
      <c r="F118" s="37"/>
      <c r="G118" s="40"/>
      <c r="H118" s="63"/>
      <c r="I118" s="63"/>
    </row>
    <row r="119" spans="1:21">
      <c r="A119" s="10"/>
      <c r="C119" s="327"/>
      <c r="D119" s="327"/>
      <c r="E119" s="90"/>
      <c r="F119" s="37"/>
      <c r="G119" s="41"/>
      <c r="H119" s="63"/>
      <c r="I119" s="63"/>
    </row>
    <row r="120" spans="1:21">
      <c r="A120" s="10"/>
      <c r="B120" s="8" t="s">
        <v>31</v>
      </c>
      <c r="C120" s="333" t="e">
        <f>AVERAGE(C115:D119)</f>
        <v>#DIV/0!</v>
      </c>
      <c r="D120" s="334"/>
      <c r="E120" s="95" t="e">
        <f>AVERAGE(E115:E119)</f>
        <v>#DIV/0!</v>
      </c>
      <c r="F120" s="95" t="e">
        <f t="shared" ref="F120" si="22">AVERAGE(F115:F119)</f>
        <v>#DIV/0!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 t="e">
        <f>_xlfn.STDEV.S(G115:G119)</f>
        <v>#DIV/0!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 t="e">
        <f>G121/SQRT(5)</f>
        <v>#DIV/0!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26"/>
      <c r="D125" s="26"/>
      <c r="H125" s="44"/>
      <c r="I125" s="44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7">
    <mergeCell ref="C180:D180"/>
    <mergeCell ref="C181:D181"/>
    <mergeCell ref="C182:D182"/>
    <mergeCell ref="C183:D183"/>
    <mergeCell ref="C184:D184"/>
    <mergeCell ref="C185:D185"/>
    <mergeCell ref="C172:D172"/>
    <mergeCell ref="C173:D173"/>
    <mergeCell ref="C174:D174"/>
    <mergeCell ref="C175:D175"/>
    <mergeCell ref="C176:D176"/>
    <mergeCell ref="C177:D177"/>
    <mergeCell ref="C164:D164"/>
    <mergeCell ref="C165:D165"/>
    <mergeCell ref="C166:D166"/>
    <mergeCell ref="C167:D167"/>
    <mergeCell ref="C168:D168"/>
    <mergeCell ref="C169:D169"/>
    <mergeCell ref="C156:D156"/>
    <mergeCell ref="C157:D157"/>
    <mergeCell ref="C158:D158"/>
    <mergeCell ref="C159:D159"/>
    <mergeCell ref="C160:D160"/>
    <mergeCell ref="C161:D161"/>
    <mergeCell ref="C146:D146"/>
    <mergeCell ref="C147:D147"/>
    <mergeCell ref="C148:D148"/>
    <mergeCell ref="C149:D149"/>
    <mergeCell ref="C150:D150"/>
    <mergeCell ref="C151:D151"/>
    <mergeCell ref="C138:D138"/>
    <mergeCell ref="C139:D139"/>
    <mergeCell ref="C140:D140"/>
    <mergeCell ref="C141:D141"/>
    <mergeCell ref="C142:D142"/>
    <mergeCell ref="C143:D143"/>
    <mergeCell ref="C109:D109"/>
    <mergeCell ref="C110:D110"/>
    <mergeCell ref="C111:D111"/>
    <mergeCell ref="C112:D112"/>
    <mergeCell ref="C126:D126"/>
    <mergeCell ref="C127:D127"/>
    <mergeCell ref="C101:D101"/>
    <mergeCell ref="C102:D102"/>
    <mergeCell ref="C103:D103"/>
    <mergeCell ref="C104:D104"/>
    <mergeCell ref="C107:D107"/>
    <mergeCell ref="C108:D108"/>
    <mergeCell ref="C115:D115"/>
    <mergeCell ref="C116:D116"/>
    <mergeCell ref="C117:D117"/>
    <mergeCell ref="C118:D118"/>
    <mergeCell ref="C119:D119"/>
    <mergeCell ref="C120:D120"/>
    <mergeCell ref="C95:D95"/>
    <mergeCell ref="C96:D96"/>
    <mergeCell ref="N96:O96"/>
    <mergeCell ref="Z96:AA96"/>
    <mergeCell ref="C99:D99"/>
    <mergeCell ref="C100:D100"/>
    <mergeCell ref="C93:D93"/>
    <mergeCell ref="O93:P93"/>
    <mergeCell ref="Q93:R93"/>
    <mergeCell ref="C94:D94"/>
    <mergeCell ref="O94:P94"/>
    <mergeCell ref="Q94:R94"/>
    <mergeCell ref="C91:D91"/>
    <mergeCell ref="O91:P91"/>
    <mergeCell ref="Q91:R91"/>
    <mergeCell ref="C92:D92"/>
    <mergeCell ref="O92:P92"/>
    <mergeCell ref="Q92:R92"/>
    <mergeCell ref="C88:D88"/>
    <mergeCell ref="O88:P88"/>
    <mergeCell ref="Q88:R88"/>
    <mergeCell ref="O89:P89"/>
    <mergeCell ref="Q89:R89"/>
    <mergeCell ref="O90:P90"/>
    <mergeCell ref="Q90:R90"/>
    <mergeCell ref="C86:D86"/>
    <mergeCell ref="O86:P86"/>
    <mergeCell ref="Q86:R86"/>
    <mergeCell ref="C87:D87"/>
    <mergeCell ref="O87:P87"/>
    <mergeCell ref="Q87:R87"/>
    <mergeCell ref="S83:T83"/>
    <mergeCell ref="C84:D84"/>
    <mergeCell ref="S84:T84"/>
    <mergeCell ref="C85:D85"/>
    <mergeCell ref="O85:P85"/>
    <mergeCell ref="Q85:R85"/>
    <mergeCell ref="C79:D79"/>
    <mergeCell ref="C80:D80"/>
    <mergeCell ref="C83:D83"/>
    <mergeCell ref="N83:N84"/>
    <mergeCell ref="O83:P84"/>
    <mergeCell ref="Q83:R84"/>
    <mergeCell ref="C71:D71"/>
    <mergeCell ref="C72:D72"/>
    <mergeCell ref="C75:D75"/>
    <mergeCell ref="C76:D76"/>
    <mergeCell ref="C77:D77"/>
    <mergeCell ref="C78:D78"/>
    <mergeCell ref="C63:D63"/>
    <mergeCell ref="C64:D64"/>
    <mergeCell ref="C67:D67"/>
    <mergeCell ref="C68:D68"/>
    <mergeCell ref="C69:D69"/>
    <mergeCell ref="C70:D70"/>
    <mergeCell ref="O55:X55"/>
    <mergeCell ref="C56:D56"/>
    <mergeCell ref="C59:D59"/>
    <mergeCell ref="C60:D60"/>
    <mergeCell ref="C61:D61"/>
    <mergeCell ref="C62:D62"/>
    <mergeCell ref="C51:D51"/>
    <mergeCell ref="C52:D52"/>
    <mergeCell ref="C53:D53"/>
    <mergeCell ref="C54:D54"/>
    <mergeCell ref="C55:D55"/>
    <mergeCell ref="N55:N56"/>
    <mergeCell ref="T45:Y4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N45:S45"/>
    <mergeCell ref="T36:T37"/>
    <mergeCell ref="U36:U37"/>
    <mergeCell ref="V36:V37"/>
    <mergeCell ref="W36:W37"/>
    <mergeCell ref="X36:X37"/>
    <mergeCell ref="C40:D40"/>
    <mergeCell ref="N36:N37"/>
    <mergeCell ref="O36:O37"/>
    <mergeCell ref="P36:P37"/>
    <mergeCell ref="Q36:Q37"/>
    <mergeCell ref="R36:R37"/>
    <mergeCell ref="S36:S37"/>
    <mergeCell ref="T28:T29"/>
    <mergeCell ref="U28:U29"/>
    <mergeCell ref="AB28:AC28"/>
    <mergeCell ref="AB30:AC30"/>
    <mergeCell ref="J31:K31"/>
    <mergeCell ref="AB32:AC32"/>
    <mergeCell ref="J26:K26"/>
    <mergeCell ref="N28:N29"/>
    <mergeCell ref="O28:O29"/>
    <mergeCell ref="P28:P29"/>
    <mergeCell ref="Q28:Q29"/>
    <mergeCell ref="S28:S29"/>
    <mergeCell ref="E16:F16"/>
    <mergeCell ref="N16:N20"/>
    <mergeCell ref="E17:F17"/>
    <mergeCell ref="E18:F18"/>
    <mergeCell ref="AB18:AC18"/>
    <mergeCell ref="F21:G21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</mergeCells>
  <conditionalFormatting sqref="C56">
    <cfRule type="expression" dxfId="171" priority="24" stopIfTrue="1">
      <formula>COUNT(C51:C55)&lt;&gt;5</formula>
    </cfRule>
  </conditionalFormatting>
  <conditionalFormatting sqref="C64">
    <cfRule type="expression" dxfId="170" priority="8" stopIfTrue="1">
      <formula>COUNT(C59:C63)&lt;&gt;5</formula>
    </cfRule>
  </conditionalFormatting>
  <conditionalFormatting sqref="C72">
    <cfRule type="expression" dxfId="169" priority="14" stopIfTrue="1">
      <formula>COUNT(C67:C71)&lt;&gt;5</formula>
    </cfRule>
  </conditionalFormatting>
  <conditionalFormatting sqref="C80">
    <cfRule type="expression" dxfId="168" priority="13" stopIfTrue="1">
      <formula>COUNT(C75:C79)&lt;&gt;5</formula>
    </cfRule>
  </conditionalFormatting>
  <conditionalFormatting sqref="C88">
    <cfRule type="expression" dxfId="167" priority="12" stopIfTrue="1">
      <formula>COUNT(C83:C87)&lt;&gt;5</formula>
    </cfRule>
  </conditionalFormatting>
  <conditionalFormatting sqref="C96">
    <cfRule type="expression" dxfId="166" priority="11" stopIfTrue="1">
      <formula>COUNT(C91:C95)&lt;&gt;5</formula>
    </cfRule>
  </conditionalFormatting>
  <conditionalFormatting sqref="C48:E48">
    <cfRule type="expression" dxfId="163" priority="25" stopIfTrue="1">
      <formula>COUNT(C43:C47)&lt;&gt;5</formula>
    </cfRule>
  </conditionalFormatting>
  <conditionalFormatting sqref="E56">
    <cfRule type="expression" dxfId="161" priority="23" stopIfTrue="1">
      <formula>COUNT(E51:E55)&lt;&gt;5</formula>
    </cfRule>
  </conditionalFormatting>
  <conditionalFormatting sqref="E64">
    <cfRule type="expression" dxfId="160" priority="7" stopIfTrue="1">
      <formula>COUNT(E59:E63)&lt;&gt;5</formula>
    </cfRule>
  </conditionalFormatting>
  <conditionalFormatting sqref="E72">
    <cfRule type="expression" dxfId="159" priority="22" stopIfTrue="1">
      <formula>COUNT(E67:E71)&lt;&gt;5</formula>
    </cfRule>
  </conditionalFormatting>
  <conditionalFormatting sqref="E80">
    <cfRule type="expression" dxfId="158" priority="21" stopIfTrue="1">
      <formula>COUNT(E75:E79)&lt;&gt;5</formula>
    </cfRule>
  </conditionalFormatting>
  <conditionalFormatting sqref="E88">
    <cfRule type="expression" dxfId="157" priority="20" stopIfTrue="1">
      <formula>COUNT(E83:E87)&lt;&gt;5</formula>
    </cfRule>
  </conditionalFormatting>
  <conditionalFormatting sqref="E96">
    <cfRule type="expression" dxfId="156" priority="19" stopIfTrue="1">
      <formula>COUNT(E91:E95)&lt;&gt;5</formula>
    </cfRule>
  </conditionalFormatting>
  <conditionalFormatting sqref="C104">
    <cfRule type="expression" dxfId="17" priority="5" stopIfTrue="1">
      <formula>COUNT(C99:C103)&lt;&gt;5</formula>
    </cfRule>
  </conditionalFormatting>
  <conditionalFormatting sqref="E104">
    <cfRule type="expression" dxfId="16" priority="6" stopIfTrue="1">
      <formula>COUNT(E99:E103)&lt;&gt;5</formula>
    </cfRule>
  </conditionalFormatting>
  <conditionalFormatting sqref="C112">
    <cfRule type="expression" dxfId="15" priority="3" stopIfTrue="1">
      <formula>COUNT(C107:C111)&lt;&gt;5</formula>
    </cfRule>
  </conditionalFormatting>
  <conditionalFormatting sqref="E112">
    <cfRule type="expression" dxfId="14" priority="4" stopIfTrue="1">
      <formula>COUNT(E107:E111)&lt;&gt;5</formula>
    </cfRule>
  </conditionalFormatting>
  <conditionalFormatting sqref="C120">
    <cfRule type="expression" dxfId="13" priority="1" stopIfTrue="1">
      <formula>COUNT(C115:C119)&lt;&gt;5</formula>
    </cfRule>
  </conditionalFormatting>
  <conditionalFormatting sqref="E120">
    <cfRule type="expression" dxfId="12" priority="2" stopIfTrue="1">
      <formula>COUNT(E115:E119)&lt;&gt;5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93185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93185" r:id="rId4"/>
      </mc:Fallback>
    </mc:AlternateContent>
    <mc:AlternateContent xmlns:mc="http://schemas.openxmlformats.org/markup-compatibility/2006">
      <mc:Choice Requires="x14">
        <oleObject progId="Equation.3" shapeId="93186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93186" r:id="rId6"/>
      </mc:Fallback>
    </mc:AlternateContent>
    <mc:AlternateContent xmlns:mc="http://schemas.openxmlformats.org/markup-compatibility/2006">
      <mc:Choice Requires="x14">
        <oleObject progId="Equation.3" shapeId="93187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93187" r:id="rId8"/>
      </mc:Fallback>
    </mc:AlternateContent>
    <mc:AlternateContent xmlns:mc="http://schemas.openxmlformats.org/markup-compatibility/2006">
      <mc:Choice Requires="x14">
        <oleObject progId="Equation.3" shapeId="93188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93188" r:id="rId10"/>
      </mc:Fallback>
    </mc:AlternateContent>
  </oleObjec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C2E5B-BFFB-4A08-9919-D4C37F8416E1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17'!O85</f>
        <v>-4.6999999999999986E-2</v>
      </c>
      <c r="C2" s="37">
        <f>'PERHITUNGAN 17'!N85</f>
        <v>0.25</v>
      </c>
      <c r="D2" s="75">
        <f>C2^2</f>
        <v>6.25E-2</v>
      </c>
      <c r="E2" s="37">
        <f>C2^3</f>
        <v>1.5625E-2</v>
      </c>
      <c r="F2" s="91">
        <f>C2^4</f>
        <v>3.90625E-3</v>
      </c>
      <c r="G2" s="91">
        <f>C2^5</f>
        <v>9.765625E-4</v>
      </c>
      <c r="H2" s="91">
        <f>C2^6</f>
        <v>2.44140625E-4</v>
      </c>
      <c r="I2" s="91">
        <f>C2^7</f>
        <v>6.103515625E-5</v>
      </c>
      <c r="J2" s="91">
        <f>C2^8</f>
        <v>1.52587890625E-5</v>
      </c>
      <c r="K2" s="91">
        <f>C2^9</f>
        <v>3.814697265625E-6</v>
      </c>
      <c r="L2" s="91">
        <f>C2^10</f>
        <v>9.5367431640625E-7</v>
      </c>
      <c r="Q2" s="12"/>
    </row>
    <row r="3" spans="1:24">
      <c r="A3" s="25">
        <v>2</v>
      </c>
      <c r="B3" s="37">
        <f>'PERHITUNGAN 17'!O86</f>
        <v>9.8589999999999947</v>
      </c>
      <c r="C3" s="37">
        <f>'PERHITUNGAN 17'!N86</f>
        <v>40.49</v>
      </c>
      <c r="D3" s="75">
        <f t="shared" ref="D3:D9" si="0">C3^2</f>
        <v>1639.4401000000003</v>
      </c>
      <c r="E3" s="37">
        <f t="shared" ref="E3:E9" si="1">C3^3</f>
        <v>66380.929649000012</v>
      </c>
      <c r="F3" s="91">
        <f t="shared" ref="F3:F9" si="2">C3^4</f>
        <v>2687763.8414880107</v>
      </c>
      <c r="G3" s="91">
        <f t="shared" ref="G3:G9" si="3">C3^5</f>
        <v>108827557.94184956</v>
      </c>
      <c r="H3" s="91">
        <f t="shared" ref="H3:H9" si="4">C3^6</f>
        <v>4406427821.0654888</v>
      </c>
      <c r="I3" s="91">
        <f t="shared" ref="I3:I9" si="5">C3^7</f>
        <v>178416262474.94165</v>
      </c>
      <c r="J3" s="91">
        <f t="shared" ref="J3:J9" si="6">C3^8</f>
        <v>7224074467610.3887</v>
      </c>
      <c r="K3" s="91">
        <f t="shared" ref="K3:K9" si="7">C3^9</f>
        <v>292502775193544.63</v>
      </c>
      <c r="L3" s="91">
        <f t="shared" ref="L3:L9" si="8">C3^10</f>
        <v>1.1843437367586624E+16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17'!O87</f>
        <v>-0.4649999999999892</v>
      </c>
      <c r="C4" s="37">
        <f>'PERHITUNGAN 17'!N87</f>
        <v>100.35</v>
      </c>
      <c r="D4" s="75">
        <f t="shared" si="0"/>
        <v>10070.122499999999</v>
      </c>
      <c r="E4" s="37">
        <f t="shared" si="1"/>
        <v>1010536.7928749999</v>
      </c>
      <c r="F4" s="91">
        <f t="shared" si="2"/>
        <v>101407367.16500624</v>
      </c>
      <c r="G4" s="91">
        <f t="shared" si="3"/>
        <v>10176229295.008375</v>
      </c>
      <c r="H4" s="91">
        <f t="shared" si="4"/>
        <v>1021184609754.0905</v>
      </c>
      <c r="I4" s="91">
        <f t="shared" si="5"/>
        <v>102475875588822.97</v>
      </c>
      <c r="J4" s="91">
        <f t="shared" si="6"/>
        <v>1.0283454115338384E+16</v>
      </c>
      <c r="K4" s="91">
        <f t="shared" si="7"/>
        <v>1.0319446204742067E+18</v>
      </c>
      <c r="L4" s="91">
        <f t="shared" si="8"/>
        <v>1.0355564266458666E+20</v>
      </c>
      <c r="R4" s="414" t="str">
        <f>IF('PERHITUNGAN 13'!$C$2="Celcius","(°C)","(°F)")</f>
        <v>(°C)</v>
      </c>
      <c r="S4" s="415"/>
      <c r="T4" s="5" t="str">
        <f>IF('PERHITUNGAN 13'!$C$2="Celcius","(°C)","(°F)")</f>
        <v>(°C)</v>
      </c>
      <c r="U4" s="14"/>
      <c r="V4" s="1"/>
    </row>
    <row r="5" spans="1:24">
      <c r="A5" s="25">
        <v>4</v>
      </c>
      <c r="B5" s="37">
        <f>'PERHITUNGAN 17'!O88</f>
        <v>-0.21200000000001751</v>
      </c>
      <c r="C5" s="37">
        <f>'PERHITUNGAN 17'!N88</f>
        <v>149.93</v>
      </c>
      <c r="D5" s="75">
        <f t="shared" si="0"/>
        <v>22479.004900000004</v>
      </c>
      <c r="E5" s="37">
        <f t="shared" si="1"/>
        <v>3370277.2046570005</v>
      </c>
      <c r="F5" s="91">
        <f t="shared" si="2"/>
        <v>505305661.29422414</v>
      </c>
      <c r="G5" s="91">
        <f t="shared" si="3"/>
        <v>75760477797.843033</v>
      </c>
      <c r="H5" s="91">
        <f t="shared" si="4"/>
        <v>11358768436230.607</v>
      </c>
      <c r="I5" s="91">
        <f t="shared" si="5"/>
        <v>1703020151644054.8</v>
      </c>
      <c r="J5" s="91">
        <f t="shared" si="6"/>
        <v>2.5533381133599318E+17</v>
      </c>
      <c r="K5" s="91">
        <f t="shared" si="7"/>
        <v>3.8282198333605462E+19</v>
      </c>
      <c r="L5" s="91">
        <f t="shared" si="8"/>
        <v>5.7396499961574672E+21</v>
      </c>
      <c r="R5" s="412"/>
      <c r="S5" s="413"/>
      <c r="T5" s="21"/>
      <c r="U5" s="32"/>
    </row>
    <row r="6" spans="1:24">
      <c r="A6" s="25">
        <v>5</v>
      </c>
      <c r="B6" s="37">
        <f>'PERHITUNGAN 17'!O89</f>
        <v>0.19299999999998363</v>
      </c>
      <c r="C6" s="37">
        <f>'PERHITUNGAN 17'!N89</f>
        <v>199.27</v>
      </c>
      <c r="D6" s="75">
        <f t="shared" si="0"/>
        <v>39708.532900000006</v>
      </c>
      <c r="E6" s="37">
        <f t="shared" si="1"/>
        <v>7912719.3509830013</v>
      </c>
      <c r="F6" s="91">
        <f t="shared" si="2"/>
        <v>1576767585.0703828</v>
      </c>
      <c r="G6" s="91">
        <f t="shared" si="3"/>
        <v>314202476676.97522</v>
      </c>
      <c r="H6" s="91">
        <f t="shared" si="4"/>
        <v>62611127527420.852</v>
      </c>
      <c r="I6" s="91">
        <f t="shared" si="5"/>
        <v>1.2476519382389154E+16</v>
      </c>
      <c r="J6" s="91">
        <f t="shared" si="6"/>
        <v>2.4861960173286871E+18</v>
      </c>
      <c r="K6" s="91">
        <f t="shared" si="7"/>
        <v>4.954242803730875E+20</v>
      </c>
      <c r="L6" s="91">
        <f t="shared" si="8"/>
        <v>9.872319634994515E+22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17'!O90</f>
        <v>0.25800000000000978</v>
      </c>
      <c r="C7" s="37">
        <f>'PERHITUNGAN 17'!N90</f>
        <v>249.21999999999997</v>
      </c>
      <c r="D7" s="75">
        <f t="shared" si="0"/>
        <v>62110.608399999983</v>
      </c>
      <c r="E7" s="37">
        <f t="shared" si="1"/>
        <v>15479205.825447993</v>
      </c>
      <c r="F7" s="91">
        <f t="shared" si="2"/>
        <v>3857727675.8181486</v>
      </c>
      <c r="G7" s="91">
        <f t="shared" si="3"/>
        <v>961422891367.39893</v>
      </c>
      <c r="H7" s="91">
        <f t="shared" si="4"/>
        <v>239605812986583.13</v>
      </c>
      <c r="I7" s="91">
        <f t="shared" si="5"/>
        <v>5.9714560712516232E+16</v>
      </c>
      <c r="J7" s="91">
        <f t="shared" si="6"/>
        <v>1.4882062820773294E+19</v>
      </c>
      <c r="K7" s="91">
        <f t="shared" si="7"/>
        <v>3.7089076961931197E+21</v>
      </c>
      <c r="L7" s="91">
        <f t="shared" si="8"/>
        <v>9.2433397604524917E+23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17'!O91</f>
        <v>0.22399999999998954</v>
      </c>
      <c r="C8" s="37">
        <f>'PERHITUNGAN 17'!N91</f>
        <v>259.33</v>
      </c>
      <c r="D8" s="75">
        <f t="shared" si="0"/>
        <v>67252.048899999994</v>
      </c>
      <c r="E8" s="37">
        <f t="shared" si="1"/>
        <v>17440473.841236997</v>
      </c>
      <c r="F8" s="91">
        <f t="shared" si="2"/>
        <v>4522838081.2479906</v>
      </c>
      <c r="G8" s="91">
        <f t="shared" si="3"/>
        <v>1172907599610.0413</v>
      </c>
      <c r="H8" s="91">
        <f t="shared" si="4"/>
        <v>304170127806872</v>
      </c>
      <c r="I8" s="91">
        <f t="shared" si="5"/>
        <v>7.8880439244156112E+16</v>
      </c>
      <c r="J8" s="91">
        <f t="shared" si="6"/>
        <v>2.0456064309187006E+19</v>
      </c>
      <c r="K8" s="91">
        <f t="shared" si="7"/>
        <v>5.3048711573014661E+21</v>
      </c>
      <c r="L8" s="91">
        <f t="shared" si="8"/>
        <v>1.3757122372229892E+24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17'!O92</f>
        <v>0</v>
      </c>
      <c r="C9" s="37" t="e">
        <f>'PERHITUNGAN 17'!N92</f>
        <v>#DIV/0!</v>
      </c>
      <c r="D9" s="75" t="e">
        <f t="shared" si="0"/>
        <v>#DIV/0!</v>
      </c>
      <c r="E9" s="37" t="e">
        <f t="shared" si="1"/>
        <v>#DIV/0!</v>
      </c>
      <c r="F9" s="91" t="e">
        <f t="shared" si="2"/>
        <v>#DIV/0!</v>
      </c>
      <c r="G9" s="91" t="e">
        <f t="shared" si="3"/>
        <v>#DIV/0!</v>
      </c>
      <c r="H9" s="91" t="e">
        <f t="shared" si="4"/>
        <v>#DIV/0!</v>
      </c>
      <c r="I9" s="91" t="e">
        <f t="shared" si="5"/>
        <v>#DIV/0!</v>
      </c>
      <c r="J9" s="91" t="e">
        <f t="shared" si="6"/>
        <v>#DIV/0!</v>
      </c>
      <c r="K9" s="91" t="e">
        <f t="shared" si="7"/>
        <v>#DIV/0!</v>
      </c>
      <c r="L9" s="91" t="e">
        <f t="shared" si="8"/>
        <v>#DIV/0!</v>
      </c>
      <c r="R9" s="408"/>
      <c r="S9" s="409"/>
      <c r="T9" s="23"/>
      <c r="U9" s="27"/>
      <c r="V9" s="88"/>
    </row>
    <row r="10" spans="1:24">
      <c r="A10" s="25">
        <v>9</v>
      </c>
      <c r="B10" s="37"/>
      <c r="C10" s="37"/>
      <c r="D10" s="75"/>
      <c r="E10" s="37"/>
      <c r="F10" s="91"/>
      <c r="G10" s="91"/>
      <c r="H10" s="91"/>
      <c r="I10" s="91"/>
      <c r="J10" s="91"/>
      <c r="K10" s="91"/>
      <c r="L10" s="91"/>
      <c r="R10" s="408"/>
      <c r="S10" s="409"/>
      <c r="T10" s="23"/>
      <c r="U10" s="27"/>
      <c r="V10" s="88"/>
    </row>
    <row r="11" spans="1:24">
      <c r="A11" s="25">
        <v>10</v>
      </c>
      <c r="B11" s="37"/>
      <c r="C11" s="37"/>
      <c r="D11" s="75"/>
      <c r="E11" s="37"/>
      <c r="F11" s="91"/>
      <c r="G11" s="91"/>
      <c r="H11" s="91"/>
      <c r="I11" s="91"/>
      <c r="J11" s="91"/>
      <c r="K11" s="91"/>
      <c r="L11" s="91"/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f>'REGRESI 16'!R19:S19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-0.88688720906432317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16'!R20:S20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-0.4501654410999727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16'!R21:S21</f>
        <v>25</v>
      </c>
      <c r="S21" s="409"/>
      <c r="T21" s="23">
        <f t="shared" si="9"/>
        <v>0.33221179350332836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16'!R22:S22</f>
        <v>50</v>
      </c>
      <c r="S22" s="409"/>
      <c r="T22" s="23">
        <f t="shared" si="9"/>
        <v>0.72518537057249233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16'!R23:S23</f>
        <v>100</v>
      </c>
      <c r="S23" s="409"/>
      <c r="T23" s="23">
        <f t="shared" si="9"/>
        <v>0.60609744520611686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16'!R24:S24</f>
        <v>125</v>
      </c>
      <c r="S24" s="409"/>
      <c r="T24" s="23">
        <f t="shared" si="9"/>
        <v>0.22562388931943111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16'!R25:S25</f>
        <v>150</v>
      </c>
      <c r="S25" s="409"/>
      <c r="T25" s="23">
        <f t="shared" si="9"/>
        <v>-0.28107743100368277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16'!R26:S26</f>
        <v>200</v>
      </c>
      <c r="S26" s="409"/>
      <c r="T26" s="23">
        <f t="shared" si="9"/>
        <v>-1.409987471861494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16'!R27:S27</f>
        <v>0</v>
      </c>
      <c r="S27" s="409"/>
      <c r="T27" s="23">
        <f t="shared" si="9"/>
        <v>-0.4501654410999727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16'!R28:S28</f>
        <v>0</v>
      </c>
      <c r="S28" s="409"/>
      <c r="T28" s="23">
        <f t="shared" si="9"/>
        <v>-0.4501654410999727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0.98894283989472531</v>
      </c>
      <c r="Q33" s="31" t="s">
        <v>100</v>
      </c>
      <c r="U33" s="70"/>
    </row>
    <row r="34" spans="2:24">
      <c r="B34" t="s">
        <v>76</v>
      </c>
      <c r="C34">
        <v>0.97800794057904439</v>
      </c>
      <c r="X34" s="46"/>
    </row>
    <row r="35" spans="2:24">
      <c r="B35" t="s">
        <v>77</v>
      </c>
      <c r="C35">
        <v>0.9615138960133276</v>
      </c>
      <c r="Q35" t="s">
        <v>99</v>
      </c>
    </row>
    <row r="36" spans="2:24">
      <c r="B36" t="s">
        <v>78</v>
      </c>
      <c r="C36">
        <v>0.14870455450280831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-0.4501654410999727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0"/>
        <v>3.9960415511807144E-2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-3.6415810464685119E-4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3.9335530568804984</v>
      </c>
      <c r="E41">
        <v>1.3111843522934994</v>
      </c>
      <c r="F41">
        <v>59.294610044395036</v>
      </c>
      <c r="G41">
        <v>9.0016956772475635E-4</v>
      </c>
      <c r="R41" s="26" t="s">
        <v>112</v>
      </c>
      <c r="S41">
        <f t="shared" si="10"/>
        <v>7.0180238159388726E-7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8.8452178119514738E-2</v>
      </c>
      <c r="E42">
        <v>2.2113044529878684E-2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4.0220052350000133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-0.4501654410999727</v>
      </c>
      <c r="D46">
        <v>8.928209458381331E-2</v>
      </c>
      <c r="E46">
        <v>-5.0420573486588758</v>
      </c>
      <c r="F46">
        <v>7.2715444633240939E-3</v>
      </c>
      <c r="G46">
        <v>-0.69805227558900762</v>
      </c>
      <c r="H46">
        <v>-0.2022786066109378</v>
      </c>
      <c r="I46">
        <v>-0.69805227558900762</v>
      </c>
      <c r="J46">
        <v>-0.2022786066109378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3.9960415511807144E-2</v>
      </c>
      <c r="D47">
        <v>5.1177181914511677E-3</v>
      </c>
      <c r="E47">
        <v>7.8082485234451857</v>
      </c>
      <c r="F47">
        <v>1.4517114738736004E-3</v>
      </c>
      <c r="G47">
        <v>2.5751351889370847E-2</v>
      </c>
      <c r="H47">
        <v>5.4169479134243442E-2</v>
      </c>
      <c r="I47">
        <v>2.5751351889370847E-2</v>
      </c>
      <c r="J47">
        <v>5.4169479134243442E-2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-3.6415810464685119E-4</v>
      </c>
      <c r="D48">
        <v>6.7825255149993441E-5</v>
      </c>
      <c r="E48">
        <v>-5.3690635419140982</v>
      </c>
      <c r="F48">
        <v>5.8109569951303296E-3</v>
      </c>
      <c r="G48">
        <v>-5.524712023168419E-4</v>
      </c>
      <c r="H48">
        <v>-1.7584500697686046E-4</v>
      </c>
      <c r="I48">
        <v>-5.524712023168419E-4</v>
      </c>
      <c r="J48">
        <v>-1.7584500697686046E-4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7.0180238159388726E-7</v>
      </c>
      <c r="D49" s="67">
        <v>2.2781673512954376E-7</v>
      </c>
      <c r="E49" s="67">
        <v>3.0805567518769874</v>
      </c>
      <c r="F49" s="67">
        <v>3.6911599044032899E-2</v>
      </c>
      <c r="G49" s="67">
        <v>6.9281722461323255E-8</v>
      </c>
      <c r="H49" s="67">
        <v>1.3343230407264513E-6</v>
      </c>
      <c r="I49" s="67">
        <v>6.9281722461323255E-8</v>
      </c>
      <c r="J49" s="67">
        <v>1.3343230407264513E-6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DBABC-94CB-4060-8A11-E473D645A1BE}">
  <dimension ref="A1:AH187"/>
  <sheetViews>
    <sheetView topLeftCell="A8" workbookViewId="0">
      <selection activeCell="J11" sqref="J11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13'!$C$2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13'!G3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13'!E5</f>
        <v>Termometer Digital</v>
      </c>
      <c r="F5" s="11"/>
      <c r="G5" s="11" t="s">
        <v>127</v>
      </c>
      <c r="H5" s="11" t="s">
        <v>16</v>
      </c>
      <c r="I5" s="66" t="str">
        <f>'PERHITUNGAN 13'!I5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13'!E6</f>
        <v>Hioki / LR 8431-20</v>
      </c>
      <c r="F6" s="11"/>
      <c r="G6" s="11" t="s">
        <v>128</v>
      </c>
      <c r="H6" s="11" t="s">
        <v>16</v>
      </c>
      <c r="I6" s="129">
        <f>'PERHITUNGAN 13'!I6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13'!E7</f>
        <v>210149173</v>
      </c>
      <c r="F7" s="11"/>
      <c r="G7" s="11" t="s">
        <v>44</v>
      </c>
      <c r="H7" s="11" t="s">
        <v>16</v>
      </c>
      <c r="I7" s="31">
        <v>18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13'!E11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13'!E12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13'!E13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13'!E14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13'!E17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13'!E18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13'!E19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13'!E21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13'!D24</f>
        <v>22</v>
      </c>
      <c r="E23" s="244">
        <f>'PERHITUNGAN 13'!E24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13'!D25</f>
        <v>22</v>
      </c>
      <c r="E24" s="244">
        <f>'PERHITUNGAN 13'!E25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13'!D28</f>
        <v>20</v>
      </c>
      <c r="E27" s="244">
        <f>'PERHITUNGAN 13'!E28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13'!D29</f>
        <v>20</v>
      </c>
      <c r="E28" s="244">
        <f>'PERHITUNGAN 13'!E29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13'!D33</f>
        <v>55</v>
      </c>
      <c r="E32" s="244">
        <f>'PERHITUNGAN 13'!E33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13'!D34</f>
        <v>55</v>
      </c>
      <c r="E33" s="244">
        <f>'PERHITUNGAN 13'!E34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0.19400000000000001</v>
      </c>
      <c r="P36" s="380">
        <f>F56</f>
        <v>50.348999999999997</v>
      </c>
      <c r="Q36" s="380">
        <f>F64</f>
        <v>99.882000000000005</v>
      </c>
      <c r="R36" s="380">
        <f>F72</f>
        <v>149.71700000000001</v>
      </c>
      <c r="S36" s="380">
        <f>F80</f>
        <v>199.465</v>
      </c>
      <c r="T36" s="380">
        <f>F88</f>
        <v>249.47800000000001</v>
      </c>
      <c r="U36" s="380">
        <f>F96</f>
        <v>259.55399999999997</v>
      </c>
      <c r="V36" s="380" t="e">
        <f>F104</f>
        <v>#DIV/0!</v>
      </c>
      <c r="W36" s="380" t="e">
        <f>F112</f>
        <v>#DIV/0!</v>
      </c>
      <c r="X36" s="380" t="e">
        <f>F120</f>
        <v>#DIV/0!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18'!$E$11="Burn Engr",IF(O36&lt;=$AA$38,$AB$38,$AB$39),IF(O36&lt;=$AC$38,$AD$38,IF(O36&lt;=$AC$39,$AD$39,$AD$40)))</f>
        <v>7.0000000000000007E-2</v>
      </c>
      <c r="P38" s="54">
        <f>IF('PERHITUNGAN 18'!$E$11="Burn Engr",IF(P36&lt;=$AA$38,$AB$38,$AB$39),IF(P36&lt;=$AC$38,$AD$38,IF(P36&lt;=$AC$39,$AD$39,$AD$40)))</f>
        <v>7.0000000000000007E-2</v>
      </c>
      <c r="Q38" s="54">
        <f>IF('PERHITUNGAN 18'!$E$11="Burn Engr",IF(Q36&lt;=$AA$38,$AB$38,$AB$39),IF(Q36&lt;=$AC$38,$AD$38,IF(Q36&lt;=$AC$39,$AD$39,$AD$40)))</f>
        <v>7.0000000000000007E-2</v>
      </c>
      <c r="R38" s="54">
        <f>IF('PERHITUNGAN 18'!$E$11="Burn Engr",IF(R36&lt;=$AA$38,$AB$38,$AB$39),IF(R36&lt;=$AC$38,$AD$38,IF(R36&lt;=$AC$39,$AD$39,$AD$40)))</f>
        <v>7.0000000000000007E-2</v>
      </c>
      <c r="S38" s="54">
        <f>IF('PERHITUNGAN 18'!$E$11="Burn Engr",IF(S36&lt;=$AA$38,$AB$38,$AB$39),IF(S36&lt;=$AC$38,$AD$38,IF(S36&lt;=$AC$39,$AD$39,$AD$40)))</f>
        <v>7.0000000000000007E-2</v>
      </c>
      <c r="T38" s="54">
        <f>IF('PERHITUNGAN 18'!$E$11="Burn Engr",IF(T36&lt;=$AA$38,$AB$38,$AB$39),IF(T36&lt;=$AC$38,$AD$38,IF(T36&lt;=$AC$39,$AD$39,$AD$40)))</f>
        <v>7.0000000000000007E-2</v>
      </c>
      <c r="U38" s="54">
        <f>IF('PERHITUNGAN 18'!$E$11="Burn Engr",IF(U36&lt;=$AA$38,$AB$38,$AB$39),IF(U36&lt;=$AC$38,$AD$38,IF(U36&lt;=$AC$39,$AD$39,$AD$40)))</f>
        <v>7.0000000000000007E-2</v>
      </c>
      <c r="V38" s="54" t="e">
        <f>IF('PERHITUNGAN 18'!$E$11="Burn Engr",IF(V36&lt;=$AA$38,$AB$38,$AB$39),IF(V36&lt;=$AC$38,$AD$38,IF(V36&lt;=$AC$39,$AD$39,$AD$40)))</f>
        <v>#DIV/0!</v>
      </c>
      <c r="W38" s="54" t="e">
        <f>IF('PERHITUNGAN 18'!$E$11="Burn Engr",IF(W36&lt;=$AA$38,$AB$38,$AB$39),IF(W36&lt;=$AC$38,$AD$38,IF(W36&lt;=$AC$39,$AD$39,$AD$40)))</f>
        <v>#DIV/0!</v>
      </c>
      <c r="X38" s="54" t="e">
        <f>IF('PERHITUNGAN 18'!$E$11="Burn Engr",IF(X36&lt;=$AA$38,$AB$38,$AB$39),IF(X36&lt;=$AC$38,$AD$38,IF(X36&lt;=$AC$39,$AD$39,$AD$40)))</f>
        <v>#DIV/0!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3.5000000000000003E-2</v>
      </c>
      <c r="P40" s="37">
        <f t="shared" ref="P40:X40" si="1">P38/P39</f>
        <v>3.5000000000000003E-2</v>
      </c>
      <c r="Q40" s="37">
        <f t="shared" si="1"/>
        <v>3.5000000000000003E-2</v>
      </c>
      <c r="R40" s="37">
        <f>R38/R39</f>
        <v>3.5000000000000003E-2</v>
      </c>
      <c r="S40" s="37">
        <f t="shared" si="1"/>
        <v>3.5000000000000003E-2</v>
      </c>
      <c r="T40" s="37">
        <f t="shared" si="1"/>
        <v>3.5000000000000003E-2</v>
      </c>
      <c r="U40" s="37">
        <f t="shared" si="1"/>
        <v>3.5000000000000003E-2</v>
      </c>
      <c r="V40" s="37" t="e">
        <f t="shared" si="1"/>
        <v>#DIV/0!</v>
      </c>
      <c r="W40" s="37" t="e">
        <f t="shared" si="1"/>
        <v>#DIV/0!</v>
      </c>
      <c r="X40" s="37" t="e">
        <f t="shared" si="1"/>
        <v>#DIV/0!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0</v>
      </c>
      <c r="C43" s="373">
        <v>0.35</v>
      </c>
      <c r="D43" s="374"/>
      <c r="E43" s="90">
        <v>0.19400000000000001</v>
      </c>
      <c r="F43" s="37">
        <f>IF('PERHITUNGAN 18'!$E$11="Burn Engr",'PERHITUNGAN 18'!E43,E43+('regresi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0.19400000000000001</v>
      </c>
      <c r="G43" s="90">
        <f>F43-C43</f>
        <v>-0.15599999999999997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0.35</v>
      </c>
      <c r="D44" s="374"/>
      <c r="E44" s="90">
        <v>0.19400000000000001</v>
      </c>
      <c r="F44" s="37">
        <f>IF('PERHITUNGAN 18'!$E$11="Burn Engr",'PERHITUNGAN 18'!E44,E44+('regresi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0.19400000000000001</v>
      </c>
      <c r="G44" s="90">
        <f>F44-C44</f>
        <v>-0.15599999999999997</v>
      </c>
      <c r="H44" s="63"/>
      <c r="I44" s="63"/>
      <c r="AB44" s="1"/>
    </row>
    <row r="45" spans="1:30" ht="13.5" customHeight="1">
      <c r="A45" s="105"/>
      <c r="C45" s="373">
        <v>0.35</v>
      </c>
      <c r="D45" s="374"/>
      <c r="E45" s="90">
        <v>0.19400000000000001</v>
      </c>
      <c r="F45" s="37">
        <f>IF('PERHITUNGAN 18'!$E$11="Burn Engr",'PERHITUNGAN 18'!E45,E45+('regresi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0.19400000000000001</v>
      </c>
      <c r="G45" s="90">
        <f>F45-C45</f>
        <v>-0.15599999999999997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0.35</v>
      </c>
      <c r="D46" s="374"/>
      <c r="E46" s="90">
        <v>0.19400000000000001</v>
      </c>
      <c r="F46" s="37">
        <f>IF('PERHITUNGAN 18'!$E$11="Burn Engr",'PERHITUNGAN 18'!E46,E46+('regresi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0.19400000000000001</v>
      </c>
      <c r="G46" s="90">
        <f>F46-C46</f>
        <v>-0.15599999999999997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0.35</v>
      </c>
      <c r="D47" s="374"/>
      <c r="E47" s="90">
        <v>0.19400000000000001</v>
      </c>
      <c r="F47" s="37">
        <f>IF('PERHITUNGAN 18'!$E$11="Burn Engr",'PERHITUNGAN 18'!E47,E47+('regresi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0.19400000000000001</v>
      </c>
      <c r="G47" s="90">
        <f>F47-C47</f>
        <v>-0.15599999999999997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0.35</v>
      </c>
      <c r="D48" s="357"/>
      <c r="E48" s="95">
        <f>AVERAGE(E43:E47)</f>
        <v>0.19400000000000001</v>
      </c>
      <c r="F48" s="95">
        <f>AVERAGE(F43:F47)</f>
        <v>0.19400000000000001</v>
      </c>
      <c r="G48" s="95">
        <f>SUM(G43:G47)/5</f>
        <v>-0.15599999999999997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0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0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>
        <v>50</v>
      </c>
      <c r="C51" s="373">
        <v>50.4</v>
      </c>
      <c r="D51" s="374"/>
      <c r="E51" s="90">
        <v>50.348999999999997</v>
      </c>
      <c r="F51" s="37">
        <f>IF('PERHITUNGAN 18'!$E$11="Burn Engr",'PERHITUNGAN 18'!E51,E51+('regresi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50.348999999999997</v>
      </c>
      <c r="G51" s="90">
        <f>F51-C51</f>
        <v>-5.1000000000001933E-2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>
        <v>50.4</v>
      </c>
      <c r="D52" s="374"/>
      <c r="E52" s="90">
        <v>50.348999999999997</v>
      </c>
      <c r="F52" s="37">
        <f>IF('PERHITUNGAN 18'!$E$11="Burn Engr",'PERHITUNGAN 18'!E52,E52+('regresi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50.348999999999997</v>
      </c>
      <c r="G52" s="90">
        <f>F52-C52</f>
        <v>-5.1000000000001933E-2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>
        <v>50.4</v>
      </c>
      <c r="D53" s="374"/>
      <c r="E53" s="90">
        <v>50.348999999999997</v>
      </c>
      <c r="F53" s="37">
        <f>IF('PERHITUNGAN 18'!$E$11="Burn Engr",'PERHITUNGAN 18'!E53,E53+('regresi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50.348999999999997</v>
      </c>
      <c r="G53" s="90">
        <f>F53-C53</f>
        <v>-5.1000000000001933E-2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50.4</v>
      </c>
      <c r="D54" s="374"/>
      <c r="E54" s="90">
        <v>50.348999999999997</v>
      </c>
      <c r="F54" s="37">
        <f>IF('PERHITUNGAN 18'!$E$11="Burn Engr",'PERHITUNGAN 18'!E54,E54+('regresi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50.348999999999997</v>
      </c>
      <c r="G54" s="90">
        <f>F54-C54</f>
        <v>-5.1000000000001933E-2</v>
      </c>
      <c r="H54" s="63"/>
      <c r="I54" s="63"/>
      <c r="AB54" s="1"/>
    </row>
    <row r="55" spans="1:28" ht="13.5" customHeight="1">
      <c r="A55" s="10"/>
      <c r="C55" s="373">
        <v>50.4</v>
      </c>
      <c r="D55" s="374"/>
      <c r="E55" s="90">
        <v>50.348999999999997</v>
      </c>
      <c r="F55" s="37">
        <f>IF('PERHITUNGAN 18'!$E$11="Burn Engr",'PERHITUNGAN 18'!E55,E55+('regresi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50.348999999999997</v>
      </c>
      <c r="G55" s="90">
        <f>F55-C55</f>
        <v>-5.1000000000001933E-2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50.4</v>
      </c>
      <c r="D56" s="334"/>
      <c r="E56" s="95">
        <f>AVERAGE(E51:E55)</f>
        <v>50.348999999999997</v>
      </c>
      <c r="F56" s="95">
        <f t="shared" ref="F56" si="3">AVERAGE(F51:F55)</f>
        <v>50.348999999999997</v>
      </c>
      <c r="G56" s="95">
        <f>SUM(G51:G55)/5</f>
        <v>-5.1000000000001933E-2</v>
      </c>
      <c r="H56" s="63"/>
      <c r="I56" s="63"/>
      <c r="N56" s="390"/>
      <c r="O56" s="115">
        <f>C48</f>
        <v>0.35</v>
      </c>
      <c r="P56" s="115">
        <f>C56</f>
        <v>50.4</v>
      </c>
      <c r="Q56" s="115">
        <f>C64</f>
        <v>100.33</v>
      </c>
      <c r="R56" s="115">
        <f>C72</f>
        <v>149.83000000000001</v>
      </c>
      <c r="S56" s="115">
        <f>C80</f>
        <v>199.31</v>
      </c>
      <c r="T56" s="115">
        <f>C88</f>
        <v>249.26</v>
      </c>
      <c r="U56" s="115">
        <f>C96</f>
        <v>259.27999999999997</v>
      </c>
      <c r="V56" s="115" t="e">
        <f>C104</f>
        <v>#DIV/0!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0</v>
      </c>
      <c r="H57" s="44"/>
      <c r="I57" s="63"/>
      <c r="N57" s="25" t="s">
        <v>152</v>
      </c>
      <c r="O57" s="112">
        <f>$G$49/5^0.5</f>
        <v>0</v>
      </c>
      <c r="P57" s="112">
        <f>$G$57/5^0.5</f>
        <v>0</v>
      </c>
      <c r="Q57" s="112">
        <f>$G$65/5^0.5</f>
        <v>0</v>
      </c>
      <c r="R57" s="112">
        <f>$G$73/5^0.5</f>
        <v>0</v>
      </c>
      <c r="S57" s="112">
        <f>$G$81/5^0.5</f>
        <v>0</v>
      </c>
      <c r="T57" s="112">
        <f>$G$89/5^0.5</f>
        <v>0</v>
      </c>
      <c r="U57" s="112">
        <f>$G$97/5^0.5</f>
        <v>0</v>
      </c>
      <c r="V57" s="112" t="e">
        <f>$G$105/5^0.5</f>
        <v>#DIV/0!</v>
      </c>
      <c r="W57" s="112" t="e">
        <f>$G$113/5^0.5</f>
        <v>#DIV/0!</v>
      </c>
      <c r="X57" s="112" t="e">
        <f>$G$121/5^0.5</f>
        <v>#DIV/0!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0</v>
      </c>
      <c r="H58" s="44"/>
      <c r="I58" s="63"/>
      <c r="N58" s="25" t="s">
        <v>153</v>
      </c>
      <c r="O58" s="113">
        <f>IF('DRAFT-SERTIF'!$O$27="Ya",'REGRESI 18'!$C$36,0)</f>
        <v>0.1646165828607547</v>
      </c>
      <c r="P58" s="113">
        <f>IF('DRAFT-SERTIF'!$O$27="Ya",'REGRESI 18'!$C$36,0)</f>
        <v>0.1646165828607547</v>
      </c>
      <c r="Q58" s="113">
        <f>IF('DRAFT-SERTIF'!$O$27="Ya",'REGRESI 18'!$C$36,0)</f>
        <v>0.1646165828607547</v>
      </c>
      <c r="R58" s="113">
        <f>IF('DRAFT-SERTIF'!$O$27="Ya",'REGRESI 18'!$C$36,0)</f>
        <v>0.1646165828607547</v>
      </c>
      <c r="S58" s="113">
        <f>IF('DRAFT-SERTIF'!$O$27="Ya",'REGRESI 18'!$C$36,0)</f>
        <v>0.1646165828607547</v>
      </c>
      <c r="T58" s="113">
        <f>IF('DRAFT-SERTIF'!$O$27="Ya",'REGRESI 18'!$C$36,0)</f>
        <v>0.1646165828607547</v>
      </c>
      <c r="U58" s="113">
        <f>IF('DRAFT-SERTIF'!$O$27="Ya",'REGRESI 18'!$C$36,0)</f>
        <v>0.1646165828607547</v>
      </c>
      <c r="V58" s="113">
        <f>IF('DRAFT-SERTIF'!$O$27="Ya",'REGRESI 18'!$C$36,0)</f>
        <v>0.1646165828607547</v>
      </c>
      <c r="W58" s="113">
        <f>IF('DRAFT-SERTIF'!$O$27="Ya",'REGRESI 18'!$C$36,0)</f>
        <v>0.1646165828607547</v>
      </c>
      <c r="X58" s="113">
        <f>IF('DRAFT-SERTIF'!$O$27="Ya",'REGRESI 18'!$C$36,0)</f>
        <v>0.1646165828607547</v>
      </c>
      <c r="AB58" s="1"/>
    </row>
    <row r="59" spans="1:28" ht="13.5" customHeight="1">
      <c r="A59" s="105">
        <v>3</v>
      </c>
      <c r="B59" s="196">
        <v>100</v>
      </c>
      <c r="C59" s="327">
        <v>100.33</v>
      </c>
      <c r="D59" s="327"/>
      <c r="E59" s="15">
        <v>99.882000000000005</v>
      </c>
      <c r="F59" s="37">
        <f>IF('PERHITUNGAN 18'!$E$11="Burn Engr",'PERHITUNGAN 18'!E59,E59+('regresi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99.882000000000005</v>
      </c>
      <c r="G59" s="90">
        <f>F59-C59</f>
        <v>-0.44799999999999329</v>
      </c>
      <c r="H59" s="63"/>
      <c r="I59" s="63"/>
      <c r="N59" s="25" t="s">
        <v>154</v>
      </c>
      <c r="O59" s="91">
        <f t="shared" ref="O59:X59" si="4">O40</f>
        <v>3.5000000000000003E-2</v>
      </c>
      <c r="P59" s="91">
        <f t="shared" si="4"/>
        <v>3.5000000000000003E-2</v>
      </c>
      <c r="Q59" s="91">
        <f t="shared" si="4"/>
        <v>3.5000000000000003E-2</v>
      </c>
      <c r="R59" s="91">
        <f t="shared" si="4"/>
        <v>3.5000000000000003E-2</v>
      </c>
      <c r="S59" s="91">
        <f t="shared" si="4"/>
        <v>3.5000000000000003E-2</v>
      </c>
      <c r="T59" s="91">
        <f t="shared" si="4"/>
        <v>3.5000000000000003E-2</v>
      </c>
      <c r="U59" s="91">
        <f t="shared" si="4"/>
        <v>3.5000000000000003E-2</v>
      </c>
      <c r="V59" s="91" t="e">
        <f t="shared" si="4"/>
        <v>#DIV/0!</v>
      </c>
      <c r="W59" s="91" t="e">
        <f t="shared" si="4"/>
        <v>#DIV/0!</v>
      </c>
      <c r="X59" s="91" t="e">
        <f t="shared" si="4"/>
        <v>#DIV/0!</v>
      </c>
    </row>
    <row r="60" spans="1:28">
      <c r="A60" s="10"/>
      <c r="C60" s="327">
        <v>100.33</v>
      </c>
      <c r="D60" s="327"/>
      <c r="E60" s="15">
        <v>99.882000000000005</v>
      </c>
      <c r="F60" s="37">
        <f>IF('PERHITUNGAN 18'!$E$11="Burn Engr",'PERHITUNGAN 18'!E60,E60+('regresi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99.882000000000005</v>
      </c>
      <c r="G60" s="90">
        <f>F60-C60</f>
        <v>-0.44799999999999329</v>
      </c>
      <c r="H60" s="63"/>
      <c r="I60" s="63"/>
      <c r="N60" s="133" t="s">
        <v>155</v>
      </c>
      <c r="O60" s="134">
        <f>'PERHITUNGAN 13'!O61</f>
        <v>1.5000000000000003E-2</v>
      </c>
      <c r="P60" s="134">
        <f>'PERHITUNGAN 13'!P61</f>
        <v>0.01</v>
      </c>
      <c r="Q60" s="134">
        <f>'PERHITUNGAN 13'!Q61</f>
        <v>5.0000000000000001E-3</v>
      </c>
      <c r="R60" s="134">
        <f>'PERHITUNGAN 13'!R61</f>
        <v>1.4999999999999999E-2</v>
      </c>
      <c r="S60" s="134">
        <f>'PERHITUNGAN 13'!S61</f>
        <v>5.0000000000000001E-3</v>
      </c>
      <c r="T60" s="134">
        <f>'PERHITUNGAN 13'!T61</f>
        <v>0.05</v>
      </c>
      <c r="U60" s="134">
        <f>'PERHITUNGAN 13'!U61</f>
        <v>0.05</v>
      </c>
      <c r="V60" s="134">
        <f>'PERHITUNGAN 13'!V61</f>
        <v>1.5000000000000003E-2</v>
      </c>
      <c r="W60" s="134">
        <f>'PERHITUNGAN 13'!W61</f>
        <v>1.4999999999999999E-2</v>
      </c>
      <c r="X60" s="134">
        <f>'PERHITUNGAN 13'!X61</f>
        <v>1.4999999999999999E-2</v>
      </c>
    </row>
    <row r="61" spans="1:28">
      <c r="A61" s="10"/>
      <c r="C61" s="327">
        <v>100.33</v>
      </c>
      <c r="D61" s="327"/>
      <c r="E61" s="15">
        <v>99.882000000000005</v>
      </c>
      <c r="F61" s="37">
        <f>IF('PERHITUNGAN 18'!$E$11="Burn Engr",'PERHITUNGAN 18'!E61,E61+('regresi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99.882000000000005</v>
      </c>
      <c r="G61" s="90">
        <f>F61-C61</f>
        <v>-0.44799999999999329</v>
      </c>
      <c r="H61" s="63"/>
      <c r="I61" s="63"/>
      <c r="N61" s="25" t="s">
        <v>156</v>
      </c>
      <c r="O61" s="114">
        <f>(0.1*O38)/SQRT(3)</f>
        <v>4.041451884327381E-3</v>
      </c>
      <c r="P61" s="114">
        <f t="shared" ref="P61:X61" si="5">(0.1*P38)/SQRT(3)</f>
        <v>4.041451884327381E-3</v>
      </c>
      <c r="Q61" s="114">
        <f t="shared" si="5"/>
        <v>4.041451884327381E-3</v>
      </c>
      <c r="R61" s="114">
        <f t="shared" si="5"/>
        <v>4.041451884327381E-3</v>
      </c>
      <c r="S61" s="114">
        <f t="shared" si="5"/>
        <v>4.041451884327381E-3</v>
      </c>
      <c r="T61" s="114">
        <f t="shared" si="5"/>
        <v>4.041451884327381E-3</v>
      </c>
      <c r="U61" s="114">
        <f t="shared" si="5"/>
        <v>4.041451884327381E-3</v>
      </c>
      <c r="V61" s="114" t="e">
        <f t="shared" si="5"/>
        <v>#DIV/0!</v>
      </c>
      <c r="W61" s="114" t="e">
        <f t="shared" si="5"/>
        <v>#DIV/0!</v>
      </c>
      <c r="X61" s="114" t="e">
        <f t="shared" si="5"/>
        <v>#DIV/0!</v>
      </c>
    </row>
    <row r="62" spans="1:28">
      <c r="A62" s="10"/>
      <c r="C62" s="327">
        <v>100.33</v>
      </c>
      <c r="D62" s="327"/>
      <c r="E62" s="15">
        <v>99.882000000000005</v>
      </c>
      <c r="F62" s="37">
        <f>IF('PERHITUNGAN 18'!$E$11="Burn Engr",'PERHITUNGAN 18'!E62,E62+('regresi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99.882000000000005</v>
      </c>
      <c r="G62" s="90">
        <f>F62-C62</f>
        <v>-0.44799999999999329</v>
      </c>
      <c r="H62" s="63"/>
      <c r="I62" s="63"/>
      <c r="N62" s="25" t="s">
        <v>157</v>
      </c>
      <c r="O62" s="114">
        <f t="shared" ref="O62:X62" si="6">$T$28</f>
        <v>2.886751345948129E-3</v>
      </c>
      <c r="P62" s="114">
        <f t="shared" si="6"/>
        <v>2.886751345948129E-3</v>
      </c>
      <c r="Q62" s="114">
        <f t="shared" si="6"/>
        <v>2.886751345948129E-3</v>
      </c>
      <c r="R62" s="114">
        <f t="shared" si="6"/>
        <v>2.886751345948129E-3</v>
      </c>
      <c r="S62" s="114">
        <f t="shared" si="6"/>
        <v>2.886751345948129E-3</v>
      </c>
      <c r="T62" s="114">
        <f t="shared" si="6"/>
        <v>2.886751345948129E-3</v>
      </c>
      <c r="U62" s="114">
        <f t="shared" si="6"/>
        <v>2.886751345948129E-3</v>
      </c>
      <c r="V62" s="114">
        <f t="shared" si="6"/>
        <v>2.886751345948129E-3</v>
      </c>
      <c r="W62" s="114">
        <f t="shared" si="6"/>
        <v>2.886751345948129E-3</v>
      </c>
      <c r="X62" s="114">
        <f t="shared" si="6"/>
        <v>2.886751345948129E-3</v>
      </c>
    </row>
    <row r="63" spans="1:28">
      <c r="A63" s="10"/>
      <c r="C63" s="327">
        <v>100.33</v>
      </c>
      <c r="D63" s="327"/>
      <c r="E63" s="15">
        <v>99.882000000000005</v>
      </c>
      <c r="F63" s="37">
        <f>IF('PERHITUNGAN 18'!$E$11="Burn Engr",'PERHITUNGAN 18'!E63,E63+('regresi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99.882000000000005</v>
      </c>
      <c r="G63" s="90">
        <f>F63-C63</f>
        <v>-0.44799999999999329</v>
      </c>
      <c r="H63" s="63"/>
      <c r="I63" s="63"/>
      <c r="N63" s="25" t="s">
        <v>158</v>
      </c>
      <c r="O63" s="114">
        <f t="shared" ref="O63:X63" si="7">$T$26</f>
        <v>2.886751345948129E-4</v>
      </c>
      <c r="P63" s="114">
        <f t="shared" si="7"/>
        <v>2.886751345948129E-4</v>
      </c>
      <c r="Q63" s="114">
        <f t="shared" si="7"/>
        <v>2.886751345948129E-4</v>
      </c>
      <c r="R63" s="114">
        <f t="shared" si="7"/>
        <v>2.886751345948129E-4</v>
      </c>
      <c r="S63" s="114">
        <f t="shared" si="7"/>
        <v>2.886751345948129E-4</v>
      </c>
      <c r="T63" s="114">
        <f t="shared" si="7"/>
        <v>2.886751345948129E-4</v>
      </c>
      <c r="U63" s="114">
        <f t="shared" si="7"/>
        <v>2.886751345948129E-4</v>
      </c>
      <c r="V63" s="114">
        <f t="shared" si="7"/>
        <v>2.886751345948129E-4</v>
      </c>
      <c r="W63" s="114">
        <f t="shared" si="7"/>
        <v>2.886751345948129E-4</v>
      </c>
      <c r="X63" s="114">
        <f t="shared" si="7"/>
        <v>2.886751345948129E-4</v>
      </c>
    </row>
    <row r="64" spans="1:28">
      <c r="A64" s="10"/>
      <c r="B64" s="8" t="s">
        <v>31</v>
      </c>
      <c r="C64" s="333">
        <f>AVERAGE(C59:D63)</f>
        <v>100.33</v>
      </c>
      <c r="D64" s="334"/>
      <c r="E64" s="95">
        <f>AVERAGE(E59:E63)</f>
        <v>99.882000000000005</v>
      </c>
      <c r="F64" s="95">
        <f t="shared" ref="F64" si="8">AVERAGE(F59:F63)</f>
        <v>99.882000000000005</v>
      </c>
      <c r="G64" s="95">
        <f>SUM(G59:G63)/5</f>
        <v>-0.44799999999999329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9">10^10</f>
        <v>10000000000</v>
      </c>
      <c r="Q66" s="53">
        <f t="shared" si="9"/>
        <v>10000000000</v>
      </c>
      <c r="R66" s="53">
        <f t="shared" si="9"/>
        <v>10000000000</v>
      </c>
      <c r="S66" s="53">
        <f t="shared" si="9"/>
        <v>10000000000</v>
      </c>
      <c r="T66" s="53">
        <f t="shared" si="9"/>
        <v>10000000000</v>
      </c>
      <c r="U66" s="53">
        <f t="shared" si="9"/>
        <v>10000000000</v>
      </c>
      <c r="V66" s="53">
        <f t="shared" si="9"/>
        <v>10000000000</v>
      </c>
      <c r="W66" s="53">
        <f t="shared" si="9"/>
        <v>10000000000</v>
      </c>
      <c r="X66" s="53">
        <f t="shared" si="9"/>
        <v>10000000000</v>
      </c>
    </row>
    <row r="67" spans="1:28">
      <c r="A67" s="105">
        <v>4</v>
      </c>
      <c r="B67" s="196">
        <v>150</v>
      </c>
      <c r="C67" s="327">
        <v>149.83000000000001</v>
      </c>
      <c r="D67" s="327"/>
      <c r="E67" s="90">
        <v>149.71700000000001</v>
      </c>
      <c r="F67" s="37">
        <f>IF('PERHITUNGAN 18'!$E$11="Burn Engr",'PERHITUNGAN 18'!E67,E67+('regresi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149.71700000000001</v>
      </c>
      <c r="G67" s="90">
        <f>F67-C67</f>
        <v>-0.11299999999999955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149.83000000000001</v>
      </c>
      <c r="D68" s="327"/>
      <c r="E68" s="90">
        <v>149.71700000000001</v>
      </c>
      <c r="F68" s="37">
        <f>IF('PERHITUNGAN 18'!$E$11="Burn Engr",'PERHITUNGAN 18'!E68,E68+('regresi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149.71700000000001</v>
      </c>
      <c r="G68" s="90">
        <f>F68-C68</f>
        <v>-0.11299999999999955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149.83000000000001</v>
      </c>
      <c r="D69" s="327"/>
      <c r="E69" s="90">
        <v>149.71700000000001</v>
      </c>
      <c r="F69" s="37">
        <f>IF('PERHITUNGAN 18'!$E$11="Burn Engr",'PERHITUNGAN 18'!E69,E69+('regresi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149.71700000000001</v>
      </c>
      <c r="G69" s="90">
        <f>F69-C69</f>
        <v>-0.11299999999999955</v>
      </c>
      <c r="H69" s="63"/>
      <c r="I69" s="63"/>
      <c r="N69" s="25" t="s">
        <v>163</v>
      </c>
      <c r="O69" s="53">
        <f t="shared" ref="O69:X71" si="10">10^10</f>
        <v>10000000000</v>
      </c>
      <c r="P69" s="53">
        <f t="shared" si="10"/>
        <v>10000000000</v>
      </c>
      <c r="Q69" s="53">
        <f t="shared" si="10"/>
        <v>10000000000</v>
      </c>
      <c r="R69" s="53">
        <f t="shared" si="10"/>
        <v>10000000000</v>
      </c>
      <c r="S69" s="53">
        <f t="shared" si="10"/>
        <v>10000000000</v>
      </c>
      <c r="T69" s="53">
        <f t="shared" si="10"/>
        <v>10000000000</v>
      </c>
      <c r="U69" s="53">
        <f t="shared" si="10"/>
        <v>10000000000</v>
      </c>
      <c r="V69" s="53">
        <f t="shared" si="10"/>
        <v>10000000000</v>
      </c>
      <c r="W69" s="53">
        <f t="shared" si="10"/>
        <v>10000000000</v>
      </c>
      <c r="X69" s="53">
        <f t="shared" si="10"/>
        <v>10000000000</v>
      </c>
      <c r="AB69" s="1"/>
    </row>
    <row r="70" spans="1:28">
      <c r="A70" s="10"/>
      <c r="C70" s="327">
        <v>149.83000000000001</v>
      </c>
      <c r="D70" s="327"/>
      <c r="E70" s="90">
        <v>149.71700000000001</v>
      </c>
      <c r="F70" s="37">
        <f>IF('PERHITUNGAN 18'!$E$11="Burn Engr",'PERHITUNGAN 18'!E70,E70+('regresi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149.71700000000001</v>
      </c>
      <c r="G70" s="90">
        <f>F70-C70</f>
        <v>-0.11299999999999955</v>
      </c>
      <c r="H70" s="63"/>
      <c r="I70" s="63"/>
      <c r="N70" s="25" t="s">
        <v>164</v>
      </c>
      <c r="O70" s="53">
        <f t="shared" si="10"/>
        <v>10000000000</v>
      </c>
      <c r="P70" s="53">
        <f t="shared" si="10"/>
        <v>10000000000</v>
      </c>
      <c r="Q70" s="53">
        <f t="shared" si="10"/>
        <v>10000000000</v>
      </c>
      <c r="R70" s="53">
        <f t="shared" si="10"/>
        <v>10000000000</v>
      </c>
      <c r="S70" s="53">
        <f t="shared" si="10"/>
        <v>10000000000</v>
      </c>
      <c r="T70" s="53">
        <f t="shared" si="10"/>
        <v>10000000000</v>
      </c>
      <c r="U70" s="53">
        <f t="shared" si="10"/>
        <v>10000000000</v>
      </c>
      <c r="V70" s="53">
        <f t="shared" si="10"/>
        <v>10000000000</v>
      </c>
      <c r="W70" s="53">
        <f t="shared" si="10"/>
        <v>10000000000</v>
      </c>
      <c r="X70" s="53">
        <f t="shared" si="10"/>
        <v>10000000000</v>
      </c>
      <c r="AB70" s="1"/>
    </row>
    <row r="71" spans="1:28">
      <c r="A71" s="10"/>
      <c r="C71" s="327">
        <v>149.83000000000001</v>
      </c>
      <c r="D71" s="327"/>
      <c r="E71" s="90">
        <v>149.71700000000001</v>
      </c>
      <c r="F71" s="37">
        <f>IF('PERHITUNGAN 18'!$E$11="Burn Engr",'PERHITUNGAN 18'!E71,E71+('regresi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149.71700000000001</v>
      </c>
      <c r="G71" s="90">
        <f>F71-C71</f>
        <v>-0.11299999999999955</v>
      </c>
      <c r="H71" s="63"/>
      <c r="I71" s="63"/>
      <c r="N71" s="25" t="s">
        <v>165</v>
      </c>
      <c r="O71" s="53">
        <f t="shared" si="10"/>
        <v>10000000000</v>
      </c>
      <c r="P71" s="53">
        <f t="shared" si="10"/>
        <v>10000000000</v>
      </c>
      <c r="Q71" s="53">
        <f t="shared" si="10"/>
        <v>10000000000</v>
      </c>
      <c r="R71" s="53">
        <f t="shared" si="10"/>
        <v>10000000000</v>
      </c>
      <c r="S71" s="53">
        <f t="shared" si="10"/>
        <v>10000000000</v>
      </c>
      <c r="T71" s="53">
        <f t="shared" si="10"/>
        <v>10000000000</v>
      </c>
      <c r="U71" s="53">
        <f t="shared" si="10"/>
        <v>10000000000</v>
      </c>
      <c r="V71" s="53">
        <f t="shared" si="10"/>
        <v>10000000000</v>
      </c>
      <c r="W71" s="53">
        <f t="shared" si="10"/>
        <v>10000000000</v>
      </c>
      <c r="X71" s="53">
        <f t="shared" si="10"/>
        <v>10000000000</v>
      </c>
      <c r="AB71" s="1"/>
    </row>
    <row r="72" spans="1:28">
      <c r="A72" s="10"/>
      <c r="B72" s="8" t="s">
        <v>31</v>
      </c>
      <c r="C72" s="333">
        <f>AVERAGE(C67:D71)</f>
        <v>149.83000000000001</v>
      </c>
      <c r="D72" s="334"/>
      <c r="E72" s="95">
        <f>AVERAGE(E67:E71)</f>
        <v>149.71700000000001</v>
      </c>
      <c r="F72" s="95">
        <f t="shared" ref="F72" si="11">AVERAGE(F67:F71)</f>
        <v>149.71700000000001</v>
      </c>
      <c r="G72" s="95">
        <f>SUM(G67:G71)/5</f>
        <v>-0.11299999999999955</v>
      </c>
      <c r="H72" s="63"/>
      <c r="I72" s="63"/>
      <c r="N72" s="111" t="s">
        <v>168</v>
      </c>
      <c r="O72" s="118">
        <f>SQRT((O57^2)+(O58^2)+(O59^2)+(O60^2)+(O61^2)+(O62^2)+(O63^2))</f>
        <v>0.16903659175679009</v>
      </c>
      <c r="P72" s="118">
        <f t="shared" ref="P72:X72" si="12">SQRT((P57^2)+(P58^2)+(P59^2)+(P60^2)+(P61^2)+(P62^2)+(P63^2))</f>
        <v>0.16866644406268758</v>
      </c>
      <c r="Q72" s="118">
        <f t="shared" si="12"/>
        <v>0.16844396502324363</v>
      </c>
      <c r="R72" s="118">
        <f t="shared" si="12"/>
        <v>0.16903659175679009</v>
      </c>
      <c r="S72" s="118">
        <f t="shared" si="12"/>
        <v>0.16844396502324363</v>
      </c>
      <c r="T72" s="118">
        <f t="shared" si="12"/>
        <v>0.17563703866995628</v>
      </c>
      <c r="U72" s="118">
        <f t="shared" si="12"/>
        <v>0.17563703866995628</v>
      </c>
      <c r="V72" s="118" t="e">
        <f t="shared" si="12"/>
        <v>#DIV/0!</v>
      </c>
      <c r="W72" s="118" t="e">
        <f t="shared" si="12"/>
        <v>#DIV/0!</v>
      </c>
      <c r="X72" s="118" t="e">
        <f t="shared" si="12"/>
        <v>#DIV/0!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31578.473511658402</v>
      </c>
      <c r="P73" s="120">
        <f t="shared" ref="P73:X73" si="13">(P72^4)/((P57^4/P65)+(P58^4/P66)+(P59^4/P67)+(P60^4/P68)+(P61^4/P69)+(P62^4/P70)+(P63^4/P71))</f>
        <v>32144.60339282958</v>
      </c>
      <c r="Q73" s="120">
        <f t="shared" si="13"/>
        <v>32175.016514316623</v>
      </c>
      <c r="R73" s="120">
        <f t="shared" si="13"/>
        <v>31578.473511658402</v>
      </c>
      <c r="S73" s="120">
        <f t="shared" si="13"/>
        <v>32175.016514316623</v>
      </c>
      <c r="T73" s="120">
        <f t="shared" si="13"/>
        <v>7366.7970060767702</v>
      </c>
      <c r="U73" s="120">
        <f t="shared" si="13"/>
        <v>7366.7970060767702</v>
      </c>
      <c r="V73" s="120" t="e">
        <f t="shared" si="13"/>
        <v>#DIV/0!</v>
      </c>
      <c r="W73" s="120" t="e">
        <f t="shared" si="13"/>
        <v>#DIV/0!</v>
      </c>
      <c r="X73" s="120" t="e">
        <f t="shared" si="13"/>
        <v>#DIV/0!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1.9600391115451539</v>
      </c>
      <c r="P74" s="123">
        <f t="shared" ref="P74:X74" si="14">_xlfn.T.INV.2T(0.05,P73)</f>
        <v>1.9600377886414022</v>
      </c>
      <c r="Q74" s="123">
        <f t="shared" si="14"/>
        <v>1.960037717528875</v>
      </c>
      <c r="R74" s="123">
        <f t="shared" si="14"/>
        <v>1.9600391115451539</v>
      </c>
      <c r="S74" s="123">
        <f t="shared" si="14"/>
        <v>1.960037717528875</v>
      </c>
      <c r="T74" s="123">
        <f t="shared" si="14"/>
        <v>1.9602860934806443</v>
      </c>
      <c r="U74" s="123">
        <f t="shared" si="14"/>
        <v>1.9602860934806443</v>
      </c>
      <c r="V74" s="123" t="e">
        <f t="shared" si="14"/>
        <v>#DIV/0!</v>
      </c>
      <c r="W74" s="123" t="e">
        <f t="shared" si="14"/>
        <v>#DIV/0!</v>
      </c>
      <c r="X74" s="123" t="e">
        <f t="shared" si="14"/>
        <v>#DIV/0!</v>
      </c>
      <c r="Z74" s="124"/>
      <c r="AB74" s="1"/>
    </row>
    <row r="75" spans="1:28">
      <c r="A75" s="105">
        <v>5</v>
      </c>
      <c r="B75" s="196">
        <v>200</v>
      </c>
      <c r="C75" s="327">
        <v>199.31</v>
      </c>
      <c r="D75" s="327"/>
      <c r="E75" s="90">
        <v>199.465</v>
      </c>
      <c r="F75" s="37">
        <f>IF('PERHITUNGAN 18'!$E$11="Burn Engr",'PERHITUNGAN 18'!E75,E75+('regresi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199.465</v>
      </c>
      <c r="G75" s="90">
        <f>F75-C75</f>
        <v>0.15500000000000114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199.31</v>
      </c>
      <c r="D76" s="327"/>
      <c r="E76" s="90">
        <v>199.465</v>
      </c>
      <c r="F76" s="37">
        <f>IF('PERHITUNGAN 18'!$E$11="Burn Engr",'PERHITUNGAN 18'!E76,E76+('regresi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199.465</v>
      </c>
      <c r="G76" s="90">
        <f>F76-C76</f>
        <v>0.15500000000000114</v>
      </c>
      <c r="H76" s="63"/>
      <c r="I76" s="63"/>
      <c r="N76" s="111" t="s">
        <v>166</v>
      </c>
      <c r="O76" s="121">
        <f t="shared" ref="O76:X76" si="15">O72*O74</f>
        <v>0.33131833112559972</v>
      </c>
      <c r="P76" s="121">
        <f t="shared" si="15"/>
        <v>0.33059260403863894</v>
      </c>
      <c r="Q76" s="121">
        <f t="shared" si="15"/>
        <v>0.33015652473567209</v>
      </c>
      <c r="R76" s="121">
        <f t="shared" si="15"/>
        <v>0.33131833112559972</v>
      </c>
      <c r="S76" s="121">
        <f t="shared" si="15"/>
        <v>0.33015652473567209</v>
      </c>
      <c r="T76" s="121">
        <f t="shared" si="15"/>
        <v>0.34429884440483743</v>
      </c>
      <c r="U76" s="121">
        <f t="shared" si="15"/>
        <v>0.34429884440483743</v>
      </c>
      <c r="V76" s="121" t="e">
        <f t="shared" si="15"/>
        <v>#DIV/0!</v>
      </c>
      <c r="W76" s="121" t="e">
        <f t="shared" si="15"/>
        <v>#DIV/0!</v>
      </c>
      <c r="X76" s="121" t="e">
        <f t="shared" si="15"/>
        <v>#DIV/0!</v>
      </c>
      <c r="AB76" s="1"/>
    </row>
    <row r="77" spans="1:28">
      <c r="A77" s="10"/>
      <c r="C77" s="327">
        <v>199.31</v>
      </c>
      <c r="D77" s="327"/>
      <c r="E77" s="90">
        <v>199.465</v>
      </c>
      <c r="F77" s="37">
        <f>IF('PERHITUNGAN 18'!$E$11="Burn Engr",'PERHITUNGAN 18'!E77,E77+('regresi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199.465</v>
      </c>
      <c r="G77" s="90">
        <f>F77-C77</f>
        <v>0.15500000000000114</v>
      </c>
      <c r="H77" s="63"/>
      <c r="I77" s="63"/>
      <c r="AB77" s="1"/>
    </row>
    <row r="78" spans="1:28">
      <c r="A78" s="10"/>
      <c r="C78" s="327">
        <v>199.31</v>
      </c>
      <c r="D78" s="327"/>
      <c r="E78" s="90">
        <v>199.465</v>
      </c>
      <c r="F78" s="37">
        <f>IF('PERHITUNGAN 18'!$E$11="Burn Engr",'PERHITUNGAN 18'!E78,E78+('regresi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199.465</v>
      </c>
      <c r="G78" s="90">
        <f>F78-C78</f>
        <v>0.15500000000000114</v>
      </c>
      <c r="H78" s="26"/>
      <c r="I78" s="26"/>
      <c r="AB78" s="1"/>
    </row>
    <row r="79" spans="1:28">
      <c r="A79" s="10"/>
      <c r="C79" s="327">
        <v>199.31</v>
      </c>
      <c r="D79" s="327"/>
      <c r="E79" s="90">
        <v>199.465</v>
      </c>
      <c r="F79" s="37">
        <f>IF('PERHITUNGAN 18'!$E$11="Burn Engr",'PERHITUNGAN 18'!E79,E79+('regresi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199.465</v>
      </c>
      <c r="G79" s="90">
        <f>F79-C79</f>
        <v>0.15500000000000114</v>
      </c>
      <c r="AB79" s="1"/>
    </row>
    <row r="80" spans="1:28">
      <c r="A80" s="10"/>
      <c r="B80" s="8" t="s">
        <v>31</v>
      </c>
      <c r="C80" s="333">
        <f>AVERAGE(C75:D79)</f>
        <v>199.31</v>
      </c>
      <c r="D80" s="334"/>
      <c r="E80" s="95">
        <f>AVERAGE(E75:E79)</f>
        <v>199.465</v>
      </c>
      <c r="F80" s="95">
        <f t="shared" ref="F80" si="16">AVERAGE(F75:F79)</f>
        <v>199.465</v>
      </c>
      <c r="G80" s="95">
        <f>SUM(G75:G79)/5</f>
        <v>0.15500000000000114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250</v>
      </c>
      <c r="C83" s="327">
        <v>249.26</v>
      </c>
      <c r="D83" s="327"/>
      <c r="E83" s="90">
        <v>249.47800000000001</v>
      </c>
      <c r="F83" s="37">
        <f>IF('PERHITUNGAN 18'!$E$11="Burn Engr",'PERHITUNGAN 18'!E83,E83+('regresi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249.47800000000001</v>
      </c>
      <c r="G83" s="40">
        <f>F83-C83</f>
        <v>0.21800000000001774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249.26</v>
      </c>
      <c r="D84" s="327"/>
      <c r="E84" s="90">
        <v>249.47800000000001</v>
      </c>
      <c r="F84" s="37">
        <f>IF('PERHITUNGAN 18'!$E$11="Burn Engr",'PERHITUNGAN 18'!E84,E84+('regresi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249.47800000000001</v>
      </c>
      <c r="G84" s="40">
        <f>F84-C84</f>
        <v>0.21800000000001774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249.26</v>
      </c>
      <c r="D85" s="327"/>
      <c r="E85" s="90">
        <v>249.47800000000001</v>
      </c>
      <c r="F85" s="37">
        <f>IF('PERHITUNGAN 18'!$E$11="Burn Engr",'PERHITUNGAN 18'!E85,E85+('regresi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249.47800000000001</v>
      </c>
      <c r="G85" s="40">
        <f>F85-C85</f>
        <v>0.21800000000001774</v>
      </c>
      <c r="H85" s="26"/>
      <c r="I85" s="26"/>
      <c r="N85" s="93">
        <f>O56</f>
        <v>0.35</v>
      </c>
      <c r="O85" s="403">
        <f>G48</f>
        <v>-0.15599999999999997</v>
      </c>
      <c r="P85" s="404"/>
      <c r="Q85" s="387">
        <f t="shared" ref="Q85:Q94" si="17">N85+O85</f>
        <v>0.19400000000000001</v>
      </c>
      <c r="R85" s="405"/>
      <c r="S85" s="138" t="s">
        <v>35</v>
      </c>
      <c r="T85" s="94">
        <f>IF(N85&lt;$AA$97,MAX($O$97,O76),IF(N85&lt;$AA$98,MAX($O$98,O76),MAX($O$99,O76)))</f>
        <v>0.33131833112559972</v>
      </c>
      <c r="AB85" s="1"/>
    </row>
    <row r="86" spans="1:28">
      <c r="A86" s="10"/>
      <c r="C86" s="327">
        <v>249.26</v>
      </c>
      <c r="D86" s="327"/>
      <c r="E86" s="90">
        <v>249.47800000000001</v>
      </c>
      <c r="F86" s="37">
        <f>IF('PERHITUNGAN 18'!$E$11="Burn Engr",'PERHITUNGAN 18'!E86,E86+('regresi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249.47800000000001</v>
      </c>
      <c r="G86" s="40">
        <f>F86-C86</f>
        <v>0.21800000000001774</v>
      </c>
      <c r="H86" s="63"/>
      <c r="I86" s="63"/>
      <c r="N86" s="93">
        <f>P56</f>
        <v>50.4</v>
      </c>
      <c r="O86" s="403">
        <f>G56</f>
        <v>-5.1000000000001933E-2</v>
      </c>
      <c r="P86" s="404"/>
      <c r="Q86" s="406">
        <f t="shared" si="17"/>
        <v>50.348999999999997</v>
      </c>
      <c r="R86" s="407"/>
      <c r="S86" s="138" t="s">
        <v>35</v>
      </c>
      <c r="T86" s="94">
        <f>IF(N86&lt;$AA$97,MAX($O$97,P76),IF(N86&lt;$AA$98,MAX($O$98,P76),MAX($O$99,P76)))</f>
        <v>0.33059260403863894</v>
      </c>
      <c r="AB86" s="1"/>
    </row>
    <row r="87" spans="1:28">
      <c r="A87" s="10"/>
      <c r="C87" s="327">
        <v>249.26</v>
      </c>
      <c r="D87" s="327"/>
      <c r="E87" s="90">
        <v>249.47800000000001</v>
      </c>
      <c r="F87" s="37">
        <f>IF('PERHITUNGAN 18'!$E$11="Burn Engr",'PERHITUNGAN 18'!E87,E87+('regresi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249.47800000000001</v>
      </c>
      <c r="G87" s="41">
        <f>F87-C87</f>
        <v>0.21800000000001774</v>
      </c>
      <c r="H87" s="63"/>
      <c r="I87" s="63"/>
      <c r="N87" s="93">
        <f>Q56</f>
        <v>100.33</v>
      </c>
      <c r="O87" s="403">
        <f>G64</f>
        <v>-0.44799999999999329</v>
      </c>
      <c r="P87" s="404"/>
      <c r="Q87" s="406">
        <f t="shared" si="17"/>
        <v>99.882000000000005</v>
      </c>
      <c r="R87" s="407"/>
      <c r="S87" s="138" t="s">
        <v>35</v>
      </c>
      <c r="T87" s="94">
        <f>IF(N87&lt;$AA$97,MAX($O$97,Q76),IF(N87&lt;$AA$98,MAX($O$98,Q76),MAX($O$99,Q76)))</f>
        <v>0.33015652473567209</v>
      </c>
      <c r="AB87" s="1"/>
    </row>
    <row r="88" spans="1:28">
      <c r="A88" s="10"/>
      <c r="B88" s="8" t="s">
        <v>31</v>
      </c>
      <c r="C88" s="333">
        <f>AVERAGE(C83:D87)</f>
        <v>249.26</v>
      </c>
      <c r="D88" s="334"/>
      <c r="E88" s="95">
        <f>AVERAGE(E83:E87)</f>
        <v>249.47800000000001</v>
      </c>
      <c r="F88" s="95">
        <f t="shared" ref="F88" si="18">AVERAGE(F83:F87)</f>
        <v>249.47800000000001</v>
      </c>
      <c r="G88" s="95">
        <f>SUM(G83:G87)/5</f>
        <v>0.21800000000001774</v>
      </c>
      <c r="H88" s="63"/>
      <c r="I88" s="63"/>
      <c r="N88" s="93">
        <f>R56</f>
        <v>149.83000000000001</v>
      </c>
      <c r="O88" s="403">
        <f>G72</f>
        <v>-0.11299999999999955</v>
      </c>
      <c r="P88" s="404"/>
      <c r="Q88" s="406">
        <f t="shared" si="17"/>
        <v>149.71700000000001</v>
      </c>
      <c r="R88" s="407"/>
      <c r="S88" s="138" t="s">
        <v>35</v>
      </c>
      <c r="T88" s="94">
        <f>IF(N88&lt;$AA$97,MAX($O$97,R76),IF(N88&lt;$AA$98,MAX($O$98,R76),MAX($O$99,R76)))</f>
        <v>0.33131833112559972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199.31</v>
      </c>
      <c r="O89" s="403">
        <f>G80</f>
        <v>0.15500000000000114</v>
      </c>
      <c r="P89" s="404"/>
      <c r="Q89" s="406">
        <f t="shared" si="17"/>
        <v>199.465</v>
      </c>
      <c r="R89" s="407"/>
      <c r="S89" s="138" t="s">
        <v>35</v>
      </c>
      <c r="T89" s="94">
        <f>IF(N89&lt;$AA$97,MAX($O$97,S76),IF(N89&lt;$AA$98,MAX($O$98,S76),MAX($O$99,S76)))</f>
        <v>0.33015652473567209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249.26</v>
      </c>
      <c r="O90" s="403">
        <f>G88</f>
        <v>0.21800000000001774</v>
      </c>
      <c r="P90" s="404"/>
      <c r="Q90" s="406">
        <f t="shared" si="17"/>
        <v>249.47800000000001</v>
      </c>
      <c r="R90" s="407"/>
      <c r="S90" s="138" t="s">
        <v>35</v>
      </c>
      <c r="T90" s="94">
        <f>IF(N90&lt;$AA$97,MAX($O$97,T76),IF(N90&lt;$AA$98,MAX($O$98,T76),MAX($O$99,T76)))</f>
        <v>0.34429884440483743</v>
      </c>
      <c r="AB90" s="1"/>
    </row>
    <row r="91" spans="1:28">
      <c r="A91" s="105">
        <v>7</v>
      </c>
      <c r="B91" s="196">
        <v>260</v>
      </c>
      <c r="C91" s="327">
        <v>259.27999999999997</v>
      </c>
      <c r="D91" s="327"/>
      <c r="E91" s="90">
        <v>259.55399999999997</v>
      </c>
      <c r="F91" s="37">
        <f>IF('PERHITUNGAN 18'!$E$11="Burn Engr",'PERHITUNGAN 18'!E91,E91+('regresi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259.55399999999997</v>
      </c>
      <c r="G91" s="40">
        <f>F91-C91</f>
        <v>0.27400000000000091</v>
      </c>
      <c r="H91" s="63"/>
      <c r="I91" s="63"/>
      <c r="N91" s="93">
        <f>U56</f>
        <v>259.27999999999997</v>
      </c>
      <c r="O91" s="403">
        <f>G96</f>
        <v>0.27400000000000091</v>
      </c>
      <c r="P91" s="404"/>
      <c r="Q91" s="406">
        <f t="shared" si="17"/>
        <v>259.55399999999997</v>
      </c>
      <c r="R91" s="407"/>
      <c r="S91" s="138" t="s">
        <v>35</v>
      </c>
      <c r="T91" s="94">
        <f>IF(N91&lt;$AA$97,MAX($O$97,U76),IF(N91&lt;$AA$98,MAX($O$98,U76),MAX($O$99,U76)))</f>
        <v>1.8</v>
      </c>
      <c r="AB91" s="1"/>
    </row>
    <row r="92" spans="1:28">
      <c r="A92" s="10"/>
      <c r="C92" s="327">
        <v>259.27999999999997</v>
      </c>
      <c r="D92" s="327"/>
      <c r="E92" s="90">
        <v>259.55399999999997</v>
      </c>
      <c r="F92" s="37">
        <f>IF('PERHITUNGAN 18'!$E$11="Burn Engr",'PERHITUNGAN 18'!E92,E92+('regresi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259.55399999999997</v>
      </c>
      <c r="G92" s="40">
        <f>F92-C92</f>
        <v>0.27400000000000091</v>
      </c>
      <c r="H92" s="44"/>
      <c r="I92" s="63"/>
      <c r="N92" s="93" t="e">
        <f>V56</f>
        <v>#DIV/0!</v>
      </c>
      <c r="O92" s="403">
        <f>G104</f>
        <v>0</v>
      </c>
      <c r="P92" s="404"/>
      <c r="Q92" s="406" t="e">
        <f t="shared" si="17"/>
        <v>#DIV/0!</v>
      </c>
      <c r="R92" s="407"/>
      <c r="S92" s="138" t="s">
        <v>35</v>
      </c>
      <c r="T92" s="94" t="e">
        <f>IF(N92&lt;$AA$97,MAX($O$97,V76),IF(N92&lt;$AA$98,MAX($O$98,V76),MAX($O$99,V76)))</f>
        <v>#DIV/0!</v>
      </c>
      <c r="AB92" s="1"/>
    </row>
    <row r="93" spans="1:28">
      <c r="A93" s="10"/>
      <c r="C93" s="327">
        <v>259.27999999999997</v>
      </c>
      <c r="D93" s="327"/>
      <c r="E93" s="90">
        <v>259.55399999999997</v>
      </c>
      <c r="F93" s="37">
        <f>IF('PERHITUNGAN 18'!$E$11="Burn Engr",'PERHITUNGAN 18'!E93,E93+('regresi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259.55399999999997</v>
      </c>
      <c r="G93" s="40">
        <f>F93-C93</f>
        <v>0.27400000000000091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7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259.27999999999997</v>
      </c>
      <c r="D94" s="327"/>
      <c r="E94" s="90">
        <v>259.55399999999997</v>
      </c>
      <c r="F94" s="37">
        <f>IF('PERHITUNGAN 18'!$E$11="Burn Engr",'PERHITUNGAN 18'!E94,E94+('regresi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259.55399999999997</v>
      </c>
      <c r="G94" s="40">
        <f>F94-C94</f>
        <v>0.27400000000000091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7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259.27999999999997</v>
      </c>
      <c r="D95" s="327"/>
      <c r="E95" s="90">
        <v>259.55399999999997</v>
      </c>
      <c r="F95" s="37">
        <f>IF('PERHITUNGAN 18'!$E$11="Burn Engr",'PERHITUNGAN 18'!E95,E95+('regresi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259.55399999999997</v>
      </c>
      <c r="G95" s="41">
        <f>F95-C95</f>
        <v>0.27400000000000091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259.27999999999997</v>
      </c>
      <c r="D96" s="334"/>
      <c r="E96" s="95">
        <f>AVERAGE(E91:E95)</f>
        <v>259.55399999999997</v>
      </c>
      <c r="F96" s="95">
        <f t="shared" ref="F96" si="19">AVERAGE(F91:F95)</f>
        <v>259.55399999999997</v>
      </c>
      <c r="G96" s="95">
        <f>SUM(G91:G95)/5</f>
        <v>0.27400000000000091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0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0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/>
      <c r="C99" s="327"/>
      <c r="D99" s="327"/>
      <c r="E99" s="90"/>
      <c r="F99" s="37"/>
      <c r="G99" s="40"/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/>
      <c r="D100" s="327"/>
      <c r="E100" s="90"/>
      <c r="F100" s="37"/>
      <c r="G100" s="40"/>
      <c r="H100" s="44"/>
      <c r="I100" s="44"/>
      <c r="M100" s="1"/>
    </row>
    <row r="101" spans="1:27">
      <c r="A101" s="10"/>
      <c r="C101" s="327"/>
      <c r="D101" s="327"/>
      <c r="E101" s="90"/>
      <c r="F101" s="37"/>
      <c r="G101" s="40"/>
      <c r="H101" s="44"/>
      <c r="I101" s="44"/>
    </row>
    <row r="102" spans="1:27">
      <c r="A102" s="10"/>
      <c r="C102" s="327"/>
      <c r="D102" s="327"/>
      <c r="E102" s="90"/>
      <c r="F102" s="37"/>
      <c r="G102" s="40"/>
      <c r="H102" s="63"/>
      <c r="I102" s="63"/>
    </row>
    <row r="103" spans="1:27">
      <c r="A103" s="10"/>
      <c r="C103" s="327"/>
      <c r="D103" s="327"/>
      <c r="E103" s="90"/>
      <c r="F103" s="37"/>
      <c r="G103" s="41"/>
      <c r="H103" s="63"/>
      <c r="I103" s="63"/>
      <c r="N103" s="74"/>
      <c r="O103" s="129"/>
    </row>
    <row r="104" spans="1:27">
      <c r="A104" s="10"/>
      <c r="B104" s="8" t="s">
        <v>31</v>
      </c>
      <c r="C104" s="333" t="e">
        <f>AVERAGE(C99:D103)</f>
        <v>#DIV/0!</v>
      </c>
      <c r="D104" s="334"/>
      <c r="E104" s="95" t="e">
        <f>AVERAGE(E99:E103)</f>
        <v>#DIV/0!</v>
      </c>
      <c r="F104" s="95" t="e">
        <f t="shared" ref="F104" si="20">AVERAGE(F99:F103)</f>
        <v>#DIV/0!</v>
      </c>
      <c r="G104" s="95">
        <f>SUM(G99:G103)/5</f>
        <v>0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 t="e">
        <f>_xlfn.STDEV.S(G99:G103)</f>
        <v>#DIV/0!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 t="e">
        <f>G105/SQRT(5)</f>
        <v>#DIV/0!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/>
      <c r="G107" s="40"/>
      <c r="H107" s="63"/>
      <c r="I107" s="63"/>
      <c r="M107" s="1"/>
    </row>
    <row r="108" spans="1:27">
      <c r="A108" s="10"/>
      <c r="C108" s="327"/>
      <c r="D108" s="327"/>
      <c r="E108" s="90"/>
      <c r="F108" s="37"/>
      <c r="G108" s="40"/>
      <c r="H108" s="44"/>
      <c r="I108" s="44"/>
      <c r="M108" s="1"/>
    </row>
    <row r="109" spans="1:27">
      <c r="A109" s="10"/>
      <c r="C109" s="327"/>
      <c r="D109" s="327"/>
      <c r="E109" s="90"/>
      <c r="F109" s="37"/>
      <c r="G109" s="40"/>
      <c r="H109" s="44"/>
      <c r="I109" s="44"/>
    </row>
    <row r="110" spans="1:27">
      <c r="A110" s="10"/>
      <c r="C110" s="327"/>
      <c r="D110" s="327"/>
      <c r="E110" s="90"/>
      <c r="F110" s="37"/>
      <c r="G110" s="40"/>
      <c r="H110" s="63"/>
      <c r="I110" s="63"/>
    </row>
    <row r="111" spans="1:27">
      <c r="A111" s="10"/>
      <c r="C111" s="327"/>
      <c r="D111" s="327"/>
      <c r="E111" s="90"/>
      <c r="F111" s="37"/>
      <c r="G111" s="41"/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 t="e">
        <f t="shared" ref="F112" si="21">AVERAGE(F107:F111)</f>
        <v>#DIV/0!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 t="e">
        <f>_xlfn.STDEV.S(G107:G111)</f>
        <v>#DIV/0!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 t="e">
        <f>G113/SQRT(5)</f>
        <v>#DIV/0!</v>
      </c>
      <c r="H114" s="63"/>
      <c r="I114" s="63"/>
    </row>
    <row r="115" spans="1:21">
      <c r="A115" s="105">
        <v>10</v>
      </c>
      <c r="B115" s="196"/>
      <c r="C115" s="327"/>
      <c r="D115" s="327"/>
      <c r="E115" s="90"/>
      <c r="F115" s="37"/>
      <c r="G115" s="40"/>
      <c r="H115" s="63"/>
      <c r="I115" s="63"/>
      <c r="N115" s="98"/>
      <c r="U115" s="72"/>
    </row>
    <row r="116" spans="1:21">
      <c r="A116" s="10"/>
      <c r="C116" s="327"/>
      <c r="D116" s="327"/>
      <c r="E116" s="90"/>
      <c r="F116" s="37"/>
      <c r="G116" s="40"/>
      <c r="H116" s="44"/>
      <c r="I116" s="44"/>
      <c r="U116" s="49"/>
    </row>
    <row r="117" spans="1:21">
      <c r="A117" s="10"/>
      <c r="C117" s="327"/>
      <c r="D117" s="327"/>
      <c r="E117" s="90"/>
      <c r="F117" s="37"/>
      <c r="G117" s="40"/>
      <c r="H117" s="44"/>
      <c r="I117" s="44"/>
      <c r="U117" s="49"/>
    </row>
    <row r="118" spans="1:21">
      <c r="A118" s="10"/>
      <c r="C118" s="327"/>
      <c r="D118" s="327"/>
      <c r="E118" s="90"/>
      <c r="F118" s="37"/>
      <c r="G118" s="40"/>
      <c r="H118" s="63"/>
      <c r="I118" s="63"/>
    </row>
    <row r="119" spans="1:21">
      <c r="A119" s="10"/>
      <c r="C119" s="327"/>
      <c r="D119" s="327"/>
      <c r="E119" s="90"/>
      <c r="F119" s="37"/>
      <c r="G119" s="41"/>
      <c r="H119" s="63"/>
      <c r="I119" s="63"/>
    </row>
    <row r="120" spans="1:21">
      <c r="A120" s="10"/>
      <c r="B120" s="8" t="s">
        <v>31</v>
      </c>
      <c r="C120" s="333" t="e">
        <f>AVERAGE(C115:D119)</f>
        <v>#DIV/0!</v>
      </c>
      <c r="D120" s="334"/>
      <c r="E120" s="95" t="e">
        <f>AVERAGE(E115:E119)</f>
        <v>#DIV/0!</v>
      </c>
      <c r="F120" s="95" t="e">
        <f t="shared" ref="F120" si="22">AVERAGE(F115:F119)</f>
        <v>#DIV/0!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 t="e">
        <f>_xlfn.STDEV.S(G115:G119)</f>
        <v>#DIV/0!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 t="e">
        <f>G121/SQRT(5)</f>
        <v>#DIV/0!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26"/>
      <c r="D125" s="26"/>
      <c r="H125" s="44"/>
      <c r="I125" s="44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7">
    <mergeCell ref="C180:D180"/>
    <mergeCell ref="C181:D181"/>
    <mergeCell ref="C182:D182"/>
    <mergeCell ref="C183:D183"/>
    <mergeCell ref="C184:D184"/>
    <mergeCell ref="C185:D185"/>
    <mergeCell ref="C172:D172"/>
    <mergeCell ref="C173:D173"/>
    <mergeCell ref="C174:D174"/>
    <mergeCell ref="C175:D175"/>
    <mergeCell ref="C176:D176"/>
    <mergeCell ref="C177:D177"/>
    <mergeCell ref="C164:D164"/>
    <mergeCell ref="C165:D165"/>
    <mergeCell ref="C166:D166"/>
    <mergeCell ref="C167:D167"/>
    <mergeCell ref="C168:D168"/>
    <mergeCell ref="C169:D169"/>
    <mergeCell ref="C156:D156"/>
    <mergeCell ref="C157:D157"/>
    <mergeCell ref="C158:D158"/>
    <mergeCell ref="C159:D159"/>
    <mergeCell ref="C160:D160"/>
    <mergeCell ref="C161:D161"/>
    <mergeCell ref="C146:D146"/>
    <mergeCell ref="C147:D147"/>
    <mergeCell ref="C148:D148"/>
    <mergeCell ref="C149:D149"/>
    <mergeCell ref="C150:D150"/>
    <mergeCell ref="C151:D151"/>
    <mergeCell ref="C138:D138"/>
    <mergeCell ref="C139:D139"/>
    <mergeCell ref="C140:D140"/>
    <mergeCell ref="C141:D141"/>
    <mergeCell ref="C142:D142"/>
    <mergeCell ref="C143:D143"/>
    <mergeCell ref="C109:D109"/>
    <mergeCell ref="C110:D110"/>
    <mergeCell ref="C111:D111"/>
    <mergeCell ref="C112:D112"/>
    <mergeCell ref="C126:D126"/>
    <mergeCell ref="C127:D127"/>
    <mergeCell ref="C101:D101"/>
    <mergeCell ref="C102:D102"/>
    <mergeCell ref="C103:D103"/>
    <mergeCell ref="C104:D104"/>
    <mergeCell ref="C107:D107"/>
    <mergeCell ref="C108:D108"/>
    <mergeCell ref="C115:D115"/>
    <mergeCell ref="C116:D116"/>
    <mergeCell ref="C117:D117"/>
    <mergeCell ref="C118:D118"/>
    <mergeCell ref="C119:D119"/>
    <mergeCell ref="C120:D120"/>
    <mergeCell ref="C95:D95"/>
    <mergeCell ref="C96:D96"/>
    <mergeCell ref="N96:O96"/>
    <mergeCell ref="Z96:AA96"/>
    <mergeCell ref="C99:D99"/>
    <mergeCell ref="C100:D100"/>
    <mergeCell ref="C93:D93"/>
    <mergeCell ref="O93:P93"/>
    <mergeCell ref="Q93:R93"/>
    <mergeCell ref="C94:D94"/>
    <mergeCell ref="O94:P94"/>
    <mergeCell ref="Q94:R94"/>
    <mergeCell ref="C91:D91"/>
    <mergeCell ref="O91:P91"/>
    <mergeCell ref="Q91:R91"/>
    <mergeCell ref="C92:D92"/>
    <mergeCell ref="O92:P92"/>
    <mergeCell ref="Q92:R92"/>
    <mergeCell ref="C88:D88"/>
    <mergeCell ref="O88:P88"/>
    <mergeCell ref="Q88:R88"/>
    <mergeCell ref="O89:P89"/>
    <mergeCell ref="Q89:R89"/>
    <mergeCell ref="O90:P90"/>
    <mergeCell ref="Q90:R90"/>
    <mergeCell ref="C86:D86"/>
    <mergeCell ref="O86:P86"/>
    <mergeCell ref="Q86:R86"/>
    <mergeCell ref="C87:D87"/>
    <mergeCell ref="O87:P87"/>
    <mergeCell ref="Q87:R87"/>
    <mergeCell ref="S83:T83"/>
    <mergeCell ref="C84:D84"/>
    <mergeCell ref="S84:T84"/>
    <mergeCell ref="C85:D85"/>
    <mergeCell ref="O85:P85"/>
    <mergeCell ref="Q85:R85"/>
    <mergeCell ref="C79:D79"/>
    <mergeCell ref="C80:D80"/>
    <mergeCell ref="C83:D83"/>
    <mergeCell ref="N83:N84"/>
    <mergeCell ref="O83:P84"/>
    <mergeCell ref="Q83:R84"/>
    <mergeCell ref="C71:D71"/>
    <mergeCell ref="C72:D72"/>
    <mergeCell ref="C75:D75"/>
    <mergeCell ref="C76:D76"/>
    <mergeCell ref="C77:D77"/>
    <mergeCell ref="C78:D78"/>
    <mergeCell ref="C63:D63"/>
    <mergeCell ref="C64:D64"/>
    <mergeCell ref="C67:D67"/>
    <mergeCell ref="C68:D68"/>
    <mergeCell ref="C69:D69"/>
    <mergeCell ref="C70:D70"/>
    <mergeCell ref="O55:X55"/>
    <mergeCell ref="C56:D56"/>
    <mergeCell ref="C59:D59"/>
    <mergeCell ref="C60:D60"/>
    <mergeCell ref="C61:D61"/>
    <mergeCell ref="C62:D62"/>
    <mergeCell ref="C51:D51"/>
    <mergeCell ref="C52:D52"/>
    <mergeCell ref="C53:D53"/>
    <mergeCell ref="C54:D54"/>
    <mergeCell ref="C55:D55"/>
    <mergeCell ref="N55:N56"/>
    <mergeCell ref="T45:Y4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N45:S45"/>
    <mergeCell ref="T36:T37"/>
    <mergeCell ref="U36:U37"/>
    <mergeCell ref="V36:V37"/>
    <mergeCell ref="W36:W37"/>
    <mergeCell ref="X36:X37"/>
    <mergeCell ref="C40:D40"/>
    <mergeCell ref="N36:N37"/>
    <mergeCell ref="O36:O37"/>
    <mergeCell ref="P36:P37"/>
    <mergeCell ref="Q36:Q37"/>
    <mergeCell ref="R36:R37"/>
    <mergeCell ref="S36:S37"/>
    <mergeCell ref="T28:T29"/>
    <mergeCell ref="U28:U29"/>
    <mergeCell ref="AB28:AC28"/>
    <mergeCell ref="AB30:AC30"/>
    <mergeCell ref="J31:K31"/>
    <mergeCell ref="AB32:AC32"/>
    <mergeCell ref="J26:K26"/>
    <mergeCell ref="N28:N29"/>
    <mergeCell ref="O28:O29"/>
    <mergeCell ref="P28:P29"/>
    <mergeCell ref="Q28:Q29"/>
    <mergeCell ref="S28:S29"/>
    <mergeCell ref="E16:F16"/>
    <mergeCell ref="N16:N20"/>
    <mergeCell ref="E17:F17"/>
    <mergeCell ref="E18:F18"/>
    <mergeCell ref="AB18:AC18"/>
    <mergeCell ref="F21:G21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</mergeCells>
  <conditionalFormatting sqref="C56">
    <cfRule type="expression" dxfId="153" priority="24" stopIfTrue="1">
      <formula>COUNT(C51:C55)&lt;&gt;5</formula>
    </cfRule>
  </conditionalFormatting>
  <conditionalFormatting sqref="C64">
    <cfRule type="expression" dxfId="152" priority="8" stopIfTrue="1">
      <formula>COUNT(C59:C63)&lt;&gt;5</formula>
    </cfRule>
  </conditionalFormatting>
  <conditionalFormatting sqref="C72">
    <cfRule type="expression" dxfId="151" priority="14" stopIfTrue="1">
      <formula>COUNT(C67:C71)&lt;&gt;5</formula>
    </cfRule>
  </conditionalFormatting>
  <conditionalFormatting sqref="C80">
    <cfRule type="expression" dxfId="150" priority="13" stopIfTrue="1">
      <formula>COUNT(C75:C79)&lt;&gt;5</formula>
    </cfRule>
  </conditionalFormatting>
  <conditionalFormatting sqref="C88">
    <cfRule type="expression" dxfId="149" priority="12" stopIfTrue="1">
      <formula>COUNT(C83:C87)&lt;&gt;5</formula>
    </cfRule>
  </conditionalFormatting>
  <conditionalFormatting sqref="C96">
    <cfRule type="expression" dxfId="148" priority="11" stopIfTrue="1">
      <formula>COUNT(C91:C95)&lt;&gt;5</formula>
    </cfRule>
  </conditionalFormatting>
  <conditionalFormatting sqref="C48:E48">
    <cfRule type="expression" dxfId="145" priority="25" stopIfTrue="1">
      <formula>COUNT(C43:C47)&lt;&gt;5</formula>
    </cfRule>
  </conditionalFormatting>
  <conditionalFormatting sqref="E56">
    <cfRule type="expression" dxfId="143" priority="23" stopIfTrue="1">
      <formula>COUNT(E51:E55)&lt;&gt;5</formula>
    </cfRule>
  </conditionalFormatting>
  <conditionalFormatting sqref="E64">
    <cfRule type="expression" dxfId="142" priority="7" stopIfTrue="1">
      <formula>COUNT(E59:E63)&lt;&gt;5</formula>
    </cfRule>
  </conditionalFormatting>
  <conditionalFormatting sqref="E72">
    <cfRule type="expression" dxfId="141" priority="22" stopIfTrue="1">
      <formula>COUNT(E67:E71)&lt;&gt;5</formula>
    </cfRule>
  </conditionalFormatting>
  <conditionalFormatting sqref="E80">
    <cfRule type="expression" dxfId="140" priority="21" stopIfTrue="1">
      <formula>COUNT(E75:E79)&lt;&gt;5</formula>
    </cfRule>
  </conditionalFormatting>
  <conditionalFormatting sqref="E88">
    <cfRule type="expression" dxfId="139" priority="20" stopIfTrue="1">
      <formula>COUNT(E83:E87)&lt;&gt;5</formula>
    </cfRule>
  </conditionalFormatting>
  <conditionalFormatting sqref="E96">
    <cfRule type="expression" dxfId="138" priority="19" stopIfTrue="1">
      <formula>COUNT(E91:E95)&lt;&gt;5</formula>
    </cfRule>
  </conditionalFormatting>
  <conditionalFormatting sqref="C104">
    <cfRule type="expression" dxfId="11" priority="5" stopIfTrue="1">
      <formula>COUNT(C99:C103)&lt;&gt;5</formula>
    </cfRule>
  </conditionalFormatting>
  <conditionalFormatting sqref="E104">
    <cfRule type="expression" dxfId="10" priority="6" stopIfTrue="1">
      <formula>COUNT(E99:E103)&lt;&gt;5</formula>
    </cfRule>
  </conditionalFormatting>
  <conditionalFormatting sqref="C112">
    <cfRule type="expression" dxfId="9" priority="3" stopIfTrue="1">
      <formula>COUNT(C107:C111)&lt;&gt;5</formula>
    </cfRule>
  </conditionalFormatting>
  <conditionalFormatting sqref="E112">
    <cfRule type="expression" dxfId="8" priority="4" stopIfTrue="1">
      <formula>COUNT(E107:E111)&lt;&gt;5</formula>
    </cfRule>
  </conditionalFormatting>
  <conditionalFormatting sqref="C120">
    <cfRule type="expression" dxfId="7" priority="1" stopIfTrue="1">
      <formula>COUNT(C115:C119)&lt;&gt;5</formula>
    </cfRule>
  </conditionalFormatting>
  <conditionalFormatting sqref="E120">
    <cfRule type="expression" dxfId="6" priority="2" stopIfTrue="1">
      <formula>COUNT(E115:E119)&lt;&gt;5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95233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95233" r:id="rId4"/>
      </mc:Fallback>
    </mc:AlternateContent>
    <mc:AlternateContent xmlns:mc="http://schemas.openxmlformats.org/markup-compatibility/2006">
      <mc:Choice Requires="x14">
        <oleObject progId="Equation.3" shapeId="95234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95234" r:id="rId6"/>
      </mc:Fallback>
    </mc:AlternateContent>
    <mc:AlternateContent xmlns:mc="http://schemas.openxmlformats.org/markup-compatibility/2006">
      <mc:Choice Requires="x14">
        <oleObject progId="Equation.3" shapeId="95235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95235" r:id="rId8"/>
      </mc:Fallback>
    </mc:AlternateContent>
    <mc:AlternateContent xmlns:mc="http://schemas.openxmlformats.org/markup-compatibility/2006">
      <mc:Choice Requires="x14">
        <oleObject progId="Equation.3" shapeId="95236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95236" r:id="rId10"/>
      </mc:Fallback>
    </mc:AlternateContent>
  </oleObjec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90091-F4C3-44B1-9976-04A9687922E4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18'!O85</f>
        <v>-0.15599999999999997</v>
      </c>
      <c r="C2" s="37">
        <f>'PERHITUNGAN 18'!N85</f>
        <v>0.35</v>
      </c>
      <c r="D2" s="75">
        <f>C2^2</f>
        <v>0.12249999999999998</v>
      </c>
      <c r="E2" s="37">
        <f>C2^3</f>
        <v>4.287499999999999E-2</v>
      </c>
      <c r="F2" s="91">
        <f>C2^4</f>
        <v>1.5006249999999995E-2</v>
      </c>
      <c r="G2" s="91">
        <f>C2^5</f>
        <v>5.2521874999999982E-3</v>
      </c>
      <c r="H2" s="91">
        <f>C2^6</f>
        <v>1.8382656249999992E-3</v>
      </c>
      <c r="I2" s="91">
        <f>C2^7</f>
        <v>6.4339296874999961E-4</v>
      </c>
      <c r="J2" s="91">
        <f>C2^8</f>
        <v>2.2518753906249986E-4</v>
      </c>
      <c r="K2" s="91">
        <f>C2^9</f>
        <v>7.8815638671874945E-5</v>
      </c>
      <c r="L2" s="91">
        <f>C2^10</f>
        <v>2.7585473535156231E-5</v>
      </c>
      <c r="Q2" s="12"/>
    </row>
    <row r="3" spans="1:24">
      <c r="A3" s="25">
        <v>2</v>
      </c>
      <c r="B3" s="37">
        <f>'PERHITUNGAN 18'!O86</f>
        <v>-5.1000000000001933E-2</v>
      </c>
      <c r="C3" s="37">
        <f>'PERHITUNGAN 18'!N86</f>
        <v>50.4</v>
      </c>
      <c r="D3" s="75">
        <f t="shared" ref="D3:D9" si="0">C3^2</f>
        <v>2540.16</v>
      </c>
      <c r="E3" s="37">
        <f t="shared" ref="E3:E9" si="1">C3^3</f>
        <v>128024.06399999998</v>
      </c>
      <c r="F3" s="91">
        <f t="shared" ref="F3:F9" si="2">C3^4</f>
        <v>6452412.8255999992</v>
      </c>
      <c r="G3" s="91">
        <f t="shared" ref="G3:G9" si="3">C3^5</f>
        <v>325201606.41023993</v>
      </c>
      <c r="H3" s="91">
        <f t="shared" ref="H3:H9" si="4">C3^6</f>
        <v>16390160963.076094</v>
      </c>
      <c r="I3" s="91">
        <f t="shared" ref="I3:I9" si="5">C3^7</f>
        <v>826064112539.03503</v>
      </c>
      <c r="J3" s="91">
        <f t="shared" ref="J3:J9" si="6">C3^8</f>
        <v>41633631271967.367</v>
      </c>
      <c r="K3" s="91">
        <f t="shared" ref="K3:K9" si="7">C3^9</f>
        <v>2098335016107155.3</v>
      </c>
      <c r="L3" s="91">
        <f t="shared" ref="L3:L9" si="8">C3^10</f>
        <v>1.0575608481180062E+17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18'!O87</f>
        <v>-0.44799999999999329</v>
      </c>
      <c r="C4" s="37">
        <f>'PERHITUNGAN 18'!N87</f>
        <v>100.33</v>
      </c>
      <c r="D4" s="75">
        <f t="shared" si="0"/>
        <v>10066.108899999999</v>
      </c>
      <c r="E4" s="37">
        <f t="shared" si="1"/>
        <v>1009932.7059369999</v>
      </c>
      <c r="F4" s="91">
        <f t="shared" si="2"/>
        <v>101326548.38665919</v>
      </c>
      <c r="G4" s="91">
        <f t="shared" si="3"/>
        <v>10166092599.633516</v>
      </c>
      <c r="H4" s="91">
        <f t="shared" si="4"/>
        <v>1019964070521.2306</v>
      </c>
      <c r="I4" s="91">
        <f t="shared" si="5"/>
        <v>102332995195395.06</v>
      </c>
      <c r="J4" s="91">
        <f t="shared" si="6"/>
        <v>1.0267069407953986E+16</v>
      </c>
      <c r="K4" s="91">
        <f t="shared" si="7"/>
        <v>1.0300950737000234E+18</v>
      </c>
      <c r="L4" s="91">
        <f t="shared" si="8"/>
        <v>1.0334943874432334E+20</v>
      </c>
      <c r="R4" s="414" t="str">
        <f>IF('PERHITUNGAN 13'!$C$2="Celcius","(°C)","(°F)")</f>
        <v>(°C)</v>
      </c>
      <c r="S4" s="415"/>
      <c r="T4" s="5" t="str">
        <f>IF('PERHITUNGAN 13'!$C$2="Celcius","(°C)","(°F)")</f>
        <v>(°C)</v>
      </c>
      <c r="U4" s="14"/>
      <c r="V4" s="1"/>
    </row>
    <row r="5" spans="1:24">
      <c r="A5" s="25">
        <v>4</v>
      </c>
      <c r="B5" s="37">
        <f>'PERHITUNGAN 18'!O88</f>
        <v>-0.11299999999999955</v>
      </c>
      <c r="C5" s="37">
        <f>'PERHITUNGAN 18'!N88</f>
        <v>149.83000000000001</v>
      </c>
      <c r="D5" s="75">
        <f t="shared" si="0"/>
        <v>22449.028900000005</v>
      </c>
      <c r="E5" s="37">
        <f t="shared" si="1"/>
        <v>3363538.0000870009</v>
      </c>
      <c r="F5" s="91">
        <f t="shared" si="2"/>
        <v>503958898.55303544</v>
      </c>
      <c r="G5" s="91">
        <f t="shared" si="3"/>
        <v>75508161770.201309</v>
      </c>
      <c r="H5" s="91">
        <f t="shared" si="4"/>
        <v>11313387878029.264</v>
      </c>
      <c r="I5" s="91">
        <f t="shared" si="5"/>
        <v>1695084905765124.5</v>
      </c>
      <c r="J5" s="91">
        <f t="shared" si="6"/>
        <v>2.5397457143078867E+17</v>
      </c>
      <c r="K5" s="91">
        <f t="shared" si="7"/>
        <v>3.8053010037475066E+19</v>
      </c>
      <c r="L5" s="91">
        <f t="shared" si="8"/>
        <v>5.7014824939148909E+21</v>
      </c>
      <c r="R5" s="412"/>
      <c r="S5" s="413"/>
      <c r="T5" s="21"/>
      <c r="U5" s="32"/>
    </row>
    <row r="6" spans="1:24">
      <c r="A6" s="25">
        <v>5</v>
      </c>
      <c r="B6" s="37">
        <f>'PERHITUNGAN 18'!O89</f>
        <v>0.15500000000000114</v>
      </c>
      <c r="C6" s="37">
        <f>'PERHITUNGAN 18'!N89</f>
        <v>199.31</v>
      </c>
      <c r="D6" s="75">
        <f t="shared" si="0"/>
        <v>39724.4761</v>
      </c>
      <c r="E6" s="37">
        <f t="shared" si="1"/>
        <v>7917485.331491</v>
      </c>
      <c r="F6" s="91">
        <f t="shared" si="2"/>
        <v>1578034001.4194713</v>
      </c>
      <c r="G6" s="91">
        <f t="shared" si="3"/>
        <v>314517956822.91479</v>
      </c>
      <c r="H6" s="91">
        <f t="shared" si="4"/>
        <v>62686573974375.148</v>
      </c>
      <c r="I6" s="91">
        <f t="shared" si="5"/>
        <v>1.2494061058832712E+16</v>
      </c>
      <c r="J6" s="91">
        <f t="shared" si="6"/>
        <v>2.490191309635948E+18</v>
      </c>
      <c r="K6" s="91">
        <f t="shared" si="7"/>
        <v>4.963200299235408E+20</v>
      </c>
      <c r="L6" s="91">
        <f t="shared" si="8"/>
        <v>9.8921545164060912E+22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18'!O90</f>
        <v>0.21800000000001774</v>
      </c>
      <c r="C7" s="37">
        <f>'PERHITUNGAN 18'!N90</f>
        <v>249.26</v>
      </c>
      <c r="D7" s="75">
        <f t="shared" si="0"/>
        <v>62130.547599999998</v>
      </c>
      <c r="E7" s="37">
        <f t="shared" si="1"/>
        <v>15486660.294775998</v>
      </c>
      <c r="F7" s="91">
        <f t="shared" si="2"/>
        <v>3860204945.0758657</v>
      </c>
      <c r="G7" s="91">
        <f t="shared" si="3"/>
        <v>962194684609.61023</v>
      </c>
      <c r="H7" s="91">
        <f t="shared" si="4"/>
        <v>239836647085791.47</v>
      </c>
      <c r="I7" s="91">
        <f t="shared" si="5"/>
        <v>5.9781682652604376E+16</v>
      </c>
      <c r="J7" s="91">
        <f t="shared" si="6"/>
        <v>1.4901182217988168E+19</v>
      </c>
      <c r="K7" s="91">
        <f t="shared" si="7"/>
        <v>3.7142686796557304E+21</v>
      </c>
      <c r="L7" s="91">
        <f t="shared" si="8"/>
        <v>9.2581861109098735E+23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18'!O91</f>
        <v>0.27400000000000091</v>
      </c>
      <c r="C8" s="37">
        <f>'PERHITUNGAN 18'!N91</f>
        <v>259.27999999999997</v>
      </c>
      <c r="D8" s="75">
        <f t="shared" si="0"/>
        <v>67226.118399999992</v>
      </c>
      <c r="E8" s="37">
        <f t="shared" si="1"/>
        <v>17430387.978751995</v>
      </c>
      <c r="F8" s="91">
        <f t="shared" si="2"/>
        <v>4519350995.1308174</v>
      </c>
      <c r="G8" s="91">
        <f t="shared" si="3"/>
        <v>1171777326017.5183</v>
      </c>
      <c r="H8" s="91">
        <f t="shared" si="4"/>
        <v>303818425089822.13</v>
      </c>
      <c r="I8" s="91">
        <f t="shared" si="5"/>
        <v>7.8774041257289072E+16</v>
      </c>
      <c r="J8" s="91">
        <f t="shared" si="6"/>
        <v>2.0424533417189908E+19</v>
      </c>
      <c r="K8" s="91">
        <f t="shared" si="7"/>
        <v>5.2956730244089994E+21</v>
      </c>
      <c r="L8" s="91">
        <f t="shared" si="8"/>
        <v>1.3730621017687651E+24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18'!O92</f>
        <v>0</v>
      </c>
      <c r="C9" s="37" t="e">
        <f>'PERHITUNGAN 18'!N92</f>
        <v>#DIV/0!</v>
      </c>
      <c r="D9" s="75" t="e">
        <f t="shared" si="0"/>
        <v>#DIV/0!</v>
      </c>
      <c r="E9" s="37" t="e">
        <f t="shared" si="1"/>
        <v>#DIV/0!</v>
      </c>
      <c r="F9" s="91" t="e">
        <f t="shared" si="2"/>
        <v>#DIV/0!</v>
      </c>
      <c r="G9" s="91" t="e">
        <f t="shared" si="3"/>
        <v>#DIV/0!</v>
      </c>
      <c r="H9" s="91" t="e">
        <f t="shared" si="4"/>
        <v>#DIV/0!</v>
      </c>
      <c r="I9" s="91" t="e">
        <f t="shared" si="5"/>
        <v>#DIV/0!</v>
      </c>
      <c r="J9" s="91" t="e">
        <f t="shared" si="6"/>
        <v>#DIV/0!</v>
      </c>
      <c r="K9" s="91" t="e">
        <f t="shared" si="7"/>
        <v>#DIV/0!</v>
      </c>
      <c r="L9" s="91" t="e">
        <f t="shared" si="8"/>
        <v>#DIV/0!</v>
      </c>
      <c r="R9" s="408"/>
      <c r="S9" s="409"/>
      <c r="T9" s="23"/>
      <c r="U9" s="27"/>
      <c r="V9" s="88"/>
    </row>
    <row r="10" spans="1:24">
      <c r="A10" s="25">
        <v>9</v>
      </c>
      <c r="B10" s="37"/>
      <c r="C10" s="37"/>
      <c r="D10" s="75"/>
      <c r="E10" s="37"/>
      <c r="F10" s="91"/>
      <c r="G10" s="91"/>
      <c r="H10" s="91"/>
      <c r="I10" s="91"/>
      <c r="J10" s="91"/>
      <c r="K10" s="91"/>
      <c r="L10" s="91"/>
      <c r="R10" s="408"/>
      <c r="S10" s="409"/>
      <c r="T10" s="23"/>
      <c r="U10" s="27"/>
      <c r="V10" s="88"/>
    </row>
    <row r="11" spans="1:24">
      <c r="A11" s="25">
        <v>10</v>
      </c>
      <c r="B11" s="37"/>
      <c r="C11" s="37"/>
      <c r="D11" s="75"/>
      <c r="E11" s="37"/>
      <c r="F11" s="91"/>
      <c r="G11" s="91"/>
      <c r="H11" s="91"/>
      <c r="I11" s="91"/>
      <c r="J11" s="91"/>
      <c r="K11" s="91"/>
      <c r="L11" s="91"/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f>'REGRESI 17'!R19:S19</f>
        <v>-10</v>
      </c>
      <c r="S19" s="409"/>
      <c r="T19" s="23">
        <f>$S$38+($S$39*R19)+($S$40*(R19^2))+($S$41*(R19^3))+($S$42*(R19^4))+($S$43*(R19^5))+($S$44*(R19^6))+($S$45*(R19^7))+($S$46*(R19^8))+($S$47*(R19^9))+($S$48*(R19^10))</f>
        <v>-1.0587747654191781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17'!R20:S20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-0.56081779070997495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17'!R21:S21</f>
        <v>25</v>
      </c>
      <c r="S21" s="409"/>
      <c r="T21" s="23">
        <f t="shared" si="9"/>
        <v>0.34087726415810643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17'!R22:S22</f>
        <v>50</v>
      </c>
      <c r="S22" s="409"/>
      <c r="T22" s="23">
        <f t="shared" si="9"/>
        <v>0.80986288711417886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17'!R23:S23</f>
        <v>100</v>
      </c>
      <c r="S23" s="409"/>
      <c r="T23" s="23">
        <f t="shared" si="9"/>
        <v>0.73756854847972531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17'!R24:S24</f>
        <v>125</v>
      </c>
      <c r="S24" s="409"/>
      <c r="T24" s="23">
        <f t="shared" si="9"/>
        <v>0.34021994248391341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17'!R25:S25</f>
        <v>150</v>
      </c>
      <c r="S25" s="409"/>
      <c r="T25" s="23">
        <f t="shared" si="9"/>
        <v>-0.20197538423447892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17'!R26:S26</f>
        <v>200</v>
      </c>
      <c r="S26" s="409"/>
      <c r="T26" s="23">
        <f t="shared" si="9"/>
        <v>-1.4330434886495764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17'!R27:S27</f>
        <v>0</v>
      </c>
      <c r="S27" s="409"/>
      <c r="T27" s="23">
        <f t="shared" si="9"/>
        <v>-0.56081779070997495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17'!R28:S28</f>
        <v>0</v>
      </c>
      <c r="S28" s="409"/>
      <c r="T28" s="23">
        <f t="shared" si="9"/>
        <v>-0.56081779070997495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0.98882639647294279</v>
      </c>
      <c r="Q33" s="31" t="s">
        <v>100</v>
      </c>
      <c r="U33" s="70"/>
    </row>
    <row r="34" spans="2:24">
      <c r="B34" t="s">
        <v>76</v>
      </c>
      <c r="C34">
        <v>0.97777764236166553</v>
      </c>
      <c r="X34" s="46"/>
    </row>
    <row r="35" spans="2:24">
      <c r="B35" t="s">
        <v>77</v>
      </c>
      <c r="C35">
        <v>0.96111087413291463</v>
      </c>
      <c r="Q35" t="s">
        <v>99</v>
      </c>
    </row>
    <row r="36" spans="2:24">
      <c r="B36" t="s">
        <v>78</v>
      </c>
      <c r="C36">
        <v>0.1646165828607547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-0.56081779070997495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0"/>
        <v>4.568153320359486E-2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-4.037400877674928E-4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4.769327282589046</v>
      </c>
      <c r="E41">
        <v>1.5897757608630154</v>
      </c>
      <c r="F41">
        <v>58.666301045391911</v>
      </c>
      <c r="G41">
        <v>9.1904953901651633E-4</v>
      </c>
      <c r="R41" s="26" t="s">
        <v>112</v>
      </c>
      <c r="S41">
        <f t="shared" si="10"/>
        <v>7.6763389650514228E-7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0.10839447741100686</v>
      </c>
      <c r="E42">
        <v>2.7098619352751714E-2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4.8777217600000533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-0.56081779070997495</v>
      </c>
      <c r="D46">
        <v>9.9085213458846549E-2</v>
      </c>
      <c r="E46">
        <v>-5.6599544082619513</v>
      </c>
      <c r="F46">
        <v>4.8031215806083587E-3</v>
      </c>
      <c r="G46">
        <v>-0.83592244661526793</v>
      </c>
      <c r="H46">
        <v>-0.28571313480468191</v>
      </c>
      <c r="I46">
        <v>-0.83592244661526793</v>
      </c>
      <c r="J46">
        <v>-0.28571313480468191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4.568153320359486E-2</v>
      </c>
      <c r="D47">
        <v>5.6936873922632534E-3</v>
      </c>
      <c r="E47">
        <v>8.0231895529895514</v>
      </c>
      <c r="F47">
        <v>1.3094000096155376E-3</v>
      </c>
      <c r="G47">
        <v>2.9873322712819162E-2</v>
      </c>
      <c r="H47">
        <v>6.1489743694370561E-2</v>
      </c>
      <c r="I47">
        <v>2.9873322712819162E-2</v>
      </c>
      <c r="J47">
        <v>6.1489743694370561E-2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-4.037400877674928E-4</v>
      </c>
      <c r="D48">
        <v>7.540905667346339E-5</v>
      </c>
      <c r="E48">
        <v>-5.3539999779571543</v>
      </c>
      <c r="F48">
        <v>5.8698746976088871E-3</v>
      </c>
      <c r="G48">
        <v>-6.1310919405611322E-4</v>
      </c>
      <c r="H48">
        <v>-1.9437098147887237E-4</v>
      </c>
      <c r="I48">
        <v>-6.1310919405611322E-4</v>
      </c>
      <c r="J48">
        <v>-1.9437098147887237E-4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7.6763389650514228E-7</v>
      </c>
      <c r="D49" s="67">
        <v>2.5315149188925592E-7</v>
      </c>
      <c r="E49" s="67">
        <v>3.0323103797506068</v>
      </c>
      <c r="F49" s="67">
        <v>3.869275747071764E-2</v>
      </c>
      <c r="G49" s="67">
        <v>6.477267597569882E-8</v>
      </c>
      <c r="H49" s="67">
        <v>1.4704951170345857E-6</v>
      </c>
      <c r="I49" s="67">
        <v>6.477267597569882E-8</v>
      </c>
      <c r="J49" s="67">
        <v>1.4704951170345857E-6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56" spans="2:21" ht="13.5" thickBot="1">
      <c r="B56" s="67"/>
      <c r="C56" s="67"/>
      <c r="D56" s="67"/>
      <c r="E56" s="67"/>
      <c r="F56" s="67"/>
      <c r="G56" s="67"/>
      <c r="H56" s="67"/>
      <c r="I56" s="67"/>
      <c r="J56" s="67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DB93D-D34A-47F1-B12F-B5DCA654E387}">
  <dimension ref="A1:AH187"/>
  <sheetViews>
    <sheetView workbookViewId="0">
      <selection activeCell="L8" sqref="L8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13'!$C$2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13'!G3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13'!E5</f>
        <v>Termometer Digital</v>
      </c>
      <c r="F5" s="11"/>
      <c r="G5" s="11" t="s">
        <v>127</v>
      </c>
      <c r="H5" s="11" t="s">
        <v>16</v>
      </c>
      <c r="I5" s="66" t="str">
        <f>'PERHITUNGAN 13'!I5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13'!E6</f>
        <v>Hioki / LR 8431-20</v>
      </c>
      <c r="F6" s="11"/>
      <c r="G6" s="11" t="s">
        <v>128</v>
      </c>
      <c r="H6" s="11" t="s">
        <v>16</v>
      </c>
      <c r="I6" s="129">
        <f>'PERHITUNGAN 13'!I6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13'!E7</f>
        <v>210149173</v>
      </c>
      <c r="F7" s="11"/>
      <c r="G7" s="11" t="s">
        <v>44</v>
      </c>
      <c r="H7" s="11" t="s">
        <v>16</v>
      </c>
      <c r="I7" s="31">
        <v>19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13'!E11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13'!E12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13'!E13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13'!E14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13'!E17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13'!E18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13'!E19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13'!E21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13'!D24</f>
        <v>22</v>
      </c>
      <c r="E23" s="244">
        <f>'PERHITUNGAN 13'!E24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13'!D25</f>
        <v>22</v>
      </c>
      <c r="E24" s="244">
        <f>'PERHITUNGAN 13'!E25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13'!D28</f>
        <v>20</v>
      </c>
      <c r="E27" s="244">
        <f>'PERHITUNGAN 13'!E28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13'!D29</f>
        <v>20</v>
      </c>
      <c r="E28" s="244">
        <f>'PERHITUNGAN 13'!E29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13'!D33</f>
        <v>55</v>
      </c>
      <c r="E32" s="244">
        <f>'PERHITUNGAN 13'!E33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13'!D34</f>
        <v>55</v>
      </c>
      <c r="E33" s="244">
        <f>'PERHITUNGAN 13'!E34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0.19900000000000001</v>
      </c>
      <c r="P36" s="380">
        <f>F56</f>
        <v>50.35</v>
      </c>
      <c r="Q36" s="380">
        <f>F64</f>
        <v>99.884</v>
      </c>
      <c r="R36" s="380">
        <f>F72</f>
        <v>149.71799999999999</v>
      </c>
      <c r="S36" s="380">
        <f>F80</f>
        <v>199.46600000000001</v>
      </c>
      <c r="T36" s="380">
        <f>F88</f>
        <v>249.477</v>
      </c>
      <c r="U36" s="380">
        <f>F96</f>
        <v>259.553</v>
      </c>
      <c r="V36" s="380" t="e">
        <f>F104</f>
        <v>#DIV/0!</v>
      </c>
      <c r="W36" s="380" t="e">
        <f>F112</f>
        <v>#DIV/0!</v>
      </c>
      <c r="X36" s="380" t="e">
        <f>F120</f>
        <v>#DIV/0!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19'!$E$11="Burn Engr",IF(O36&lt;=$AA$38,$AB$38,$AB$39),IF(O36&lt;=$AC$38,$AD$38,IF(O36&lt;=$AC$39,$AD$39,$AD$40)))</f>
        <v>7.0000000000000007E-2</v>
      </c>
      <c r="P38" s="54">
        <f>IF('PERHITUNGAN 19'!$E$11="Burn Engr",IF(P36&lt;=$AA$38,$AB$38,$AB$39),IF(P36&lt;=$AC$38,$AD$38,IF(P36&lt;=$AC$39,$AD$39,$AD$40)))</f>
        <v>7.0000000000000007E-2</v>
      </c>
      <c r="Q38" s="54">
        <f>IF('PERHITUNGAN 19'!$E$11="Burn Engr",IF(Q36&lt;=$AA$38,$AB$38,$AB$39),IF(Q36&lt;=$AC$38,$AD$38,IF(Q36&lt;=$AC$39,$AD$39,$AD$40)))</f>
        <v>7.0000000000000007E-2</v>
      </c>
      <c r="R38" s="54">
        <f>IF('PERHITUNGAN 19'!$E$11="Burn Engr",IF(R36&lt;=$AA$38,$AB$38,$AB$39),IF(R36&lt;=$AC$38,$AD$38,IF(R36&lt;=$AC$39,$AD$39,$AD$40)))</f>
        <v>7.0000000000000007E-2</v>
      </c>
      <c r="S38" s="54">
        <f>IF('PERHITUNGAN 19'!$E$11="Burn Engr",IF(S36&lt;=$AA$38,$AB$38,$AB$39),IF(S36&lt;=$AC$38,$AD$38,IF(S36&lt;=$AC$39,$AD$39,$AD$40)))</f>
        <v>7.0000000000000007E-2</v>
      </c>
      <c r="T38" s="54">
        <f>IF('PERHITUNGAN 19'!$E$11="Burn Engr",IF(T36&lt;=$AA$38,$AB$38,$AB$39),IF(T36&lt;=$AC$38,$AD$38,IF(T36&lt;=$AC$39,$AD$39,$AD$40)))</f>
        <v>7.0000000000000007E-2</v>
      </c>
      <c r="U38" s="54">
        <f>IF('PERHITUNGAN 19'!$E$11="Burn Engr",IF(U36&lt;=$AA$38,$AB$38,$AB$39),IF(U36&lt;=$AC$38,$AD$38,IF(U36&lt;=$AC$39,$AD$39,$AD$40)))</f>
        <v>7.0000000000000007E-2</v>
      </c>
      <c r="V38" s="54" t="e">
        <f>IF('PERHITUNGAN 19'!$E$11="Burn Engr",IF(V36&lt;=$AA$38,$AB$38,$AB$39),IF(V36&lt;=$AC$38,$AD$38,IF(V36&lt;=$AC$39,$AD$39,$AD$40)))</f>
        <v>#DIV/0!</v>
      </c>
      <c r="W38" s="54" t="e">
        <f>IF('PERHITUNGAN 19'!$E$11="Burn Engr",IF(W36&lt;=$AA$38,$AB$38,$AB$39),IF(W36&lt;=$AC$38,$AD$38,IF(W36&lt;=$AC$39,$AD$39,$AD$40)))</f>
        <v>#DIV/0!</v>
      </c>
      <c r="X38" s="54" t="e">
        <f>IF('PERHITUNGAN 19'!$E$11="Burn Engr",IF(X36&lt;=$AA$38,$AB$38,$AB$39),IF(X36&lt;=$AC$38,$AD$38,IF(X36&lt;=$AC$39,$AD$39,$AD$40)))</f>
        <v>#DIV/0!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3.5000000000000003E-2</v>
      </c>
      <c r="P40" s="37">
        <f t="shared" ref="P40:X40" si="1">P38/P39</f>
        <v>3.5000000000000003E-2</v>
      </c>
      <c r="Q40" s="37">
        <f t="shared" si="1"/>
        <v>3.5000000000000003E-2</v>
      </c>
      <c r="R40" s="37">
        <f>R38/R39</f>
        <v>3.5000000000000003E-2</v>
      </c>
      <c r="S40" s="37">
        <f t="shared" si="1"/>
        <v>3.5000000000000003E-2</v>
      </c>
      <c r="T40" s="37">
        <f t="shared" si="1"/>
        <v>3.5000000000000003E-2</v>
      </c>
      <c r="U40" s="37">
        <f t="shared" si="1"/>
        <v>3.5000000000000003E-2</v>
      </c>
      <c r="V40" s="37" t="e">
        <f t="shared" si="1"/>
        <v>#DIV/0!</v>
      </c>
      <c r="W40" s="37" t="e">
        <f t="shared" si="1"/>
        <v>#DIV/0!</v>
      </c>
      <c r="X40" s="37" t="e">
        <f t="shared" si="1"/>
        <v>#DIV/0!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0</v>
      </c>
      <c r="C43" s="373">
        <v>1.77</v>
      </c>
      <c r="D43" s="374"/>
      <c r="E43" s="90">
        <v>0.19900000000000001</v>
      </c>
      <c r="F43" s="37">
        <f>IF('PERHITUNGAN 19'!$E$11="Burn Engr",'PERHITUNGAN 19'!E43,E43+('regresi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0.19900000000000001</v>
      </c>
      <c r="G43" s="90">
        <f>F43-C43</f>
        <v>-1.571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1.77</v>
      </c>
      <c r="D44" s="374"/>
      <c r="E44" s="90">
        <v>0.19900000000000001</v>
      </c>
      <c r="F44" s="37">
        <f>IF('PERHITUNGAN 19'!$E$11="Burn Engr",'PERHITUNGAN 19'!E44,E44+('regresi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0.19900000000000001</v>
      </c>
      <c r="G44" s="90">
        <f>F44-C44</f>
        <v>-1.571</v>
      </c>
      <c r="H44" s="63"/>
      <c r="I44" s="63"/>
      <c r="AB44" s="1"/>
    </row>
    <row r="45" spans="1:30" ht="13.5" customHeight="1">
      <c r="A45" s="105"/>
      <c r="C45" s="373">
        <v>1.77</v>
      </c>
      <c r="D45" s="374"/>
      <c r="E45" s="90">
        <v>0.19900000000000001</v>
      </c>
      <c r="F45" s="37">
        <f>IF('PERHITUNGAN 19'!$E$11="Burn Engr",'PERHITUNGAN 19'!E45,E45+('regresi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0.19900000000000001</v>
      </c>
      <c r="G45" s="90">
        <f>F45-C45</f>
        <v>-1.571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1.77</v>
      </c>
      <c r="D46" s="374"/>
      <c r="E46" s="90">
        <v>0.19900000000000001</v>
      </c>
      <c r="F46" s="37">
        <f>IF('PERHITUNGAN 19'!$E$11="Burn Engr",'PERHITUNGAN 19'!E46,E46+('regresi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0.19900000000000001</v>
      </c>
      <c r="G46" s="90">
        <f>F46-C46</f>
        <v>-1.571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1.77</v>
      </c>
      <c r="D47" s="374"/>
      <c r="E47" s="90">
        <v>0.19900000000000001</v>
      </c>
      <c r="F47" s="37">
        <f>IF('PERHITUNGAN 19'!$E$11="Burn Engr",'PERHITUNGAN 19'!E47,E47+('regresi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0.19900000000000001</v>
      </c>
      <c r="G47" s="90">
        <f>F47-C47</f>
        <v>-1.571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1.77</v>
      </c>
      <c r="D48" s="357"/>
      <c r="E48" s="95">
        <f>AVERAGE(E43:E47)</f>
        <v>0.19900000000000001</v>
      </c>
      <c r="F48" s="95">
        <f>AVERAGE(F43:F47)</f>
        <v>0.19900000000000001</v>
      </c>
      <c r="G48" s="95">
        <f>SUM(G43:G47)/5</f>
        <v>-1.571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0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0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>
        <v>50</v>
      </c>
      <c r="C51" s="373">
        <v>50.37</v>
      </c>
      <c r="D51" s="374"/>
      <c r="E51" s="90">
        <v>50.35</v>
      </c>
      <c r="F51" s="37">
        <f>IF('PERHITUNGAN 19'!$E$11="Burn Engr",'PERHITUNGAN 19'!E51,E51+('regresi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50.35</v>
      </c>
      <c r="G51" s="90">
        <f>F51-C51</f>
        <v>-1.9999999999996021E-2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>
        <v>50.37</v>
      </c>
      <c r="D52" s="374"/>
      <c r="E52" s="90">
        <v>50.35</v>
      </c>
      <c r="F52" s="37">
        <f>IF('PERHITUNGAN 19'!$E$11="Burn Engr",'PERHITUNGAN 19'!E52,E52+('regresi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50.35</v>
      </c>
      <c r="G52" s="90">
        <f>F52-C52</f>
        <v>-1.9999999999996021E-2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>
        <v>50.37</v>
      </c>
      <c r="D53" s="374"/>
      <c r="E53" s="90">
        <v>50.35</v>
      </c>
      <c r="F53" s="37">
        <f>IF('PERHITUNGAN 19'!$E$11="Burn Engr",'PERHITUNGAN 19'!E53,E53+('regresi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50.35</v>
      </c>
      <c r="G53" s="90">
        <f>F53-C53</f>
        <v>-1.9999999999996021E-2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50.37</v>
      </c>
      <c r="D54" s="374"/>
      <c r="E54" s="90">
        <v>50.35</v>
      </c>
      <c r="F54" s="37">
        <f>IF('PERHITUNGAN 19'!$E$11="Burn Engr",'PERHITUNGAN 19'!E54,E54+('regresi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50.35</v>
      </c>
      <c r="G54" s="90">
        <f>F54-C54</f>
        <v>-1.9999999999996021E-2</v>
      </c>
      <c r="H54" s="63"/>
      <c r="I54" s="63"/>
      <c r="AB54" s="1"/>
    </row>
    <row r="55" spans="1:28" ht="13.5" customHeight="1">
      <c r="A55" s="10"/>
      <c r="C55" s="373">
        <v>50.37</v>
      </c>
      <c r="D55" s="374"/>
      <c r="E55" s="90">
        <v>50.35</v>
      </c>
      <c r="F55" s="37">
        <f>IF('PERHITUNGAN 19'!$E$11="Burn Engr",'PERHITUNGAN 19'!E55,E55+('regresi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50.35</v>
      </c>
      <c r="G55" s="90">
        <f>F55-C55</f>
        <v>-1.9999999999996021E-2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50.37</v>
      </c>
      <c r="D56" s="334"/>
      <c r="E56" s="95">
        <f>AVERAGE(E51:E55)</f>
        <v>50.35</v>
      </c>
      <c r="F56" s="95">
        <f t="shared" ref="F56" si="3">AVERAGE(F51:F55)</f>
        <v>50.35</v>
      </c>
      <c r="G56" s="95">
        <f>SUM(G51:G55)/5</f>
        <v>-1.9999999999996021E-2</v>
      </c>
      <c r="H56" s="63"/>
      <c r="I56" s="63"/>
      <c r="N56" s="390"/>
      <c r="O56" s="115">
        <f>C48</f>
        <v>1.77</v>
      </c>
      <c r="P56" s="115">
        <f>C56</f>
        <v>50.37</v>
      </c>
      <c r="Q56" s="115">
        <f>C64</f>
        <v>100.34</v>
      </c>
      <c r="R56" s="115">
        <f>C72</f>
        <v>149.86000000000001</v>
      </c>
      <c r="S56" s="115">
        <f>C80</f>
        <v>199.41</v>
      </c>
      <c r="T56" s="115">
        <f>C88</f>
        <v>249.38000000000002</v>
      </c>
      <c r="U56" s="115">
        <f>C96</f>
        <v>259.33999999999997</v>
      </c>
      <c r="V56" s="115" t="e">
        <f>C104</f>
        <v>#DIV/0!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0</v>
      </c>
      <c r="H57" s="44"/>
      <c r="I57" s="63"/>
      <c r="N57" s="25" t="s">
        <v>152</v>
      </c>
      <c r="O57" s="112">
        <f>$G$49/5^0.5</f>
        <v>0</v>
      </c>
      <c r="P57" s="112">
        <f>$G$57/5^0.5</f>
        <v>0</v>
      </c>
      <c r="Q57" s="112">
        <f>$G$65/5^0.5</f>
        <v>0</v>
      </c>
      <c r="R57" s="112">
        <f>$G$73/5^0.5</f>
        <v>0</v>
      </c>
      <c r="S57" s="112">
        <f>$G$81/5^0.5</f>
        <v>0</v>
      </c>
      <c r="T57" s="112">
        <f>$G$89/5^0.5</f>
        <v>0</v>
      </c>
      <c r="U57" s="112">
        <f>$G$97/5^0.5</f>
        <v>0</v>
      </c>
      <c r="V57" s="112" t="e">
        <f>$G$105/5^0.5</f>
        <v>#DIV/0!</v>
      </c>
      <c r="W57" s="112" t="e">
        <f>$G$113/5^0.5</f>
        <v>#DIV/0!</v>
      </c>
      <c r="X57" s="112" t="e">
        <f>$G$121/5^0.5</f>
        <v>#DIV/0!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0</v>
      </c>
      <c r="H58" s="44"/>
      <c r="I58" s="63"/>
      <c r="N58" s="25" t="s">
        <v>153</v>
      </c>
      <c r="O58" s="113">
        <f>IF('DRAFT-SERTIF'!$O$27="Ya",'REGRESI 19'!$C$36,0)</f>
        <v>0.17923600734026643</v>
      </c>
      <c r="P58" s="113">
        <f>IF('DRAFT-SERTIF'!$O$27="Ya",'REGRESI 19'!$C$36,0)</f>
        <v>0.17923600734026643</v>
      </c>
      <c r="Q58" s="113">
        <f>IF('DRAFT-SERTIF'!$O$27="Ya",'REGRESI 19'!$C$36,0)</f>
        <v>0.17923600734026643</v>
      </c>
      <c r="R58" s="113">
        <f>IF('DRAFT-SERTIF'!$O$27="Ya",'REGRESI 19'!$C$36,0)</f>
        <v>0.17923600734026643</v>
      </c>
      <c r="S58" s="113">
        <f>IF('DRAFT-SERTIF'!$O$27="Ya",'REGRESI 19'!$C$36,0)</f>
        <v>0.17923600734026643</v>
      </c>
      <c r="T58" s="113">
        <f>IF('DRAFT-SERTIF'!$O$27="Ya",'REGRESI 19'!$C$36,0)</f>
        <v>0.17923600734026643</v>
      </c>
      <c r="U58" s="113">
        <f>IF('DRAFT-SERTIF'!$O$27="Ya",'REGRESI 19'!$C$36,0)</f>
        <v>0.17923600734026643</v>
      </c>
      <c r="V58" s="113">
        <f>IF('DRAFT-SERTIF'!$O$27="Ya",'REGRESI 19'!$C$36,0)</f>
        <v>0.17923600734026643</v>
      </c>
      <c r="W58" s="113">
        <f>IF('DRAFT-SERTIF'!$O$27="Ya",'REGRESI 19'!$C$36,0)</f>
        <v>0.17923600734026643</v>
      </c>
      <c r="X58" s="113">
        <f>IF('DRAFT-SERTIF'!$O$27="Ya",'REGRESI 19'!$C$36,0)</f>
        <v>0.17923600734026643</v>
      </c>
      <c r="AB58" s="1"/>
    </row>
    <row r="59" spans="1:28" ht="13.5" customHeight="1">
      <c r="A59" s="105">
        <v>3</v>
      </c>
      <c r="B59" s="196">
        <v>100</v>
      </c>
      <c r="C59" s="327">
        <v>100.34</v>
      </c>
      <c r="D59" s="327"/>
      <c r="E59" s="15">
        <v>99.884</v>
      </c>
      <c r="F59" s="37">
        <f>IF('PERHITUNGAN 19'!$E$11="Burn Engr",'PERHITUNGAN 19'!E59,E59+('regresi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99.884</v>
      </c>
      <c r="G59" s="90">
        <f>F59-C59</f>
        <v>-0.45600000000000307</v>
      </c>
      <c r="H59" s="63"/>
      <c r="I59" s="63"/>
      <c r="N59" s="25" t="s">
        <v>154</v>
      </c>
      <c r="O59" s="91">
        <f t="shared" ref="O59:X59" si="4">O40</f>
        <v>3.5000000000000003E-2</v>
      </c>
      <c r="P59" s="91">
        <f t="shared" si="4"/>
        <v>3.5000000000000003E-2</v>
      </c>
      <c r="Q59" s="91">
        <f t="shared" si="4"/>
        <v>3.5000000000000003E-2</v>
      </c>
      <c r="R59" s="91">
        <f t="shared" si="4"/>
        <v>3.5000000000000003E-2</v>
      </c>
      <c r="S59" s="91">
        <f t="shared" si="4"/>
        <v>3.5000000000000003E-2</v>
      </c>
      <c r="T59" s="91">
        <f t="shared" si="4"/>
        <v>3.5000000000000003E-2</v>
      </c>
      <c r="U59" s="91">
        <f t="shared" si="4"/>
        <v>3.5000000000000003E-2</v>
      </c>
      <c r="V59" s="91" t="e">
        <f t="shared" si="4"/>
        <v>#DIV/0!</v>
      </c>
      <c r="W59" s="91" t="e">
        <f t="shared" si="4"/>
        <v>#DIV/0!</v>
      </c>
      <c r="X59" s="91" t="e">
        <f t="shared" si="4"/>
        <v>#DIV/0!</v>
      </c>
    </row>
    <row r="60" spans="1:28">
      <c r="A60" s="10"/>
      <c r="C60" s="327">
        <v>100.34</v>
      </c>
      <c r="D60" s="327"/>
      <c r="E60" s="15">
        <v>99.884</v>
      </c>
      <c r="F60" s="37">
        <f>IF('PERHITUNGAN 19'!$E$11="Burn Engr",'PERHITUNGAN 19'!E60,E60+('regresi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99.884</v>
      </c>
      <c r="G60" s="90">
        <f>F60-C60</f>
        <v>-0.45600000000000307</v>
      </c>
      <c r="H60" s="63"/>
      <c r="I60" s="63"/>
      <c r="N60" s="133" t="s">
        <v>155</v>
      </c>
      <c r="O60" s="134">
        <f>'PERHITUNGAN 13'!O61</f>
        <v>1.5000000000000003E-2</v>
      </c>
      <c r="P60" s="134">
        <f>'PERHITUNGAN 13'!P61</f>
        <v>0.01</v>
      </c>
      <c r="Q60" s="134">
        <f>'PERHITUNGAN 13'!Q61</f>
        <v>5.0000000000000001E-3</v>
      </c>
      <c r="R60" s="134">
        <f>'PERHITUNGAN 13'!R61</f>
        <v>1.4999999999999999E-2</v>
      </c>
      <c r="S60" s="134">
        <f>'PERHITUNGAN 13'!S61</f>
        <v>5.0000000000000001E-3</v>
      </c>
      <c r="T60" s="134">
        <f>'PERHITUNGAN 13'!T61</f>
        <v>0.05</v>
      </c>
      <c r="U60" s="134">
        <f>'PERHITUNGAN 13'!U61</f>
        <v>0.05</v>
      </c>
      <c r="V60" s="134">
        <f>'PERHITUNGAN 13'!V61</f>
        <v>1.5000000000000003E-2</v>
      </c>
      <c r="W60" s="134">
        <f>'PERHITUNGAN 13'!W61</f>
        <v>1.4999999999999999E-2</v>
      </c>
      <c r="X60" s="134">
        <f>'PERHITUNGAN 13'!X61</f>
        <v>1.4999999999999999E-2</v>
      </c>
    </row>
    <row r="61" spans="1:28">
      <c r="A61" s="10"/>
      <c r="C61" s="327">
        <v>100.34</v>
      </c>
      <c r="D61" s="327"/>
      <c r="E61" s="15">
        <v>99.884</v>
      </c>
      <c r="F61" s="37">
        <f>IF('PERHITUNGAN 19'!$E$11="Burn Engr",'PERHITUNGAN 19'!E61,E61+('regresi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99.884</v>
      </c>
      <c r="G61" s="90">
        <f>F61-C61</f>
        <v>-0.45600000000000307</v>
      </c>
      <c r="H61" s="63"/>
      <c r="I61" s="63"/>
      <c r="N61" s="25" t="s">
        <v>156</v>
      </c>
      <c r="O61" s="114">
        <f>(0.1*O38)/SQRT(3)</f>
        <v>4.041451884327381E-3</v>
      </c>
      <c r="P61" s="114">
        <f t="shared" ref="P61:X61" si="5">(0.1*P38)/SQRT(3)</f>
        <v>4.041451884327381E-3</v>
      </c>
      <c r="Q61" s="114">
        <f t="shared" si="5"/>
        <v>4.041451884327381E-3</v>
      </c>
      <c r="R61" s="114">
        <f t="shared" si="5"/>
        <v>4.041451884327381E-3</v>
      </c>
      <c r="S61" s="114">
        <f t="shared" si="5"/>
        <v>4.041451884327381E-3</v>
      </c>
      <c r="T61" s="114">
        <f t="shared" si="5"/>
        <v>4.041451884327381E-3</v>
      </c>
      <c r="U61" s="114">
        <f t="shared" si="5"/>
        <v>4.041451884327381E-3</v>
      </c>
      <c r="V61" s="114" t="e">
        <f t="shared" si="5"/>
        <v>#DIV/0!</v>
      </c>
      <c r="W61" s="114" t="e">
        <f t="shared" si="5"/>
        <v>#DIV/0!</v>
      </c>
      <c r="X61" s="114" t="e">
        <f t="shared" si="5"/>
        <v>#DIV/0!</v>
      </c>
    </row>
    <row r="62" spans="1:28">
      <c r="A62" s="10"/>
      <c r="C62" s="327">
        <v>100.34</v>
      </c>
      <c r="D62" s="327"/>
      <c r="E62" s="15">
        <v>99.884</v>
      </c>
      <c r="F62" s="37">
        <f>IF('PERHITUNGAN 19'!$E$11="Burn Engr",'PERHITUNGAN 19'!E62,E62+('regresi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99.884</v>
      </c>
      <c r="G62" s="90">
        <f>F62-C62</f>
        <v>-0.45600000000000307</v>
      </c>
      <c r="H62" s="63"/>
      <c r="I62" s="63"/>
      <c r="N62" s="25" t="s">
        <v>157</v>
      </c>
      <c r="O62" s="114">
        <f t="shared" ref="O62:X62" si="6">$T$28</f>
        <v>2.886751345948129E-3</v>
      </c>
      <c r="P62" s="114">
        <f t="shared" si="6"/>
        <v>2.886751345948129E-3</v>
      </c>
      <c r="Q62" s="114">
        <f t="shared" si="6"/>
        <v>2.886751345948129E-3</v>
      </c>
      <c r="R62" s="114">
        <f t="shared" si="6"/>
        <v>2.886751345948129E-3</v>
      </c>
      <c r="S62" s="114">
        <f t="shared" si="6"/>
        <v>2.886751345948129E-3</v>
      </c>
      <c r="T62" s="114">
        <f t="shared" si="6"/>
        <v>2.886751345948129E-3</v>
      </c>
      <c r="U62" s="114">
        <f t="shared" si="6"/>
        <v>2.886751345948129E-3</v>
      </c>
      <c r="V62" s="114">
        <f t="shared" si="6"/>
        <v>2.886751345948129E-3</v>
      </c>
      <c r="W62" s="114">
        <f t="shared" si="6"/>
        <v>2.886751345948129E-3</v>
      </c>
      <c r="X62" s="114">
        <f t="shared" si="6"/>
        <v>2.886751345948129E-3</v>
      </c>
    </row>
    <row r="63" spans="1:28">
      <c r="A63" s="10"/>
      <c r="C63" s="327">
        <v>100.34</v>
      </c>
      <c r="D63" s="327"/>
      <c r="E63" s="15">
        <v>99.884</v>
      </c>
      <c r="F63" s="37">
        <f>IF('PERHITUNGAN 19'!$E$11="Burn Engr",'PERHITUNGAN 19'!E63,E63+('regresi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99.884</v>
      </c>
      <c r="G63" s="90">
        <f>F63-C63</f>
        <v>-0.45600000000000307</v>
      </c>
      <c r="H63" s="63"/>
      <c r="I63" s="63"/>
      <c r="N63" s="25" t="s">
        <v>158</v>
      </c>
      <c r="O63" s="114">
        <f t="shared" ref="O63:X63" si="7">$T$26</f>
        <v>2.886751345948129E-4</v>
      </c>
      <c r="P63" s="114">
        <f t="shared" si="7"/>
        <v>2.886751345948129E-4</v>
      </c>
      <c r="Q63" s="114">
        <f t="shared" si="7"/>
        <v>2.886751345948129E-4</v>
      </c>
      <c r="R63" s="114">
        <f t="shared" si="7"/>
        <v>2.886751345948129E-4</v>
      </c>
      <c r="S63" s="114">
        <f t="shared" si="7"/>
        <v>2.886751345948129E-4</v>
      </c>
      <c r="T63" s="114">
        <f t="shared" si="7"/>
        <v>2.886751345948129E-4</v>
      </c>
      <c r="U63" s="114">
        <f t="shared" si="7"/>
        <v>2.886751345948129E-4</v>
      </c>
      <c r="V63" s="114">
        <f t="shared" si="7"/>
        <v>2.886751345948129E-4</v>
      </c>
      <c r="W63" s="114">
        <f t="shared" si="7"/>
        <v>2.886751345948129E-4</v>
      </c>
      <c r="X63" s="114">
        <f t="shared" si="7"/>
        <v>2.886751345948129E-4</v>
      </c>
    </row>
    <row r="64" spans="1:28">
      <c r="A64" s="10"/>
      <c r="B64" s="8" t="s">
        <v>31</v>
      </c>
      <c r="C64" s="333">
        <f>AVERAGE(C59:D63)</f>
        <v>100.34</v>
      </c>
      <c r="D64" s="334"/>
      <c r="E64" s="95">
        <f>AVERAGE(E59:E63)</f>
        <v>99.884</v>
      </c>
      <c r="F64" s="95">
        <f t="shared" ref="F64" si="8">AVERAGE(F59:F63)</f>
        <v>99.884</v>
      </c>
      <c r="G64" s="95">
        <f>SUM(G59:G63)/5</f>
        <v>-0.45600000000000307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9">10^10</f>
        <v>10000000000</v>
      </c>
      <c r="Q66" s="53">
        <f t="shared" si="9"/>
        <v>10000000000</v>
      </c>
      <c r="R66" s="53">
        <f t="shared" si="9"/>
        <v>10000000000</v>
      </c>
      <c r="S66" s="53">
        <f t="shared" si="9"/>
        <v>10000000000</v>
      </c>
      <c r="T66" s="53">
        <f t="shared" si="9"/>
        <v>10000000000</v>
      </c>
      <c r="U66" s="53">
        <f t="shared" si="9"/>
        <v>10000000000</v>
      </c>
      <c r="V66" s="53">
        <f t="shared" si="9"/>
        <v>10000000000</v>
      </c>
      <c r="W66" s="53">
        <f t="shared" si="9"/>
        <v>10000000000</v>
      </c>
      <c r="X66" s="53">
        <f t="shared" si="9"/>
        <v>10000000000</v>
      </c>
    </row>
    <row r="67" spans="1:28">
      <c r="A67" s="105">
        <v>4</v>
      </c>
      <c r="B67" s="196">
        <v>150</v>
      </c>
      <c r="C67" s="327">
        <v>149.86000000000001</v>
      </c>
      <c r="D67" s="327"/>
      <c r="E67" s="90">
        <v>149.71799999999999</v>
      </c>
      <c r="F67" s="37">
        <f>IF('PERHITUNGAN 19'!$E$11="Burn Engr",'PERHITUNGAN 19'!E67,E67+('regresi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149.71799999999999</v>
      </c>
      <c r="G67" s="90">
        <f>F67-C67</f>
        <v>-0.14200000000002433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149.86000000000001</v>
      </c>
      <c r="D68" s="327"/>
      <c r="E68" s="90">
        <v>149.71799999999999</v>
      </c>
      <c r="F68" s="37">
        <f>IF('PERHITUNGAN 19'!$E$11="Burn Engr",'PERHITUNGAN 19'!E68,E68+('regresi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149.71799999999999</v>
      </c>
      <c r="G68" s="90">
        <f>F68-C68</f>
        <v>-0.14200000000002433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149.86000000000001</v>
      </c>
      <c r="D69" s="327"/>
      <c r="E69" s="90">
        <v>149.71799999999999</v>
      </c>
      <c r="F69" s="37">
        <f>IF('PERHITUNGAN 19'!$E$11="Burn Engr",'PERHITUNGAN 19'!E69,E69+('regresi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149.71799999999999</v>
      </c>
      <c r="G69" s="90">
        <f>F69-C69</f>
        <v>-0.14200000000002433</v>
      </c>
      <c r="H69" s="63"/>
      <c r="I69" s="63"/>
      <c r="N69" s="25" t="s">
        <v>163</v>
      </c>
      <c r="O69" s="53">
        <f t="shared" ref="O69:X71" si="10">10^10</f>
        <v>10000000000</v>
      </c>
      <c r="P69" s="53">
        <f t="shared" si="10"/>
        <v>10000000000</v>
      </c>
      <c r="Q69" s="53">
        <f t="shared" si="10"/>
        <v>10000000000</v>
      </c>
      <c r="R69" s="53">
        <f t="shared" si="10"/>
        <v>10000000000</v>
      </c>
      <c r="S69" s="53">
        <f t="shared" si="10"/>
        <v>10000000000</v>
      </c>
      <c r="T69" s="53">
        <f t="shared" si="10"/>
        <v>10000000000</v>
      </c>
      <c r="U69" s="53">
        <f t="shared" si="10"/>
        <v>10000000000</v>
      </c>
      <c r="V69" s="53">
        <f t="shared" si="10"/>
        <v>10000000000</v>
      </c>
      <c r="W69" s="53">
        <f t="shared" si="10"/>
        <v>10000000000</v>
      </c>
      <c r="X69" s="53">
        <f t="shared" si="10"/>
        <v>10000000000</v>
      </c>
      <c r="AB69" s="1"/>
    </row>
    <row r="70" spans="1:28">
      <c r="A70" s="10"/>
      <c r="C70" s="327">
        <v>149.86000000000001</v>
      </c>
      <c r="D70" s="327"/>
      <c r="E70" s="90">
        <v>149.71799999999999</v>
      </c>
      <c r="F70" s="37">
        <f>IF('PERHITUNGAN 19'!$E$11="Burn Engr",'PERHITUNGAN 19'!E70,E70+('regresi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149.71799999999999</v>
      </c>
      <c r="G70" s="90">
        <f>F70-C70</f>
        <v>-0.14200000000002433</v>
      </c>
      <c r="H70" s="63"/>
      <c r="I70" s="63"/>
      <c r="N70" s="25" t="s">
        <v>164</v>
      </c>
      <c r="O70" s="53">
        <f t="shared" si="10"/>
        <v>10000000000</v>
      </c>
      <c r="P70" s="53">
        <f t="shared" si="10"/>
        <v>10000000000</v>
      </c>
      <c r="Q70" s="53">
        <f t="shared" si="10"/>
        <v>10000000000</v>
      </c>
      <c r="R70" s="53">
        <f t="shared" si="10"/>
        <v>10000000000</v>
      </c>
      <c r="S70" s="53">
        <f t="shared" si="10"/>
        <v>10000000000</v>
      </c>
      <c r="T70" s="53">
        <f t="shared" si="10"/>
        <v>10000000000</v>
      </c>
      <c r="U70" s="53">
        <f t="shared" si="10"/>
        <v>10000000000</v>
      </c>
      <c r="V70" s="53">
        <f t="shared" si="10"/>
        <v>10000000000</v>
      </c>
      <c r="W70" s="53">
        <f t="shared" si="10"/>
        <v>10000000000</v>
      </c>
      <c r="X70" s="53">
        <f t="shared" si="10"/>
        <v>10000000000</v>
      </c>
      <c r="AB70" s="1"/>
    </row>
    <row r="71" spans="1:28">
      <c r="A71" s="10"/>
      <c r="C71" s="327">
        <v>149.86000000000001</v>
      </c>
      <c r="D71" s="327"/>
      <c r="E71" s="90">
        <v>149.71799999999999</v>
      </c>
      <c r="F71" s="37">
        <f>IF('PERHITUNGAN 19'!$E$11="Burn Engr",'PERHITUNGAN 19'!E71,E71+('regresi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149.71799999999999</v>
      </c>
      <c r="G71" s="90">
        <f>F71-C71</f>
        <v>-0.14200000000002433</v>
      </c>
      <c r="H71" s="63"/>
      <c r="I71" s="63"/>
      <c r="N71" s="25" t="s">
        <v>165</v>
      </c>
      <c r="O71" s="53">
        <f t="shared" si="10"/>
        <v>10000000000</v>
      </c>
      <c r="P71" s="53">
        <f t="shared" si="10"/>
        <v>10000000000</v>
      </c>
      <c r="Q71" s="53">
        <f t="shared" si="10"/>
        <v>10000000000</v>
      </c>
      <c r="R71" s="53">
        <f t="shared" si="10"/>
        <v>10000000000</v>
      </c>
      <c r="S71" s="53">
        <f t="shared" si="10"/>
        <v>10000000000</v>
      </c>
      <c r="T71" s="53">
        <f t="shared" si="10"/>
        <v>10000000000</v>
      </c>
      <c r="U71" s="53">
        <f t="shared" si="10"/>
        <v>10000000000</v>
      </c>
      <c r="V71" s="53">
        <f t="shared" si="10"/>
        <v>10000000000</v>
      </c>
      <c r="W71" s="53">
        <f t="shared" si="10"/>
        <v>10000000000</v>
      </c>
      <c r="X71" s="53">
        <f t="shared" si="10"/>
        <v>10000000000</v>
      </c>
      <c r="AB71" s="1"/>
    </row>
    <row r="72" spans="1:28">
      <c r="A72" s="10"/>
      <c r="B72" s="8" t="s">
        <v>31</v>
      </c>
      <c r="C72" s="333">
        <f>AVERAGE(C67:D71)</f>
        <v>149.86000000000001</v>
      </c>
      <c r="D72" s="334"/>
      <c r="E72" s="95">
        <f>AVERAGE(E67:E71)</f>
        <v>149.71799999999999</v>
      </c>
      <c r="F72" s="95">
        <f t="shared" ref="F72" si="11">AVERAGE(F67:F71)</f>
        <v>149.71799999999999</v>
      </c>
      <c r="G72" s="95">
        <f>SUM(G67:G71)/5</f>
        <v>-0.14200000000002433</v>
      </c>
      <c r="H72" s="63"/>
      <c r="I72" s="63"/>
      <c r="N72" s="111" t="s">
        <v>168</v>
      </c>
      <c r="O72" s="118">
        <f>SQRT((O57^2)+(O58^2)+(O59^2)+(O60^2)+(O61^2)+(O62^2)+(O63^2))</f>
        <v>0.18330383609537482</v>
      </c>
      <c r="P72" s="118">
        <f t="shared" ref="P72:X72" si="12">SQRT((P57^2)+(P58^2)+(P59^2)+(P60^2)+(P61^2)+(P62^2)+(P63^2))</f>
        <v>0.18296255444019149</v>
      </c>
      <c r="Q72" s="118">
        <f t="shared" si="12"/>
        <v>0.18275747953854046</v>
      </c>
      <c r="R72" s="118">
        <f t="shared" si="12"/>
        <v>0.18330383609537482</v>
      </c>
      <c r="S72" s="118">
        <f t="shared" si="12"/>
        <v>0.18275747953854046</v>
      </c>
      <c r="T72" s="118">
        <f t="shared" si="12"/>
        <v>0.18940775149734509</v>
      </c>
      <c r="U72" s="118">
        <f t="shared" si="12"/>
        <v>0.18940775149734509</v>
      </c>
      <c r="V72" s="118" t="e">
        <f t="shared" si="12"/>
        <v>#DIV/0!</v>
      </c>
      <c r="W72" s="118" t="e">
        <f t="shared" si="12"/>
        <v>#DIV/0!</v>
      </c>
      <c r="X72" s="118" t="e">
        <f t="shared" si="12"/>
        <v>#DIV/0!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43667.058434847531</v>
      </c>
      <c r="P73" s="120">
        <f t="shared" ref="P73:X73" si="13">(P72^4)/((P57^4/P65)+(P58^4/P66)+(P59^4/P67)+(P60^4/P68)+(P61^4/P69)+(P62^4/P70)+(P63^4/P71))</f>
        <v>44508.367227145201</v>
      </c>
      <c r="Q73" s="120">
        <f t="shared" si="13"/>
        <v>44585.852853119715</v>
      </c>
      <c r="R73" s="120">
        <f t="shared" si="13"/>
        <v>43667.058434847531</v>
      </c>
      <c r="S73" s="120">
        <f t="shared" si="13"/>
        <v>44585.852853119715</v>
      </c>
      <c r="T73" s="120">
        <f t="shared" si="13"/>
        <v>9963.3450848317098</v>
      </c>
      <c r="U73" s="120">
        <f t="shared" si="13"/>
        <v>9963.3450848317098</v>
      </c>
      <c r="V73" s="120" t="e">
        <f t="shared" si="13"/>
        <v>#DIV/0!</v>
      </c>
      <c r="W73" s="120" t="e">
        <f t="shared" si="13"/>
        <v>#DIV/0!</v>
      </c>
      <c r="X73" s="120" t="e">
        <f t="shared" si="13"/>
        <v>#DIV/0!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1.960018312427924</v>
      </c>
      <c r="P74" s="123">
        <f t="shared" ref="P74:X74" si="14">_xlfn.T.INV.2T(0.05,P73)</f>
        <v>1.9600172858492317</v>
      </c>
      <c r="Q74" s="123">
        <f t="shared" si="14"/>
        <v>1.960017193793351</v>
      </c>
      <c r="R74" s="123">
        <f t="shared" si="14"/>
        <v>1.960018312427924</v>
      </c>
      <c r="S74" s="123">
        <f t="shared" si="14"/>
        <v>1.960017193793351</v>
      </c>
      <c r="T74" s="123">
        <f t="shared" si="14"/>
        <v>1.9602021211001643</v>
      </c>
      <c r="U74" s="123">
        <f t="shared" si="14"/>
        <v>1.9602021211001643</v>
      </c>
      <c r="V74" s="123" t="e">
        <f t="shared" si="14"/>
        <v>#DIV/0!</v>
      </c>
      <c r="W74" s="123" t="e">
        <f t="shared" si="14"/>
        <v>#DIV/0!</v>
      </c>
      <c r="X74" s="123" t="e">
        <f t="shared" si="14"/>
        <v>#DIV/0!</v>
      </c>
      <c r="Z74" s="124"/>
      <c r="AB74" s="1"/>
    </row>
    <row r="75" spans="1:28">
      <c r="A75" s="105">
        <v>5</v>
      </c>
      <c r="B75" s="196">
        <v>200</v>
      </c>
      <c r="C75" s="327">
        <v>199.41</v>
      </c>
      <c r="D75" s="327"/>
      <c r="E75" s="90">
        <v>199.46600000000001</v>
      </c>
      <c r="F75" s="37">
        <f>IF('PERHITUNGAN 19'!$E$11="Burn Engr",'PERHITUNGAN 19'!E75,E75+('regresi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199.46600000000001</v>
      </c>
      <c r="G75" s="90">
        <f>F75-C75</f>
        <v>5.6000000000011596E-2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199.41</v>
      </c>
      <c r="D76" s="327"/>
      <c r="E76" s="90">
        <v>199.46600000000001</v>
      </c>
      <c r="F76" s="37">
        <f>IF('PERHITUNGAN 19'!$E$11="Burn Engr",'PERHITUNGAN 19'!E76,E76+('regresi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199.46600000000001</v>
      </c>
      <c r="G76" s="90">
        <f>F76-C76</f>
        <v>5.6000000000011596E-2</v>
      </c>
      <c r="H76" s="63"/>
      <c r="I76" s="63"/>
      <c r="N76" s="111" t="s">
        <v>166</v>
      </c>
      <c r="O76" s="121">
        <f t="shared" ref="O76:X76" si="15">O72*O74</f>
        <v>0.35927887548522136</v>
      </c>
      <c r="P76" s="121">
        <f t="shared" si="15"/>
        <v>0.35860976936590644</v>
      </c>
      <c r="Q76" s="121">
        <f t="shared" si="15"/>
        <v>0.35820780218987586</v>
      </c>
      <c r="R76" s="121">
        <f t="shared" si="15"/>
        <v>0.35927887548522136</v>
      </c>
      <c r="S76" s="121">
        <f t="shared" si="15"/>
        <v>0.35820780218987586</v>
      </c>
      <c r="T76" s="121">
        <f t="shared" si="15"/>
        <v>0.37127747623790869</v>
      </c>
      <c r="U76" s="121">
        <f t="shared" si="15"/>
        <v>0.37127747623790869</v>
      </c>
      <c r="V76" s="121" t="e">
        <f t="shared" si="15"/>
        <v>#DIV/0!</v>
      </c>
      <c r="W76" s="121" t="e">
        <f t="shared" si="15"/>
        <v>#DIV/0!</v>
      </c>
      <c r="X76" s="121" t="e">
        <f t="shared" si="15"/>
        <v>#DIV/0!</v>
      </c>
      <c r="AB76" s="1"/>
    </row>
    <row r="77" spans="1:28">
      <c r="A77" s="10"/>
      <c r="C77" s="327">
        <v>199.41</v>
      </c>
      <c r="D77" s="327"/>
      <c r="E77" s="90">
        <v>199.46600000000001</v>
      </c>
      <c r="F77" s="37">
        <f>IF('PERHITUNGAN 19'!$E$11="Burn Engr",'PERHITUNGAN 19'!E77,E77+('regresi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199.46600000000001</v>
      </c>
      <c r="G77" s="90">
        <f>F77-C77</f>
        <v>5.6000000000011596E-2</v>
      </c>
      <c r="H77" s="63"/>
      <c r="I77" s="63"/>
      <c r="AB77" s="1"/>
    </row>
    <row r="78" spans="1:28">
      <c r="A78" s="10"/>
      <c r="C78" s="327">
        <v>199.41</v>
      </c>
      <c r="D78" s="327"/>
      <c r="E78" s="90">
        <v>199.46600000000001</v>
      </c>
      <c r="F78" s="37">
        <f>IF('PERHITUNGAN 19'!$E$11="Burn Engr",'PERHITUNGAN 19'!E78,E78+('regresi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199.46600000000001</v>
      </c>
      <c r="G78" s="90">
        <f>F78-C78</f>
        <v>5.6000000000011596E-2</v>
      </c>
      <c r="H78" s="26"/>
      <c r="I78" s="26"/>
      <c r="AB78" s="1"/>
    </row>
    <row r="79" spans="1:28">
      <c r="A79" s="10"/>
      <c r="C79" s="327">
        <v>199.41</v>
      </c>
      <c r="D79" s="327"/>
      <c r="E79" s="90">
        <v>199.46600000000001</v>
      </c>
      <c r="F79" s="37">
        <f>IF('PERHITUNGAN 19'!$E$11="Burn Engr",'PERHITUNGAN 19'!E79,E79+('regresi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199.46600000000001</v>
      </c>
      <c r="G79" s="90">
        <f>F79-C79</f>
        <v>5.6000000000011596E-2</v>
      </c>
      <c r="AB79" s="1"/>
    </row>
    <row r="80" spans="1:28">
      <c r="A80" s="10"/>
      <c r="B80" s="8" t="s">
        <v>31</v>
      </c>
      <c r="C80" s="333">
        <f>AVERAGE(C75:D79)</f>
        <v>199.41</v>
      </c>
      <c r="D80" s="334"/>
      <c r="E80" s="95">
        <f>AVERAGE(E75:E79)</f>
        <v>199.46600000000001</v>
      </c>
      <c r="F80" s="95">
        <f t="shared" ref="F80" si="16">AVERAGE(F75:F79)</f>
        <v>199.46600000000001</v>
      </c>
      <c r="G80" s="95">
        <f>SUM(G75:G79)/5</f>
        <v>5.6000000000011596E-2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250</v>
      </c>
      <c r="C83" s="327">
        <v>249.38</v>
      </c>
      <c r="D83" s="327"/>
      <c r="E83" s="90">
        <v>249.477</v>
      </c>
      <c r="F83" s="37">
        <f>IF('PERHITUNGAN 19'!$E$11="Burn Engr",'PERHITUNGAN 19'!E83,E83+('regresi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249.477</v>
      </c>
      <c r="G83" s="40">
        <f>F83-C83</f>
        <v>9.7000000000008413E-2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249.38</v>
      </c>
      <c r="D84" s="327"/>
      <c r="E84" s="90">
        <v>249.477</v>
      </c>
      <c r="F84" s="37">
        <f>IF('PERHITUNGAN 19'!$E$11="Burn Engr",'PERHITUNGAN 19'!E84,E84+('regresi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249.477</v>
      </c>
      <c r="G84" s="40">
        <f>F84-C84</f>
        <v>9.7000000000008413E-2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249.38</v>
      </c>
      <c r="D85" s="327"/>
      <c r="E85" s="90">
        <v>249.477</v>
      </c>
      <c r="F85" s="37">
        <f>IF('PERHITUNGAN 19'!$E$11="Burn Engr",'PERHITUNGAN 19'!E85,E85+('regresi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249.477</v>
      </c>
      <c r="G85" s="40">
        <f>F85-C85</f>
        <v>9.7000000000008413E-2</v>
      </c>
      <c r="H85" s="26"/>
      <c r="I85" s="26"/>
      <c r="N85" s="93">
        <f>O56</f>
        <v>1.77</v>
      </c>
      <c r="O85" s="403">
        <f>G48</f>
        <v>-1.571</v>
      </c>
      <c r="P85" s="404"/>
      <c r="Q85" s="387">
        <f t="shared" ref="Q85:Q94" si="17">N85+O85</f>
        <v>0.19900000000000007</v>
      </c>
      <c r="R85" s="405"/>
      <c r="S85" s="138" t="s">
        <v>35</v>
      </c>
      <c r="T85" s="94">
        <f>IF(N85&lt;$AA$97,MAX($O$97,O76),IF(N85&lt;$AA$98,MAX($O$98,O76),MAX($O$99,O76)))</f>
        <v>0.35927887548522136</v>
      </c>
      <c r="AB85" s="1"/>
    </row>
    <row r="86" spans="1:28">
      <c r="A86" s="10"/>
      <c r="C86" s="327">
        <v>249.38</v>
      </c>
      <c r="D86" s="327"/>
      <c r="E86" s="90">
        <v>249.477</v>
      </c>
      <c r="F86" s="37">
        <f>IF('PERHITUNGAN 19'!$E$11="Burn Engr",'PERHITUNGAN 19'!E86,E86+('regresi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249.477</v>
      </c>
      <c r="G86" s="40">
        <f>F86-C86</f>
        <v>9.7000000000008413E-2</v>
      </c>
      <c r="H86" s="63"/>
      <c r="I86" s="63"/>
      <c r="N86" s="93">
        <f>P56</f>
        <v>50.37</v>
      </c>
      <c r="O86" s="403">
        <f>G56</f>
        <v>-1.9999999999996021E-2</v>
      </c>
      <c r="P86" s="404"/>
      <c r="Q86" s="406">
        <f t="shared" si="17"/>
        <v>50.35</v>
      </c>
      <c r="R86" s="407"/>
      <c r="S86" s="138" t="s">
        <v>35</v>
      </c>
      <c r="T86" s="94">
        <f>IF(N86&lt;$AA$97,MAX($O$97,P76),IF(N86&lt;$AA$98,MAX($O$98,P76),MAX($O$99,P76)))</f>
        <v>0.35860976936590644</v>
      </c>
      <c r="AB86" s="1"/>
    </row>
    <row r="87" spans="1:28">
      <c r="A87" s="10"/>
      <c r="C87" s="327">
        <v>249.38</v>
      </c>
      <c r="D87" s="327"/>
      <c r="E87" s="90">
        <v>249.477</v>
      </c>
      <c r="F87" s="37">
        <f>IF('PERHITUNGAN 19'!$E$11="Burn Engr",'PERHITUNGAN 19'!E87,E87+('regresi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249.477</v>
      </c>
      <c r="G87" s="41">
        <f>F87-C87</f>
        <v>9.7000000000008413E-2</v>
      </c>
      <c r="H87" s="63"/>
      <c r="I87" s="63"/>
      <c r="N87" s="93">
        <f>Q56</f>
        <v>100.34</v>
      </c>
      <c r="O87" s="403">
        <f>G64</f>
        <v>-0.45600000000000307</v>
      </c>
      <c r="P87" s="404"/>
      <c r="Q87" s="406">
        <f t="shared" si="17"/>
        <v>99.884</v>
      </c>
      <c r="R87" s="407"/>
      <c r="S87" s="138" t="s">
        <v>35</v>
      </c>
      <c r="T87" s="94">
        <f>IF(N87&lt;$AA$97,MAX($O$97,Q76),IF(N87&lt;$AA$98,MAX($O$98,Q76),MAX($O$99,Q76)))</f>
        <v>0.35820780218987586</v>
      </c>
      <c r="AB87" s="1"/>
    </row>
    <row r="88" spans="1:28">
      <c r="A88" s="10"/>
      <c r="B88" s="8" t="s">
        <v>31</v>
      </c>
      <c r="C88" s="333">
        <f>AVERAGE(C83:D87)</f>
        <v>249.38000000000002</v>
      </c>
      <c r="D88" s="334"/>
      <c r="E88" s="95">
        <f>AVERAGE(E83:E87)</f>
        <v>249.477</v>
      </c>
      <c r="F88" s="95">
        <f t="shared" ref="F88" si="18">AVERAGE(F83:F87)</f>
        <v>249.477</v>
      </c>
      <c r="G88" s="95">
        <f>SUM(G83:G87)/5</f>
        <v>9.7000000000008413E-2</v>
      </c>
      <c r="H88" s="63"/>
      <c r="I88" s="63"/>
      <c r="N88" s="93">
        <f>R56</f>
        <v>149.86000000000001</v>
      </c>
      <c r="O88" s="403">
        <f>G72</f>
        <v>-0.14200000000002433</v>
      </c>
      <c r="P88" s="404"/>
      <c r="Q88" s="406">
        <f t="shared" si="17"/>
        <v>149.71799999999999</v>
      </c>
      <c r="R88" s="407"/>
      <c r="S88" s="138" t="s">
        <v>35</v>
      </c>
      <c r="T88" s="94">
        <f>IF(N88&lt;$AA$97,MAX($O$97,R76),IF(N88&lt;$AA$98,MAX($O$98,R76),MAX($O$99,R76)))</f>
        <v>0.35927887548522136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199.41</v>
      </c>
      <c r="O89" s="403">
        <f>G80</f>
        <v>5.6000000000011596E-2</v>
      </c>
      <c r="P89" s="404"/>
      <c r="Q89" s="406">
        <f t="shared" si="17"/>
        <v>199.46600000000001</v>
      </c>
      <c r="R89" s="407"/>
      <c r="S89" s="138" t="s">
        <v>35</v>
      </c>
      <c r="T89" s="94">
        <f>IF(N89&lt;$AA$97,MAX($O$97,S76),IF(N89&lt;$AA$98,MAX($O$98,S76),MAX($O$99,S76)))</f>
        <v>0.35820780218987586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249.38000000000002</v>
      </c>
      <c r="O90" s="403">
        <f>G88</f>
        <v>9.7000000000008413E-2</v>
      </c>
      <c r="P90" s="404"/>
      <c r="Q90" s="406">
        <f t="shared" si="17"/>
        <v>249.47700000000003</v>
      </c>
      <c r="R90" s="407"/>
      <c r="S90" s="138" t="s">
        <v>35</v>
      </c>
      <c r="T90" s="94">
        <f>IF(N90&lt;$AA$97,MAX($O$97,T76),IF(N90&lt;$AA$98,MAX($O$98,T76),MAX($O$99,T76)))</f>
        <v>0.37127747623790869</v>
      </c>
      <c r="AB90" s="1"/>
    </row>
    <row r="91" spans="1:28">
      <c r="A91" s="105">
        <v>7</v>
      </c>
      <c r="B91" s="196">
        <v>260</v>
      </c>
      <c r="C91" s="327">
        <v>259.33999999999997</v>
      </c>
      <c r="D91" s="327"/>
      <c r="E91" s="90">
        <v>259.553</v>
      </c>
      <c r="F91" s="37">
        <f>IF('PERHITUNGAN 19'!$E$11="Burn Engr",'PERHITUNGAN 19'!E91,E91+('regresi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259.553</v>
      </c>
      <c r="G91" s="40">
        <f>F91-C91</f>
        <v>0.21300000000002228</v>
      </c>
      <c r="H91" s="63"/>
      <c r="I91" s="63"/>
      <c r="N91" s="93">
        <f>U56</f>
        <v>259.33999999999997</v>
      </c>
      <c r="O91" s="403">
        <f>G96</f>
        <v>0.21300000000002228</v>
      </c>
      <c r="P91" s="404"/>
      <c r="Q91" s="406">
        <f t="shared" si="17"/>
        <v>259.553</v>
      </c>
      <c r="R91" s="407"/>
      <c r="S91" s="138" t="s">
        <v>35</v>
      </c>
      <c r="T91" s="94">
        <f>IF(N91&lt;$AA$97,MAX($O$97,U76),IF(N91&lt;$AA$98,MAX($O$98,U76),MAX($O$99,U76)))</f>
        <v>1.8</v>
      </c>
      <c r="AB91" s="1"/>
    </row>
    <row r="92" spans="1:28">
      <c r="A92" s="10"/>
      <c r="C92" s="327">
        <v>259.33999999999997</v>
      </c>
      <c r="D92" s="327"/>
      <c r="E92" s="90">
        <v>259.553</v>
      </c>
      <c r="F92" s="37">
        <f>IF('PERHITUNGAN 19'!$E$11="Burn Engr",'PERHITUNGAN 19'!E92,E92+('regresi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259.553</v>
      </c>
      <c r="G92" s="40">
        <f>F92-C92</f>
        <v>0.21300000000002228</v>
      </c>
      <c r="H92" s="44"/>
      <c r="I92" s="63"/>
      <c r="N92" s="93" t="e">
        <f>V56</f>
        <v>#DIV/0!</v>
      </c>
      <c r="O92" s="403">
        <f>G104</f>
        <v>0</v>
      </c>
      <c r="P92" s="404"/>
      <c r="Q92" s="406" t="e">
        <f t="shared" si="17"/>
        <v>#DIV/0!</v>
      </c>
      <c r="R92" s="407"/>
      <c r="S92" s="138" t="s">
        <v>35</v>
      </c>
      <c r="T92" s="94" t="e">
        <f>IF(N92&lt;$AA$97,MAX($O$97,V76),IF(N92&lt;$AA$98,MAX($O$98,V76),MAX($O$99,V76)))</f>
        <v>#DIV/0!</v>
      </c>
      <c r="AB92" s="1"/>
    </row>
    <row r="93" spans="1:28">
      <c r="A93" s="10"/>
      <c r="C93" s="327">
        <v>259.33999999999997</v>
      </c>
      <c r="D93" s="327"/>
      <c r="E93" s="90">
        <v>259.553</v>
      </c>
      <c r="F93" s="37">
        <f>IF('PERHITUNGAN 19'!$E$11="Burn Engr",'PERHITUNGAN 19'!E93,E93+('regresi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259.553</v>
      </c>
      <c r="G93" s="40">
        <f>F93-C93</f>
        <v>0.21300000000002228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7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259.33999999999997</v>
      </c>
      <c r="D94" s="327"/>
      <c r="E94" s="90">
        <v>259.553</v>
      </c>
      <c r="F94" s="37">
        <f>IF('PERHITUNGAN 19'!$E$11="Burn Engr",'PERHITUNGAN 19'!E94,E94+('regresi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259.553</v>
      </c>
      <c r="G94" s="40">
        <f>F94-C94</f>
        <v>0.21300000000002228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7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259.33999999999997</v>
      </c>
      <c r="D95" s="327"/>
      <c r="E95" s="90">
        <v>259.553</v>
      </c>
      <c r="F95" s="37">
        <f>IF('PERHITUNGAN 19'!$E$11="Burn Engr",'PERHITUNGAN 19'!E95,E95+('regresi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259.553</v>
      </c>
      <c r="G95" s="41">
        <f>F95-C95</f>
        <v>0.21300000000002228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259.33999999999997</v>
      </c>
      <c r="D96" s="334"/>
      <c r="E96" s="95">
        <f>AVERAGE(E91:E95)</f>
        <v>259.553</v>
      </c>
      <c r="F96" s="95">
        <f t="shared" ref="F96" si="19">AVERAGE(F91:F95)</f>
        <v>259.553</v>
      </c>
      <c r="G96" s="95">
        <f>SUM(G91:G95)/5</f>
        <v>0.21300000000002228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0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0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/>
      <c r="C99" s="327"/>
      <c r="D99" s="327"/>
      <c r="E99" s="90"/>
      <c r="F99" s="37"/>
      <c r="G99" s="40"/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/>
      <c r="D100" s="327"/>
      <c r="E100" s="90"/>
      <c r="F100" s="37"/>
      <c r="G100" s="40"/>
      <c r="H100" s="44"/>
      <c r="I100" s="44"/>
      <c r="M100" s="1"/>
    </row>
    <row r="101" spans="1:27">
      <c r="A101" s="10"/>
      <c r="C101" s="327"/>
      <c r="D101" s="327"/>
      <c r="E101" s="90"/>
      <c r="F101" s="37"/>
      <c r="G101" s="40"/>
      <c r="H101" s="44"/>
      <c r="I101" s="44"/>
    </row>
    <row r="102" spans="1:27">
      <c r="A102" s="10"/>
      <c r="C102" s="327"/>
      <c r="D102" s="327"/>
      <c r="E102" s="90"/>
      <c r="F102" s="37"/>
      <c r="G102" s="40"/>
      <c r="H102" s="63"/>
      <c r="I102" s="63"/>
    </row>
    <row r="103" spans="1:27">
      <c r="A103" s="10"/>
      <c r="C103" s="327"/>
      <c r="D103" s="327"/>
      <c r="E103" s="90"/>
      <c r="F103" s="37"/>
      <c r="G103" s="41"/>
      <c r="H103" s="63"/>
      <c r="I103" s="63"/>
      <c r="N103" s="74"/>
      <c r="O103" s="129"/>
    </row>
    <row r="104" spans="1:27">
      <c r="A104" s="10"/>
      <c r="B104" s="8" t="s">
        <v>31</v>
      </c>
      <c r="C104" s="333" t="e">
        <f>AVERAGE(C99:D103)</f>
        <v>#DIV/0!</v>
      </c>
      <c r="D104" s="334"/>
      <c r="E104" s="95" t="e">
        <f>AVERAGE(E99:E103)</f>
        <v>#DIV/0!</v>
      </c>
      <c r="F104" s="95" t="e">
        <f t="shared" ref="F104" si="20">AVERAGE(F99:F103)</f>
        <v>#DIV/0!</v>
      </c>
      <c r="G104" s="95">
        <f>SUM(G99:G103)/5</f>
        <v>0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 t="e">
        <f>_xlfn.STDEV.S(G99:G103)</f>
        <v>#DIV/0!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 t="e">
        <f>G105/SQRT(5)</f>
        <v>#DIV/0!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/>
      <c r="G107" s="40"/>
      <c r="H107" s="63"/>
      <c r="I107" s="63"/>
      <c r="M107" s="1"/>
    </row>
    <row r="108" spans="1:27">
      <c r="A108" s="10"/>
      <c r="C108" s="327"/>
      <c r="D108" s="327"/>
      <c r="E108" s="90"/>
      <c r="F108" s="37"/>
      <c r="G108" s="40"/>
      <c r="H108" s="44"/>
      <c r="I108" s="44"/>
      <c r="M108" s="1"/>
    </row>
    <row r="109" spans="1:27">
      <c r="A109" s="10"/>
      <c r="C109" s="327"/>
      <c r="D109" s="327"/>
      <c r="E109" s="90"/>
      <c r="F109" s="37"/>
      <c r="G109" s="40"/>
      <c r="H109" s="44"/>
      <c r="I109" s="44"/>
    </row>
    <row r="110" spans="1:27">
      <c r="A110" s="10"/>
      <c r="C110" s="327"/>
      <c r="D110" s="327"/>
      <c r="E110" s="90"/>
      <c r="F110" s="37"/>
      <c r="G110" s="40"/>
      <c r="H110" s="63"/>
      <c r="I110" s="63"/>
    </row>
    <row r="111" spans="1:27">
      <c r="A111" s="10"/>
      <c r="C111" s="327"/>
      <c r="D111" s="327"/>
      <c r="E111" s="90"/>
      <c r="F111" s="37"/>
      <c r="G111" s="41"/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 t="e">
        <f t="shared" ref="F112" si="21">AVERAGE(F107:F111)</f>
        <v>#DIV/0!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 t="e">
        <f>_xlfn.STDEV.S(G107:G111)</f>
        <v>#DIV/0!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 t="e">
        <f>G113/SQRT(5)</f>
        <v>#DIV/0!</v>
      </c>
      <c r="H114" s="63"/>
      <c r="I114" s="63"/>
    </row>
    <row r="115" spans="1:21">
      <c r="A115" s="105">
        <v>10</v>
      </c>
      <c r="B115" s="196"/>
      <c r="C115" s="327"/>
      <c r="D115" s="327"/>
      <c r="E115" s="90"/>
      <c r="F115" s="37"/>
      <c r="G115" s="40"/>
      <c r="H115" s="63"/>
      <c r="I115" s="63"/>
      <c r="N115" s="98"/>
      <c r="U115" s="72"/>
    </row>
    <row r="116" spans="1:21">
      <c r="A116" s="10"/>
      <c r="C116" s="327"/>
      <c r="D116" s="327"/>
      <c r="E116" s="90"/>
      <c r="F116" s="37"/>
      <c r="G116" s="40"/>
      <c r="H116" s="44"/>
      <c r="I116" s="44"/>
      <c r="U116" s="49"/>
    </row>
    <row r="117" spans="1:21">
      <c r="A117" s="10"/>
      <c r="C117" s="327"/>
      <c r="D117" s="327"/>
      <c r="E117" s="90"/>
      <c r="F117" s="37"/>
      <c r="G117" s="40"/>
      <c r="H117" s="44"/>
      <c r="I117" s="44"/>
      <c r="U117" s="49"/>
    </row>
    <row r="118" spans="1:21">
      <c r="A118" s="10"/>
      <c r="C118" s="327"/>
      <c r="D118" s="327"/>
      <c r="E118" s="90"/>
      <c r="F118" s="37"/>
      <c r="G118" s="40"/>
      <c r="H118" s="63"/>
      <c r="I118" s="63"/>
    </row>
    <row r="119" spans="1:21">
      <c r="A119" s="10"/>
      <c r="C119" s="327"/>
      <c r="D119" s="327"/>
      <c r="E119" s="90"/>
      <c r="F119" s="37"/>
      <c r="G119" s="41"/>
      <c r="H119" s="63"/>
      <c r="I119" s="63"/>
    </row>
    <row r="120" spans="1:21">
      <c r="A120" s="10"/>
      <c r="B120" s="8" t="s">
        <v>31</v>
      </c>
      <c r="C120" s="333" t="e">
        <f>AVERAGE(C115:D119)</f>
        <v>#DIV/0!</v>
      </c>
      <c r="D120" s="334"/>
      <c r="E120" s="95" t="e">
        <f>AVERAGE(E115:E119)</f>
        <v>#DIV/0!</v>
      </c>
      <c r="F120" s="95" t="e">
        <f t="shared" ref="F120" si="22">AVERAGE(F115:F119)</f>
        <v>#DIV/0!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 t="e">
        <f>_xlfn.STDEV.S(G115:G119)</f>
        <v>#DIV/0!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 t="e">
        <f>G121/SQRT(5)</f>
        <v>#DIV/0!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330"/>
      <c r="D124" s="330"/>
      <c r="E124" s="63"/>
      <c r="F124" s="63"/>
      <c r="G124" s="63"/>
      <c r="H124" s="63"/>
      <c r="I124" s="63"/>
    </row>
    <row r="125" spans="1:21">
      <c r="C125" s="330"/>
      <c r="D125" s="330"/>
      <c r="E125" s="63"/>
      <c r="F125" s="63"/>
      <c r="G125" s="63"/>
      <c r="H125" s="63"/>
      <c r="I125" s="63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9">
    <mergeCell ref="C184:D184"/>
    <mergeCell ref="C185:D185"/>
    <mergeCell ref="C176:D176"/>
    <mergeCell ref="C177:D177"/>
    <mergeCell ref="C180:D180"/>
    <mergeCell ref="C181:D181"/>
    <mergeCell ref="C182:D182"/>
    <mergeCell ref="C183:D183"/>
    <mergeCell ref="C168:D168"/>
    <mergeCell ref="C169:D169"/>
    <mergeCell ref="C172:D172"/>
    <mergeCell ref="C173:D173"/>
    <mergeCell ref="C174:D174"/>
    <mergeCell ref="C175:D175"/>
    <mergeCell ref="C160:D160"/>
    <mergeCell ref="C161:D161"/>
    <mergeCell ref="C164:D164"/>
    <mergeCell ref="C165:D165"/>
    <mergeCell ref="C166:D166"/>
    <mergeCell ref="C167:D167"/>
    <mergeCell ref="C150:D150"/>
    <mergeCell ref="C151:D151"/>
    <mergeCell ref="C156:D156"/>
    <mergeCell ref="C157:D157"/>
    <mergeCell ref="C158:D158"/>
    <mergeCell ref="C159:D159"/>
    <mergeCell ref="C142:D142"/>
    <mergeCell ref="C143:D143"/>
    <mergeCell ref="C146:D146"/>
    <mergeCell ref="C147:D147"/>
    <mergeCell ref="C148:D148"/>
    <mergeCell ref="C149:D149"/>
    <mergeCell ref="C126:D126"/>
    <mergeCell ref="C127:D127"/>
    <mergeCell ref="C138:D138"/>
    <mergeCell ref="C139:D139"/>
    <mergeCell ref="C140:D140"/>
    <mergeCell ref="C141:D141"/>
    <mergeCell ref="C109:D109"/>
    <mergeCell ref="C110:D110"/>
    <mergeCell ref="C111:D111"/>
    <mergeCell ref="C112:D112"/>
    <mergeCell ref="C124:D124"/>
    <mergeCell ref="C125:D125"/>
    <mergeCell ref="C101:D101"/>
    <mergeCell ref="C102:D102"/>
    <mergeCell ref="C103:D103"/>
    <mergeCell ref="C104:D104"/>
    <mergeCell ref="C107:D107"/>
    <mergeCell ref="C108:D108"/>
    <mergeCell ref="C115:D115"/>
    <mergeCell ref="C116:D116"/>
    <mergeCell ref="C117:D117"/>
    <mergeCell ref="C118:D118"/>
    <mergeCell ref="C119:D119"/>
    <mergeCell ref="C120:D120"/>
    <mergeCell ref="C95:D95"/>
    <mergeCell ref="C96:D96"/>
    <mergeCell ref="N96:O96"/>
    <mergeCell ref="Z96:AA96"/>
    <mergeCell ref="C99:D99"/>
    <mergeCell ref="C100:D100"/>
    <mergeCell ref="C93:D93"/>
    <mergeCell ref="O93:P93"/>
    <mergeCell ref="Q93:R93"/>
    <mergeCell ref="C94:D94"/>
    <mergeCell ref="O94:P94"/>
    <mergeCell ref="Q94:R94"/>
    <mergeCell ref="C91:D91"/>
    <mergeCell ref="O91:P91"/>
    <mergeCell ref="Q91:R91"/>
    <mergeCell ref="C92:D92"/>
    <mergeCell ref="O92:P92"/>
    <mergeCell ref="Q92:R92"/>
    <mergeCell ref="C88:D88"/>
    <mergeCell ref="O88:P88"/>
    <mergeCell ref="Q88:R88"/>
    <mergeCell ref="O89:P89"/>
    <mergeCell ref="Q89:R89"/>
    <mergeCell ref="O90:P90"/>
    <mergeCell ref="Q90:R90"/>
    <mergeCell ref="C86:D86"/>
    <mergeCell ref="O86:P86"/>
    <mergeCell ref="Q86:R86"/>
    <mergeCell ref="C87:D87"/>
    <mergeCell ref="O87:P87"/>
    <mergeCell ref="Q87:R87"/>
    <mergeCell ref="S83:T83"/>
    <mergeCell ref="C84:D84"/>
    <mergeCell ref="S84:T84"/>
    <mergeCell ref="C85:D85"/>
    <mergeCell ref="O85:P85"/>
    <mergeCell ref="Q85:R85"/>
    <mergeCell ref="C79:D79"/>
    <mergeCell ref="C80:D80"/>
    <mergeCell ref="C83:D83"/>
    <mergeCell ref="N83:N84"/>
    <mergeCell ref="O83:P84"/>
    <mergeCell ref="Q83:R84"/>
    <mergeCell ref="C71:D71"/>
    <mergeCell ref="C72:D72"/>
    <mergeCell ref="C75:D75"/>
    <mergeCell ref="C76:D76"/>
    <mergeCell ref="C77:D77"/>
    <mergeCell ref="C78:D78"/>
    <mergeCell ref="C63:D63"/>
    <mergeCell ref="C64:D64"/>
    <mergeCell ref="C67:D67"/>
    <mergeCell ref="C68:D68"/>
    <mergeCell ref="C69:D69"/>
    <mergeCell ref="C70:D70"/>
    <mergeCell ref="O55:X55"/>
    <mergeCell ref="C56:D56"/>
    <mergeCell ref="C59:D59"/>
    <mergeCell ref="C60:D60"/>
    <mergeCell ref="C61:D61"/>
    <mergeCell ref="C62:D62"/>
    <mergeCell ref="C51:D51"/>
    <mergeCell ref="C52:D52"/>
    <mergeCell ref="C53:D53"/>
    <mergeCell ref="C54:D54"/>
    <mergeCell ref="C55:D55"/>
    <mergeCell ref="N55:N56"/>
    <mergeCell ref="T45:Y4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N45:S45"/>
    <mergeCell ref="T36:T37"/>
    <mergeCell ref="U36:U37"/>
    <mergeCell ref="V36:V37"/>
    <mergeCell ref="W36:W37"/>
    <mergeCell ref="X36:X37"/>
    <mergeCell ref="C40:D40"/>
    <mergeCell ref="N36:N37"/>
    <mergeCell ref="O36:O37"/>
    <mergeCell ref="P36:P37"/>
    <mergeCell ref="Q36:Q37"/>
    <mergeCell ref="R36:R37"/>
    <mergeCell ref="S36:S37"/>
    <mergeCell ref="T28:T29"/>
    <mergeCell ref="U28:U29"/>
    <mergeCell ref="AB28:AC28"/>
    <mergeCell ref="AB30:AC30"/>
    <mergeCell ref="J31:K31"/>
    <mergeCell ref="AB32:AC32"/>
    <mergeCell ref="J26:K26"/>
    <mergeCell ref="N28:N29"/>
    <mergeCell ref="O28:O29"/>
    <mergeCell ref="P28:P29"/>
    <mergeCell ref="Q28:Q29"/>
    <mergeCell ref="S28:S29"/>
    <mergeCell ref="E16:F16"/>
    <mergeCell ref="N16:N20"/>
    <mergeCell ref="E17:F17"/>
    <mergeCell ref="E18:F18"/>
    <mergeCell ref="AB18:AC18"/>
    <mergeCell ref="F21:G21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</mergeCells>
  <conditionalFormatting sqref="C56">
    <cfRule type="expression" dxfId="135" priority="24" stopIfTrue="1">
      <formula>COUNT(C51:C55)&lt;&gt;5</formula>
    </cfRule>
  </conditionalFormatting>
  <conditionalFormatting sqref="C64">
    <cfRule type="expression" dxfId="134" priority="8" stopIfTrue="1">
      <formula>COUNT(C59:C63)&lt;&gt;5</formula>
    </cfRule>
  </conditionalFormatting>
  <conditionalFormatting sqref="C72">
    <cfRule type="expression" dxfId="133" priority="14" stopIfTrue="1">
      <formula>COUNT(C67:C71)&lt;&gt;5</formula>
    </cfRule>
  </conditionalFormatting>
  <conditionalFormatting sqref="C80">
    <cfRule type="expression" dxfId="132" priority="13" stopIfTrue="1">
      <formula>COUNT(C75:C79)&lt;&gt;5</formula>
    </cfRule>
  </conditionalFormatting>
  <conditionalFormatting sqref="C88">
    <cfRule type="expression" dxfId="131" priority="12" stopIfTrue="1">
      <formula>COUNT(C83:C87)&lt;&gt;5</formula>
    </cfRule>
  </conditionalFormatting>
  <conditionalFormatting sqref="C96">
    <cfRule type="expression" dxfId="130" priority="11" stopIfTrue="1">
      <formula>COUNT(C91:C95)&lt;&gt;5</formula>
    </cfRule>
  </conditionalFormatting>
  <conditionalFormatting sqref="C48:E48">
    <cfRule type="expression" dxfId="127" priority="25" stopIfTrue="1">
      <formula>COUNT(C43:C47)&lt;&gt;5</formula>
    </cfRule>
  </conditionalFormatting>
  <conditionalFormatting sqref="E56">
    <cfRule type="expression" dxfId="125" priority="23" stopIfTrue="1">
      <formula>COUNT(E51:E55)&lt;&gt;5</formula>
    </cfRule>
  </conditionalFormatting>
  <conditionalFormatting sqref="E64">
    <cfRule type="expression" dxfId="124" priority="7" stopIfTrue="1">
      <formula>COUNT(E59:E63)&lt;&gt;5</formula>
    </cfRule>
  </conditionalFormatting>
  <conditionalFormatting sqref="E72">
    <cfRule type="expression" dxfId="123" priority="22" stopIfTrue="1">
      <formula>COUNT(E67:E71)&lt;&gt;5</formula>
    </cfRule>
  </conditionalFormatting>
  <conditionalFormatting sqref="E80">
    <cfRule type="expression" dxfId="122" priority="21" stopIfTrue="1">
      <formula>COUNT(E75:E79)&lt;&gt;5</formula>
    </cfRule>
  </conditionalFormatting>
  <conditionalFormatting sqref="E88">
    <cfRule type="expression" dxfId="121" priority="20" stopIfTrue="1">
      <formula>COUNT(E83:E87)&lt;&gt;5</formula>
    </cfRule>
  </conditionalFormatting>
  <conditionalFormatting sqref="E96">
    <cfRule type="expression" dxfId="120" priority="19" stopIfTrue="1">
      <formula>COUNT(E91:E95)&lt;&gt;5</formula>
    </cfRule>
  </conditionalFormatting>
  <conditionalFormatting sqref="C104">
    <cfRule type="expression" dxfId="5" priority="5" stopIfTrue="1">
      <formula>COUNT(C99:C103)&lt;&gt;5</formula>
    </cfRule>
  </conditionalFormatting>
  <conditionalFormatting sqref="E104">
    <cfRule type="expression" dxfId="4" priority="6" stopIfTrue="1">
      <formula>COUNT(E99:E103)&lt;&gt;5</formula>
    </cfRule>
  </conditionalFormatting>
  <conditionalFormatting sqref="C112">
    <cfRule type="expression" dxfId="3" priority="3" stopIfTrue="1">
      <formula>COUNT(C107:C111)&lt;&gt;5</formula>
    </cfRule>
  </conditionalFormatting>
  <conditionalFormatting sqref="E112">
    <cfRule type="expression" dxfId="2" priority="4" stopIfTrue="1">
      <formula>COUNT(E107:E111)&lt;&gt;5</formula>
    </cfRule>
  </conditionalFormatting>
  <conditionalFormatting sqref="C120">
    <cfRule type="expression" dxfId="1" priority="1" stopIfTrue="1">
      <formula>COUNT(C115:C119)&lt;&gt;5</formula>
    </cfRule>
  </conditionalFormatting>
  <conditionalFormatting sqref="E120">
    <cfRule type="expression" dxfId="0" priority="2" stopIfTrue="1">
      <formula>COUNT(E115:E119)&lt;&gt;5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97281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97281" r:id="rId4"/>
      </mc:Fallback>
    </mc:AlternateContent>
    <mc:AlternateContent xmlns:mc="http://schemas.openxmlformats.org/markup-compatibility/2006">
      <mc:Choice Requires="x14">
        <oleObject progId="Equation.3" shapeId="97282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97282" r:id="rId6"/>
      </mc:Fallback>
    </mc:AlternateContent>
    <mc:AlternateContent xmlns:mc="http://schemas.openxmlformats.org/markup-compatibility/2006">
      <mc:Choice Requires="x14">
        <oleObject progId="Equation.3" shapeId="97283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97283" r:id="rId8"/>
      </mc:Fallback>
    </mc:AlternateContent>
    <mc:AlternateContent xmlns:mc="http://schemas.openxmlformats.org/markup-compatibility/2006">
      <mc:Choice Requires="x14">
        <oleObject progId="Equation.3" shapeId="97284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97284" r:id="rId10"/>
      </mc:Fallback>
    </mc:AlternateContent>
  </oleObjec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2733B-86D0-494F-ADCA-DFCF5EDAB605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19'!O85</f>
        <v>-1.571</v>
      </c>
      <c r="C2" s="37">
        <f>'PERHITUNGAN 19'!N85</f>
        <v>1.77</v>
      </c>
      <c r="D2" s="75">
        <f>C2^2</f>
        <v>3.1329000000000002</v>
      </c>
      <c r="E2" s="37">
        <f>C2^3</f>
        <v>5.5452330000000005</v>
      </c>
      <c r="F2" s="91">
        <f>C2^4</f>
        <v>9.8150624100000012</v>
      </c>
      <c r="G2" s="91">
        <f>C2^5</f>
        <v>17.372660465700001</v>
      </c>
      <c r="H2" s="91">
        <f>C2^6</f>
        <v>30.749609024289008</v>
      </c>
      <c r="I2" s="91">
        <f>C2^7</f>
        <v>54.42680797299154</v>
      </c>
      <c r="J2" s="91">
        <f>C2^8</f>
        <v>96.335450112195034</v>
      </c>
      <c r="K2" s="91">
        <f>C2^9</f>
        <v>170.51374669858521</v>
      </c>
      <c r="L2" s="91">
        <f>C2^10</f>
        <v>301.80933165649583</v>
      </c>
      <c r="Q2" s="12"/>
    </row>
    <row r="3" spans="1:24">
      <c r="A3" s="25">
        <v>2</v>
      </c>
      <c r="B3" s="37">
        <f>'PERHITUNGAN 19'!O86</f>
        <v>-1.9999999999996021E-2</v>
      </c>
      <c r="C3" s="37">
        <f>'PERHITUNGAN 19'!N86</f>
        <v>50.37</v>
      </c>
      <c r="D3" s="75">
        <f t="shared" ref="D3:D9" si="0">C3^2</f>
        <v>2537.1369</v>
      </c>
      <c r="E3" s="37">
        <f t="shared" ref="E3:E9" si="1">C3^3</f>
        <v>127795.58565299999</v>
      </c>
      <c r="F3" s="91">
        <f t="shared" ref="F3:F9" si="2">C3^4</f>
        <v>6437063.6493416103</v>
      </c>
      <c r="G3" s="91">
        <f t="shared" ref="G3:G9" si="3">C3^5</f>
        <v>324234896.01733691</v>
      </c>
      <c r="H3" s="91">
        <f t="shared" ref="H3:H9" si="4">C3^6</f>
        <v>16331711712.393259</v>
      </c>
      <c r="I3" s="91">
        <f t="shared" ref="I3:I9" si="5">C3^7</f>
        <v>822628318953.24841</v>
      </c>
      <c r="J3" s="91">
        <f t="shared" ref="J3:J9" si="6">C3^8</f>
        <v>41435788425675.133</v>
      </c>
      <c r="K3" s="91">
        <f t="shared" ref="K3:K9" si="7">C3^9</f>
        <v>2087120663001256.3</v>
      </c>
      <c r="L3" s="91">
        <f t="shared" ref="L3:L9" si="8">C3^10</f>
        <v>1.0512826779537328E+17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19'!O87</f>
        <v>-0.45600000000000307</v>
      </c>
      <c r="C4" s="37">
        <f>'PERHITUNGAN 19'!N87</f>
        <v>100.34</v>
      </c>
      <c r="D4" s="75">
        <f t="shared" si="0"/>
        <v>10068.115600000001</v>
      </c>
      <c r="E4" s="37">
        <f t="shared" si="1"/>
        <v>1010234.7193040001</v>
      </c>
      <c r="F4" s="91">
        <f t="shared" si="2"/>
        <v>101366951.73496339</v>
      </c>
      <c r="G4" s="91">
        <f t="shared" si="3"/>
        <v>10171159937.086227</v>
      </c>
      <c r="H4" s="91">
        <f t="shared" si="4"/>
        <v>1020574188087.2321</v>
      </c>
      <c r="I4" s="91">
        <f t="shared" si="5"/>
        <v>102404414032672.88</v>
      </c>
      <c r="J4" s="91">
        <f t="shared" si="6"/>
        <v>1.0275258904038396E+16</v>
      </c>
      <c r="K4" s="91">
        <f t="shared" si="7"/>
        <v>1.0310194784312127E+18</v>
      </c>
      <c r="L4" s="91">
        <f t="shared" si="8"/>
        <v>1.0345249446578789E+20</v>
      </c>
      <c r="R4" s="414" t="str">
        <f>IF('PERHITUNGAN 13'!$C$2="Celcius","(°C)","(°F)")</f>
        <v>(°C)</v>
      </c>
      <c r="S4" s="415"/>
      <c r="T4" s="5" t="str">
        <f>IF('PERHITUNGAN 13'!$C$2="Celcius","(°C)","(°F)")</f>
        <v>(°C)</v>
      </c>
      <c r="U4" s="14"/>
      <c r="V4" s="1"/>
    </row>
    <row r="5" spans="1:24">
      <c r="A5" s="25">
        <v>4</v>
      </c>
      <c r="B5" s="37">
        <f>'PERHITUNGAN 19'!O88</f>
        <v>-0.14200000000002433</v>
      </c>
      <c r="C5" s="37">
        <f>'PERHITUNGAN 19'!N88</f>
        <v>149.86000000000001</v>
      </c>
      <c r="D5" s="75">
        <f t="shared" si="0"/>
        <v>22458.019600000003</v>
      </c>
      <c r="E5" s="37">
        <f t="shared" si="1"/>
        <v>3365558.8172560008</v>
      </c>
      <c r="F5" s="91">
        <f t="shared" si="2"/>
        <v>504362644.3539843</v>
      </c>
      <c r="G5" s="91">
        <f t="shared" si="3"/>
        <v>75583785882.888092</v>
      </c>
      <c r="H5" s="91">
        <f t="shared" si="4"/>
        <v>11326986152409.609</v>
      </c>
      <c r="I5" s="91">
        <f t="shared" si="5"/>
        <v>1697462144800104.3</v>
      </c>
      <c r="J5" s="91">
        <f t="shared" si="6"/>
        <v>2.5438167701974365E+17</v>
      </c>
      <c r="K5" s="91">
        <f t="shared" si="7"/>
        <v>3.8121638118178783E+19</v>
      </c>
      <c r="L5" s="91">
        <f t="shared" si="8"/>
        <v>5.7129086883902731E+21</v>
      </c>
      <c r="R5" s="412"/>
      <c r="S5" s="413"/>
      <c r="T5" s="21"/>
      <c r="U5" s="32"/>
    </row>
    <row r="6" spans="1:24">
      <c r="A6" s="25">
        <v>5</v>
      </c>
      <c r="B6" s="37">
        <f>'PERHITUNGAN 19'!O89</f>
        <v>5.6000000000011596E-2</v>
      </c>
      <c r="C6" s="37">
        <f>'PERHITUNGAN 19'!N89</f>
        <v>199.41</v>
      </c>
      <c r="D6" s="75">
        <f t="shared" si="0"/>
        <v>39764.348099999996</v>
      </c>
      <c r="E6" s="37">
        <f t="shared" si="1"/>
        <v>7929408.6546209985</v>
      </c>
      <c r="F6" s="91">
        <f t="shared" si="2"/>
        <v>1581203379.8179734</v>
      </c>
      <c r="G6" s="91">
        <f t="shared" si="3"/>
        <v>315307765969.50208</v>
      </c>
      <c r="H6" s="91">
        <f t="shared" si="4"/>
        <v>62875521611978.398</v>
      </c>
      <c r="I6" s="91">
        <f t="shared" si="5"/>
        <v>1.2538007764644612E+16</v>
      </c>
      <c r="J6" s="91">
        <f t="shared" si="6"/>
        <v>2.5002041283477821E+18</v>
      </c>
      <c r="K6" s="91">
        <f t="shared" si="7"/>
        <v>4.9856570523383123E+20</v>
      </c>
      <c r="L6" s="91">
        <f t="shared" si="8"/>
        <v>9.9418987280678269E+22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19'!O90</f>
        <v>9.7000000000008413E-2</v>
      </c>
      <c r="C7" s="37">
        <f>'PERHITUNGAN 19'!N90</f>
        <v>249.38000000000002</v>
      </c>
      <c r="D7" s="75">
        <f t="shared" si="0"/>
        <v>62190.38440000001</v>
      </c>
      <c r="E7" s="37">
        <f t="shared" si="1"/>
        <v>15509038.061672004</v>
      </c>
      <c r="F7" s="91">
        <f t="shared" si="2"/>
        <v>3867643911.8197646</v>
      </c>
      <c r="G7" s="91">
        <f t="shared" si="3"/>
        <v>964513038729.61304</v>
      </c>
      <c r="H7" s="91">
        <f t="shared" si="4"/>
        <v>240530261598390.91</v>
      </c>
      <c r="I7" s="91">
        <f t="shared" si="5"/>
        <v>5.9983436637406728E+16</v>
      </c>
      <c r="J7" s="91">
        <f t="shared" si="6"/>
        <v>1.4958669428636492E+19</v>
      </c>
      <c r="K7" s="91">
        <f t="shared" si="7"/>
        <v>3.7303929821133689E+21</v>
      </c>
      <c r="L7" s="91">
        <f t="shared" si="8"/>
        <v>9.3028540187943189E+23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19'!O91</f>
        <v>0.21300000000002228</v>
      </c>
      <c r="C8" s="37">
        <f>'PERHITUNGAN 19'!N91</f>
        <v>259.33999999999997</v>
      </c>
      <c r="D8" s="75">
        <f t="shared" si="0"/>
        <v>67257.235599999985</v>
      </c>
      <c r="E8" s="37">
        <f t="shared" si="1"/>
        <v>17442491.480503995</v>
      </c>
      <c r="F8" s="91">
        <f t="shared" si="2"/>
        <v>4523535740.5539055</v>
      </c>
      <c r="G8" s="91">
        <f t="shared" si="3"/>
        <v>1173133758955.2498</v>
      </c>
      <c r="H8" s="91">
        <f t="shared" si="4"/>
        <v>304240509047454.44</v>
      </c>
      <c r="I8" s="91">
        <f t="shared" si="5"/>
        <v>7.8901733616366832E+16</v>
      </c>
      <c r="J8" s="91">
        <f t="shared" si="6"/>
        <v>2.0462375596068569E+19</v>
      </c>
      <c r="K8" s="91">
        <f t="shared" si="7"/>
        <v>5.3067124870844221E+21</v>
      </c>
      <c r="L8" s="91">
        <f t="shared" si="8"/>
        <v>1.376242816400474E+24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19'!O92</f>
        <v>0</v>
      </c>
      <c r="C9" s="37" t="e">
        <f>'PERHITUNGAN 19'!N92</f>
        <v>#DIV/0!</v>
      </c>
      <c r="D9" s="75" t="e">
        <f t="shared" si="0"/>
        <v>#DIV/0!</v>
      </c>
      <c r="E9" s="37" t="e">
        <f t="shared" si="1"/>
        <v>#DIV/0!</v>
      </c>
      <c r="F9" s="91" t="e">
        <f t="shared" si="2"/>
        <v>#DIV/0!</v>
      </c>
      <c r="G9" s="91" t="e">
        <f t="shared" si="3"/>
        <v>#DIV/0!</v>
      </c>
      <c r="H9" s="91" t="e">
        <f t="shared" si="4"/>
        <v>#DIV/0!</v>
      </c>
      <c r="I9" s="91" t="e">
        <f t="shared" si="5"/>
        <v>#DIV/0!</v>
      </c>
      <c r="J9" s="91" t="e">
        <f t="shared" si="6"/>
        <v>#DIV/0!</v>
      </c>
      <c r="K9" s="91" t="e">
        <f t="shared" si="7"/>
        <v>#DIV/0!</v>
      </c>
      <c r="L9" s="91" t="e">
        <f t="shared" si="8"/>
        <v>#DIV/0!</v>
      </c>
      <c r="R9" s="408"/>
      <c r="S9" s="409"/>
      <c r="T9" s="23"/>
      <c r="U9" s="27"/>
      <c r="V9" s="88"/>
    </row>
    <row r="10" spans="1:24">
      <c r="A10" s="25">
        <v>9</v>
      </c>
      <c r="B10" s="37"/>
      <c r="C10" s="37"/>
      <c r="D10" s="75"/>
      <c r="E10" s="37"/>
      <c r="F10" s="91"/>
      <c r="G10" s="91"/>
      <c r="H10" s="91"/>
      <c r="I10" s="91"/>
      <c r="J10" s="91"/>
      <c r="K10" s="91"/>
      <c r="L10" s="91"/>
      <c r="R10" s="408"/>
      <c r="S10" s="409"/>
      <c r="T10" s="23"/>
      <c r="U10" s="27"/>
      <c r="V10" s="88"/>
    </row>
    <row r="11" spans="1:24">
      <c r="A11" s="25">
        <v>10</v>
      </c>
      <c r="B11" s="37"/>
      <c r="C11" s="37"/>
      <c r="D11" s="75"/>
      <c r="E11" s="37"/>
      <c r="F11" s="91"/>
      <c r="G11" s="91"/>
      <c r="H11" s="91"/>
      <c r="I11" s="91"/>
      <c r="J11" s="91"/>
      <c r="K11" s="91"/>
      <c r="L11" s="91"/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f>'REGRESI 18'!R19:S19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-0.92828000555710255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18'!R20:S20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-0.50501706482237341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18'!R21:S21</f>
        <v>25</v>
      </c>
      <c r="S21" s="409"/>
      <c r="T21" s="23">
        <f t="shared" si="9"/>
        <v>0.32476041921745508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18'!R22:S22</f>
        <v>50</v>
      </c>
      <c r="S22" s="409"/>
      <c r="T22" s="23">
        <f t="shared" si="9"/>
        <v>0.84337935615435344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18'!R23:S23</f>
        <v>100</v>
      </c>
      <c r="S23" s="409"/>
      <c r="T23" s="23">
        <f t="shared" si="9"/>
        <v>1.0226336231832407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18'!R24:S24</f>
        <v>125</v>
      </c>
      <c r="S24" s="409"/>
      <c r="T24" s="23">
        <f t="shared" si="9"/>
        <v>0.72101497050716934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18'!R25:S25</f>
        <v>150</v>
      </c>
      <c r="S25" s="409"/>
      <c r="T25" s="23">
        <f t="shared" si="9"/>
        <v>0.18372980519204807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18'!R26:S26</f>
        <v>200</v>
      </c>
      <c r="S26" s="409"/>
      <c r="T26" s="23">
        <f t="shared" si="9"/>
        <v>-1.522348028891463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18'!R27:S27</f>
        <v>0</v>
      </c>
      <c r="S27" s="409"/>
      <c r="T27" s="23">
        <f t="shared" si="9"/>
        <v>-0.50501706482237341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18'!R28:S28</f>
        <v>0</v>
      </c>
      <c r="S28" s="409"/>
      <c r="T28" s="23">
        <f t="shared" si="9"/>
        <v>-0.50501706482237341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0.98923436278054266</v>
      </c>
      <c r="Q33" s="31" t="s">
        <v>100</v>
      </c>
      <c r="U33" s="70"/>
    </row>
    <row r="34" spans="2:24">
      <c r="B34" t="s">
        <v>76</v>
      </c>
      <c r="C34">
        <v>0.97858462450582639</v>
      </c>
      <c r="X34" s="46"/>
    </row>
    <row r="35" spans="2:24">
      <c r="B35" t="s">
        <v>77</v>
      </c>
      <c r="C35">
        <v>0.96252309288519622</v>
      </c>
      <c r="Q35" t="s">
        <v>99</v>
      </c>
    </row>
    <row r="36" spans="2:24">
      <c r="B36" t="s">
        <v>78</v>
      </c>
      <c r="C36">
        <v>0.17923600734026643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-0.50501706482237341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0"/>
        <v>3.966591041853134E-2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-2.6402524457512006E-4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5.8719616096909331</v>
      </c>
      <c r="E41">
        <v>1.9573205365636444</v>
      </c>
      <c r="F41">
        <v>60.927229583066953</v>
      </c>
      <c r="G41">
        <v>8.5374603796749271E-4</v>
      </c>
      <c r="R41" s="26" t="s">
        <v>112</v>
      </c>
      <c r="S41">
        <f t="shared" si="10"/>
        <v>2.0131209190368067E-7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0.12850218530912016</v>
      </c>
      <c r="E42">
        <v>3.2125546327280041E-2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6.0004637950000532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-0.50501706482237341</v>
      </c>
      <c r="D46">
        <v>0.10768642433103097</v>
      </c>
      <c r="E46">
        <v>-4.6897003773654635</v>
      </c>
      <c r="F46">
        <v>9.3798322869739197E-3</v>
      </c>
      <c r="G46">
        <v>-0.80400251055251692</v>
      </c>
      <c r="H46">
        <v>-0.20603161909222989</v>
      </c>
      <c r="I46">
        <v>-0.80400251055251692</v>
      </c>
      <c r="J46">
        <v>-0.20603161909222989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3.966591041853134E-2</v>
      </c>
      <c r="D47">
        <v>6.1701020870273144E-3</v>
      </c>
      <c r="E47">
        <v>6.4287283839159182</v>
      </c>
      <c r="F47">
        <v>3.0105947153460642E-3</v>
      </c>
      <c r="G47">
        <v>2.2534960680433664E-2</v>
      </c>
      <c r="H47">
        <v>5.679686015662902E-2</v>
      </c>
      <c r="I47">
        <v>2.2534960680433664E-2</v>
      </c>
      <c r="J47">
        <v>5.679686015662902E-2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-2.6402524457512006E-4</v>
      </c>
      <c r="D48">
        <v>8.1822377727826763E-5</v>
      </c>
      <c r="E48">
        <v>-3.226809729892858</v>
      </c>
      <c r="F48">
        <v>3.2072464392857665E-2</v>
      </c>
      <c r="G48">
        <v>-4.9120058471318966E-4</v>
      </c>
      <c r="H48">
        <v>-3.6849904437050493E-5</v>
      </c>
      <c r="I48">
        <v>-4.9120058471318966E-4</v>
      </c>
      <c r="J48">
        <v>-3.6849904437050493E-5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2.0131209190368067E-7</v>
      </c>
      <c r="D49" s="67">
        <v>2.7475863094652921E-7</v>
      </c>
      <c r="E49" s="67">
        <v>0.73268705412518242</v>
      </c>
      <c r="F49" s="67">
        <v>0.504370754346119</v>
      </c>
      <c r="G49" s="67">
        <v>-5.6154016409865737E-7</v>
      </c>
      <c r="H49" s="67">
        <v>9.6416434790601859E-7</v>
      </c>
      <c r="I49" s="67">
        <v>-5.6154016409865737E-7</v>
      </c>
      <c r="J49" s="67">
        <v>9.6416434790601859E-7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EBB94-82C1-443E-84E8-B318B8206CF8}">
  <dimension ref="A1:AH187"/>
  <sheetViews>
    <sheetView topLeftCell="A60" workbookViewId="0">
      <selection activeCell="K6" sqref="K6"/>
    </sheetView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13'!$C$2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13'!G3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13'!E5</f>
        <v>Termometer Digital</v>
      </c>
      <c r="F5" s="11"/>
      <c r="G5" s="11" t="s">
        <v>127</v>
      </c>
      <c r="H5" s="11" t="s">
        <v>16</v>
      </c>
      <c r="I5" s="66" t="str">
        <f>'PERHITUNGAN 13'!I5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13'!E6</f>
        <v>Hioki / LR 8431-20</v>
      </c>
      <c r="F6" s="11"/>
      <c r="G6" s="11" t="s">
        <v>128</v>
      </c>
      <c r="H6" s="11" t="s">
        <v>16</v>
      </c>
      <c r="I6" s="129">
        <f>'PERHITUNGAN 13'!I6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13'!E7</f>
        <v>210149173</v>
      </c>
      <c r="F7" s="11"/>
      <c r="G7" s="11" t="s">
        <v>44</v>
      </c>
      <c r="H7" s="11" t="s">
        <v>16</v>
      </c>
      <c r="I7" s="31">
        <v>20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13'!E11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13'!E12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13'!E13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13'!E14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13'!E17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13'!E18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13'!E19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13'!E21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13'!D24</f>
        <v>22</v>
      </c>
      <c r="E23" s="244">
        <f>'PERHITUNGAN 13'!E24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13'!D25</f>
        <v>22</v>
      </c>
      <c r="E24" s="244">
        <f>'PERHITUNGAN 13'!E25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13'!D28</f>
        <v>20</v>
      </c>
      <c r="E27" s="244">
        <f>'PERHITUNGAN 13'!E28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13'!D29</f>
        <v>20</v>
      </c>
      <c r="E28" s="244">
        <f>'PERHITUNGAN 13'!E29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13'!D33</f>
        <v>55</v>
      </c>
      <c r="E32" s="244">
        <f>'PERHITUNGAN 13'!E33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13'!D34</f>
        <v>55</v>
      </c>
      <c r="E33" s="244">
        <f>'PERHITUNGAN 13'!E34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0.19800000000000001</v>
      </c>
      <c r="P36" s="380">
        <f>F56</f>
        <v>50.345999999999997</v>
      </c>
      <c r="Q36" s="380">
        <f>F64</f>
        <v>99.884</v>
      </c>
      <c r="R36" s="380">
        <f>F72</f>
        <v>149.71799999999999</v>
      </c>
      <c r="S36" s="380">
        <f>F80</f>
        <v>199.46600000000001</v>
      </c>
      <c r="T36" s="380">
        <f>F88</f>
        <v>249.47800000000001</v>
      </c>
      <c r="U36" s="380">
        <f>F96</f>
        <v>259.55399999999997</v>
      </c>
      <c r="V36" s="380">
        <f>F104</f>
        <v>0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20'!$E$11="Burn Engr",IF(O36&lt;=$AA$38,$AB$38,$AB$39),IF(O36&lt;=$AC$38,$AD$38,IF(O36&lt;=$AC$39,$AD$39,$AD$40)))</f>
        <v>7.0000000000000007E-2</v>
      </c>
      <c r="P38" s="54">
        <f>IF('PERHITUNGAN 20'!$E$11="Burn Engr",IF(P36&lt;=$AA$38,$AB$38,$AB$39),IF(P36&lt;=$AC$38,$AD$38,IF(P36&lt;=$AC$39,$AD$39,$AD$40)))</f>
        <v>7.0000000000000007E-2</v>
      </c>
      <c r="Q38" s="54">
        <f>IF('PERHITUNGAN 20'!$E$11="Burn Engr",IF(Q36&lt;=$AA$38,$AB$38,$AB$39),IF(Q36&lt;=$AC$38,$AD$38,IF(Q36&lt;=$AC$39,$AD$39,$AD$40)))</f>
        <v>7.0000000000000007E-2</v>
      </c>
      <c r="R38" s="54">
        <f>IF('PERHITUNGAN 20'!$E$11="Burn Engr",IF(R36&lt;=$AA$38,$AB$38,$AB$39),IF(R36&lt;=$AC$38,$AD$38,IF(R36&lt;=$AC$39,$AD$39,$AD$40)))</f>
        <v>7.0000000000000007E-2</v>
      </c>
      <c r="S38" s="54">
        <f>IF('PERHITUNGAN 20'!$E$11="Burn Engr",IF(S36&lt;=$AA$38,$AB$38,$AB$39),IF(S36&lt;=$AC$38,$AD$38,IF(S36&lt;=$AC$39,$AD$39,$AD$40)))</f>
        <v>7.0000000000000007E-2</v>
      </c>
      <c r="T38" s="54">
        <f>IF('PERHITUNGAN 20'!$E$11="Burn Engr",IF(T36&lt;=$AA$38,$AB$38,$AB$39),IF(T36&lt;=$AC$38,$AD$38,IF(T36&lt;=$AC$39,$AD$39,$AD$40)))</f>
        <v>7.0000000000000007E-2</v>
      </c>
      <c r="U38" s="54">
        <f>IF('PERHITUNGAN 20'!$E$11="Burn Engr",IF(U36&lt;=$AA$38,$AB$38,$AB$39),IF(U36&lt;=$AC$38,$AD$38,IF(U36&lt;=$AC$39,$AD$39,$AD$40)))</f>
        <v>7.0000000000000007E-2</v>
      </c>
      <c r="V38" s="54">
        <f>IF('PERHITUNGAN 20'!$E$11="Burn Engr",IF(V36&lt;=$AA$38,$AB$38,$AB$39),IF(V36&lt;=$AC$38,$AD$38,IF(V36&lt;=$AC$39,$AD$39,$AD$40)))</f>
        <v>0.02</v>
      </c>
      <c r="W38" s="54">
        <f>IF('PERHITUNGAN 20'!$E$11="Burn Engr",IF(W36&lt;=$AA$38,$AB$38,$AB$39),IF(W36&lt;=$AC$38,$AD$38,IF(W36&lt;=$AC$39,$AD$39,$AD$40)))</f>
        <v>0.02</v>
      </c>
      <c r="X38" s="54">
        <f>IF('PERHITUNGAN 20'!$E$11="Burn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3.5000000000000003E-2</v>
      </c>
      <c r="P40" s="37">
        <f t="shared" ref="P40:X40" si="1">P38/P39</f>
        <v>3.5000000000000003E-2</v>
      </c>
      <c r="Q40" s="37">
        <f t="shared" si="1"/>
        <v>3.5000000000000003E-2</v>
      </c>
      <c r="R40" s="37">
        <f>R38/R39</f>
        <v>3.5000000000000003E-2</v>
      </c>
      <c r="S40" s="37">
        <f t="shared" si="1"/>
        <v>3.5000000000000003E-2</v>
      </c>
      <c r="T40" s="37">
        <f t="shared" si="1"/>
        <v>3.5000000000000003E-2</v>
      </c>
      <c r="U40" s="37">
        <f t="shared" si="1"/>
        <v>3.5000000000000003E-2</v>
      </c>
      <c r="V40" s="37">
        <f t="shared" si="1"/>
        <v>0.01</v>
      </c>
      <c r="W40" s="37">
        <f t="shared" si="1"/>
        <v>0.01</v>
      </c>
      <c r="X40" s="37">
        <f t="shared" si="1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0</v>
      </c>
      <c r="C43" s="373">
        <v>3.02</v>
      </c>
      <c r="D43" s="374"/>
      <c r="E43" s="90">
        <v>0.19800000000000001</v>
      </c>
      <c r="F43" s="37">
        <f>IF('PERHITUNGAN 20'!$E$11="Burn Engr",'PERHITUNGAN 20'!E43,E43+('regresi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0.19800000000000001</v>
      </c>
      <c r="G43" s="90">
        <f>F43-C43</f>
        <v>-2.8220000000000001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3.02</v>
      </c>
      <c r="D44" s="374"/>
      <c r="E44" s="90">
        <v>0.19800000000000001</v>
      </c>
      <c r="F44" s="37">
        <f>IF('PERHITUNGAN 20'!$E$11="Burn Engr",'PERHITUNGAN 20'!E44,E44+('regresi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0.19800000000000001</v>
      </c>
      <c r="G44" s="90">
        <f>F44-C44</f>
        <v>-2.8220000000000001</v>
      </c>
      <c r="H44" s="63"/>
      <c r="I44" s="63"/>
      <c r="AB44" s="1"/>
    </row>
    <row r="45" spans="1:30" ht="13.5" customHeight="1">
      <c r="A45" s="105"/>
      <c r="C45" s="373">
        <v>3.02</v>
      </c>
      <c r="D45" s="374"/>
      <c r="E45" s="90">
        <v>0.19800000000000001</v>
      </c>
      <c r="F45" s="37">
        <f>IF('PERHITUNGAN 20'!$E$11="Burn Engr",'PERHITUNGAN 20'!E45,E45+('regresi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0.19800000000000001</v>
      </c>
      <c r="G45" s="90">
        <f>F45-C45</f>
        <v>-2.8220000000000001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3.02</v>
      </c>
      <c r="D46" s="374"/>
      <c r="E46" s="90">
        <v>0.19800000000000001</v>
      </c>
      <c r="F46" s="37">
        <f>IF('PERHITUNGAN 20'!$E$11="Burn Engr",'PERHITUNGAN 20'!E46,E46+('regresi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0.19800000000000001</v>
      </c>
      <c r="G46" s="90">
        <f>F46-C46</f>
        <v>-2.8220000000000001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3.02</v>
      </c>
      <c r="D47" s="374"/>
      <c r="E47" s="90">
        <v>0.19800000000000001</v>
      </c>
      <c r="F47" s="37">
        <f>IF('PERHITUNGAN 20'!$E$11="Burn Engr",'PERHITUNGAN 20'!E47,E47+('regresi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0.19800000000000001</v>
      </c>
      <c r="G47" s="90">
        <f>F47-C47</f>
        <v>-2.8220000000000001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3.02</v>
      </c>
      <c r="D48" s="357"/>
      <c r="E48" s="95">
        <f>AVERAGE(E43:E47)</f>
        <v>0.19800000000000001</v>
      </c>
      <c r="F48" s="95">
        <f>AVERAGE(F43:F47)</f>
        <v>0.19800000000000001</v>
      </c>
      <c r="G48" s="95">
        <f>SUM(G43:G47)/5</f>
        <v>-2.8220000000000001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0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0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>
        <v>50</v>
      </c>
      <c r="C51" s="373">
        <v>50.33</v>
      </c>
      <c r="D51" s="374"/>
      <c r="E51" s="90">
        <v>50.345999999999997</v>
      </c>
      <c r="F51" s="37">
        <f>IF('PERHITUNGAN 20'!$E$11="Burn Engr",'PERHITUNGAN 20'!E51,E51+('regresi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50.345999999999997</v>
      </c>
      <c r="G51" s="90">
        <f>F51-C51</f>
        <v>1.5999999999998238E-2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>
        <v>50.33</v>
      </c>
      <c r="D52" s="374"/>
      <c r="E52" s="90">
        <v>50.345999999999997</v>
      </c>
      <c r="F52" s="37">
        <f>IF('PERHITUNGAN 20'!$E$11="Burn Engr",'PERHITUNGAN 20'!E52,E52+('regresi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50.345999999999997</v>
      </c>
      <c r="G52" s="90">
        <f>F52-C52</f>
        <v>1.5999999999998238E-2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>
        <v>50.33</v>
      </c>
      <c r="D53" s="374"/>
      <c r="E53" s="90">
        <v>50.345999999999997</v>
      </c>
      <c r="F53" s="37">
        <f>IF('PERHITUNGAN 20'!$E$11="Burn Engr",'PERHITUNGAN 20'!E53,E53+('regresi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50.345999999999997</v>
      </c>
      <c r="G53" s="90">
        <f>F53-C53</f>
        <v>1.5999999999998238E-2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50.33</v>
      </c>
      <c r="D54" s="374"/>
      <c r="E54" s="90">
        <v>50.345999999999997</v>
      </c>
      <c r="F54" s="37">
        <f>IF('PERHITUNGAN 20'!$E$11="Burn Engr",'PERHITUNGAN 20'!E54,E54+('regresi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50.345999999999997</v>
      </c>
      <c r="G54" s="90">
        <f>F54-C54</f>
        <v>1.5999999999998238E-2</v>
      </c>
      <c r="H54" s="63"/>
      <c r="I54" s="63"/>
      <c r="AB54" s="1"/>
    </row>
    <row r="55" spans="1:28" ht="13.5" customHeight="1">
      <c r="A55" s="10"/>
      <c r="C55" s="373">
        <v>50.33</v>
      </c>
      <c r="D55" s="374"/>
      <c r="E55" s="90">
        <v>50.345999999999997</v>
      </c>
      <c r="F55" s="37">
        <f>IF('PERHITUNGAN 20'!$E$11="Burn Engr",'PERHITUNGAN 20'!E55,E55+('regresi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50.345999999999997</v>
      </c>
      <c r="G55" s="90">
        <f>F55-C55</f>
        <v>1.5999999999998238E-2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50.33</v>
      </c>
      <c r="D56" s="334"/>
      <c r="E56" s="95">
        <f>AVERAGE(E51:E55)</f>
        <v>50.345999999999997</v>
      </c>
      <c r="F56" s="95">
        <f t="shared" ref="F56" si="3">AVERAGE(F51:F55)</f>
        <v>50.345999999999997</v>
      </c>
      <c r="G56" s="95">
        <f>SUM(G51:G55)/5</f>
        <v>1.5999999999998238E-2</v>
      </c>
      <c r="H56" s="63"/>
      <c r="I56" s="63"/>
      <c r="N56" s="390"/>
      <c r="O56" s="115">
        <f>C48</f>
        <v>3.02</v>
      </c>
      <c r="P56" s="115">
        <f>C56</f>
        <v>50.33</v>
      </c>
      <c r="Q56" s="115">
        <f>C64</f>
        <v>100.24</v>
      </c>
      <c r="R56" s="115">
        <f>C72</f>
        <v>149.82</v>
      </c>
      <c r="S56" s="115">
        <f>C80</f>
        <v>199.34</v>
      </c>
      <c r="T56" s="115">
        <f>C88</f>
        <v>249.27000000000004</v>
      </c>
      <c r="U56" s="115">
        <f>C96</f>
        <v>259.32</v>
      </c>
      <c r="V56" s="115" t="e">
        <f>C104</f>
        <v>#DIV/0!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0</v>
      </c>
      <c r="H57" s="44"/>
      <c r="I57" s="63"/>
      <c r="N57" s="25" t="s">
        <v>152</v>
      </c>
      <c r="O57" s="112">
        <f>$G$49/5^0.5</f>
        <v>0</v>
      </c>
      <c r="P57" s="112">
        <f>$G$57/5^0.5</f>
        <v>0</v>
      </c>
      <c r="Q57" s="112">
        <f>$G$65/5^0.5</f>
        <v>0</v>
      </c>
      <c r="R57" s="112">
        <f>$G$73/5^0.5</f>
        <v>0</v>
      </c>
      <c r="S57" s="112">
        <f>$G$81/5^0.5</f>
        <v>0</v>
      </c>
      <c r="T57" s="112">
        <f>$G$89/5^0.5</f>
        <v>0</v>
      </c>
      <c r="U57" s="112">
        <f>$G$97/5^0.5</f>
        <v>0</v>
      </c>
      <c r="V57" s="112" t="e">
        <f>$G$105/5^0.5</f>
        <v>#DIV/0!</v>
      </c>
      <c r="W57" s="112" t="e">
        <f>$G$113/5^0.5</f>
        <v>#DIV/0!</v>
      </c>
      <c r="X57" s="112" t="e">
        <f>$G$121/5^0.5</f>
        <v>#DIV/0!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0</v>
      </c>
      <c r="H58" s="44"/>
      <c r="I58" s="63"/>
      <c r="N58" s="25" t="s">
        <v>153</v>
      </c>
      <c r="O58" s="113">
        <f>IF('DRAFT-SERTIF'!$O$27="Ya",'REGRESI 20'!$C$36,0)</f>
        <v>0.21892183623861278</v>
      </c>
      <c r="P58" s="113">
        <f>IF('DRAFT-SERTIF'!$O$27="Ya",'REGRESI 20'!$C$36,0)</f>
        <v>0.21892183623861278</v>
      </c>
      <c r="Q58" s="113">
        <f>IF('DRAFT-SERTIF'!$O$27="Ya",'REGRESI 20'!$C$36,0)</f>
        <v>0.21892183623861278</v>
      </c>
      <c r="R58" s="113">
        <f>IF('DRAFT-SERTIF'!$O$27="Ya",'REGRESI 20'!$C$36,0)</f>
        <v>0.21892183623861278</v>
      </c>
      <c r="S58" s="113">
        <f>IF('DRAFT-SERTIF'!$O$27="Ya",'REGRESI 20'!$C$36,0)</f>
        <v>0.21892183623861278</v>
      </c>
      <c r="T58" s="113">
        <f>IF('DRAFT-SERTIF'!$O$27="Ya",'REGRESI 20'!$C$36,0)</f>
        <v>0.21892183623861278</v>
      </c>
      <c r="U58" s="113">
        <f>IF('DRAFT-SERTIF'!$O$27="Ya",'REGRESI 20'!$C$36,0)</f>
        <v>0.21892183623861278</v>
      </c>
      <c r="V58" s="113">
        <f>IF('DRAFT-SERTIF'!$O$27="Ya",'REGRESI 20'!$C$36,0)</f>
        <v>0.21892183623861278</v>
      </c>
      <c r="W58" s="113">
        <f>IF('DRAFT-SERTIF'!$O$27="Ya",'REGRESI 20'!$C$36,0)</f>
        <v>0.21892183623861278</v>
      </c>
      <c r="X58" s="113">
        <f>IF('DRAFT-SERTIF'!$O$27="Ya",'REGRESI 20'!$C$36,0)</f>
        <v>0.21892183623861278</v>
      </c>
      <c r="AB58" s="1"/>
    </row>
    <row r="59" spans="1:28" ht="13.5" customHeight="1">
      <c r="A59" s="105">
        <v>3</v>
      </c>
      <c r="B59" s="196">
        <v>100</v>
      </c>
      <c r="C59" s="327">
        <v>100.24</v>
      </c>
      <c r="D59" s="327"/>
      <c r="E59" s="15">
        <v>99.884</v>
      </c>
      <c r="F59" s="37">
        <f>IF('PERHITUNGAN 20'!$E$11="Burn Engr",'PERHITUNGAN 20'!E59,E59+('regresi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99.884</v>
      </c>
      <c r="G59" s="90">
        <f>F59-C59</f>
        <v>-0.35599999999999454</v>
      </c>
      <c r="H59" s="63"/>
      <c r="I59" s="63"/>
      <c r="N59" s="25" t="s">
        <v>154</v>
      </c>
      <c r="O59" s="91">
        <f t="shared" ref="O59:X59" si="4">O40</f>
        <v>3.5000000000000003E-2</v>
      </c>
      <c r="P59" s="91">
        <f t="shared" si="4"/>
        <v>3.5000000000000003E-2</v>
      </c>
      <c r="Q59" s="91">
        <f t="shared" si="4"/>
        <v>3.5000000000000003E-2</v>
      </c>
      <c r="R59" s="91">
        <f t="shared" si="4"/>
        <v>3.5000000000000003E-2</v>
      </c>
      <c r="S59" s="91">
        <f t="shared" si="4"/>
        <v>3.5000000000000003E-2</v>
      </c>
      <c r="T59" s="91">
        <f t="shared" si="4"/>
        <v>3.5000000000000003E-2</v>
      </c>
      <c r="U59" s="91">
        <f t="shared" si="4"/>
        <v>3.5000000000000003E-2</v>
      </c>
      <c r="V59" s="91">
        <f t="shared" si="4"/>
        <v>0.01</v>
      </c>
      <c r="W59" s="91">
        <f t="shared" si="4"/>
        <v>0.01</v>
      </c>
      <c r="X59" s="91">
        <f t="shared" si="4"/>
        <v>0.01</v>
      </c>
    </row>
    <row r="60" spans="1:28">
      <c r="A60" s="10"/>
      <c r="C60" s="327">
        <v>100.24</v>
      </c>
      <c r="D60" s="327"/>
      <c r="E60" s="15">
        <v>99.884</v>
      </c>
      <c r="F60" s="37">
        <f>IF('PERHITUNGAN 20'!$E$11="Burn Engr",'PERHITUNGAN 20'!E60,E60+('regresi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99.884</v>
      </c>
      <c r="G60" s="90">
        <f>F60-C60</f>
        <v>-0.35599999999999454</v>
      </c>
      <c r="H60" s="63"/>
      <c r="I60" s="63"/>
      <c r="N60" s="133" t="s">
        <v>155</v>
      </c>
      <c r="O60" s="134">
        <f>'PERHITUNGAN 13'!O61</f>
        <v>1.5000000000000003E-2</v>
      </c>
      <c r="P60" s="134">
        <f>'PERHITUNGAN 13'!P61</f>
        <v>0.01</v>
      </c>
      <c r="Q60" s="134">
        <f>'PERHITUNGAN 13'!Q61</f>
        <v>5.0000000000000001E-3</v>
      </c>
      <c r="R60" s="134">
        <f>'PERHITUNGAN 13'!R61</f>
        <v>1.4999999999999999E-2</v>
      </c>
      <c r="S60" s="134">
        <f>'PERHITUNGAN 13'!S61</f>
        <v>5.0000000000000001E-3</v>
      </c>
      <c r="T60" s="134">
        <f>'PERHITUNGAN 13'!T61</f>
        <v>0.05</v>
      </c>
      <c r="U60" s="134">
        <f>'PERHITUNGAN 13'!U61</f>
        <v>0.05</v>
      </c>
      <c r="V60" s="134">
        <f>'PERHITUNGAN 13'!V61</f>
        <v>1.5000000000000003E-2</v>
      </c>
      <c r="W60" s="134">
        <f>'PERHITUNGAN 13'!W61</f>
        <v>1.4999999999999999E-2</v>
      </c>
      <c r="X60" s="134">
        <f>'PERHITUNGAN 13'!X61</f>
        <v>1.4999999999999999E-2</v>
      </c>
    </row>
    <row r="61" spans="1:28">
      <c r="A61" s="10"/>
      <c r="C61" s="327">
        <v>100.24</v>
      </c>
      <c r="D61" s="327"/>
      <c r="E61" s="15">
        <v>99.884</v>
      </c>
      <c r="F61" s="37">
        <f>IF('PERHITUNGAN 20'!$E$11="Burn Engr",'PERHITUNGAN 20'!E61,E61+('regresi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99.884</v>
      </c>
      <c r="G61" s="90">
        <f>F61-C61</f>
        <v>-0.35599999999999454</v>
      </c>
      <c r="H61" s="63"/>
      <c r="I61" s="63"/>
      <c r="N61" s="25" t="s">
        <v>156</v>
      </c>
      <c r="O61" s="114">
        <f>(0.1*O38)/SQRT(3)</f>
        <v>4.041451884327381E-3</v>
      </c>
      <c r="P61" s="114">
        <f t="shared" ref="P61:X61" si="5">(0.1*P38)/SQRT(3)</f>
        <v>4.041451884327381E-3</v>
      </c>
      <c r="Q61" s="114">
        <f t="shared" si="5"/>
        <v>4.041451884327381E-3</v>
      </c>
      <c r="R61" s="114">
        <f t="shared" si="5"/>
        <v>4.041451884327381E-3</v>
      </c>
      <c r="S61" s="114">
        <f t="shared" si="5"/>
        <v>4.041451884327381E-3</v>
      </c>
      <c r="T61" s="114">
        <f t="shared" si="5"/>
        <v>4.041451884327381E-3</v>
      </c>
      <c r="U61" s="114">
        <f t="shared" si="5"/>
        <v>4.041451884327381E-3</v>
      </c>
      <c r="V61" s="114">
        <f t="shared" si="5"/>
        <v>1.1547005383792516E-3</v>
      </c>
      <c r="W61" s="114">
        <f t="shared" si="5"/>
        <v>1.1547005383792516E-3</v>
      </c>
      <c r="X61" s="114">
        <f t="shared" si="5"/>
        <v>1.1547005383792516E-3</v>
      </c>
    </row>
    <row r="62" spans="1:28">
      <c r="A62" s="10"/>
      <c r="C62" s="327">
        <v>100.24</v>
      </c>
      <c r="D62" s="327"/>
      <c r="E62" s="15">
        <v>99.884</v>
      </c>
      <c r="F62" s="37">
        <f>IF('PERHITUNGAN 20'!$E$11="Burn Engr",'PERHITUNGAN 20'!E62,E62+('regresi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99.884</v>
      </c>
      <c r="G62" s="90">
        <f>F62-C62</f>
        <v>-0.35599999999999454</v>
      </c>
      <c r="H62" s="63"/>
      <c r="I62" s="63"/>
      <c r="N62" s="25" t="s">
        <v>157</v>
      </c>
      <c r="O62" s="114">
        <f t="shared" ref="O62:X62" si="6">$T$28</f>
        <v>2.886751345948129E-3</v>
      </c>
      <c r="P62" s="114">
        <f t="shared" si="6"/>
        <v>2.886751345948129E-3</v>
      </c>
      <c r="Q62" s="114">
        <f t="shared" si="6"/>
        <v>2.886751345948129E-3</v>
      </c>
      <c r="R62" s="114">
        <f t="shared" si="6"/>
        <v>2.886751345948129E-3</v>
      </c>
      <c r="S62" s="114">
        <f t="shared" si="6"/>
        <v>2.886751345948129E-3</v>
      </c>
      <c r="T62" s="114">
        <f t="shared" si="6"/>
        <v>2.886751345948129E-3</v>
      </c>
      <c r="U62" s="114">
        <f t="shared" si="6"/>
        <v>2.886751345948129E-3</v>
      </c>
      <c r="V62" s="114">
        <f t="shared" si="6"/>
        <v>2.886751345948129E-3</v>
      </c>
      <c r="W62" s="114">
        <f t="shared" si="6"/>
        <v>2.886751345948129E-3</v>
      </c>
      <c r="X62" s="114">
        <f t="shared" si="6"/>
        <v>2.886751345948129E-3</v>
      </c>
    </row>
    <row r="63" spans="1:28">
      <c r="A63" s="10"/>
      <c r="C63" s="327">
        <v>100.24</v>
      </c>
      <c r="D63" s="327"/>
      <c r="E63" s="15">
        <v>99.884</v>
      </c>
      <c r="F63" s="37">
        <f>IF('PERHITUNGAN 20'!$E$11="Burn Engr",'PERHITUNGAN 20'!E63,E63+('regresi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99.884</v>
      </c>
      <c r="G63" s="90">
        <f>F63-C63</f>
        <v>-0.35599999999999454</v>
      </c>
      <c r="H63" s="63"/>
      <c r="I63" s="63"/>
      <c r="N63" s="25" t="s">
        <v>158</v>
      </c>
      <c r="O63" s="114">
        <f t="shared" ref="O63:X63" si="7">$T$26</f>
        <v>2.886751345948129E-4</v>
      </c>
      <c r="P63" s="114">
        <f t="shared" si="7"/>
        <v>2.886751345948129E-4</v>
      </c>
      <c r="Q63" s="114">
        <f t="shared" si="7"/>
        <v>2.886751345948129E-4</v>
      </c>
      <c r="R63" s="114">
        <f t="shared" si="7"/>
        <v>2.886751345948129E-4</v>
      </c>
      <c r="S63" s="114">
        <f t="shared" si="7"/>
        <v>2.886751345948129E-4</v>
      </c>
      <c r="T63" s="114">
        <f t="shared" si="7"/>
        <v>2.886751345948129E-4</v>
      </c>
      <c r="U63" s="114">
        <f t="shared" si="7"/>
        <v>2.886751345948129E-4</v>
      </c>
      <c r="V63" s="114">
        <f t="shared" si="7"/>
        <v>2.886751345948129E-4</v>
      </c>
      <c r="W63" s="114">
        <f t="shared" si="7"/>
        <v>2.886751345948129E-4</v>
      </c>
      <c r="X63" s="114">
        <f t="shared" si="7"/>
        <v>2.886751345948129E-4</v>
      </c>
    </row>
    <row r="64" spans="1:28">
      <c r="A64" s="10"/>
      <c r="B64" s="8" t="s">
        <v>31</v>
      </c>
      <c r="C64" s="333">
        <f>AVERAGE(C59:D63)</f>
        <v>100.24</v>
      </c>
      <c r="D64" s="334"/>
      <c r="E64" s="95">
        <f>AVERAGE(E59:E63)</f>
        <v>99.884</v>
      </c>
      <c r="F64" s="95">
        <f t="shared" ref="F64" si="8">AVERAGE(F59:F63)</f>
        <v>99.884</v>
      </c>
      <c r="G64" s="95">
        <f>SUM(G59:G63)/5</f>
        <v>-0.35599999999999454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9">10^10</f>
        <v>10000000000</v>
      </c>
      <c r="Q66" s="53">
        <f t="shared" si="9"/>
        <v>10000000000</v>
      </c>
      <c r="R66" s="53">
        <f t="shared" si="9"/>
        <v>10000000000</v>
      </c>
      <c r="S66" s="53">
        <f t="shared" si="9"/>
        <v>10000000000</v>
      </c>
      <c r="T66" s="53">
        <f t="shared" si="9"/>
        <v>10000000000</v>
      </c>
      <c r="U66" s="53">
        <f t="shared" si="9"/>
        <v>10000000000</v>
      </c>
      <c r="V66" s="53">
        <f t="shared" si="9"/>
        <v>10000000000</v>
      </c>
      <c r="W66" s="53">
        <f t="shared" si="9"/>
        <v>10000000000</v>
      </c>
      <c r="X66" s="53">
        <f t="shared" si="9"/>
        <v>10000000000</v>
      </c>
    </row>
    <row r="67" spans="1:28">
      <c r="A67" s="105">
        <v>4</v>
      </c>
      <c r="B67" s="196">
        <v>150</v>
      </c>
      <c r="C67" s="327">
        <v>149.82</v>
      </c>
      <c r="D67" s="327"/>
      <c r="E67" s="90">
        <v>149.71799999999999</v>
      </c>
      <c r="F67" s="37">
        <f>IF('PERHITUNGAN 20'!$E$11="Burn Engr",'PERHITUNGAN 20'!E67,E67+('regresi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149.71799999999999</v>
      </c>
      <c r="G67" s="90">
        <f>F67-C67</f>
        <v>-0.10200000000000387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149.82</v>
      </c>
      <c r="D68" s="327"/>
      <c r="E68" s="90">
        <v>149.71799999999999</v>
      </c>
      <c r="F68" s="37">
        <f>IF('PERHITUNGAN 20'!$E$11="Burn Engr",'PERHITUNGAN 20'!E68,E68+('regresi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149.71799999999999</v>
      </c>
      <c r="G68" s="90">
        <f>F68-C68</f>
        <v>-0.10200000000000387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149.82</v>
      </c>
      <c r="D69" s="327"/>
      <c r="E69" s="90">
        <v>149.71799999999999</v>
      </c>
      <c r="F69" s="37">
        <f>IF('PERHITUNGAN 20'!$E$11="Burn Engr",'PERHITUNGAN 20'!E69,E69+('regresi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149.71799999999999</v>
      </c>
      <c r="G69" s="90">
        <f>F69-C69</f>
        <v>-0.10200000000000387</v>
      </c>
      <c r="H69" s="63"/>
      <c r="I69" s="63"/>
      <c r="N69" s="25" t="s">
        <v>163</v>
      </c>
      <c r="O69" s="53">
        <f t="shared" ref="O69:X71" si="10">10^10</f>
        <v>10000000000</v>
      </c>
      <c r="P69" s="53">
        <f t="shared" si="10"/>
        <v>10000000000</v>
      </c>
      <c r="Q69" s="53">
        <f t="shared" si="10"/>
        <v>10000000000</v>
      </c>
      <c r="R69" s="53">
        <f t="shared" si="10"/>
        <v>10000000000</v>
      </c>
      <c r="S69" s="53">
        <f t="shared" si="10"/>
        <v>10000000000</v>
      </c>
      <c r="T69" s="53">
        <f t="shared" si="10"/>
        <v>10000000000</v>
      </c>
      <c r="U69" s="53">
        <f t="shared" si="10"/>
        <v>10000000000</v>
      </c>
      <c r="V69" s="53">
        <f t="shared" si="10"/>
        <v>10000000000</v>
      </c>
      <c r="W69" s="53">
        <f t="shared" si="10"/>
        <v>10000000000</v>
      </c>
      <c r="X69" s="53">
        <f t="shared" si="10"/>
        <v>10000000000</v>
      </c>
      <c r="AB69" s="1"/>
    </row>
    <row r="70" spans="1:28">
      <c r="A70" s="10"/>
      <c r="C70" s="327">
        <v>149.82</v>
      </c>
      <c r="D70" s="327"/>
      <c r="E70" s="90">
        <v>149.71799999999999</v>
      </c>
      <c r="F70" s="37">
        <f>IF('PERHITUNGAN 20'!$E$11="Burn Engr",'PERHITUNGAN 20'!E70,E70+('regresi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149.71799999999999</v>
      </c>
      <c r="G70" s="90">
        <f>F70-C70</f>
        <v>-0.10200000000000387</v>
      </c>
      <c r="H70" s="63"/>
      <c r="I70" s="63"/>
      <c r="N70" s="25" t="s">
        <v>164</v>
      </c>
      <c r="O70" s="53">
        <f t="shared" si="10"/>
        <v>10000000000</v>
      </c>
      <c r="P70" s="53">
        <f t="shared" si="10"/>
        <v>10000000000</v>
      </c>
      <c r="Q70" s="53">
        <f t="shared" si="10"/>
        <v>10000000000</v>
      </c>
      <c r="R70" s="53">
        <f t="shared" si="10"/>
        <v>10000000000</v>
      </c>
      <c r="S70" s="53">
        <f t="shared" si="10"/>
        <v>10000000000</v>
      </c>
      <c r="T70" s="53">
        <f t="shared" si="10"/>
        <v>10000000000</v>
      </c>
      <c r="U70" s="53">
        <f t="shared" si="10"/>
        <v>10000000000</v>
      </c>
      <c r="V70" s="53">
        <f t="shared" si="10"/>
        <v>10000000000</v>
      </c>
      <c r="W70" s="53">
        <f t="shared" si="10"/>
        <v>10000000000</v>
      </c>
      <c r="X70" s="53">
        <f t="shared" si="10"/>
        <v>10000000000</v>
      </c>
      <c r="AB70" s="1"/>
    </row>
    <row r="71" spans="1:28">
      <c r="A71" s="10"/>
      <c r="C71" s="327">
        <v>149.82</v>
      </c>
      <c r="D71" s="327"/>
      <c r="E71" s="90">
        <v>149.71799999999999</v>
      </c>
      <c r="F71" s="37">
        <f>IF('PERHITUNGAN 20'!$E$11="Burn Engr",'PERHITUNGAN 20'!E71,E71+('regresi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149.71799999999999</v>
      </c>
      <c r="G71" s="90">
        <f>F71-C71</f>
        <v>-0.10200000000000387</v>
      </c>
      <c r="H71" s="63"/>
      <c r="I71" s="63"/>
      <c r="N71" s="25" t="s">
        <v>165</v>
      </c>
      <c r="O71" s="53">
        <f t="shared" si="10"/>
        <v>10000000000</v>
      </c>
      <c r="P71" s="53">
        <f t="shared" si="10"/>
        <v>10000000000</v>
      </c>
      <c r="Q71" s="53">
        <f t="shared" si="10"/>
        <v>10000000000</v>
      </c>
      <c r="R71" s="53">
        <f t="shared" si="10"/>
        <v>10000000000</v>
      </c>
      <c r="S71" s="53">
        <f t="shared" si="10"/>
        <v>10000000000</v>
      </c>
      <c r="T71" s="53">
        <f t="shared" si="10"/>
        <v>10000000000</v>
      </c>
      <c r="U71" s="53">
        <f t="shared" si="10"/>
        <v>10000000000</v>
      </c>
      <c r="V71" s="53">
        <f t="shared" si="10"/>
        <v>10000000000</v>
      </c>
      <c r="W71" s="53">
        <f t="shared" si="10"/>
        <v>10000000000</v>
      </c>
      <c r="X71" s="53">
        <f t="shared" si="10"/>
        <v>10000000000</v>
      </c>
      <c r="AB71" s="1"/>
    </row>
    <row r="72" spans="1:28">
      <c r="A72" s="10"/>
      <c r="B72" s="8" t="s">
        <v>31</v>
      </c>
      <c r="C72" s="333">
        <f>AVERAGE(C67:D71)</f>
        <v>149.82</v>
      </c>
      <c r="D72" s="334"/>
      <c r="E72" s="95">
        <f>AVERAGE(E67:E71)</f>
        <v>149.71799999999999</v>
      </c>
      <c r="F72" s="95">
        <f t="shared" ref="F72" si="11">AVERAGE(F67:F71)</f>
        <v>149.71799999999999</v>
      </c>
      <c r="G72" s="95">
        <f>SUM(G67:G71)/5</f>
        <v>-0.10200000000000387</v>
      </c>
      <c r="H72" s="63"/>
      <c r="I72" s="63"/>
      <c r="N72" s="111" t="s">
        <v>168</v>
      </c>
      <c r="O72" s="118">
        <f>SQRT((O57^2)+(O58^2)+(O59^2)+(O60^2)+(O61^2)+(O62^2)+(O63^2))</f>
        <v>0.22226452794381291</v>
      </c>
      <c r="P72" s="118">
        <f t="shared" ref="P72:X72" si="12">SQRT((P57^2)+(P58^2)+(P59^2)+(P60^2)+(P61^2)+(P62^2)+(P63^2))</f>
        <v>0.2219831533744982</v>
      </c>
      <c r="Q72" s="118">
        <f t="shared" si="12"/>
        <v>0.22181415730761186</v>
      </c>
      <c r="R72" s="118">
        <f t="shared" si="12"/>
        <v>0.22226452794381291</v>
      </c>
      <c r="S72" s="118">
        <f t="shared" si="12"/>
        <v>0.22181415730761186</v>
      </c>
      <c r="T72" s="118">
        <f t="shared" si="12"/>
        <v>0.22732470253381171</v>
      </c>
      <c r="U72" s="118">
        <f t="shared" si="12"/>
        <v>0.22732470253381171</v>
      </c>
      <c r="V72" s="118" t="e">
        <f t="shared" si="12"/>
        <v>#DIV/0!</v>
      </c>
      <c r="W72" s="118" t="e">
        <f t="shared" si="12"/>
        <v>#DIV/0!</v>
      </c>
      <c r="X72" s="118" t="e">
        <f t="shared" si="12"/>
        <v>#DIV/0!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94394.399377195863</v>
      </c>
      <c r="P73" s="120">
        <f t="shared" ref="P73:X73" si="13">(P72^4)/((P57^4/P65)+(P58^4/P66)+(P59^4/P67)+(P60^4/P68)+(P61^4/P69)+(P62^4/P70)+(P63^4/P71))</f>
        <v>96442.994452432424</v>
      </c>
      <c r="Q73" s="120">
        <f t="shared" si="13"/>
        <v>96750.070327521767</v>
      </c>
      <c r="R73" s="120">
        <f t="shared" si="13"/>
        <v>94394.399377195863</v>
      </c>
      <c r="S73" s="120">
        <f t="shared" si="13"/>
        <v>96750.070327521767</v>
      </c>
      <c r="T73" s="120">
        <f t="shared" si="13"/>
        <v>20672.846463073423</v>
      </c>
      <c r="U73" s="120">
        <f t="shared" si="13"/>
        <v>20672.846463073423</v>
      </c>
      <c r="V73" s="120" t="e">
        <f t="shared" si="13"/>
        <v>#DIV/0!</v>
      </c>
      <c r="W73" s="120" t="e">
        <f t="shared" si="13"/>
        <v>#DIV/0!</v>
      </c>
      <c r="X73" s="120" t="e">
        <f t="shared" si="13"/>
        <v>#DIV/0!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1.959989116446184</v>
      </c>
      <c r="P74" s="123">
        <f t="shared" ref="P74:X74" si="14">_xlfn.T.INV.2T(0.05,P73)</f>
        <v>1.9599885827501784</v>
      </c>
      <c r="Q74" s="123">
        <f t="shared" si="14"/>
        <v>1.9599885044434304</v>
      </c>
      <c r="R74" s="123">
        <f t="shared" si="14"/>
        <v>1.959989116446184</v>
      </c>
      <c r="S74" s="123">
        <f t="shared" si="14"/>
        <v>1.9599885044434304</v>
      </c>
      <c r="T74" s="123">
        <f t="shared" si="14"/>
        <v>1.9600787488467382</v>
      </c>
      <c r="U74" s="123">
        <f t="shared" si="14"/>
        <v>1.9600787488467382</v>
      </c>
      <c r="V74" s="123" t="e">
        <f t="shared" si="14"/>
        <v>#DIV/0!</v>
      </c>
      <c r="W74" s="123" t="e">
        <f t="shared" si="14"/>
        <v>#DIV/0!</v>
      </c>
      <c r="X74" s="123" t="e">
        <f t="shared" si="14"/>
        <v>#DIV/0!</v>
      </c>
      <c r="Z74" s="124"/>
      <c r="AB74" s="1"/>
    </row>
    <row r="75" spans="1:28">
      <c r="A75" s="105">
        <v>5</v>
      </c>
      <c r="B75" s="196">
        <v>200</v>
      </c>
      <c r="C75" s="327">
        <v>199.34</v>
      </c>
      <c r="D75" s="327"/>
      <c r="E75" s="90">
        <v>199.46600000000001</v>
      </c>
      <c r="F75" s="37">
        <f>IF('PERHITUNGAN 20'!$E$11="Burn Engr",'PERHITUNGAN 20'!E75,E75+('regresi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199.46600000000001</v>
      </c>
      <c r="G75" s="90">
        <f>F75-C75</f>
        <v>0.12600000000000477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199.34</v>
      </c>
      <c r="D76" s="327"/>
      <c r="E76" s="90">
        <v>199.46600000000001</v>
      </c>
      <c r="F76" s="37">
        <f>IF('PERHITUNGAN 20'!$E$11="Burn Engr",'PERHITUNGAN 20'!E76,E76+('regresi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199.46600000000001</v>
      </c>
      <c r="G76" s="90">
        <f>F76-C76</f>
        <v>0.12600000000000477</v>
      </c>
      <c r="H76" s="63"/>
      <c r="I76" s="63"/>
      <c r="N76" s="111" t="s">
        <v>166</v>
      </c>
      <c r="O76" s="121">
        <f t="shared" ref="O76:X76" si="15">O72*O74</f>
        <v>0.43563605574192205</v>
      </c>
      <c r="P76" s="121">
        <f t="shared" si="15"/>
        <v>0.43508444617689823</v>
      </c>
      <c r="Q76" s="121">
        <f t="shared" si="15"/>
        <v>0.43475319844572602</v>
      </c>
      <c r="R76" s="121">
        <f t="shared" si="15"/>
        <v>0.43563605574192205</v>
      </c>
      <c r="S76" s="121">
        <f t="shared" si="15"/>
        <v>0.43475319844572602</v>
      </c>
      <c r="T76" s="121">
        <f t="shared" si="15"/>
        <v>0.44557431852443058</v>
      </c>
      <c r="U76" s="121">
        <f t="shared" si="15"/>
        <v>0.44557431852443058</v>
      </c>
      <c r="V76" s="121" t="e">
        <f t="shared" si="15"/>
        <v>#DIV/0!</v>
      </c>
      <c r="W76" s="121" t="e">
        <f t="shared" si="15"/>
        <v>#DIV/0!</v>
      </c>
      <c r="X76" s="121" t="e">
        <f t="shared" si="15"/>
        <v>#DIV/0!</v>
      </c>
      <c r="AB76" s="1"/>
    </row>
    <row r="77" spans="1:28">
      <c r="A77" s="10"/>
      <c r="C77" s="327">
        <v>199.34</v>
      </c>
      <c r="D77" s="327"/>
      <c r="E77" s="90">
        <v>199.46600000000001</v>
      </c>
      <c r="F77" s="37">
        <f>IF('PERHITUNGAN 20'!$E$11="Burn Engr",'PERHITUNGAN 20'!E77,E77+('regresi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199.46600000000001</v>
      </c>
      <c r="G77" s="90">
        <f>F77-C77</f>
        <v>0.12600000000000477</v>
      </c>
      <c r="H77" s="63"/>
      <c r="I77" s="63"/>
      <c r="AB77" s="1"/>
    </row>
    <row r="78" spans="1:28">
      <c r="A78" s="10"/>
      <c r="C78" s="327">
        <v>199.34</v>
      </c>
      <c r="D78" s="327"/>
      <c r="E78" s="90">
        <v>199.46600000000001</v>
      </c>
      <c r="F78" s="37">
        <f>IF('PERHITUNGAN 20'!$E$11="Burn Engr",'PERHITUNGAN 20'!E78,E78+('regresi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199.46600000000001</v>
      </c>
      <c r="G78" s="90">
        <f>F78-C78</f>
        <v>0.12600000000000477</v>
      </c>
      <c r="H78" s="26"/>
      <c r="I78" s="26"/>
      <c r="AB78" s="1"/>
    </row>
    <row r="79" spans="1:28">
      <c r="A79" s="10"/>
      <c r="C79" s="327">
        <v>199.34</v>
      </c>
      <c r="D79" s="327"/>
      <c r="E79" s="90">
        <v>199.46600000000001</v>
      </c>
      <c r="F79" s="37">
        <f>IF('PERHITUNGAN 20'!$E$11="Burn Engr",'PERHITUNGAN 20'!E79,E79+('regresi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199.46600000000001</v>
      </c>
      <c r="G79" s="90">
        <f>F79-C79</f>
        <v>0.12600000000000477</v>
      </c>
      <c r="AB79" s="1"/>
    </row>
    <row r="80" spans="1:28">
      <c r="A80" s="10"/>
      <c r="B80" s="8" t="s">
        <v>31</v>
      </c>
      <c r="C80" s="333">
        <f>AVERAGE(C75:D79)</f>
        <v>199.34</v>
      </c>
      <c r="D80" s="334"/>
      <c r="E80" s="95">
        <f>AVERAGE(E75:E79)</f>
        <v>199.46600000000001</v>
      </c>
      <c r="F80" s="95">
        <f t="shared" ref="F80" si="16">AVERAGE(F75:F79)</f>
        <v>199.46600000000001</v>
      </c>
      <c r="G80" s="95">
        <f>SUM(G75:G79)/5</f>
        <v>0.12600000000000477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250</v>
      </c>
      <c r="C83" s="327">
        <v>249.27</v>
      </c>
      <c r="D83" s="327"/>
      <c r="E83" s="90">
        <v>249.47800000000001</v>
      </c>
      <c r="F83" s="37">
        <f>IF('PERHITUNGAN 20'!$E$11="Burn Engr",'PERHITUNGAN 20'!E83,E83+('regresi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249.47800000000001</v>
      </c>
      <c r="G83" s="40">
        <f>F83-C83</f>
        <v>0.20799999999999841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249.27</v>
      </c>
      <c r="D84" s="327"/>
      <c r="E84" s="90">
        <v>249.47800000000001</v>
      </c>
      <c r="F84" s="37">
        <f>IF('PERHITUNGAN 20'!$E$11="Burn Engr",'PERHITUNGAN 20'!E84,E84+('regresi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249.47800000000001</v>
      </c>
      <c r="G84" s="40">
        <f>F84-C84</f>
        <v>0.20799999999999841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249.27</v>
      </c>
      <c r="D85" s="327"/>
      <c r="E85" s="90">
        <v>249.47800000000001</v>
      </c>
      <c r="F85" s="37">
        <f>IF('PERHITUNGAN 20'!$E$11="Burn Engr",'PERHITUNGAN 20'!E85,E85+('regresi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249.47800000000001</v>
      </c>
      <c r="G85" s="40">
        <f>F85-C85</f>
        <v>0.20799999999999841</v>
      </c>
      <c r="H85" s="26"/>
      <c r="I85" s="26"/>
      <c r="N85" s="93">
        <f>O56</f>
        <v>3.02</v>
      </c>
      <c r="O85" s="403">
        <f>G48</f>
        <v>-2.8220000000000001</v>
      </c>
      <c r="P85" s="404"/>
      <c r="Q85" s="387">
        <f t="shared" ref="Q85:Q94" si="17">N85+O85</f>
        <v>0.19799999999999995</v>
      </c>
      <c r="R85" s="405"/>
      <c r="S85" s="138" t="s">
        <v>35</v>
      </c>
      <c r="T85" s="94">
        <f>IF(N85&lt;$AA$97,MAX($O$97,O76),IF(N85&lt;$AA$98,MAX($O$98,O76),MAX($O$99,O76)))</f>
        <v>0.43563605574192205</v>
      </c>
      <c r="AB85" s="1"/>
    </row>
    <row r="86" spans="1:28">
      <c r="A86" s="10"/>
      <c r="C86" s="327">
        <v>249.27</v>
      </c>
      <c r="D86" s="327"/>
      <c r="E86" s="90">
        <v>249.47800000000001</v>
      </c>
      <c r="F86" s="37">
        <f>IF('PERHITUNGAN 20'!$E$11="Burn Engr",'PERHITUNGAN 20'!E86,E86+('regresi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249.47800000000001</v>
      </c>
      <c r="G86" s="40">
        <f>F86-C86</f>
        <v>0.20799999999999841</v>
      </c>
      <c r="H86" s="63"/>
      <c r="I86" s="63"/>
      <c r="N86" s="93">
        <f>P56</f>
        <v>50.33</v>
      </c>
      <c r="O86" s="403">
        <f>G56</f>
        <v>1.5999999999998238E-2</v>
      </c>
      <c r="P86" s="404"/>
      <c r="Q86" s="406">
        <f t="shared" si="17"/>
        <v>50.345999999999997</v>
      </c>
      <c r="R86" s="407"/>
      <c r="S86" s="138" t="s">
        <v>35</v>
      </c>
      <c r="T86" s="94">
        <f>IF(N86&lt;$AA$97,MAX($O$97,P76),IF(N86&lt;$AA$98,MAX($O$98,P76),MAX($O$99,P76)))</f>
        <v>0.43508444617689823</v>
      </c>
      <c r="AB86" s="1"/>
    </row>
    <row r="87" spans="1:28">
      <c r="A87" s="10"/>
      <c r="C87" s="327">
        <v>249.27</v>
      </c>
      <c r="D87" s="327"/>
      <c r="E87" s="90">
        <v>249.47800000000001</v>
      </c>
      <c r="F87" s="37">
        <f>IF('PERHITUNGAN 20'!$E$11="Burn Engr",'PERHITUNGAN 20'!E87,E87+('regresi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249.47800000000001</v>
      </c>
      <c r="G87" s="41">
        <f>F87-C87</f>
        <v>0.20799999999999841</v>
      </c>
      <c r="H87" s="63"/>
      <c r="I87" s="63"/>
      <c r="N87" s="93">
        <f>Q56</f>
        <v>100.24</v>
      </c>
      <c r="O87" s="403">
        <f>G64</f>
        <v>-0.35599999999999454</v>
      </c>
      <c r="P87" s="404"/>
      <c r="Q87" s="406">
        <f t="shared" si="17"/>
        <v>99.884</v>
      </c>
      <c r="R87" s="407"/>
      <c r="S87" s="138" t="s">
        <v>35</v>
      </c>
      <c r="T87" s="94">
        <f>IF(N87&lt;$AA$97,MAX($O$97,Q76),IF(N87&lt;$AA$98,MAX($O$98,Q76),MAX($O$99,Q76)))</f>
        <v>0.43475319844572602</v>
      </c>
      <c r="AB87" s="1"/>
    </row>
    <row r="88" spans="1:28">
      <c r="A88" s="10"/>
      <c r="B88" s="8" t="s">
        <v>31</v>
      </c>
      <c r="C88" s="333">
        <f>AVERAGE(C83:D87)</f>
        <v>249.27000000000004</v>
      </c>
      <c r="D88" s="334"/>
      <c r="E88" s="95">
        <f>AVERAGE(E83:E87)</f>
        <v>249.47800000000001</v>
      </c>
      <c r="F88" s="95">
        <f t="shared" ref="F88" si="18">AVERAGE(F83:F87)</f>
        <v>249.47800000000001</v>
      </c>
      <c r="G88" s="95">
        <f>SUM(G83:G87)/5</f>
        <v>0.20799999999999841</v>
      </c>
      <c r="H88" s="63"/>
      <c r="I88" s="63"/>
      <c r="N88" s="93">
        <f>R56</f>
        <v>149.82</v>
      </c>
      <c r="O88" s="403">
        <f>G72</f>
        <v>-0.10200000000000387</v>
      </c>
      <c r="P88" s="404"/>
      <c r="Q88" s="406">
        <f t="shared" si="17"/>
        <v>149.71799999999999</v>
      </c>
      <c r="R88" s="407"/>
      <c r="S88" s="138" t="s">
        <v>35</v>
      </c>
      <c r="T88" s="94">
        <f>IF(N88&lt;$AA$97,MAX($O$97,R76),IF(N88&lt;$AA$98,MAX($O$98,R76),MAX($O$99,R76)))</f>
        <v>0.43563605574192205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199.34</v>
      </c>
      <c r="O89" s="403">
        <f>G80</f>
        <v>0.12600000000000477</v>
      </c>
      <c r="P89" s="404"/>
      <c r="Q89" s="406">
        <f t="shared" si="17"/>
        <v>199.46600000000001</v>
      </c>
      <c r="R89" s="407"/>
      <c r="S89" s="138" t="s">
        <v>35</v>
      </c>
      <c r="T89" s="94">
        <f>IF(N89&lt;$AA$97,MAX($O$97,S76),IF(N89&lt;$AA$98,MAX($O$98,S76),MAX($O$99,S76)))</f>
        <v>0.43475319844572602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249.27000000000004</v>
      </c>
      <c r="O90" s="403">
        <f>G88</f>
        <v>0.20799999999999841</v>
      </c>
      <c r="P90" s="404"/>
      <c r="Q90" s="406">
        <f t="shared" si="17"/>
        <v>249.47800000000004</v>
      </c>
      <c r="R90" s="407"/>
      <c r="S90" s="138" t="s">
        <v>35</v>
      </c>
      <c r="T90" s="94">
        <f>IF(N90&lt;$AA$97,MAX($O$97,T76),IF(N90&lt;$AA$98,MAX($O$98,T76),MAX($O$99,T76)))</f>
        <v>0.44557431852443058</v>
      </c>
      <c r="AB90" s="1"/>
    </row>
    <row r="91" spans="1:28">
      <c r="A91" s="105">
        <v>7</v>
      </c>
      <c r="B91" s="196">
        <v>260</v>
      </c>
      <c r="C91" s="327">
        <v>259.32</v>
      </c>
      <c r="D91" s="327"/>
      <c r="E91" s="90">
        <v>259.55399999999997</v>
      </c>
      <c r="F91" s="37">
        <f>IF('PERHITUNGAN 20'!$E$11="Burn Engr",'PERHITUNGAN 20'!E91,E91+('regresi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259.55399999999997</v>
      </c>
      <c r="G91" s="40">
        <f>F91-C91</f>
        <v>0.23399999999998045</v>
      </c>
      <c r="H91" s="63"/>
      <c r="N91" s="93">
        <f>U56</f>
        <v>259.32</v>
      </c>
      <c r="O91" s="403">
        <f>G96</f>
        <v>0.23399999999998045</v>
      </c>
      <c r="P91" s="404"/>
      <c r="Q91" s="406">
        <f t="shared" si="17"/>
        <v>259.55399999999997</v>
      </c>
      <c r="R91" s="407"/>
      <c r="S91" s="138" t="s">
        <v>35</v>
      </c>
      <c r="T91" s="94">
        <f>IF(N91&lt;$AA$97,MAX($O$97,U76),IF(N91&lt;$AA$98,MAX($O$98,U76),MAX($O$99,U76)))</f>
        <v>1.8</v>
      </c>
      <c r="AB91" s="1"/>
    </row>
    <row r="92" spans="1:28">
      <c r="A92" s="10"/>
      <c r="C92" s="327">
        <v>259.32</v>
      </c>
      <c r="D92" s="327"/>
      <c r="E92" s="90">
        <v>259.55399999999997</v>
      </c>
      <c r="F92" s="37">
        <f>IF('PERHITUNGAN 20'!$E$11="Burn Engr",'PERHITUNGAN 20'!E92,E92+('regresi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259.55399999999997</v>
      </c>
      <c r="G92" s="40">
        <f>F92-C92</f>
        <v>0.23399999999998045</v>
      </c>
      <c r="H92" s="44"/>
      <c r="N92" s="93" t="e">
        <f>V56</f>
        <v>#DIV/0!</v>
      </c>
      <c r="O92" s="403">
        <f>G104</f>
        <v>0</v>
      </c>
      <c r="P92" s="404"/>
      <c r="Q92" s="406" t="e">
        <f t="shared" si="17"/>
        <v>#DIV/0!</v>
      </c>
      <c r="R92" s="407"/>
      <c r="S92" s="138" t="s">
        <v>35</v>
      </c>
      <c r="T92" s="94" t="e">
        <f>IF(N92&lt;$AA$97,MAX($O$97,V76),IF(N92&lt;$AA$98,MAX($O$98,V76),MAX($O$99,V76)))</f>
        <v>#DIV/0!</v>
      </c>
      <c r="AB92" s="1"/>
    </row>
    <row r="93" spans="1:28">
      <c r="A93" s="10"/>
      <c r="C93" s="327">
        <v>259.32</v>
      </c>
      <c r="D93" s="327"/>
      <c r="E93" s="90">
        <v>259.55399999999997</v>
      </c>
      <c r="F93" s="37">
        <f>IF('PERHITUNGAN 20'!$E$11="Burn Engr",'PERHITUNGAN 20'!E93,E93+('regresi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259.55399999999997</v>
      </c>
      <c r="G93" s="40">
        <f>F93-C93</f>
        <v>0.23399999999998045</v>
      </c>
      <c r="H93" s="44"/>
      <c r="N93" s="93" t="e">
        <f>W56</f>
        <v>#DIV/0!</v>
      </c>
      <c r="O93" s="403">
        <f>G112</f>
        <v>0</v>
      </c>
      <c r="P93" s="404"/>
      <c r="Q93" s="406" t="e">
        <f t="shared" si="17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259.32</v>
      </c>
      <c r="D94" s="327"/>
      <c r="E94" s="90">
        <v>259.55399999999997</v>
      </c>
      <c r="F94" s="37">
        <f>IF('PERHITUNGAN 20'!$E$11="Burn Engr",'PERHITUNGAN 20'!E94,E94+('regresi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259.55399999999997</v>
      </c>
      <c r="G94" s="40">
        <f>F94-C94</f>
        <v>0.23399999999998045</v>
      </c>
      <c r="H94" s="63"/>
      <c r="N94" s="93" t="e">
        <f>X56</f>
        <v>#DIV/0!</v>
      </c>
      <c r="O94" s="403">
        <f>G120</f>
        <v>0</v>
      </c>
      <c r="P94" s="404"/>
      <c r="Q94" s="406" t="e">
        <f t="shared" si="17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259.32</v>
      </c>
      <c r="D95" s="327"/>
      <c r="E95" s="90">
        <v>259.55399999999997</v>
      </c>
      <c r="F95" s="37">
        <f>IF('PERHITUNGAN 20'!$E$11="Burn Engr",'PERHITUNGAN 20'!E95,E95+('regresi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259.55399999999997</v>
      </c>
      <c r="G95" s="41">
        <f>F95-C95</f>
        <v>0.23399999999998045</v>
      </c>
      <c r="H95" s="63"/>
      <c r="U95" s="47"/>
      <c r="AB95" s="1"/>
    </row>
    <row r="96" spans="1:28">
      <c r="A96" s="10"/>
      <c r="B96" s="8" t="s">
        <v>31</v>
      </c>
      <c r="C96" s="333">
        <f>AVERAGE(C91:D95)</f>
        <v>259.32</v>
      </c>
      <c r="D96" s="334"/>
      <c r="E96" s="95">
        <f>AVERAGE(E91:E95)</f>
        <v>259.55399999999997</v>
      </c>
      <c r="F96" s="95">
        <f t="shared" ref="F96" si="19">AVERAGE(F91:F95)</f>
        <v>259.55399999999997</v>
      </c>
      <c r="G96" s="95">
        <f>SUM(G91:G95)/5</f>
        <v>0.23399999999998045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0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0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/>
      <c r="C99" s="327"/>
      <c r="D99" s="327"/>
      <c r="E99" s="90"/>
      <c r="F99" s="37"/>
      <c r="G99" s="40"/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/>
      <c r="D100" s="327"/>
      <c r="E100" s="90"/>
      <c r="F100" s="37"/>
      <c r="G100" s="40"/>
      <c r="H100" s="44"/>
      <c r="I100" s="44"/>
      <c r="M100" s="1"/>
    </row>
    <row r="101" spans="1:27">
      <c r="A101" s="10"/>
      <c r="C101" s="327"/>
      <c r="D101" s="327"/>
      <c r="E101" s="90"/>
      <c r="F101" s="37"/>
      <c r="G101" s="40"/>
      <c r="H101" s="44"/>
      <c r="I101" s="44"/>
    </row>
    <row r="102" spans="1:27">
      <c r="A102" s="10"/>
      <c r="C102" s="327"/>
      <c r="D102" s="327"/>
      <c r="E102" s="90"/>
      <c r="F102" s="37"/>
      <c r="G102" s="40"/>
      <c r="H102" s="63"/>
      <c r="I102" s="63"/>
    </row>
    <row r="103" spans="1:27">
      <c r="A103" s="10"/>
      <c r="C103" s="327"/>
      <c r="D103" s="327"/>
      <c r="E103" s="90"/>
      <c r="F103" s="37"/>
      <c r="G103" s="41"/>
      <c r="H103" s="63"/>
      <c r="I103" s="63"/>
      <c r="N103" s="74"/>
      <c r="O103" s="129"/>
    </row>
    <row r="104" spans="1:27">
      <c r="A104" s="10"/>
      <c r="B104" s="8" t="s">
        <v>31</v>
      </c>
      <c r="C104" s="333" t="e">
        <f>AVERAGE(C99:D103)</f>
        <v>#DIV/0!</v>
      </c>
      <c r="D104" s="334"/>
      <c r="E104" s="95" t="e">
        <f>AVERAGE(E99:E103)</f>
        <v>#DIV/0!</v>
      </c>
      <c r="F104" s="95">
        <f>SUM(F99:F103)/5</f>
        <v>0</v>
      </c>
      <c r="G104" s="95">
        <f>SUM(G99:G103)/5</f>
        <v>0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 t="e">
        <f>_xlfn.STDEV.S(G99:G103)</f>
        <v>#DIV/0!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 t="e">
        <f>G105/SQRT(5)</f>
        <v>#DIV/0!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/>
      <c r="G107" s="40"/>
      <c r="H107" s="63"/>
      <c r="I107" s="63"/>
      <c r="M107" s="1"/>
    </row>
    <row r="108" spans="1:27">
      <c r="A108" s="10"/>
      <c r="C108" s="327"/>
      <c r="D108" s="327"/>
      <c r="E108" s="90"/>
      <c r="F108" s="37"/>
      <c r="G108" s="40"/>
      <c r="H108" s="44"/>
      <c r="I108" s="44"/>
      <c r="M108" s="1"/>
    </row>
    <row r="109" spans="1:27">
      <c r="A109" s="10"/>
      <c r="C109" s="327"/>
      <c r="D109" s="327"/>
      <c r="E109" s="90"/>
      <c r="F109" s="37"/>
      <c r="G109" s="40"/>
      <c r="H109" s="44"/>
      <c r="I109" s="44"/>
    </row>
    <row r="110" spans="1:27">
      <c r="A110" s="10"/>
      <c r="C110" s="327"/>
      <c r="D110" s="327"/>
      <c r="E110" s="90"/>
      <c r="F110" s="37"/>
      <c r="G110" s="40"/>
      <c r="H110" s="63"/>
      <c r="I110" s="63"/>
    </row>
    <row r="111" spans="1:27">
      <c r="A111" s="10"/>
      <c r="C111" s="327"/>
      <c r="D111" s="327"/>
      <c r="E111" s="90"/>
      <c r="F111" s="37"/>
      <c r="G111" s="41"/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 t="e">
        <f>_xlfn.STDEV.S(G107:G111)</f>
        <v>#DIV/0!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 t="e">
        <f>G113/SQRT(5)</f>
        <v>#DIV/0!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/>
      <c r="G115" s="40"/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/>
      <c r="G116" s="40"/>
      <c r="H116" s="44"/>
      <c r="I116" s="44"/>
      <c r="U116" s="49"/>
    </row>
    <row r="117" spans="1:21">
      <c r="A117" s="10"/>
      <c r="C117" s="224"/>
      <c r="D117" s="225"/>
      <c r="E117" s="90"/>
      <c r="F117" s="37"/>
      <c r="G117" s="40"/>
      <c r="H117" s="44"/>
      <c r="I117" s="44"/>
      <c r="U117" s="49"/>
    </row>
    <row r="118" spans="1:21">
      <c r="A118" s="10"/>
      <c r="C118" s="224"/>
      <c r="D118" s="225"/>
      <c r="E118" s="90"/>
      <c r="F118" s="37"/>
      <c r="G118" s="40"/>
      <c r="H118" s="63"/>
      <c r="I118" s="63"/>
    </row>
    <row r="119" spans="1:21">
      <c r="A119" s="10"/>
      <c r="C119" s="233"/>
      <c r="D119" s="234"/>
      <c r="E119" s="90"/>
      <c r="F119" s="37"/>
      <c r="G119" s="41"/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 t="e">
        <f>_xlfn.STDEV.S(G115:G119)</f>
        <v>#DIV/0!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 t="e">
        <f>G121/SQRT(5)</f>
        <v>#DIV/0!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26"/>
      <c r="D125" s="26"/>
      <c r="H125" s="44"/>
      <c r="I125" s="44"/>
    </row>
    <row r="126" spans="1:21">
      <c r="C126" s="26"/>
      <c r="D126" s="26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0">
    <mergeCell ref="C181:D181"/>
    <mergeCell ref="C182:D182"/>
    <mergeCell ref="C183:D183"/>
    <mergeCell ref="C184:D184"/>
    <mergeCell ref="C185:D185"/>
    <mergeCell ref="C173:D173"/>
    <mergeCell ref="C174:D174"/>
    <mergeCell ref="C175:D175"/>
    <mergeCell ref="C176:D176"/>
    <mergeCell ref="C177:D177"/>
    <mergeCell ref="C180:D180"/>
    <mergeCell ref="C165:D165"/>
    <mergeCell ref="C166:D166"/>
    <mergeCell ref="C167:D167"/>
    <mergeCell ref="C168:D168"/>
    <mergeCell ref="C169:D169"/>
    <mergeCell ref="C172:D172"/>
    <mergeCell ref="C157:D157"/>
    <mergeCell ref="C158:D158"/>
    <mergeCell ref="C159:D159"/>
    <mergeCell ref="C160:D160"/>
    <mergeCell ref="C161:D161"/>
    <mergeCell ref="C164:D164"/>
    <mergeCell ref="C147:D147"/>
    <mergeCell ref="C148:D148"/>
    <mergeCell ref="C149:D149"/>
    <mergeCell ref="C150:D150"/>
    <mergeCell ref="C151:D151"/>
    <mergeCell ref="C156:D156"/>
    <mergeCell ref="C139:D139"/>
    <mergeCell ref="C140:D140"/>
    <mergeCell ref="C141:D141"/>
    <mergeCell ref="C142:D142"/>
    <mergeCell ref="C143:D143"/>
    <mergeCell ref="C146:D146"/>
    <mergeCell ref="C109:D109"/>
    <mergeCell ref="C110:D110"/>
    <mergeCell ref="C111:D111"/>
    <mergeCell ref="C112:D112"/>
    <mergeCell ref="C127:D127"/>
    <mergeCell ref="C138:D138"/>
    <mergeCell ref="C101:D101"/>
    <mergeCell ref="C102:D102"/>
    <mergeCell ref="C103:D103"/>
    <mergeCell ref="C104:D104"/>
    <mergeCell ref="C107:D107"/>
    <mergeCell ref="C108:D108"/>
    <mergeCell ref="C95:D95"/>
    <mergeCell ref="C96:D96"/>
    <mergeCell ref="N96:O96"/>
    <mergeCell ref="Z96:AA96"/>
    <mergeCell ref="C99:D99"/>
    <mergeCell ref="C100:D100"/>
    <mergeCell ref="C93:D93"/>
    <mergeCell ref="O93:P93"/>
    <mergeCell ref="Q93:R93"/>
    <mergeCell ref="C94:D94"/>
    <mergeCell ref="O94:P94"/>
    <mergeCell ref="Q94:R94"/>
    <mergeCell ref="C91:D91"/>
    <mergeCell ref="O91:P91"/>
    <mergeCell ref="Q91:R91"/>
    <mergeCell ref="C92:D92"/>
    <mergeCell ref="O92:P92"/>
    <mergeCell ref="Q92:R92"/>
    <mergeCell ref="C88:D88"/>
    <mergeCell ref="O88:P88"/>
    <mergeCell ref="Q88:R88"/>
    <mergeCell ref="O89:P89"/>
    <mergeCell ref="Q89:R89"/>
    <mergeCell ref="O90:P90"/>
    <mergeCell ref="Q90:R90"/>
    <mergeCell ref="C86:D86"/>
    <mergeCell ref="O86:P86"/>
    <mergeCell ref="Q86:R86"/>
    <mergeCell ref="C87:D87"/>
    <mergeCell ref="O87:P87"/>
    <mergeCell ref="Q87:R87"/>
    <mergeCell ref="S83:T83"/>
    <mergeCell ref="C84:D84"/>
    <mergeCell ref="S84:T84"/>
    <mergeCell ref="C85:D85"/>
    <mergeCell ref="O85:P85"/>
    <mergeCell ref="Q85:R85"/>
    <mergeCell ref="C79:D79"/>
    <mergeCell ref="C80:D80"/>
    <mergeCell ref="C83:D83"/>
    <mergeCell ref="N83:N84"/>
    <mergeCell ref="O83:P84"/>
    <mergeCell ref="Q83:R84"/>
    <mergeCell ref="C71:D71"/>
    <mergeCell ref="C72:D72"/>
    <mergeCell ref="C75:D75"/>
    <mergeCell ref="C76:D76"/>
    <mergeCell ref="C77:D77"/>
    <mergeCell ref="C78:D78"/>
    <mergeCell ref="C63:D63"/>
    <mergeCell ref="C64:D64"/>
    <mergeCell ref="C67:D67"/>
    <mergeCell ref="C68:D68"/>
    <mergeCell ref="C69:D69"/>
    <mergeCell ref="C70:D70"/>
    <mergeCell ref="O55:X55"/>
    <mergeCell ref="C56:D56"/>
    <mergeCell ref="C59:D59"/>
    <mergeCell ref="C60:D60"/>
    <mergeCell ref="C61:D61"/>
    <mergeCell ref="C62:D62"/>
    <mergeCell ref="C51:D51"/>
    <mergeCell ref="C52:D52"/>
    <mergeCell ref="C53:D53"/>
    <mergeCell ref="C54:D54"/>
    <mergeCell ref="C55:D55"/>
    <mergeCell ref="N55:N56"/>
    <mergeCell ref="T45:Y4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N45:S45"/>
    <mergeCell ref="T36:T37"/>
    <mergeCell ref="U36:U37"/>
    <mergeCell ref="V36:V37"/>
    <mergeCell ref="W36:W37"/>
    <mergeCell ref="X36:X37"/>
    <mergeCell ref="C40:D40"/>
    <mergeCell ref="N36:N37"/>
    <mergeCell ref="O36:O37"/>
    <mergeCell ref="P36:P37"/>
    <mergeCell ref="Q36:Q37"/>
    <mergeCell ref="R36:R37"/>
    <mergeCell ref="S36:S37"/>
    <mergeCell ref="T28:T29"/>
    <mergeCell ref="U28:U29"/>
    <mergeCell ref="AB28:AC28"/>
    <mergeCell ref="AB30:AC30"/>
    <mergeCell ref="J31:K31"/>
    <mergeCell ref="AB32:AC32"/>
    <mergeCell ref="J26:K26"/>
    <mergeCell ref="N28:N29"/>
    <mergeCell ref="O28:O29"/>
    <mergeCell ref="P28:P29"/>
    <mergeCell ref="Q28:Q29"/>
    <mergeCell ref="S28:S29"/>
    <mergeCell ref="E16:F16"/>
    <mergeCell ref="N16:N20"/>
    <mergeCell ref="E17:F17"/>
    <mergeCell ref="E18:F18"/>
    <mergeCell ref="AB18:AC18"/>
    <mergeCell ref="F21:G21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</mergeCells>
  <conditionalFormatting sqref="C56">
    <cfRule type="expression" dxfId="117" priority="18" stopIfTrue="1">
      <formula>COUNT(C51:C55)&lt;&gt;5</formula>
    </cfRule>
  </conditionalFormatting>
  <conditionalFormatting sqref="C64">
    <cfRule type="expression" dxfId="116" priority="2" stopIfTrue="1">
      <formula>COUNT(C59:C63)&lt;&gt;5</formula>
    </cfRule>
  </conditionalFormatting>
  <conditionalFormatting sqref="C72">
    <cfRule type="expression" dxfId="115" priority="8" stopIfTrue="1">
      <formula>COUNT(C67:C71)&lt;&gt;5</formula>
    </cfRule>
  </conditionalFormatting>
  <conditionalFormatting sqref="C80">
    <cfRule type="expression" dxfId="114" priority="7" stopIfTrue="1">
      <formula>COUNT(C75:C79)&lt;&gt;5</formula>
    </cfRule>
  </conditionalFormatting>
  <conditionalFormatting sqref="C88">
    <cfRule type="expression" dxfId="113" priority="6" stopIfTrue="1">
      <formula>COUNT(C83:C87)&lt;&gt;5</formula>
    </cfRule>
  </conditionalFormatting>
  <conditionalFormatting sqref="C96">
    <cfRule type="expression" dxfId="112" priority="5" stopIfTrue="1">
      <formula>COUNT(C91:C95)&lt;&gt;5</formula>
    </cfRule>
  </conditionalFormatting>
  <conditionalFormatting sqref="C104">
    <cfRule type="expression" dxfId="111" priority="4" stopIfTrue="1">
      <formula>COUNT(C99:C103)&lt;&gt;5</formula>
    </cfRule>
  </conditionalFormatting>
  <conditionalFormatting sqref="C112">
    <cfRule type="expression" dxfId="110" priority="3" stopIfTrue="1">
      <formula>COUNT(C107:C111)&lt;&gt;5</formula>
    </cfRule>
  </conditionalFormatting>
  <conditionalFormatting sqref="C48:E48">
    <cfRule type="expression" dxfId="109" priority="19" stopIfTrue="1">
      <formula>COUNT(C43:C47)&lt;&gt;5</formula>
    </cfRule>
  </conditionalFormatting>
  <conditionalFormatting sqref="C120:E120">
    <cfRule type="expression" dxfId="108" priority="9" stopIfTrue="1">
      <formula>COUNT(C115:C119)&lt;&gt;5</formula>
    </cfRule>
  </conditionalFormatting>
  <conditionalFormatting sqref="E56">
    <cfRule type="expression" dxfId="107" priority="17" stopIfTrue="1">
      <formula>COUNT(E51:E55)&lt;&gt;5</formula>
    </cfRule>
  </conditionalFormatting>
  <conditionalFormatting sqref="E64">
    <cfRule type="expression" dxfId="106" priority="1" stopIfTrue="1">
      <formula>COUNT(E59:E63)&lt;&gt;5</formula>
    </cfRule>
  </conditionalFormatting>
  <conditionalFormatting sqref="E72">
    <cfRule type="expression" dxfId="105" priority="16" stopIfTrue="1">
      <formula>COUNT(E67:E71)&lt;&gt;5</formula>
    </cfRule>
  </conditionalFormatting>
  <conditionalFormatting sqref="E80">
    <cfRule type="expression" dxfId="104" priority="15" stopIfTrue="1">
      <formula>COUNT(E75:E79)&lt;&gt;5</formula>
    </cfRule>
  </conditionalFormatting>
  <conditionalFormatting sqref="E88">
    <cfRule type="expression" dxfId="103" priority="14" stopIfTrue="1">
      <formula>COUNT(E83:E87)&lt;&gt;5</formula>
    </cfRule>
  </conditionalFormatting>
  <conditionalFormatting sqref="E96">
    <cfRule type="expression" dxfId="102" priority="13" stopIfTrue="1">
      <formula>COUNT(E91:E95)&lt;&gt;5</formula>
    </cfRule>
  </conditionalFormatting>
  <conditionalFormatting sqref="E104">
    <cfRule type="expression" dxfId="101" priority="12" stopIfTrue="1">
      <formula>COUNT(E99:E103)&lt;&gt;5</formula>
    </cfRule>
  </conditionalFormatting>
  <conditionalFormatting sqref="E112">
    <cfRule type="expression" dxfId="100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99329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99329" r:id="rId4"/>
      </mc:Fallback>
    </mc:AlternateContent>
    <mc:AlternateContent xmlns:mc="http://schemas.openxmlformats.org/markup-compatibility/2006">
      <mc:Choice Requires="x14">
        <oleObject progId="Equation.3" shapeId="99330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99330" r:id="rId6"/>
      </mc:Fallback>
    </mc:AlternateContent>
    <mc:AlternateContent xmlns:mc="http://schemas.openxmlformats.org/markup-compatibility/2006">
      <mc:Choice Requires="x14">
        <oleObject progId="Equation.3" shapeId="99331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99331" r:id="rId8"/>
      </mc:Fallback>
    </mc:AlternateContent>
    <mc:AlternateContent xmlns:mc="http://schemas.openxmlformats.org/markup-compatibility/2006">
      <mc:Choice Requires="x14">
        <oleObject progId="Equation.3" shapeId="99332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99332" r:id="rId10"/>
      </mc:Fallback>
    </mc:AlternateContent>
  </oleObjec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8A2D7-B8B4-43B6-85FF-48A668D0BAE9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20'!O85</f>
        <v>-2.8220000000000001</v>
      </c>
      <c r="C2" s="37">
        <f>'PERHITUNGAN 20'!N85</f>
        <v>3.02</v>
      </c>
      <c r="D2" s="75">
        <f>C2^2</f>
        <v>9.1204000000000001</v>
      </c>
      <c r="E2" s="37">
        <f>C2^3</f>
        <v>27.543607999999999</v>
      </c>
      <c r="F2" s="91">
        <f>C2^4</f>
        <v>83.181696160000001</v>
      </c>
      <c r="G2" s="91">
        <f>C2^5</f>
        <v>251.2087224032</v>
      </c>
      <c r="H2" s="91">
        <f>C2^6</f>
        <v>758.65034165766406</v>
      </c>
      <c r="I2" s="91">
        <f>C2^7</f>
        <v>2291.124031806145</v>
      </c>
      <c r="J2" s="91">
        <f>C2^8</f>
        <v>6919.1945760545586</v>
      </c>
      <c r="K2" s="91">
        <f>C2^9</f>
        <v>20895.967619684769</v>
      </c>
      <c r="L2" s="91">
        <f>C2^10</f>
        <v>63105.822211447994</v>
      </c>
      <c r="Q2" s="12"/>
    </row>
    <row r="3" spans="1:24">
      <c r="A3" s="25">
        <v>2</v>
      </c>
      <c r="B3" s="37">
        <f>'PERHITUNGAN 20'!O86</f>
        <v>1.5999999999998238E-2</v>
      </c>
      <c r="C3" s="37">
        <f>'PERHITUNGAN 20'!N86</f>
        <v>50.33</v>
      </c>
      <c r="D3" s="75">
        <f t="shared" ref="D3:D9" si="0">C3^2</f>
        <v>2533.1088999999997</v>
      </c>
      <c r="E3" s="37">
        <f t="shared" ref="E3:E9" si="1">C3^3</f>
        <v>127491.37093699999</v>
      </c>
      <c r="F3" s="91">
        <f t="shared" ref="F3:F9" si="2">C3^4</f>
        <v>6416640.6992592085</v>
      </c>
      <c r="G3" s="91">
        <f t="shared" ref="G3:G9" si="3">C3^5</f>
        <v>322949526.39371598</v>
      </c>
      <c r="H3" s="91">
        <f t="shared" ref="H3:H9" si="4">C3^6</f>
        <v>16254049663.395723</v>
      </c>
      <c r="I3" s="91">
        <f t="shared" ref="I3:I9" si="5">C3^7</f>
        <v>818066319558.70667</v>
      </c>
      <c r="J3" s="91">
        <f t="shared" ref="J3:J9" si="6">C3^8</f>
        <v>41173277863389.703</v>
      </c>
      <c r="K3" s="91">
        <f t="shared" ref="K3:K9" si="7">C3^9</f>
        <v>2072251074864403.8</v>
      </c>
      <c r="L3" s="91">
        <f t="shared" ref="L3:L9" si="8">C3^10</f>
        <v>1.0429639659792542E+17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20'!O87</f>
        <v>-0.35599999999999454</v>
      </c>
      <c r="C4" s="37">
        <f>'PERHITUNGAN 20'!N87</f>
        <v>100.24</v>
      </c>
      <c r="D4" s="75">
        <f t="shared" si="0"/>
        <v>10048.057599999998</v>
      </c>
      <c r="E4" s="37">
        <f t="shared" si="1"/>
        <v>1007217.2938239998</v>
      </c>
      <c r="F4" s="91">
        <f t="shared" si="2"/>
        <v>100963461.53291772</v>
      </c>
      <c r="G4" s="91">
        <f t="shared" si="3"/>
        <v>10120577384.059671</v>
      </c>
      <c r="H4" s="91">
        <f t="shared" si="4"/>
        <v>1014486676978.1414</v>
      </c>
      <c r="I4" s="91">
        <f t="shared" si="5"/>
        <v>101692144500288.89</v>
      </c>
      <c r="J4" s="91">
        <f t="shared" si="6"/>
        <v>1.0193620564708956E+16</v>
      </c>
      <c r="K4" s="91">
        <f t="shared" si="7"/>
        <v>1.0218085254064257E+18</v>
      </c>
      <c r="L4" s="91">
        <f t="shared" si="8"/>
        <v>1.024260865867401E+20</v>
      </c>
      <c r="R4" s="414" t="str">
        <f>IF('PERHITUNGAN 13'!$C$2="Celcius","(°C)","(°F)")</f>
        <v>(°C)</v>
      </c>
      <c r="S4" s="415"/>
      <c r="T4" s="5" t="str">
        <f>IF('PERHITUNGAN 13'!$C$2="Celcius","(°C)","(°F)")</f>
        <v>(°C)</v>
      </c>
      <c r="U4" s="14"/>
      <c r="V4" s="1"/>
    </row>
    <row r="5" spans="1:24">
      <c r="A5" s="25">
        <v>4</v>
      </c>
      <c r="B5" s="37">
        <f>'PERHITUNGAN 20'!O88</f>
        <v>-0.10200000000000387</v>
      </c>
      <c r="C5" s="37">
        <f>'PERHITUNGAN 20'!N88</f>
        <v>149.82</v>
      </c>
      <c r="D5" s="75">
        <f t="shared" si="0"/>
        <v>22446.032399999996</v>
      </c>
      <c r="E5" s="37">
        <f t="shared" si="1"/>
        <v>3362864.5741679994</v>
      </c>
      <c r="F5" s="91">
        <f t="shared" si="2"/>
        <v>503824370.50184959</v>
      </c>
      <c r="G5" s="91">
        <f t="shared" si="3"/>
        <v>75482967188.587097</v>
      </c>
      <c r="H5" s="91">
        <f t="shared" si="4"/>
        <v>11308858144194.119</v>
      </c>
      <c r="I5" s="91">
        <f t="shared" si="5"/>
        <v>1694293127163162.8</v>
      </c>
      <c r="J5" s="91">
        <f t="shared" si="6"/>
        <v>2.5383899631158502E+17</v>
      </c>
      <c r="K5" s="91">
        <f t="shared" si="7"/>
        <v>3.8030158427401667E+19</v>
      </c>
      <c r="L5" s="91">
        <f t="shared" si="8"/>
        <v>5.6976783355933171E+21</v>
      </c>
      <c r="R5" s="412"/>
      <c r="S5" s="413"/>
      <c r="T5" s="21"/>
      <c r="U5" s="32"/>
    </row>
    <row r="6" spans="1:24">
      <c r="A6" s="25">
        <v>5</v>
      </c>
      <c r="B6" s="37">
        <f>'PERHITUNGAN 20'!O89</f>
        <v>0.12600000000000477</v>
      </c>
      <c r="C6" s="37">
        <f>'PERHITUNGAN 20'!N89</f>
        <v>199.34</v>
      </c>
      <c r="D6" s="75">
        <f t="shared" si="0"/>
        <v>39736.435600000004</v>
      </c>
      <c r="E6" s="37">
        <f t="shared" si="1"/>
        <v>7921061.0725040007</v>
      </c>
      <c r="F6" s="91">
        <f t="shared" si="2"/>
        <v>1578984314.1929476</v>
      </c>
      <c r="G6" s="91">
        <f t="shared" si="3"/>
        <v>314754733191.22217</v>
      </c>
      <c r="H6" s="91">
        <f t="shared" si="4"/>
        <v>62743208514338.234</v>
      </c>
      <c r="I6" s="91">
        <f t="shared" si="5"/>
        <v>1.2507231185248184E+16</v>
      </c>
      <c r="J6" s="91">
        <f t="shared" si="6"/>
        <v>2.4931914644673731E+18</v>
      </c>
      <c r="K6" s="91">
        <f t="shared" si="7"/>
        <v>4.9699278652692614E+20</v>
      </c>
      <c r="L6" s="91">
        <f t="shared" si="8"/>
        <v>9.9070542066277461E+22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20'!O90</f>
        <v>0.20799999999999841</v>
      </c>
      <c r="C7" s="37">
        <f>'PERHITUNGAN 20'!N90</f>
        <v>249.27000000000004</v>
      </c>
      <c r="D7" s="75">
        <f t="shared" si="0"/>
        <v>62135.53290000002</v>
      </c>
      <c r="E7" s="37">
        <f t="shared" si="1"/>
        <v>15488524.285983007</v>
      </c>
      <c r="F7" s="91">
        <f t="shared" si="2"/>
        <v>3860824448.7669849</v>
      </c>
      <c r="G7" s="91">
        <f t="shared" si="3"/>
        <v>962387710344.14648</v>
      </c>
      <c r="H7" s="91">
        <f t="shared" si="4"/>
        <v>239894384557485.44</v>
      </c>
      <c r="I7" s="91">
        <f t="shared" si="5"/>
        <v>5.97984732386444E+16</v>
      </c>
      <c r="J7" s="91">
        <f t="shared" si="6"/>
        <v>1.4905965424196893E+19</v>
      </c>
      <c r="K7" s="91">
        <f t="shared" si="7"/>
        <v>3.7156100012895602E+21</v>
      </c>
      <c r="L7" s="91">
        <f t="shared" si="8"/>
        <v>9.2619010502144879E+23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20'!O91</f>
        <v>0.23399999999998045</v>
      </c>
      <c r="C8" s="37">
        <f>'PERHITUNGAN 20'!N91</f>
        <v>259.32</v>
      </c>
      <c r="D8" s="75">
        <f t="shared" si="0"/>
        <v>67246.862399999998</v>
      </c>
      <c r="E8" s="37">
        <f t="shared" si="1"/>
        <v>17438456.357568</v>
      </c>
      <c r="F8" s="91">
        <f t="shared" si="2"/>
        <v>4522140502.6445332</v>
      </c>
      <c r="G8" s="91">
        <f t="shared" si="3"/>
        <v>1172681475145.7803</v>
      </c>
      <c r="H8" s="91">
        <f t="shared" si="4"/>
        <v>304099760134803.75</v>
      </c>
      <c r="I8" s="91">
        <f t="shared" si="5"/>
        <v>7.8859149798157312E+16</v>
      </c>
      <c r="J8" s="91">
        <f t="shared" si="6"/>
        <v>2.0449754725658153E+19</v>
      </c>
      <c r="K8" s="91">
        <f t="shared" si="7"/>
        <v>5.3030303954576721E+21</v>
      </c>
      <c r="L8" s="91">
        <f t="shared" si="8"/>
        <v>1.3751818421500834E+24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20'!O92</f>
        <v>0</v>
      </c>
      <c r="C9" s="37" t="e">
        <f>'PERHITUNGAN 20'!N92</f>
        <v>#DIV/0!</v>
      </c>
      <c r="D9" s="75" t="e">
        <f t="shared" si="0"/>
        <v>#DIV/0!</v>
      </c>
      <c r="E9" s="37" t="e">
        <f t="shared" si="1"/>
        <v>#DIV/0!</v>
      </c>
      <c r="F9" s="91" t="e">
        <f t="shared" si="2"/>
        <v>#DIV/0!</v>
      </c>
      <c r="G9" s="91" t="e">
        <f t="shared" si="3"/>
        <v>#DIV/0!</v>
      </c>
      <c r="H9" s="91" t="e">
        <f t="shared" si="4"/>
        <v>#DIV/0!</v>
      </c>
      <c r="I9" s="91" t="e">
        <f t="shared" si="5"/>
        <v>#DIV/0!</v>
      </c>
      <c r="J9" s="91" t="e">
        <f t="shared" si="6"/>
        <v>#DIV/0!</v>
      </c>
      <c r="K9" s="91" t="e">
        <f t="shared" si="7"/>
        <v>#DIV/0!</v>
      </c>
      <c r="L9" s="91" t="e">
        <f t="shared" si="8"/>
        <v>#DIV/0!</v>
      </c>
      <c r="R9" s="408"/>
      <c r="S9" s="409"/>
      <c r="T9" s="23"/>
      <c r="U9" s="27"/>
      <c r="V9" s="88"/>
    </row>
    <row r="10" spans="1:24">
      <c r="A10" s="25">
        <v>9</v>
      </c>
      <c r="B10" s="37"/>
      <c r="C10" s="37"/>
      <c r="D10" s="75"/>
      <c r="E10" s="37"/>
      <c r="F10" s="91"/>
      <c r="G10" s="91"/>
      <c r="H10" s="91"/>
      <c r="I10" s="91"/>
      <c r="J10" s="91"/>
      <c r="K10" s="91"/>
      <c r="L10" s="91"/>
      <c r="R10" s="408"/>
      <c r="S10" s="409"/>
      <c r="T10" s="23"/>
      <c r="U10" s="27"/>
      <c r="V10" s="88"/>
    </row>
    <row r="11" spans="1:24">
      <c r="A11" s="25">
        <v>10</v>
      </c>
      <c r="B11" s="37"/>
      <c r="C11" s="37"/>
      <c r="D11" s="75"/>
      <c r="E11" s="37"/>
      <c r="F11" s="91"/>
      <c r="G11" s="91"/>
      <c r="H11" s="91"/>
      <c r="I11" s="91"/>
      <c r="J11" s="91"/>
      <c r="K11" s="91"/>
      <c r="L11" s="91"/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f>'REGRESI 19'!R19:S19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-0.75207634822966463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19'!R20:S20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-0.44200701663360992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19'!R21:S21</f>
        <v>25</v>
      </c>
      <c r="S21" s="409"/>
      <c r="T21" s="23">
        <f t="shared" si="9"/>
        <v>0.19676742684659707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19'!R22:S22</f>
        <v>50</v>
      </c>
      <c r="S22" s="409"/>
      <c r="T22" s="23">
        <f t="shared" si="9"/>
        <v>0.63618963181146948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19'!R23:S23</f>
        <v>100</v>
      </c>
      <c r="S23" s="409"/>
      <c r="T23" s="23">
        <f t="shared" si="9"/>
        <v>0.89449388726089363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19'!R24:S24</f>
        <v>125</v>
      </c>
      <c r="S24" s="409"/>
      <c r="T24" s="23">
        <f t="shared" si="9"/>
        <v>0.70213421827828726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19'!R25:S25</f>
        <v>150</v>
      </c>
      <c r="S25" s="409"/>
      <c r="T25" s="23">
        <f t="shared" si="9"/>
        <v>0.2879388718460289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19'!R26:S26</f>
        <v>200</v>
      </c>
      <c r="S26" s="409"/>
      <c r="T26" s="23">
        <f t="shared" si="9"/>
        <v>-1.2284422923017595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19'!R27:S27</f>
        <v>0</v>
      </c>
      <c r="S27" s="409"/>
      <c r="T27" s="23">
        <f t="shared" si="9"/>
        <v>-0.44200701663360992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19'!R28:S28</f>
        <v>0</v>
      </c>
      <c r="S28" s="409"/>
      <c r="T28" s="23">
        <f t="shared" si="9"/>
        <v>-0.44200701663360992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0.97734096408493498</v>
      </c>
      <c r="Q33" s="31" t="s">
        <v>100</v>
      </c>
      <c r="U33" s="70"/>
    </row>
    <row r="34" spans="2:24">
      <c r="B34" t="s">
        <v>76</v>
      </c>
      <c r="C34">
        <v>0.95519536007847028</v>
      </c>
      <c r="X34" s="46"/>
    </row>
    <row r="35" spans="2:24">
      <c r="B35" t="s">
        <v>77</v>
      </c>
      <c r="C35">
        <v>0.92159188013732307</v>
      </c>
      <c r="Q35" t="s">
        <v>99</v>
      </c>
    </row>
    <row r="36" spans="2:24">
      <c r="B36" t="s">
        <v>78</v>
      </c>
      <c r="C36">
        <v>0.21892183623861278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-0.44200701663360992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0"/>
        <v>2.9463077713067248E-2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-1.5498510302540427E-4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4.0870256984716153</v>
      </c>
      <c r="E41">
        <v>1.3623418994905385</v>
      </c>
      <c r="F41">
        <v>28.425489316921571</v>
      </c>
      <c r="G41">
        <v>3.7072840464241869E-3</v>
      </c>
      <c r="R41" s="26" t="s">
        <v>112</v>
      </c>
      <c r="S41">
        <f t="shared" si="10"/>
        <v>-5.9955837158178481E-8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0.19170708152834398</v>
      </c>
      <c r="E42">
        <v>4.7926770382085995E-2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4.2787327799999595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-0.44200701663360992</v>
      </c>
      <c r="D46">
        <v>0.13136419360759385</v>
      </c>
      <c r="E46">
        <v>-3.364745022939482</v>
      </c>
      <c r="F46">
        <v>2.8180585193025957E-2</v>
      </c>
      <c r="G46">
        <v>-0.80673248897366912</v>
      </c>
      <c r="H46">
        <v>-7.7281544293550719E-2</v>
      </c>
      <c r="I46">
        <v>-0.80673248897366912</v>
      </c>
      <c r="J46">
        <v>-7.7281544293550719E-2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2.9463077713067248E-2</v>
      </c>
      <c r="D47">
        <v>7.53436724202003E-3</v>
      </c>
      <c r="E47">
        <v>3.9104913215204435</v>
      </c>
      <c r="F47">
        <v>1.7386617801498559E-2</v>
      </c>
      <c r="G47">
        <v>8.5443206631981364E-3</v>
      </c>
      <c r="H47">
        <v>5.038183476293636E-2</v>
      </c>
      <c r="I47">
        <v>8.5443206631981364E-3</v>
      </c>
      <c r="J47">
        <v>5.038183476293636E-2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-1.5498510302540427E-4</v>
      </c>
      <c r="D48">
        <v>9.994425185354715E-5</v>
      </c>
      <c r="E48">
        <v>-1.5507155254162188</v>
      </c>
      <c r="F48">
        <v>0.19590894577384385</v>
      </c>
      <c r="G48">
        <v>-4.3247483187684071E-4</v>
      </c>
      <c r="H48">
        <v>1.225046258260322E-4</v>
      </c>
      <c r="I48">
        <v>-4.3247483187684071E-4</v>
      </c>
      <c r="J48">
        <v>1.225046258260322E-4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-5.9955837158178481E-8</v>
      </c>
      <c r="D49" s="67">
        <v>3.3571821227945821E-7</v>
      </c>
      <c r="E49" s="67">
        <v>-0.17858976655180717</v>
      </c>
      <c r="F49" s="67">
        <v>0.86694028634573295</v>
      </c>
      <c r="G49" s="67">
        <v>-9.920590243672339E-7</v>
      </c>
      <c r="H49" s="67">
        <v>8.7214735005087704E-7</v>
      </c>
      <c r="I49" s="67">
        <v>-9.920590243672339E-7</v>
      </c>
      <c r="J49" s="67">
        <v>8.7214735005087704E-7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C5F0D-10D6-4662-94AF-EDAE2323606B}">
  <dimension ref="A1:AH187"/>
  <sheetViews>
    <sheetView workbookViewId="0"/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13'!$C$2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13'!G3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13'!E5</f>
        <v>Termometer Digital</v>
      </c>
      <c r="F5" s="11"/>
      <c r="G5" s="11" t="s">
        <v>127</v>
      </c>
      <c r="H5" s="11" t="s">
        <v>16</v>
      </c>
      <c r="I5" s="66" t="str">
        <f>'PERHITUNGAN 13'!I5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13'!E6</f>
        <v>Hioki / LR 8431-20</v>
      </c>
      <c r="F6" s="11"/>
      <c r="G6" s="11" t="s">
        <v>128</v>
      </c>
      <c r="H6" s="11" t="s">
        <v>16</v>
      </c>
      <c r="I6" s="129">
        <f>'PERHITUNGAN 13'!I6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13'!E7</f>
        <v>210149173</v>
      </c>
      <c r="F7" s="11"/>
      <c r="G7" s="11" t="s">
        <v>44</v>
      </c>
      <c r="H7" s="11" t="s">
        <v>16</v>
      </c>
      <c r="I7" s="31">
        <v>9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13'!E11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13'!E12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13'!E13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13'!E14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13'!E17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13'!E18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13'!E19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13'!E21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13'!D24</f>
        <v>22</v>
      </c>
      <c r="E23" s="244">
        <f>'PERHITUNGAN 13'!E24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13'!D25</f>
        <v>22</v>
      </c>
      <c r="E24" s="244">
        <f>'PERHITUNGAN 13'!E25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13'!D28</f>
        <v>20</v>
      </c>
      <c r="E27" s="244">
        <f>'PERHITUNGAN 13'!E28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13'!D29</f>
        <v>20</v>
      </c>
      <c r="E28" s="244">
        <f>'PERHITUNGAN 13'!E29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13'!D33</f>
        <v>55</v>
      </c>
      <c r="E32" s="244">
        <f>'PERHITUNGAN 13'!E33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13'!D34</f>
        <v>55</v>
      </c>
      <c r="E33" s="244">
        <f>'PERHITUNGAN 13'!E34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-9.8542000000000005</v>
      </c>
      <c r="P36" s="380">
        <f>F56</f>
        <v>0.21000000000000002</v>
      </c>
      <c r="Q36" s="380">
        <f>F64</f>
        <v>25.364000000000001</v>
      </c>
      <c r="R36" s="380">
        <f>F72</f>
        <v>50.479599999999991</v>
      </c>
      <c r="S36" s="380">
        <f>F80</f>
        <v>99.215000000000003</v>
      </c>
      <c r="T36" s="380">
        <f>F88</f>
        <v>125.41800000000001</v>
      </c>
      <c r="U36" s="380">
        <f>F96</f>
        <v>149.63320000000002</v>
      </c>
      <c r="V36" s="380">
        <f>F104</f>
        <v>199.791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21'!$E$11="Burn Engr",IF(O36&lt;=$AA$38,$AB$38,$AB$39),IF(O36&lt;=$AC$38,$AD$38,IF(O36&lt;=$AC$39,$AD$39,$AD$40)))</f>
        <v>0.02</v>
      </c>
      <c r="P38" s="54">
        <f>IF('PERHITUNGAN 21'!$E$11="Burn Engr",IF(P36&lt;=$AA$38,$AB$38,$AB$39),IF(P36&lt;=$AC$38,$AD$38,IF(P36&lt;=$AC$39,$AD$39,$AD$40)))</f>
        <v>7.0000000000000007E-2</v>
      </c>
      <c r="Q38" s="54">
        <f>IF('PERHITUNGAN 21'!$E$11="Burn Engr",IF(Q36&lt;=$AA$38,$AB$38,$AB$39),IF(Q36&lt;=$AC$38,$AD$38,IF(Q36&lt;=$AC$39,$AD$39,$AD$40)))</f>
        <v>7.0000000000000007E-2</v>
      </c>
      <c r="R38" s="54">
        <f>IF('PERHITUNGAN 21'!$E$11="Burn Engr",IF(R36&lt;=$AA$38,$AB$38,$AB$39),IF(R36&lt;=$AC$38,$AD$38,IF(R36&lt;=$AC$39,$AD$39,$AD$40)))</f>
        <v>7.0000000000000007E-2</v>
      </c>
      <c r="S38" s="54">
        <f>IF('PERHITUNGAN 21'!$E$11="Burn Engr",IF(S36&lt;=$AA$38,$AB$38,$AB$39),IF(S36&lt;=$AC$38,$AD$38,IF(S36&lt;=$AC$39,$AD$39,$AD$40)))</f>
        <v>7.0000000000000007E-2</v>
      </c>
      <c r="T38" s="54">
        <f>IF('PERHITUNGAN 21'!$E$11="Burn Engr",IF(T36&lt;=$AA$38,$AB$38,$AB$39),IF(T36&lt;=$AC$38,$AD$38,IF(T36&lt;=$AC$39,$AD$39,$AD$40)))</f>
        <v>7.0000000000000007E-2</v>
      </c>
      <c r="U38" s="54">
        <f>IF('PERHITUNGAN 21'!$E$11="Burn Engr",IF(U36&lt;=$AA$38,$AB$38,$AB$39),IF(U36&lt;=$AC$38,$AD$38,IF(U36&lt;=$AC$39,$AD$39,$AD$40)))</f>
        <v>7.0000000000000007E-2</v>
      </c>
      <c r="V38" s="54">
        <f>IF('PERHITUNGAN 21'!$E$11="Burn Engr",IF(V36&lt;=$AA$38,$AB$38,$AB$39),IF(V36&lt;=$AC$38,$AD$38,IF(V36&lt;=$AC$39,$AD$39,$AD$40)))</f>
        <v>7.0000000000000007E-2</v>
      </c>
      <c r="W38" s="54">
        <f>IF('PERHITUNGAN 21'!$E$11="Burn Engr",IF(W36&lt;=$AA$38,$AB$38,$AB$39),IF(W36&lt;=$AC$38,$AD$38,IF(W36&lt;=$AC$39,$AD$39,$AD$40)))</f>
        <v>0.02</v>
      </c>
      <c r="X38" s="54">
        <f>IF('PERHITUNGAN 21'!$E$11="Burn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0.01</v>
      </c>
      <c r="P40" s="37">
        <f t="shared" ref="P40:X40" si="1">P38/P39</f>
        <v>3.5000000000000003E-2</v>
      </c>
      <c r="Q40" s="37">
        <f t="shared" si="1"/>
        <v>3.5000000000000003E-2</v>
      </c>
      <c r="R40" s="37">
        <f>R38/R39</f>
        <v>3.5000000000000003E-2</v>
      </c>
      <c r="S40" s="37">
        <f t="shared" si="1"/>
        <v>3.5000000000000003E-2</v>
      </c>
      <c r="T40" s="37">
        <f t="shared" si="1"/>
        <v>3.5000000000000003E-2</v>
      </c>
      <c r="U40" s="37">
        <f t="shared" si="1"/>
        <v>3.5000000000000003E-2</v>
      </c>
      <c r="V40" s="37">
        <f t="shared" si="1"/>
        <v>3.5000000000000003E-2</v>
      </c>
      <c r="W40" s="37">
        <f t="shared" si="1"/>
        <v>0.01</v>
      </c>
      <c r="X40" s="37">
        <f t="shared" si="1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-10</v>
      </c>
      <c r="C43" s="373">
        <v>-9.1999999999999993</v>
      </c>
      <c r="D43" s="374"/>
      <c r="E43" s="90">
        <v>-9.8529999999999998</v>
      </c>
      <c r="F43" s="37">
        <f>IF('PERHITUNGAN 21'!$E$11="Burn Engr",'PERHITUNGAN 21'!E43,E43+('regresi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-9.8529999999999998</v>
      </c>
      <c r="G43" s="90">
        <f>F43-C43</f>
        <v>-0.65300000000000047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-9.1999999999999993</v>
      </c>
      <c r="D44" s="374"/>
      <c r="E44" s="90">
        <v>-9.8529999999999998</v>
      </c>
      <c r="F44" s="37">
        <f>IF('PERHITUNGAN 21'!$E$11="Burn Engr",'PERHITUNGAN 21'!E44,E44+('regresi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-9.8529999999999998</v>
      </c>
      <c r="G44" s="90">
        <f>F44-C44</f>
        <v>-0.65300000000000047</v>
      </c>
      <c r="H44" s="63"/>
      <c r="I44" s="63"/>
      <c r="AB44" s="1"/>
    </row>
    <row r="45" spans="1:30" ht="13.5" customHeight="1">
      <c r="A45" s="105"/>
      <c r="C45" s="373">
        <v>-9.1999999999999993</v>
      </c>
      <c r="D45" s="374"/>
      <c r="E45" s="90">
        <v>-9.8550000000000004</v>
      </c>
      <c r="F45" s="37">
        <f>IF('PERHITUNGAN 21'!$E$11="Burn Engr",'PERHITUNGAN 21'!E45,E45+('regresi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-9.8550000000000004</v>
      </c>
      <c r="G45" s="90">
        <f>F45-C45</f>
        <v>-0.65500000000000114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-9.1999999999999993</v>
      </c>
      <c r="D46" s="374"/>
      <c r="E46" s="90">
        <v>-9.8550000000000004</v>
      </c>
      <c r="F46" s="37">
        <f>IF('PERHITUNGAN 21'!$E$11="Burn Engr",'PERHITUNGAN 21'!E46,E46+('regresi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-9.8550000000000004</v>
      </c>
      <c r="G46" s="90">
        <f>F46-C46</f>
        <v>-0.65500000000000114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-9.1999999999999993</v>
      </c>
      <c r="D47" s="374"/>
      <c r="E47" s="90">
        <v>-9.8550000000000004</v>
      </c>
      <c r="F47" s="37">
        <f>IF('PERHITUNGAN 21'!$E$11="Burn Engr",'PERHITUNGAN 21'!E47,E47+('regresi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-9.8550000000000004</v>
      </c>
      <c r="G47" s="90">
        <f>F47-C47</f>
        <v>-0.65500000000000114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-9.1999999999999993</v>
      </c>
      <c r="D48" s="357"/>
      <c r="E48" s="95">
        <f>AVERAGE(E43:E47)</f>
        <v>-9.8542000000000005</v>
      </c>
      <c r="F48" s="95">
        <f>AVERAGE(F43:F47)</f>
        <v>-9.8542000000000005</v>
      </c>
      <c r="G48" s="95">
        <f>SUM(G43:G47)/5</f>
        <v>-0.65420000000000089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1.095445115010698E-3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4.8989794855679918E-4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>
        <v>0</v>
      </c>
      <c r="C51" s="373">
        <v>0.8</v>
      </c>
      <c r="D51" s="374"/>
      <c r="E51" s="90">
        <v>0.21</v>
      </c>
      <c r="F51" s="37">
        <f>IF('PERHITUNGAN 21'!$E$11="Burn Engr",'PERHITUNGAN 21'!E51,E51+('regresi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0.21</v>
      </c>
      <c r="G51" s="90">
        <f>F51-C51</f>
        <v>-0.59000000000000008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>
        <v>0.8</v>
      </c>
      <c r="D52" s="374"/>
      <c r="E52" s="90">
        <v>0.21</v>
      </c>
      <c r="F52" s="37">
        <f>IF('PERHITUNGAN 21'!$E$11="Burn Engr",'PERHITUNGAN 21'!E52,E52+('regresi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0.21</v>
      </c>
      <c r="G52" s="90">
        <f>F52-C52</f>
        <v>-0.59000000000000008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>
        <v>0.8</v>
      </c>
      <c r="D53" s="374"/>
      <c r="E53" s="90">
        <v>0.21</v>
      </c>
      <c r="F53" s="37">
        <f>IF('PERHITUNGAN 21'!$E$11="Burn Engr",'PERHITUNGAN 21'!E53,E53+('regresi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0.21</v>
      </c>
      <c r="G53" s="90">
        <f>F53-C53</f>
        <v>-0.59000000000000008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0.8</v>
      </c>
      <c r="D54" s="374"/>
      <c r="E54" s="90">
        <v>0.21</v>
      </c>
      <c r="F54" s="37">
        <f>IF('PERHITUNGAN 21'!$E$11="Burn Engr",'PERHITUNGAN 21'!E54,E54+('regresi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0.21</v>
      </c>
      <c r="G54" s="90">
        <f>F54-C54</f>
        <v>-0.59000000000000008</v>
      </c>
      <c r="H54" s="63"/>
      <c r="I54" s="63"/>
      <c r="AB54" s="1"/>
    </row>
    <row r="55" spans="1:28" ht="13.5" customHeight="1">
      <c r="A55" s="10"/>
      <c r="C55" s="373">
        <v>0.8</v>
      </c>
      <c r="D55" s="374"/>
      <c r="E55" s="90">
        <v>0.21</v>
      </c>
      <c r="F55" s="37">
        <f>IF('PERHITUNGAN 21'!$E$11="Burn Engr",'PERHITUNGAN 21'!E55,E55+('regresi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0.21</v>
      </c>
      <c r="G55" s="90">
        <f>F55-C55</f>
        <v>-0.59000000000000008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0.8</v>
      </c>
      <c r="D56" s="334"/>
      <c r="E56" s="95">
        <f>AVERAGE(E51:E55)</f>
        <v>0.21000000000000002</v>
      </c>
      <c r="F56" s="95">
        <f t="shared" ref="F56" si="3">AVERAGE(F51:F55)</f>
        <v>0.21000000000000002</v>
      </c>
      <c r="G56" s="95">
        <f>SUM(G51:G55)/5</f>
        <v>-0.59000000000000008</v>
      </c>
      <c r="H56" s="63"/>
      <c r="I56" s="63"/>
      <c r="N56" s="390"/>
      <c r="O56" s="115">
        <f>C48</f>
        <v>-9.1999999999999993</v>
      </c>
      <c r="P56" s="115">
        <f>C56</f>
        <v>0.8</v>
      </c>
      <c r="Q56" s="115">
        <f>C64</f>
        <v>25.3</v>
      </c>
      <c r="R56" s="115">
        <f>C72</f>
        <v>50</v>
      </c>
      <c r="S56" s="115">
        <f>C80</f>
        <v>98.5</v>
      </c>
      <c r="T56" s="115">
        <f>C88</f>
        <v>125.7</v>
      </c>
      <c r="U56" s="115">
        <f>C96</f>
        <v>149.9</v>
      </c>
      <c r="V56" s="115">
        <f>C104</f>
        <v>200.7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0</v>
      </c>
      <c r="H57" s="44"/>
      <c r="I57" s="63"/>
      <c r="N57" s="25" t="s">
        <v>152</v>
      </c>
      <c r="O57" s="112">
        <f>$G$49/5^0.5</f>
        <v>4.8989794855679918E-4</v>
      </c>
      <c r="P57" s="112">
        <f>$G$57/5^0.5</f>
        <v>0</v>
      </c>
      <c r="Q57" s="112">
        <f>$G$65/5^0.5</f>
        <v>0</v>
      </c>
      <c r="R57" s="112">
        <f>$G$73/5^0.5</f>
        <v>2.449489742777469E-4</v>
      </c>
      <c r="S57" s="112">
        <f>$G$81/5^0.5</f>
        <v>0</v>
      </c>
      <c r="T57" s="112">
        <f>$G$89/5^0.5</f>
        <v>0</v>
      </c>
      <c r="U57" s="112">
        <f>$G$97/5^0.5</f>
        <v>4.8989794855201297E-4</v>
      </c>
      <c r="V57" s="112">
        <f>$G$105/5^0.5</f>
        <v>0</v>
      </c>
      <c r="W57" s="112">
        <f>$G$113/5^0.5</f>
        <v>0</v>
      </c>
      <c r="X57" s="112">
        <f>$G$121/5^0.5</f>
        <v>0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0</v>
      </c>
      <c r="H58" s="44"/>
      <c r="I58" s="63"/>
      <c r="N58" s="25" t="s">
        <v>153</v>
      </c>
      <c r="O58" s="113">
        <f>IF('DRAFT-SERTIF'!$O$27="Ya",'REGRESI 21'!$C$36,0)</f>
        <v>0.26893484904419435</v>
      </c>
      <c r="P58" s="113">
        <f>IF('DRAFT-SERTIF'!$O$27="Ya",'REGRESI 21'!$C$36,0)</f>
        <v>0.26893484904419435</v>
      </c>
      <c r="Q58" s="113">
        <f>IF('DRAFT-SERTIF'!$O$27="Ya",'REGRESI 21'!$C$36,0)</f>
        <v>0.26893484904419435</v>
      </c>
      <c r="R58" s="113">
        <f>IF('DRAFT-SERTIF'!$O$27="Ya",'REGRESI 21'!$C$36,0)</f>
        <v>0.26893484904419435</v>
      </c>
      <c r="S58" s="113">
        <f>IF('DRAFT-SERTIF'!$O$27="Ya",'REGRESI 21'!$C$36,0)</f>
        <v>0.26893484904419435</v>
      </c>
      <c r="T58" s="113">
        <f>IF('DRAFT-SERTIF'!$O$27="Ya",'REGRESI 21'!$C$36,0)</f>
        <v>0.26893484904419435</v>
      </c>
      <c r="U58" s="113">
        <f>IF('DRAFT-SERTIF'!$O$27="Ya",'REGRESI 21'!$C$36,0)</f>
        <v>0.26893484904419435</v>
      </c>
      <c r="V58" s="113">
        <f>IF('DRAFT-SERTIF'!$O$27="Ya",'REGRESI 21'!$C$36,0)</f>
        <v>0.26893484904419435</v>
      </c>
      <c r="W58" s="113">
        <f>IF('DRAFT-SERTIF'!$O$27="Ya",'REGRESI 21'!$C$36,0)</f>
        <v>0.26893484904419435</v>
      </c>
      <c r="X58" s="113">
        <f>IF('DRAFT-SERTIF'!$O$27="Ya",'REGRESI 21'!$C$36,0)</f>
        <v>0.26893484904419435</v>
      </c>
      <c r="AB58" s="1"/>
    </row>
    <row r="59" spans="1:28" ht="13.5" customHeight="1">
      <c r="A59" s="105">
        <v>3</v>
      </c>
      <c r="B59" s="196">
        <v>25</v>
      </c>
      <c r="C59" s="327">
        <v>25.3</v>
      </c>
      <c r="D59" s="327"/>
      <c r="E59" s="15">
        <v>25.364000000000001</v>
      </c>
      <c r="F59" s="37">
        <f>IF('PERHITUNGAN 21'!$E$11="Burn Engr",'PERHITUNGAN 21'!E59,E59+('regresi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25.364000000000001</v>
      </c>
      <c r="G59" s="90">
        <f>F59-C59</f>
        <v>6.4000000000000057E-2</v>
      </c>
      <c r="H59" s="63"/>
      <c r="I59" s="63"/>
      <c r="N59" s="25" t="s">
        <v>154</v>
      </c>
      <c r="O59" s="91">
        <f t="shared" ref="O59:X59" si="4">O40</f>
        <v>0.01</v>
      </c>
      <c r="P59" s="91">
        <f t="shared" si="4"/>
        <v>3.5000000000000003E-2</v>
      </c>
      <c r="Q59" s="91">
        <f t="shared" si="4"/>
        <v>3.5000000000000003E-2</v>
      </c>
      <c r="R59" s="91">
        <f t="shared" si="4"/>
        <v>3.5000000000000003E-2</v>
      </c>
      <c r="S59" s="91">
        <f t="shared" si="4"/>
        <v>3.5000000000000003E-2</v>
      </c>
      <c r="T59" s="91">
        <f t="shared" si="4"/>
        <v>3.5000000000000003E-2</v>
      </c>
      <c r="U59" s="91">
        <f t="shared" si="4"/>
        <v>3.5000000000000003E-2</v>
      </c>
      <c r="V59" s="91">
        <f t="shared" si="4"/>
        <v>3.5000000000000003E-2</v>
      </c>
      <c r="W59" s="91">
        <f t="shared" si="4"/>
        <v>0.01</v>
      </c>
      <c r="X59" s="91">
        <f t="shared" si="4"/>
        <v>0.01</v>
      </c>
    </row>
    <row r="60" spans="1:28">
      <c r="A60" s="10"/>
      <c r="C60" s="327">
        <v>25.3</v>
      </c>
      <c r="D60" s="327"/>
      <c r="E60" s="15">
        <v>25.364000000000001</v>
      </c>
      <c r="F60" s="37">
        <f>IF('PERHITUNGAN 21'!$E$11="Burn Engr",'PERHITUNGAN 21'!E60,E60+('regresi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25.364000000000001</v>
      </c>
      <c r="G60" s="90">
        <f>F60-C60</f>
        <v>6.4000000000000057E-2</v>
      </c>
      <c r="H60" s="63"/>
      <c r="I60" s="63"/>
      <c r="N60" s="133" t="s">
        <v>155</v>
      </c>
      <c r="O60" s="134">
        <f>'PERHITUNGAN 13'!O61</f>
        <v>1.5000000000000003E-2</v>
      </c>
      <c r="P60" s="134">
        <f>'PERHITUNGAN 13'!P61</f>
        <v>0.01</v>
      </c>
      <c r="Q60" s="134">
        <f>'PERHITUNGAN 13'!Q61</f>
        <v>5.0000000000000001E-3</v>
      </c>
      <c r="R60" s="134">
        <f>'PERHITUNGAN 13'!R61</f>
        <v>1.4999999999999999E-2</v>
      </c>
      <c r="S60" s="134">
        <f>'PERHITUNGAN 13'!S61</f>
        <v>5.0000000000000001E-3</v>
      </c>
      <c r="T60" s="134">
        <f>'PERHITUNGAN 13'!T61</f>
        <v>0.05</v>
      </c>
      <c r="U60" s="134">
        <f>'PERHITUNGAN 13'!U61</f>
        <v>0.05</v>
      </c>
      <c r="V60" s="134">
        <f>'PERHITUNGAN 13'!V61</f>
        <v>1.5000000000000003E-2</v>
      </c>
      <c r="W60" s="134">
        <f>'PERHITUNGAN 13'!W61</f>
        <v>1.4999999999999999E-2</v>
      </c>
      <c r="X60" s="134">
        <f>'PERHITUNGAN 13'!X61</f>
        <v>1.4999999999999999E-2</v>
      </c>
    </row>
    <row r="61" spans="1:28">
      <c r="A61" s="10"/>
      <c r="C61" s="327">
        <v>25.3</v>
      </c>
      <c r="D61" s="327"/>
      <c r="E61" s="15">
        <v>25.364000000000001</v>
      </c>
      <c r="F61" s="37">
        <f>IF('PERHITUNGAN 21'!$E$11="Burn Engr",'PERHITUNGAN 21'!E61,E61+('regresi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25.364000000000001</v>
      </c>
      <c r="G61" s="90">
        <f>F61-C61</f>
        <v>6.4000000000000057E-2</v>
      </c>
      <c r="H61" s="63"/>
      <c r="I61" s="63"/>
      <c r="N61" s="25" t="s">
        <v>156</v>
      </c>
      <c r="O61" s="114">
        <f>(0.1*O38)/SQRT(3)</f>
        <v>1.1547005383792516E-3</v>
      </c>
      <c r="P61" s="114">
        <f t="shared" ref="P61:X61" si="5">(0.1*P38)/SQRT(3)</f>
        <v>4.041451884327381E-3</v>
      </c>
      <c r="Q61" s="114">
        <f t="shared" si="5"/>
        <v>4.041451884327381E-3</v>
      </c>
      <c r="R61" s="114">
        <f t="shared" si="5"/>
        <v>4.041451884327381E-3</v>
      </c>
      <c r="S61" s="114">
        <f t="shared" si="5"/>
        <v>4.041451884327381E-3</v>
      </c>
      <c r="T61" s="114">
        <f t="shared" si="5"/>
        <v>4.041451884327381E-3</v>
      </c>
      <c r="U61" s="114">
        <f t="shared" si="5"/>
        <v>4.041451884327381E-3</v>
      </c>
      <c r="V61" s="114">
        <f t="shared" si="5"/>
        <v>4.041451884327381E-3</v>
      </c>
      <c r="W61" s="114">
        <f t="shared" si="5"/>
        <v>1.1547005383792516E-3</v>
      </c>
      <c r="X61" s="114">
        <f t="shared" si="5"/>
        <v>1.1547005383792516E-3</v>
      </c>
    </row>
    <row r="62" spans="1:28">
      <c r="A62" s="10"/>
      <c r="C62" s="327">
        <v>25.3</v>
      </c>
      <c r="D62" s="327"/>
      <c r="E62" s="15">
        <v>25.364000000000001</v>
      </c>
      <c r="F62" s="37">
        <f>IF('PERHITUNGAN 21'!$E$11="Burn Engr",'PERHITUNGAN 21'!E62,E62+('regresi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25.364000000000001</v>
      </c>
      <c r="G62" s="90">
        <f>F62-C62</f>
        <v>6.4000000000000057E-2</v>
      </c>
      <c r="H62" s="63"/>
      <c r="I62" s="63"/>
      <c r="N62" s="25" t="s">
        <v>157</v>
      </c>
      <c r="O62" s="114">
        <f t="shared" ref="O62:X62" si="6">$T$28</f>
        <v>2.886751345948129E-3</v>
      </c>
      <c r="P62" s="114">
        <f t="shared" si="6"/>
        <v>2.886751345948129E-3</v>
      </c>
      <c r="Q62" s="114">
        <f t="shared" si="6"/>
        <v>2.886751345948129E-3</v>
      </c>
      <c r="R62" s="114">
        <f t="shared" si="6"/>
        <v>2.886751345948129E-3</v>
      </c>
      <c r="S62" s="114">
        <f t="shared" si="6"/>
        <v>2.886751345948129E-3</v>
      </c>
      <c r="T62" s="114">
        <f t="shared" si="6"/>
        <v>2.886751345948129E-3</v>
      </c>
      <c r="U62" s="114">
        <f t="shared" si="6"/>
        <v>2.886751345948129E-3</v>
      </c>
      <c r="V62" s="114">
        <f t="shared" si="6"/>
        <v>2.886751345948129E-3</v>
      </c>
      <c r="W62" s="114">
        <f t="shared" si="6"/>
        <v>2.886751345948129E-3</v>
      </c>
      <c r="X62" s="114">
        <f t="shared" si="6"/>
        <v>2.886751345948129E-3</v>
      </c>
    </row>
    <row r="63" spans="1:28">
      <c r="A63" s="10"/>
      <c r="C63" s="327">
        <v>25.3</v>
      </c>
      <c r="D63" s="327"/>
      <c r="E63" s="15">
        <v>25.364000000000001</v>
      </c>
      <c r="F63" s="37">
        <f>IF('PERHITUNGAN 21'!$E$11="Burn Engr",'PERHITUNGAN 21'!E63,E63+('regresi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25.364000000000001</v>
      </c>
      <c r="G63" s="90">
        <f>F63-C63</f>
        <v>6.4000000000000057E-2</v>
      </c>
      <c r="H63" s="63"/>
      <c r="I63" s="63"/>
      <c r="N63" s="25" t="s">
        <v>158</v>
      </c>
      <c r="O63" s="114">
        <f t="shared" ref="O63:X63" si="7">$T$26</f>
        <v>2.886751345948129E-4</v>
      </c>
      <c r="P63" s="114">
        <f t="shared" si="7"/>
        <v>2.886751345948129E-4</v>
      </c>
      <c r="Q63" s="114">
        <f t="shared" si="7"/>
        <v>2.886751345948129E-4</v>
      </c>
      <c r="R63" s="114">
        <f t="shared" si="7"/>
        <v>2.886751345948129E-4</v>
      </c>
      <c r="S63" s="114">
        <f t="shared" si="7"/>
        <v>2.886751345948129E-4</v>
      </c>
      <c r="T63" s="114">
        <f t="shared" si="7"/>
        <v>2.886751345948129E-4</v>
      </c>
      <c r="U63" s="114">
        <f t="shared" si="7"/>
        <v>2.886751345948129E-4</v>
      </c>
      <c r="V63" s="114">
        <f t="shared" si="7"/>
        <v>2.886751345948129E-4</v>
      </c>
      <c r="W63" s="114">
        <f t="shared" si="7"/>
        <v>2.886751345948129E-4</v>
      </c>
      <c r="X63" s="114">
        <f t="shared" si="7"/>
        <v>2.886751345948129E-4</v>
      </c>
    </row>
    <row r="64" spans="1:28">
      <c r="A64" s="10"/>
      <c r="B64" s="8" t="s">
        <v>31</v>
      </c>
      <c r="C64" s="333">
        <f>AVERAGE(C59:D63)</f>
        <v>25.3</v>
      </c>
      <c r="D64" s="334"/>
      <c r="E64" s="95">
        <f>AVERAGE(E59:E63)</f>
        <v>25.364000000000001</v>
      </c>
      <c r="F64" s="95">
        <f t="shared" ref="F64" si="8">AVERAGE(F59:F63)</f>
        <v>25.364000000000001</v>
      </c>
      <c r="G64" s="95">
        <f>SUM(G59:G63)/5</f>
        <v>6.4000000000000057E-2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9">10^10</f>
        <v>10000000000</v>
      </c>
      <c r="Q66" s="53">
        <f t="shared" si="9"/>
        <v>10000000000</v>
      </c>
      <c r="R66" s="53">
        <f t="shared" si="9"/>
        <v>10000000000</v>
      </c>
      <c r="S66" s="53">
        <f t="shared" si="9"/>
        <v>10000000000</v>
      </c>
      <c r="T66" s="53">
        <f t="shared" si="9"/>
        <v>10000000000</v>
      </c>
      <c r="U66" s="53">
        <f t="shared" si="9"/>
        <v>10000000000</v>
      </c>
      <c r="V66" s="53">
        <f t="shared" si="9"/>
        <v>10000000000</v>
      </c>
      <c r="W66" s="53">
        <f t="shared" si="9"/>
        <v>10000000000</v>
      </c>
      <c r="X66" s="53">
        <f t="shared" si="9"/>
        <v>10000000000</v>
      </c>
    </row>
    <row r="67" spans="1:28">
      <c r="A67" s="105">
        <v>4</v>
      </c>
      <c r="B67" s="196">
        <v>50</v>
      </c>
      <c r="C67" s="327">
        <v>50</v>
      </c>
      <c r="D67" s="327"/>
      <c r="E67" s="90">
        <v>50.478999999999999</v>
      </c>
      <c r="F67" s="37">
        <f>IF('PERHITUNGAN 21'!$E$11="Burn Engr",'PERHITUNGAN 21'!E67,E67+('regresi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50.478999999999999</v>
      </c>
      <c r="G67" s="90">
        <f>F67-C67</f>
        <v>0.4789999999999992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50</v>
      </c>
      <c r="D68" s="327"/>
      <c r="E68" s="90">
        <v>50.478999999999999</v>
      </c>
      <c r="F68" s="37">
        <f>IF('PERHITUNGAN 21'!$E$11="Burn Engr",'PERHITUNGAN 21'!E68,E68+('regresi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50.478999999999999</v>
      </c>
      <c r="G68" s="90">
        <f>F68-C68</f>
        <v>0.4789999999999992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50</v>
      </c>
      <c r="D69" s="327"/>
      <c r="E69" s="90">
        <v>50.48</v>
      </c>
      <c r="F69" s="37">
        <f>IF('PERHITUNGAN 21'!$E$11="Burn Engr",'PERHITUNGAN 21'!E69,E69+('regresi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50.48</v>
      </c>
      <c r="G69" s="90">
        <f>F69-C69</f>
        <v>0.47999999999999687</v>
      </c>
      <c r="H69" s="63"/>
      <c r="I69" s="63"/>
      <c r="N69" s="25" t="s">
        <v>163</v>
      </c>
      <c r="O69" s="53">
        <f t="shared" ref="O69:X71" si="10">10^10</f>
        <v>10000000000</v>
      </c>
      <c r="P69" s="53">
        <f t="shared" si="10"/>
        <v>10000000000</v>
      </c>
      <c r="Q69" s="53">
        <f t="shared" si="10"/>
        <v>10000000000</v>
      </c>
      <c r="R69" s="53">
        <f t="shared" si="10"/>
        <v>10000000000</v>
      </c>
      <c r="S69" s="53">
        <f t="shared" si="10"/>
        <v>10000000000</v>
      </c>
      <c r="T69" s="53">
        <f t="shared" si="10"/>
        <v>10000000000</v>
      </c>
      <c r="U69" s="53">
        <f t="shared" si="10"/>
        <v>10000000000</v>
      </c>
      <c r="V69" s="53">
        <f t="shared" si="10"/>
        <v>10000000000</v>
      </c>
      <c r="W69" s="53">
        <f t="shared" si="10"/>
        <v>10000000000</v>
      </c>
      <c r="X69" s="53">
        <f t="shared" si="10"/>
        <v>10000000000</v>
      </c>
      <c r="AB69" s="1"/>
    </row>
    <row r="70" spans="1:28">
      <c r="A70" s="10"/>
      <c r="C70" s="327">
        <v>50</v>
      </c>
      <c r="D70" s="327"/>
      <c r="E70" s="90">
        <v>50.48</v>
      </c>
      <c r="F70" s="37">
        <f>IF('PERHITUNGAN 21'!$E$11="Burn Engr",'PERHITUNGAN 21'!E70,E70+('regresi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50.48</v>
      </c>
      <c r="G70" s="90">
        <f>F70-C70</f>
        <v>0.47999999999999687</v>
      </c>
      <c r="H70" s="63"/>
      <c r="I70" s="63"/>
      <c r="N70" s="25" t="s">
        <v>164</v>
      </c>
      <c r="O70" s="53">
        <f t="shared" si="10"/>
        <v>10000000000</v>
      </c>
      <c r="P70" s="53">
        <f t="shared" si="10"/>
        <v>10000000000</v>
      </c>
      <c r="Q70" s="53">
        <f t="shared" si="10"/>
        <v>10000000000</v>
      </c>
      <c r="R70" s="53">
        <f t="shared" si="10"/>
        <v>10000000000</v>
      </c>
      <c r="S70" s="53">
        <f t="shared" si="10"/>
        <v>10000000000</v>
      </c>
      <c r="T70" s="53">
        <f t="shared" si="10"/>
        <v>10000000000</v>
      </c>
      <c r="U70" s="53">
        <f t="shared" si="10"/>
        <v>10000000000</v>
      </c>
      <c r="V70" s="53">
        <f t="shared" si="10"/>
        <v>10000000000</v>
      </c>
      <c r="W70" s="53">
        <f t="shared" si="10"/>
        <v>10000000000</v>
      </c>
      <c r="X70" s="53">
        <f t="shared" si="10"/>
        <v>10000000000</v>
      </c>
      <c r="AB70" s="1"/>
    </row>
    <row r="71" spans="1:28">
      <c r="A71" s="10"/>
      <c r="C71" s="327">
        <v>50</v>
      </c>
      <c r="D71" s="327"/>
      <c r="E71" s="90">
        <v>50.48</v>
      </c>
      <c r="F71" s="37">
        <f>IF('PERHITUNGAN 21'!$E$11="Burn Engr",'PERHITUNGAN 21'!E71,E71+('regresi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50.48</v>
      </c>
      <c r="G71" s="90">
        <f>F71-C71</f>
        <v>0.47999999999999687</v>
      </c>
      <c r="H71" s="63"/>
      <c r="I71" s="63"/>
      <c r="N71" s="25" t="s">
        <v>165</v>
      </c>
      <c r="O71" s="53">
        <f t="shared" si="10"/>
        <v>10000000000</v>
      </c>
      <c r="P71" s="53">
        <f t="shared" si="10"/>
        <v>10000000000</v>
      </c>
      <c r="Q71" s="53">
        <f t="shared" si="10"/>
        <v>10000000000</v>
      </c>
      <c r="R71" s="53">
        <f t="shared" si="10"/>
        <v>10000000000</v>
      </c>
      <c r="S71" s="53">
        <f t="shared" si="10"/>
        <v>10000000000</v>
      </c>
      <c r="T71" s="53">
        <f t="shared" si="10"/>
        <v>10000000000</v>
      </c>
      <c r="U71" s="53">
        <f t="shared" si="10"/>
        <v>10000000000</v>
      </c>
      <c r="V71" s="53">
        <f t="shared" si="10"/>
        <v>10000000000</v>
      </c>
      <c r="W71" s="53">
        <f t="shared" si="10"/>
        <v>10000000000</v>
      </c>
      <c r="X71" s="53">
        <f t="shared" si="10"/>
        <v>10000000000</v>
      </c>
      <c r="AB71" s="1"/>
    </row>
    <row r="72" spans="1:28">
      <c r="A72" s="10"/>
      <c r="B72" s="8" t="s">
        <v>31</v>
      </c>
      <c r="C72" s="333">
        <f>AVERAGE(C67:D71)</f>
        <v>50</v>
      </c>
      <c r="D72" s="334"/>
      <c r="E72" s="95">
        <f>AVERAGE(E67:E71)</f>
        <v>50.479599999999991</v>
      </c>
      <c r="F72" s="95">
        <f t="shared" ref="F72" si="11">AVERAGE(F67:F71)</f>
        <v>50.479599999999991</v>
      </c>
      <c r="G72" s="95">
        <f>SUM(G67:G71)/5</f>
        <v>0.47959999999999781</v>
      </c>
      <c r="H72" s="63"/>
      <c r="I72" s="63"/>
      <c r="N72" s="111" t="s">
        <v>168</v>
      </c>
      <c r="O72" s="118">
        <f>SQRT((O57^2)+(O58^2)+(O59^2)+(O60^2)+(O61^2)+(O62^2)+(O63^2))</f>
        <v>0.26955693838301326</v>
      </c>
      <c r="P72" s="118">
        <f t="shared" ref="P72:X72" si="12">SQRT((P57^2)+(P58^2)+(P59^2)+(P60^2)+(P61^2)+(P62^2)+(P63^2))</f>
        <v>0.27143268600230075</v>
      </c>
      <c r="Q72" s="118">
        <f t="shared" si="12"/>
        <v>0.27129449502417774</v>
      </c>
      <c r="R72" s="118">
        <f t="shared" si="12"/>
        <v>0.27166295851739447</v>
      </c>
      <c r="S72" s="118">
        <f t="shared" si="12"/>
        <v>0.27129449502417774</v>
      </c>
      <c r="T72" s="118">
        <f t="shared" si="12"/>
        <v>0.27581824274406436</v>
      </c>
      <c r="U72" s="118">
        <f t="shared" si="12"/>
        <v>0.27581867781284064</v>
      </c>
      <c r="V72" s="118">
        <f t="shared" si="12"/>
        <v>0.27166284808641683</v>
      </c>
      <c r="W72" s="118">
        <f t="shared" si="12"/>
        <v>0.26955649320768293</v>
      </c>
      <c r="X72" s="118">
        <f t="shared" si="12"/>
        <v>0.26955649320768293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5.4772255750388957E-4</v>
      </c>
      <c r="H73" s="63"/>
      <c r="I73" s="63"/>
      <c r="N73" s="119" t="s">
        <v>167</v>
      </c>
      <c r="O73" s="120">
        <f>(O72^4)/((O57^4/O65)+(O58^4/O66)+(O59^4/O67)+(O60^4/O68)+(O61^4/O69)+(O62^4/O70)+(O63^4/O71))</f>
        <v>5222405.5188706955</v>
      </c>
      <c r="P73" s="120">
        <f t="shared" ref="P73:X73" si="13">(P72^4)/((P57^4/P65)+(P58^4/P66)+(P59^4/P67)+(P60^4/P68)+(P61^4/P69)+(P62^4/P70)+(P63^4/P71))</f>
        <v>215592.7423226402</v>
      </c>
      <c r="Q73" s="120">
        <f t="shared" si="13"/>
        <v>216497.59476697948</v>
      </c>
      <c r="R73" s="120">
        <f t="shared" si="13"/>
        <v>210660.13487338566</v>
      </c>
      <c r="S73" s="120">
        <f t="shared" si="13"/>
        <v>216497.59476697948</v>
      </c>
      <c r="T73" s="120">
        <f t="shared" si="13"/>
        <v>44802.754526681347</v>
      </c>
      <c r="U73" s="120">
        <f t="shared" si="13"/>
        <v>44803.032215921572</v>
      </c>
      <c r="V73" s="120">
        <f t="shared" si="13"/>
        <v>210659.79967331485</v>
      </c>
      <c r="W73" s="120">
        <f t="shared" si="13"/>
        <v>5222445.4079378573</v>
      </c>
      <c r="X73" s="120">
        <f t="shared" si="13"/>
        <v>5222445.4079378573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2.449489742777469E-4</v>
      </c>
      <c r="H74" s="63"/>
      <c r="I74" s="63"/>
      <c r="L74" s="22"/>
      <c r="N74" s="122" t="s">
        <v>7</v>
      </c>
      <c r="O74" s="123">
        <f>_xlfn.T.INV.2T(0.05,O73)</f>
        <v>1.9599644388618289</v>
      </c>
      <c r="P74" s="123">
        <f t="shared" ref="P74:X74" si="14">_xlfn.T.INV.2T(0.05,P73)</f>
        <v>1.9599749881278536</v>
      </c>
      <c r="Q74" s="123">
        <f t="shared" si="14"/>
        <v>1.959974942124725</v>
      </c>
      <c r="R74" s="123">
        <f t="shared" si="14"/>
        <v>1.9599752457462929</v>
      </c>
      <c r="S74" s="123">
        <f t="shared" si="14"/>
        <v>1.959974942124725</v>
      </c>
      <c r="T74" s="123">
        <f t="shared" si="14"/>
        <v>1.9600169360646802</v>
      </c>
      <c r="U74" s="123">
        <f t="shared" si="14"/>
        <v>1.9600169348823846</v>
      </c>
      <c r="V74" s="123">
        <f t="shared" si="14"/>
        <v>1.9599752457919193</v>
      </c>
      <c r="W74" s="123">
        <f t="shared" si="14"/>
        <v>1.9599644388602098</v>
      </c>
      <c r="X74" s="123">
        <f t="shared" si="14"/>
        <v>1.9599644388602098</v>
      </c>
      <c r="Z74" s="124"/>
      <c r="AB74" s="1"/>
    </row>
    <row r="75" spans="1:28">
      <c r="A75" s="105">
        <v>5</v>
      </c>
      <c r="B75" s="196">
        <v>100</v>
      </c>
      <c r="C75" s="327">
        <v>98.5</v>
      </c>
      <c r="D75" s="327"/>
      <c r="E75" s="90">
        <v>99.215000000000003</v>
      </c>
      <c r="F75" s="37">
        <f>IF('PERHITUNGAN 21'!$E$11="Burn Engr",'PERHITUNGAN 21'!E75,E75+('regresi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99.215000000000003</v>
      </c>
      <c r="G75" s="90">
        <f>F75-C75</f>
        <v>0.71500000000000341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98.5</v>
      </c>
      <c r="D76" s="327"/>
      <c r="E76" s="90">
        <v>99.215000000000003</v>
      </c>
      <c r="F76" s="37">
        <f>IF('PERHITUNGAN 21'!$E$11="Burn Engr",'PERHITUNGAN 21'!E76,E76+('regresi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99.215000000000003</v>
      </c>
      <c r="G76" s="90">
        <f>F76-C76</f>
        <v>0.71500000000000341</v>
      </c>
      <c r="H76" s="63"/>
      <c r="I76" s="63"/>
      <c r="N76" s="111" t="s">
        <v>166</v>
      </c>
      <c r="O76" s="121">
        <f t="shared" ref="O76:X76" si="15">O72*O74</f>
        <v>0.52832201347917518</v>
      </c>
      <c r="P76" s="121">
        <f t="shared" si="15"/>
        <v>0.53200127552487086</v>
      </c>
      <c r="Q76" s="121">
        <f t="shared" si="15"/>
        <v>0.53173041218376926</v>
      </c>
      <c r="R76" s="121">
        <f t="shared" si="15"/>
        <v>0.53245267388029516</v>
      </c>
      <c r="S76" s="121">
        <f t="shared" si="15"/>
        <v>0.53173041218376926</v>
      </c>
      <c r="T76" s="121">
        <f t="shared" si="15"/>
        <v>0.54060842705396528</v>
      </c>
      <c r="U76" s="121">
        <f t="shared" si="15"/>
        <v>0.5406092794700359</v>
      </c>
      <c r="V76" s="121">
        <f t="shared" si="15"/>
        <v>0.53245245745070768</v>
      </c>
      <c r="W76" s="121">
        <f t="shared" si="15"/>
        <v>0.5283211409509222</v>
      </c>
      <c r="X76" s="121">
        <f t="shared" si="15"/>
        <v>0.5283211409509222</v>
      </c>
      <c r="AB76" s="1"/>
    </row>
    <row r="77" spans="1:28">
      <c r="A77" s="10"/>
      <c r="C77" s="327">
        <v>98.5</v>
      </c>
      <c r="D77" s="327"/>
      <c r="E77" s="90">
        <v>99.215000000000003</v>
      </c>
      <c r="F77" s="37">
        <f>IF('PERHITUNGAN 21'!$E$11="Burn Engr",'PERHITUNGAN 21'!E77,E77+('regresi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99.215000000000003</v>
      </c>
      <c r="G77" s="90">
        <f>F77-C77</f>
        <v>0.71500000000000341</v>
      </c>
      <c r="H77" s="63"/>
      <c r="I77" s="63"/>
      <c r="AB77" s="1"/>
    </row>
    <row r="78" spans="1:28">
      <c r="A78" s="10"/>
      <c r="C78" s="327">
        <v>98.5</v>
      </c>
      <c r="D78" s="327"/>
      <c r="E78" s="90">
        <v>99.215000000000003</v>
      </c>
      <c r="F78" s="37">
        <f>IF('PERHITUNGAN 21'!$E$11="Burn Engr",'PERHITUNGAN 21'!E78,E78+('regresi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99.215000000000003</v>
      </c>
      <c r="G78" s="90">
        <f>F78-C78</f>
        <v>0.71500000000000341</v>
      </c>
      <c r="H78" s="26"/>
      <c r="I78" s="26"/>
      <c r="AB78" s="1"/>
    </row>
    <row r="79" spans="1:28">
      <c r="A79" s="10"/>
      <c r="C79" s="327">
        <v>98.5</v>
      </c>
      <c r="D79" s="327"/>
      <c r="E79" s="90">
        <v>99.215000000000003</v>
      </c>
      <c r="F79" s="37">
        <f>IF('PERHITUNGAN 21'!$E$11="Burn Engr",'PERHITUNGAN 21'!E79,E79+('regresi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99.215000000000003</v>
      </c>
      <c r="G79" s="90">
        <f>F79-C79</f>
        <v>0.71500000000000341</v>
      </c>
      <c r="AB79" s="1"/>
    </row>
    <row r="80" spans="1:28">
      <c r="A80" s="10"/>
      <c r="B80" s="8" t="s">
        <v>31</v>
      </c>
      <c r="C80" s="333">
        <f>AVERAGE(C75:D79)</f>
        <v>98.5</v>
      </c>
      <c r="D80" s="334"/>
      <c r="E80" s="95">
        <f>AVERAGE(E75:E79)</f>
        <v>99.215000000000003</v>
      </c>
      <c r="F80" s="95">
        <f t="shared" ref="F80" si="16">AVERAGE(F75:F79)</f>
        <v>99.215000000000003</v>
      </c>
      <c r="G80" s="95">
        <f>SUM(G75:G79)/5</f>
        <v>0.71500000000000341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125</v>
      </c>
      <c r="C83" s="327">
        <v>125.7</v>
      </c>
      <c r="D83" s="327"/>
      <c r="E83" s="90">
        <v>125.41800000000001</v>
      </c>
      <c r="F83" s="37">
        <f>IF('PERHITUNGAN 21'!$E$11="Burn Engr",'PERHITUNGAN 21'!E83,E83+('regresi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125.41800000000001</v>
      </c>
      <c r="G83" s="40">
        <f>F83-C83</f>
        <v>-0.28199999999999648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125.7</v>
      </c>
      <c r="D84" s="327"/>
      <c r="E84" s="90">
        <v>125.41800000000001</v>
      </c>
      <c r="F84" s="37">
        <f>IF('PERHITUNGAN 21'!$E$11="Burn Engr",'PERHITUNGAN 21'!E84,E84+('regresi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125.41800000000001</v>
      </c>
      <c r="G84" s="40">
        <f>F84-C84</f>
        <v>-0.28199999999999648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125.7</v>
      </c>
      <c r="D85" s="327"/>
      <c r="E85" s="90">
        <v>125.41800000000001</v>
      </c>
      <c r="F85" s="37">
        <f>IF('PERHITUNGAN 21'!$E$11="Burn Engr",'PERHITUNGAN 21'!E85,E85+('regresi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125.41800000000001</v>
      </c>
      <c r="G85" s="40">
        <f>F85-C85</f>
        <v>-0.28199999999999648</v>
      </c>
      <c r="H85" s="26"/>
      <c r="I85" s="26"/>
      <c r="N85" s="93">
        <f>O56</f>
        <v>-9.1999999999999993</v>
      </c>
      <c r="O85" s="403">
        <f>G48</f>
        <v>-0.65420000000000089</v>
      </c>
      <c r="P85" s="404"/>
      <c r="Q85" s="387">
        <f t="shared" ref="Q85:Q94" si="17">N85+O85</f>
        <v>-9.8542000000000005</v>
      </c>
      <c r="R85" s="405"/>
      <c r="S85" s="138" t="s">
        <v>35</v>
      </c>
      <c r="T85" s="94">
        <f>IF(N85&lt;$AA$97,MAX($O$97,O76),IF(N85&lt;$AA$98,MAX($O$98,O76),MAX($O$99,O76)))</f>
        <v>0.52832201347917518</v>
      </c>
      <c r="AB85" s="1"/>
    </row>
    <row r="86" spans="1:28">
      <c r="A86" s="10"/>
      <c r="C86" s="327">
        <v>125.7</v>
      </c>
      <c r="D86" s="327"/>
      <c r="E86" s="90">
        <v>125.41800000000001</v>
      </c>
      <c r="F86" s="37">
        <f>IF('PERHITUNGAN 21'!$E$11="Burn Engr",'PERHITUNGAN 21'!E86,E86+('regresi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125.41800000000001</v>
      </c>
      <c r="G86" s="40">
        <f>F86-C86</f>
        <v>-0.28199999999999648</v>
      </c>
      <c r="H86" s="63"/>
      <c r="I86" s="63"/>
      <c r="N86" s="93">
        <f>P56</f>
        <v>0.8</v>
      </c>
      <c r="O86" s="403">
        <f>G56</f>
        <v>-0.59000000000000008</v>
      </c>
      <c r="P86" s="404"/>
      <c r="Q86" s="406">
        <f t="shared" si="17"/>
        <v>0.20999999999999996</v>
      </c>
      <c r="R86" s="407"/>
      <c r="S86" s="138" t="s">
        <v>35</v>
      </c>
      <c r="T86" s="94">
        <f>IF(N86&lt;$AA$97,MAX($O$97,P76),IF(N86&lt;$AA$98,MAX($O$98,P76),MAX($O$99,P76)))</f>
        <v>0.53200127552487086</v>
      </c>
      <c r="AB86" s="1"/>
    </row>
    <row r="87" spans="1:28">
      <c r="A87" s="10"/>
      <c r="C87" s="327">
        <v>125.7</v>
      </c>
      <c r="D87" s="327"/>
      <c r="E87" s="90">
        <v>125.41800000000001</v>
      </c>
      <c r="F87" s="37">
        <f>IF('PERHITUNGAN 21'!$E$11="Burn Engr",'PERHITUNGAN 21'!E87,E87+('regresi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125.41800000000001</v>
      </c>
      <c r="G87" s="41">
        <f>F87-C87</f>
        <v>-0.28199999999999648</v>
      </c>
      <c r="H87" s="63"/>
      <c r="I87" s="63"/>
      <c r="N87" s="93">
        <f>Q56</f>
        <v>25.3</v>
      </c>
      <c r="O87" s="403">
        <f>G64</f>
        <v>6.4000000000000057E-2</v>
      </c>
      <c r="P87" s="404"/>
      <c r="Q87" s="406">
        <f t="shared" si="17"/>
        <v>25.364000000000001</v>
      </c>
      <c r="R87" s="407"/>
      <c r="S87" s="138" t="s">
        <v>35</v>
      </c>
      <c r="T87" s="94">
        <f>IF(N87&lt;$AA$97,MAX($O$97,Q76),IF(N87&lt;$AA$98,MAX($O$98,Q76),MAX($O$99,Q76)))</f>
        <v>0.53173041218376926</v>
      </c>
      <c r="AB87" s="1"/>
    </row>
    <row r="88" spans="1:28">
      <c r="A88" s="10"/>
      <c r="B88" s="8" t="s">
        <v>31</v>
      </c>
      <c r="C88" s="333">
        <f>AVERAGE(C83:D87)</f>
        <v>125.7</v>
      </c>
      <c r="D88" s="334"/>
      <c r="E88" s="95">
        <f>AVERAGE(E83:E87)</f>
        <v>125.41800000000001</v>
      </c>
      <c r="F88" s="95">
        <f t="shared" ref="F88" si="18">AVERAGE(F83:F87)</f>
        <v>125.41800000000001</v>
      </c>
      <c r="G88" s="95">
        <f>SUM(G83:G87)/5</f>
        <v>-0.28199999999999648</v>
      </c>
      <c r="H88" s="63"/>
      <c r="I88" s="63"/>
      <c r="N88" s="93">
        <f>R56</f>
        <v>50</v>
      </c>
      <c r="O88" s="403">
        <f>G72</f>
        <v>0.47959999999999781</v>
      </c>
      <c r="P88" s="404"/>
      <c r="Q88" s="406">
        <f t="shared" si="17"/>
        <v>50.479599999999998</v>
      </c>
      <c r="R88" s="407"/>
      <c r="S88" s="138" t="s">
        <v>35</v>
      </c>
      <c r="T88" s="94">
        <f>IF(N88&lt;$AA$97,MAX($O$97,R76),IF(N88&lt;$AA$98,MAX($O$98,R76),MAX($O$99,R76)))</f>
        <v>0.53245267388029516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0</v>
      </c>
      <c r="H89" s="63"/>
      <c r="I89" s="63"/>
      <c r="N89" s="93">
        <f>S56</f>
        <v>98.5</v>
      </c>
      <c r="O89" s="403">
        <f>G80</f>
        <v>0.71500000000000341</v>
      </c>
      <c r="P89" s="404"/>
      <c r="Q89" s="406">
        <f t="shared" si="17"/>
        <v>99.215000000000003</v>
      </c>
      <c r="R89" s="407"/>
      <c r="S89" s="138" t="s">
        <v>35</v>
      </c>
      <c r="T89" s="94">
        <f>IF(N89&lt;$AA$97,MAX($O$97,S76),IF(N89&lt;$AA$98,MAX($O$98,S76),MAX($O$99,S76)))</f>
        <v>0.53173041218376926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0</v>
      </c>
      <c r="H90" s="63"/>
      <c r="I90" s="63"/>
      <c r="L90" s="22"/>
      <c r="N90" s="93">
        <f>T56</f>
        <v>125.7</v>
      </c>
      <c r="O90" s="403">
        <f>G88</f>
        <v>-0.28199999999999648</v>
      </c>
      <c r="P90" s="404"/>
      <c r="Q90" s="406">
        <f t="shared" si="17"/>
        <v>125.41800000000001</v>
      </c>
      <c r="R90" s="407"/>
      <c r="S90" s="138" t="s">
        <v>35</v>
      </c>
      <c r="T90" s="94">
        <f>IF(N90&lt;$AA$97,MAX($O$97,T76),IF(N90&lt;$AA$98,MAX($O$98,T76),MAX($O$99,T76)))</f>
        <v>0.54060842705396528</v>
      </c>
      <c r="AB90" s="1"/>
    </row>
    <row r="91" spans="1:28">
      <c r="A91" s="105">
        <v>7</v>
      </c>
      <c r="B91" s="196">
        <v>150</v>
      </c>
      <c r="C91" s="327">
        <v>149.9</v>
      </c>
      <c r="D91" s="327"/>
      <c r="E91" s="90">
        <v>149.63200000000001</v>
      </c>
      <c r="F91" s="37">
        <f>IF('PERHITUNGAN 21'!$E$11="Burn Engr",'PERHITUNGAN 21'!E91,E91+('regresi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149.63200000000001</v>
      </c>
      <c r="G91" s="40">
        <f>F91-C91</f>
        <v>-0.26800000000000068</v>
      </c>
      <c r="H91" s="63"/>
      <c r="I91" s="63"/>
      <c r="N91" s="93">
        <f>U56</f>
        <v>149.9</v>
      </c>
      <c r="O91" s="403">
        <f>G96</f>
        <v>-0.26680000000001203</v>
      </c>
      <c r="P91" s="404"/>
      <c r="Q91" s="406">
        <f t="shared" si="17"/>
        <v>149.63319999999999</v>
      </c>
      <c r="R91" s="407"/>
      <c r="S91" s="138" t="s">
        <v>35</v>
      </c>
      <c r="T91" s="94">
        <f>IF(N91&lt;$AA$97,MAX($O$97,U76),IF(N91&lt;$AA$98,MAX($O$98,U76),MAX($O$99,U76)))</f>
        <v>0.5406092794700359</v>
      </c>
      <c r="AB91" s="1"/>
    </row>
    <row r="92" spans="1:28">
      <c r="A92" s="10"/>
      <c r="C92" s="327">
        <v>149.9</v>
      </c>
      <c r="D92" s="327"/>
      <c r="E92" s="90">
        <v>149.63200000000001</v>
      </c>
      <c r="F92" s="37">
        <f>IF('PERHITUNGAN 21'!$E$11="Burn Engr",'PERHITUNGAN 21'!E92,E92+('regresi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149.63200000000001</v>
      </c>
      <c r="G92" s="40">
        <f>F92-C92</f>
        <v>-0.26800000000000068</v>
      </c>
      <c r="H92" s="44"/>
      <c r="I92" s="63"/>
      <c r="N92" s="93">
        <f>V56</f>
        <v>200.7</v>
      </c>
      <c r="O92" s="403">
        <f>G104</f>
        <v>-0.90899999999999181</v>
      </c>
      <c r="P92" s="404"/>
      <c r="Q92" s="406">
        <f t="shared" si="17"/>
        <v>199.791</v>
      </c>
      <c r="R92" s="407"/>
      <c r="S92" s="138" t="s">
        <v>35</v>
      </c>
      <c r="T92" s="94">
        <f>IF(N92&lt;$AA$97,MAX($O$97,V76),IF(N92&lt;$AA$98,MAX($O$98,V76),MAX($O$99,V76)))</f>
        <v>0.53245245745070768</v>
      </c>
      <c r="AB92" s="1"/>
    </row>
    <row r="93" spans="1:28">
      <c r="A93" s="10"/>
      <c r="C93" s="327">
        <v>149.9</v>
      </c>
      <c r="D93" s="327"/>
      <c r="E93" s="90">
        <v>149.63399999999999</v>
      </c>
      <c r="F93" s="37">
        <f>IF('PERHITUNGAN 21'!$E$11="Burn Engr",'PERHITUNGAN 21'!E93,E93+('regresi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149.63399999999999</v>
      </c>
      <c r="G93" s="40">
        <f>F93-C93</f>
        <v>-0.26600000000001955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7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149.9</v>
      </c>
      <c r="D94" s="327"/>
      <c r="E94" s="90">
        <v>149.63399999999999</v>
      </c>
      <c r="F94" s="37">
        <f>IF('PERHITUNGAN 21'!$E$11="Burn Engr",'PERHITUNGAN 21'!E94,E94+('regresi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149.63399999999999</v>
      </c>
      <c r="G94" s="40">
        <f>F94-C94</f>
        <v>-0.26600000000001955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7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149.9</v>
      </c>
      <c r="D95" s="327"/>
      <c r="E95" s="90">
        <v>149.63399999999999</v>
      </c>
      <c r="F95" s="37">
        <f>IF('PERHITUNGAN 21'!$E$11="Burn Engr",'PERHITUNGAN 21'!E95,E95+('regresi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149.63399999999999</v>
      </c>
      <c r="G95" s="41">
        <f>F95-C95</f>
        <v>-0.26600000000001955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149.9</v>
      </c>
      <c r="D96" s="334"/>
      <c r="E96" s="95">
        <f>AVERAGE(E91:E95)</f>
        <v>149.63320000000002</v>
      </c>
      <c r="F96" s="95">
        <f t="shared" ref="F96" si="19">AVERAGE(F91:F95)</f>
        <v>149.63320000000002</v>
      </c>
      <c r="G96" s="95">
        <f>SUM(G91:G95)/5</f>
        <v>-0.26680000000001203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1.0954451149999956E-3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4.8989794855201297E-4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>
        <v>200</v>
      </c>
      <c r="C99" s="327">
        <v>200.7</v>
      </c>
      <c r="D99" s="327"/>
      <c r="E99" s="90">
        <v>199.791</v>
      </c>
      <c r="F99" s="37">
        <f>IF('PERHITUNGAN 21'!$E$11="Burn Engr",'PERHITUNGAN 21'!E99,E99+('regresi PRT'!$P$40+('regresi PRT'!$P$41*E99)+('regresi PRT'!$P$42*(E99^2))+('regresi PRT'!$P$43*(E99^3))+('regresi PRT'!$P$44*(E99^4))+('regresi PRT'!$P$45*(E99^5))+('regresi PRT'!$P$46*(E99^6))+('regresi PRT'!$P$47*(E99^7))+('regresi PRT'!$P$48*(E99^8))+('regresi PRT'!$P$49*(E99^9))+('regresi PRT'!$P$50*(E99^10))))</f>
        <v>199.791</v>
      </c>
      <c r="G99" s="40">
        <f>F99-C99</f>
        <v>-0.90899999999999181</v>
      </c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>
        <v>200.7</v>
      </c>
      <c r="D100" s="327"/>
      <c r="E100" s="90">
        <v>199.791</v>
      </c>
      <c r="F100" s="37">
        <f>IF('PERHITUNGAN 21'!$E$11="Burn Engr",'PERHITUNGAN 21'!E100,E100+('regresi PRT'!$P$40+('regresi PRT'!$P$41*E100)+('regresi PRT'!$P$42*(E100^2))+('regresi PRT'!$P$43*(E100^3))+('regresi PRT'!$P$44*(E100^4))+('regresi PRT'!$P$45*(E100^5))+('regresi PRT'!$P$46*(E100^6))+('regresi PRT'!$P$47*(E100^7))+('regresi PRT'!$P$48*(E100^8))+('regresi PRT'!$P$49*(E100^9))+('regresi PRT'!$P$50*(E100^10))))</f>
        <v>199.791</v>
      </c>
      <c r="G100" s="40">
        <f>F100-C100</f>
        <v>-0.90899999999999181</v>
      </c>
      <c r="H100" s="44"/>
      <c r="I100" s="44"/>
      <c r="M100" s="1"/>
    </row>
    <row r="101" spans="1:27">
      <c r="A101" s="10"/>
      <c r="C101" s="327">
        <v>200.7</v>
      </c>
      <c r="D101" s="327"/>
      <c r="E101" s="90">
        <v>199.791</v>
      </c>
      <c r="F101" s="37">
        <f>IF('PERHITUNGAN 21'!$E$11="Burn Engr",'PERHITUNGAN 21'!E101,E101+('regresi PRT'!$P$40+('regresi PRT'!$P$41*E101)+('regresi PRT'!$P$42*(E101^2))+('regresi PRT'!$P$43*(E101^3))+('regresi PRT'!$P$44*(E101^4))+('regresi PRT'!$P$45*(E101^5))+('regresi PRT'!$P$46*(E101^6))+('regresi PRT'!$P$47*(E101^7))+('regresi PRT'!$P$48*(E101^8))+('regresi PRT'!$P$49*(E101^9))+('regresi PRT'!$P$50*(E101^10))))</f>
        <v>199.791</v>
      </c>
      <c r="G101" s="40">
        <f>F101-C101</f>
        <v>-0.90899999999999181</v>
      </c>
      <c r="H101" s="44"/>
      <c r="I101" s="44"/>
    </row>
    <row r="102" spans="1:27">
      <c r="A102" s="10"/>
      <c r="C102" s="327">
        <v>200.7</v>
      </c>
      <c r="D102" s="327"/>
      <c r="E102" s="90">
        <v>199.791</v>
      </c>
      <c r="F102" s="37">
        <f>IF('PERHITUNGAN 21'!$E$11="Burn Engr",'PERHITUNGAN 21'!E102,E102+('regresi PRT'!$P$40+('regresi PRT'!$P$41*E102)+('regresi PRT'!$P$42*(E102^2))+('regresi PRT'!$P$43*(E102^3))+('regresi PRT'!$P$44*(E102^4))+('regresi PRT'!$P$45*(E102^5))+('regresi PRT'!$P$46*(E102^6))+('regresi PRT'!$P$47*(E102^7))+('regresi PRT'!$P$48*(E102^8))+('regresi PRT'!$P$49*(E102^9))+('regresi PRT'!$P$50*(E102^10))))</f>
        <v>199.791</v>
      </c>
      <c r="G102" s="40">
        <f>F102-C102</f>
        <v>-0.90899999999999181</v>
      </c>
      <c r="H102" s="63"/>
      <c r="I102" s="63"/>
    </row>
    <row r="103" spans="1:27">
      <c r="A103" s="10"/>
      <c r="C103" s="327">
        <v>200.7</v>
      </c>
      <c r="D103" s="327"/>
      <c r="E103" s="90">
        <v>199.791</v>
      </c>
      <c r="F103" s="37">
        <f>IF('PERHITUNGAN 21'!$E$11="Burn Engr",'PERHITUNGAN 21'!E103,E103+('regresi PRT'!$P$40+('regresi PRT'!$P$41*E103)+('regresi PRT'!$P$42*(E103^2))+('regresi PRT'!$P$43*(E103^3))+('regresi PRT'!$P$44*(E103^4))+('regresi PRT'!$P$45*(E103^5))+('regresi PRT'!$P$46*(E103^6))+('regresi PRT'!$P$47*(E103^7))+('regresi PRT'!$P$48*(E103^8))+('regresi PRT'!$P$49*(E103^9))+('regresi PRT'!$P$50*(E103^10))))</f>
        <v>199.791</v>
      </c>
      <c r="G103" s="41">
        <f>F103-C103</f>
        <v>-0.90899999999999181</v>
      </c>
      <c r="H103" s="63"/>
      <c r="I103" s="63"/>
      <c r="N103" s="74"/>
      <c r="O103" s="129"/>
    </row>
    <row r="104" spans="1:27">
      <c r="A104" s="10"/>
      <c r="B104" s="8" t="s">
        <v>31</v>
      </c>
      <c r="C104" s="333">
        <f>AVERAGE(C99:D103)</f>
        <v>200.7</v>
      </c>
      <c r="D104" s="334"/>
      <c r="E104" s="95">
        <f>AVERAGE(E99:E103)</f>
        <v>199.791</v>
      </c>
      <c r="F104" s="95">
        <f>SUM(F99:F103)/5</f>
        <v>199.791</v>
      </c>
      <c r="G104" s="95">
        <f>SUM(G99:G103)/5</f>
        <v>-0.90899999999999181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>
        <f>_xlfn.STDEV.S(G99:G103)</f>
        <v>0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>
        <f>G105/SQRT(5)</f>
        <v>0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>
        <f>IF('PERHITUNGAN 21'!$E$11="Burn Engr",'PERHITUNGAN 21'!E107,E107+('regresi PRT'!$P$40+('regresi PRT'!$P$41*E107)+('regresi PRT'!$P$42*(E107^2))+('regresi PRT'!$P$43*(E107^3))+('regresi PRT'!$P$44*(E107^4))+('regresi PRT'!$P$45*(E107^5))+('regresi PRT'!$P$46*(E107^6))+('regresi PRT'!$P$47*(E107^7))+('regresi PRT'!$P$48*(E107^8))+('regresi PRT'!$P$49*(E107^9))+('regresi PRT'!$P$50*(E107^10))))</f>
        <v>0</v>
      </c>
      <c r="G107" s="40">
        <f>F107-C107</f>
        <v>0</v>
      </c>
      <c r="H107" s="63"/>
      <c r="I107" s="63"/>
      <c r="M107" s="1"/>
    </row>
    <row r="108" spans="1:27">
      <c r="A108" s="10"/>
      <c r="C108" s="327"/>
      <c r="D108" s="327"/>
      <c r="E108" s="90"/>
      <c r="F108" s="37">
        <f>IF('PERHITUNGAN 21'!$E$11="Burn Engr",'PERHITUNGAN 21'!E108,E108+('regresi PRT'!$P$40+('regresi PRT'!$P$41*E108)+('regresi PRT'!$P$42*(E108^2))+('regresi PRT'!$P$43*(E108^3))+('regresi PRT'!$P$44*(E108^4))+('regresi PRT'!$P$45*(E108^5))+('regresi PRT'!$P$46*(E108^6))+('regresi PRT'!$P$47*(E108^7))+('regresi PRT'!$P$48*(E108^8))+('regresi PRT'!$P$49*(E108^9))+('regresi PRT'!$P$50*(E108^10))))</f>
        <v>0</v>
      </c>
      <c r="G108" s="40">
        <f>F108-C108</f>
        <v>0</v>
      </c>
      <c r="H108" s="44"/>
      <c r="I108" s="44"/>
      <c r="M108" s="1"/>
    </row>
    <row r="109" spans="1:27">
      <c r="A109" s="10"/>
      <c r="C109" s="327"/>
      <c r="D109" s="327"/>
      <c r="E109" s="90"/>
      <c r="F109" s="37">
        <f>IF('PERHITUNGAN 21'!$E$11="Burn Engr",'PERHITUNGAN 21'!E109,E109+('regresi PRT'!$P$40+('regresi PRT'!$P$41*E109)+('regresi PRT'!$P$42*(E109^2))+('regresi PRT'!$P$43*(E109^3))+('regresi PRT'!$P$44*(E109^4))+('regresi PRT'!$P$45*(E109^5))+('regresi PRT'!$P$46*(E109^6))+('regresi PRT'!$P$47*(E109^7))+('regresi PRT'!$P$48*(E109^8))+('regresi PRT'!$P$49*(E109^9))+('regresi PRT'!$P$50*(E109^10))))</f>
        <v>0</v>
      </c>
      <c r="G109" s="40">
        <f>F109-C109</f>
        <v>0</v>
      </c>
      <c r="H109" s="44"/>
      <c r="I109" s="44"/>
    </row>
    <row r="110" spans="1:27">
      <c r="A110" s="10"/>
      <c r="C110" s="327"/>
      <c r="D110" s="327"/>
      <c r="E110" s="90"/>
      <c r="F110" s="37">
        <f>IF('PERHITUNGAN 21'!$E$11="Burn Engr",'PERHITUNGAN 21'!E110,E110+('regresi PRT'!$P$40+('regresi PRT'!$P$41*E110)+('regresi PRT'!$P$42*(E110^2))+('regresi PRT'!$P$43*(E110^3))+('regresi PRT'!$P$44*(E110^4))+('regresi PRT'!$P$45*(E110^5))+('regresi PRT'!$P$46*(E110^6))+('regresi PRT'!$P$47*(E110^7))+('regresi PRT'!$P$48*(E110^8))+('regresi PRT'!$P$49*(E110^9))+('regresi PRT'!$P$50*(E110^10))))</f>
        <v>0</v>
      </c>
      <c r="G110" s="40">
        <f>F110-C110</f>
        <v>0</v>
      </c>
      <c r="H110" s="63"/>
      <c r="I110" s="63"/>
    </row>
    <row r="111" spans="1:27">
      <c r="A111" s="10"/>
      <c r="C111" s="327"/>
      <c r="D111" s="327"/>
      <c r="E111" s="90"/>
      <c r="F111" s="37">
        <f>IF('PERHITUNGAN 21'!$E$11="Burn Engr",'PERHITUNGAN 21'!E111,E111+('regresi PRT'!$P$40+('regresi PRT'!$P$41*E111)+('regresi PRT'!$P$42*(E111^2))+('regresi PRT'!$P$43*(E111^3))+('regresi PRT'!$P$44*(E111^4))+('regresi PRT'!$P$45*(E111^5))+('regresi PRT'!$P$46*(E111^6))+('regresi PRT'!$P$47*(E111^7))+('regresi PRT'!$P$48*(E111^8))+('regresi PRT'!$P$49*(E111^9))+('regresi PRT'!$P$50*(E111^10))))</f>
        <v>0</v>
      </c>
      <c r="G111" s="41">
        <f>F111-C111</f>
        <v>0</v>
      </c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>
        <f>_xlfn.STDEV.S(G107:G111)</f>
        <v>0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>
        <f>G113/SQRT(5)</f>
        <v>0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>
        <f>IF('PERHITUNGAN 21'!$E$11="Burn Engr",'PERHITUNGAN 21'!E115,E115+('regresi PRT'!$P$40+('regresi PRT'!$P$41*E115)+('regresi PRT'!$P$42*(E115^2))+('regresi PRT'!$P$43*(E115^3))+('regresi PRT'!$P$44*(E115^4))+('regresi PRT'!$P$45*(E115^5))+('regresi PRT'!$P$46*(E115^6))+('regresi PRT'!$P$47*(E115^7))+('regresi PRT'!$P$48*(E115^8))+('regresi PRT'!$P$49*(E115^9))+('regresi PRT'!$P$50*(E115^10))))</f>
        <v>0</v>
      </c>
      <c r="G115" s="40">
        <f>F115-C115</f>
        <v>0</v>
      </c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>
        <f>IF('PERHITUNGAN 21'!$E$11="Burn Engr",'PERHITUNGAN 21'!E116,E116+('regresi PRT'!$P$40+('regresi PRT'!$P$41*E116)+('regresi PRT'!$P$42*(E116^2))+('regresi PRT'!$P$43*(E116^3))+('regresi PRT'!$P$44*(E116^4))+('regresi PRT'!$P$45*(E116^5))+('regresi PRT'!$P$46*(E116^6))+('regresi PRT'!$P$47*(E116^7))+('regresi PRT'!$P$48*(E116^8))+('regresi PRT'!$P$49*(E116^9))+('regresi PRT'!$P$50*(E116^10))))</f>
        <v>0</v>
      </c>
      <c r="G116" s="40">
        <f>F116-C116</f>
        <v>0</v>
      </c>
      <c r="H116" s="44"/>
      <c r="I116" s="44"/>
      <c r="U116" s="49"/>
    </row>
    <row r="117" spans="1:21">
      <c r="A117" s="10"/>
      <c r="C117" s="224"/>
      <c r="D117" s="225"/>
      <c r="E117" s="90"/>
      <c r="F117" s="37">
        <f>IF('PERHITUNGAN 21'!$E$11="Burn Engr",'PERHITUNGAN 21'!E117,E117+('regresi PRT'!$P$40+('regresi PRT'!$P$41*E117)+('regresi PRT'!$P$42*(E117^2))+('regresi PRT'!$P$43*(E117^3))+('regresi PRT'!$P$44*(E117^4))+('regresi PRT'!$P$45*(E117^5))+('regresi PRT'!$P$46*(E117^6))+('regresi PRT'!$P$47*(E117^7))+('regresi PRT'!$P$48*(E117^8))+('regresi PRT'!$P$49*(E117^9))+('regresi PRT'!$P$50*(E117^10))))</f>
        <v>0</v>
      </c>
      <c r="G117" s="40">
        <f>F117-C117</f>
        <v>0</v>
      </c>
      <c r="H117" s="44"/>
      <c r="I117" s="44"/>
      <c r="U117" s="49"/>
    </row>
    <row r="118" spans="1:21">
      <c r="A118" s="10"/>
      <c r="C118" s="224"/>
      <c r="D118" s="225"/>
      <c r="E118" s="90"/>
      <c r="F118" s="37">
        <f>IF('PERHITUNGAN 21'!$E$11="Burn Engr",'PERHITUNGAN 21'!E118,E118+('regresi PRT'!$P$40+('regresi PRT'!$P$41*E118)+('regresi PRT'!$P$42*(E118^2))+('regresi PRT'!$P$43*(E118^3))+('regresi PRT'!$P$44*(E118^4))+('regresi PRT'!$P$45*(E118^5))+('regresi PRT'!$P$46*(E118^6))+('regresi PRT'!$P$47*(E118^7))+('regresi PRT'!$P$48*(E118^8))+('regresi PRT'!$P$49*(E118^9))+('regresi PRT'!$P$50*(E118^10))))</f>
        <v>0</v>
      </c>
      <c r="G118" s="40">
        <f>F118-C118</f>
        <v>0</v>
      </c>
      <c r="H118" s="63"/>
      <c r="I118" s="63"/>
    </row>
    <row r="119" spans="1:21">
      <c r="A119" s="10"/>
      <c r="C119" s="233"/>
      <c r="D119" s="234"/>
      <c r="E119" s="90"/>
      <c r="F119" s="37">
        <f>IF('PERHITUNGAN 21'!$E$11="Burn Engr",'PERHITUNGAN 21'!E119,E119+('regresi PRT'!$P$40+('regresi PRT'!$P$41*E119)+('regresi PRT'!$P$42*(E119^2))+('regresi PRT'!$P$43*(E119^3))+('regresi PRT'!$P$44*(E119^4))+('regresi PRT'!$P$45*(E119^5))+('regresi PRT'!$P$46*(E119^6))+('regresi PRT'!$P$47*(E119^7))+('regresi PRT'!$P$48*(E119^8))+('regresi PRT'!$P$49*(E119^9))+('regresi PRT'!$P$50*(E119^10))))</f>
        <v>0</v>
      </c>
      <c r="G119" s="41">
        <f>F119-C119</f>
        <v>0</v>
      </c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>
        <f>_xlfn.STDEV.S(G115:G119)</f>
        <v>0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>
        <f>G121/SQRT(5)</f>
        <v>0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330"/>
      <c r="D125" s="330"/>
      <c r="E125" s="63"/>
      <c r="F125" s="63"/>
      <c r="G125" s="63"/>
      <c r="H125" s="63"/>
      <c r="I125" s="63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2">
    <mergeCell ref="C185:D185"/>
    <mergeCell ref="C177:D177"/>
    <mergeCell ref="C180:D180"/>
    <mergeCell ref="C181:D181"/>
    <mergeCell ref="C182:D182"/>
    <mergeCell ref="C183:D183"/>
    <mergeCell ref="C184:D184"/>
    <mergeCell ref="C169:D169"/>
    <mergeCell ref="C172:D172"/>
    <mergeCell ref="C173:D173"/>
    <mergeCell ref="C174:D174"/>
    <mergeCell ref="C175:D175"/>
    <mergeCell ref="C176:D176"/>
    <mergeCell ref="C161:D161"/>
    <mergeCell ref="C164:D164"/>
    <mergeCell ref="C165:D165"/>
    <mergeCell ref="C166:D166"/>
    <mergeCell ref="C167:D167"/>
    <mergeCell ref="C168:D168"/>
    <mergeCell ref="C151:D151"/>
    <mergeCell ref="C156:D156"/>
    <mergeCell ref="C157:D157"/>
    <mergeCell ref="C158:D158"/>
    <mergeCell ref="C159:D159"/>
    <mergeCell ref="C160:D160"/>
    <mergeCell ref="C143:D143"/>
    <mergeCell ref="C146:D146"/>
    <mergeCell ref="C147:D147"/>
    <mergeCell ref="C148:D148"/>
    <mergeCell ref="C149:D149"/>
    <mergeCell ref="C150:D150"/>
    <mergeCell ref="C127:D127"/>
    <mergeCell ref="C138:D138"/>
    <mergeCell ref="C139:D139"/>
    <mergeCell ref="C140:D140"/>
    <mergeCell ref="C141:D141"/>
    <mergeCell ref="C142:D142"/>
    <mergeCell ref="C109:D109"/>
    <mergeCell ref="C110:D110"/>
    <mergeCell ref="C111:D111"/>
    <mergeCell ref="C112:D112"/>
    <mergeCell ref="C125:D125"/>
    <mergeCell ref="C126:D126"/>
    <mergeCell ref="C101:D101"/>
    <mergeCell ref="C102:D102"/>
    <mergeCell ref="C103:D103"/>
    <mergeCell ref="C104:D104"/>
    <mergeCell ref="C107:D107"/>
    <mergeCell ref="C108:D108"/>
    <mergeCell ref="C95:D95"/>
    <mergeCell ref="C96:D96"/>
    <mergeCell ref="N96:O96"/>
    <mergeCell ref="Z96:AA96"/>
    <mergeCell ref="C99:D99"/>
    <mergeCell ref="C100:D100"/>
    <mergeCell ref="C93:D93"/>
    <mergeCell ref="O93:P93"/>
    <mergeCell ref="Q93:R93"/>
    <mergeCell ref="C94:D94"/>
    <mergeCell ref="O94:P94"/>
    <mergeCell ref="Q94:R94"/>
    <mergeCell ref="C91:D91"/>
    <mergeCell ref="O91:P91"/>
    <mergeCell ref="Q91:R91"/>
    <mergeCell ref="C92:D92"/>
    <mergeCell ref="O92:P92"/>
    <mergeCell ref="Q92:R92"/>
    <mergeCell ref="C88:D88"/>
    <mergeCell ref="O88:P88"/>
    <mergeCell ref="Q88:R88"/>
    <mergeCell ref="O89:P89"/>
    <mergeCell ref="Q89:R89"/>
    <mergeCell ref="O90:P90"/>
    <mergeCell ref="Q90:R90"/>
    <mergeCell ref="C86:D86"/>
    <mergeCell ref="O86:P86"/>
    <mergeCell ref="Q86:R86"/>
    <mergeCell ref="C87:D87"/>
    <mergeCell ref="O87:P87"/>
    <mergeCell ref="Q87:R87"/>
    <mergeCell ref="S83:T83"/>
    <mergeCell ref="C84:D84"/>
    <mergeCell ref="S84:T84"/>
    <mergeCell ref="C85:D85"/>
    <mergeCell ref="O85:P85"/>
    <mergeCell ref="Q85:R85"/>
    <mergeCell ref="C79:D79"/>
    <mergeCell ref="C80:D80"/>
    <mergeCell ref="C83:D83"/>
    <mergeCell ref="N83:N84"/>
    <mergeCell ref="O83:P84"/>
    <mergeCell ref="Q83:R84"/>
    <mergeCell ref="C71:D71"/>
    <mergeCell ref="C72:D72"/>
    <mergeCell ref="C75:D75"/>
    <mergeCell ref="C76:D76"/>
    <mergeCell ref="C77:D77"/>
    <mergeCell ref="C78:D78"/>
    <mergeCell ref="C63:D63"/>
    <mergeCell ref="C64:D64"/>
    <mergeCell ref="C67:D67"/>
    <mergeCell ref="C68:D68"/>
    <mergeCell ref="C69:D69"/>
    <mergeCell ref="C70:D70"/>
    <mergeCell ref="O55:X55"/>
    <mergeCell ref="C56:D56"/>
    <mergeCell ref="C59:D59"/>
    <mergeCell ref="C60:D60"/>
    <mergeCell ref="C61:D61"/>
    <mergeCell ref="C62:D62"/>
    <mergeCell ref="C51:D51"/>
    <mergeCell ref="C52:D52"/>
    <mergeCell ref="C53:D53"/>
    <mergeCell ref="C54:D54"/>
    <mergeCell ref="C55:D55"/>
    <mergeCell ref="N55:N56"/>
    <mergeCell ref="T45:Y4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N45:S45"/>
    <mergeCell ref="T36:T37"/>
    <mergeCell ref="U36:U37"/>
    <mergeCell ref="V36:V37"/>
    <mergeCell ref="W36:W37"/>
    <mergeCell ref="X36:X37"/>
    <mergeCell ref="C40:D40"/>
    <mergeCell ref="N36:N37"/>
    <mergeCell ref="O36:O37"/>
    <mergeCell ref="P36:P37"/>
    <mergeCell ref="Q36:Q37"/>
    <mergeCell ref="R36:R37"/>
    <mergeCell ref="S36:S37"/>
    <mergeCell ref="T28:T29"/>
    <mergeCell ref="U28:U29"/>
    <mergeCell ref="AB28:AC28"/>
    <mergeCell ref="AB30:AC30"/>
    <mergeCell ref="J31:K31"/>
    <mergeCell ref="AB32:AC32"/>
    <mergeCell ref="J26:K26"/>
    <mergeCell ref="N28:N29"/>
    <mergeCell ref="O28:O29"/>
    <mergeCell ref="P28:P29"/>
    <mergeCell ref="Q28:Q29"/>
    <mergeCell ref="S28:S29"/>
    <mergeCell ref="E16:F16"/>
    <mergeCell ref="N16:N20"/>
    <mergeCell ref="E17:F17"/>
    <mergeCell ref="E18:F18"/>
    <mergeCell ref="AB18:AC18"/>
    <mergeCell ref="F21:G21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</mergeCells>
  <conditionalFormatting sqref="C56">
    <cfRule type="expression" dxfId="99" priority="18" stopIfTrue="1">
      <formula>COUNT(C51:C55)&lt;&gt;5</formula>
    </cfRule>
  </conditionalFormatting>
  <conditionalFormatting sqref="C64">
    <cfRule type="expression" dxfId="98" priority="2" stopIfTrue="1">
      <formula>COUNT(C59:C63)&lt;&gt;5</formula>
    </cfRule>
  </conditionalFormatting>
  <conditionalFormatting sqref="C72">
    <cfRule type="expression" dxfId="97" priority="8" stopIfTrue="1">
      <formula>COUNT(C67:C71)&lt;&gt;5</formula>
    </cfRule>
  </conditionalFormatting>
  <conditionalFormatting sqref="C80">
    <cfRule type="expression" dxfId="96" priority="7" stopIfTrue="1">
      <formula>COUNT(C75:C79)&lt;&gt;5</formula>
    </cfRule>
  </conditionalFormatting>
  <conditionalFormatting sqref="C88">
    <cfRule type="expression" dxfId="95" priority="6" stopIfTrue="1">
      <formula>COUNT(C83:C87)&lt;&gt;5</formula>
    </cfRule>
  </conditionalFormatting>
  <conditionalFormatting sqref="C96">
    <cfRule type="expression" dxfId="94" priority="5" stopIfTrue="1">
      <formula>COUNT(C91:C95)&lt;&gt;5</formula>
    </cfRule>
  </conditionalFormatting>
  <conditionalFormatting sqref="C104">
    <cfRule type="expression" dxfId="93" priority="4" stopIfTrue="1">
      <formula>COUNT(C99:C103)&lt;&gt;5</formula>
    </cfRule>
  </conditionalFormatting>
  <conditionalFormatting sqref="C112">
    <cfRule type="expression" dxfId="92" priority="3" stopIfTrue="1">
      <formula>COUNT(C107:C111)&lt;&gt;5</formula>
    </cfRule>
  </conditionalFormatting>
  <conditionalFormatting sqref="C48:E48">
    <cfRule type="expression" dxfId="91" priority="19" stopIfTrue="1">
      <formula>COUNT(C43:C47)&lt;&gt;5</formula>
    </cfRule>
  </conditionalFormatting>
  <conditionalFormatting sqref="C120:E120">
    <cfRule type="expression" dxfId="90" priority="9" stopIfTrue="1">
      <formula>COUNT(C115:C119)&lt;&gt;5</formula>
    </cfRule>
  </conditionalFormatting>
  <conditionalFormatting sqref="E56">
    <cfRule type="expression" dxfId="89" priority="17" stopIfTrue="1">
      <formula>COUNT(E51:E55)&lt;&gt;5</formula>
    </cfRule>
  </conditionalFormatting>
  <conditionalFormatting sqref="E64">
    <cfRule type="expression" dxfId="88" priority="1" stopIfTrue="1">
      <formula>COUNT(E59:E63)&lt;&gt;5</formula>
    </cfRule>
  </conditionalFormatting>
  <conditionalFormatting sqref="E72">
    <cfRule type="expression" dxfId="87" priority="16" stopIfTrue="1">
      <formula>COUNT(E67:E71)&lt;&gt;5</formula>
    </cfRule>
  </conditionalFormatting>
  <conditionalFormatting sqref="E80">
    <cfRule type="expression" dxfId="86" priority="15" stopIfTrue="1">
      <formula>COUNT(E75:E79)&lt;&gt;5</formula>
    </cfRule>
  </conditionalFormatting>
  <conditionalFormatting sqref="E88">
    <cfRule type="expression" dxfId="85" priority="14" stopIfTrue="1">
      <formula>COUNT(E83:E87)&lt;&gt;5</formula>
    </cfRule>
  </conditionalFormatting>
  <conditionalFormatting sqref="E96">
    <cfRule type="expression" dxfId="84" priority="13" stopIfTrue="1">
      <formula>COUNT(E91:E95)&lt;&gt;5</formula>
    </cfRule>
  </conditionalFormatting>
  <conditionalFormatting sqref="E104">
    <cfRule type="expression" dxfId="83" priority="12" stopIfTrue="1">
      <formula>COUNT(E99:E103)&lt;&gt;5</formula>
    </cfRule>
  </conditionalFormatting>
  <conditionalFormatting sqref="E112">
    <cfRule type="expression" dxfId="82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101377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101377" r:id="rId4"/>
      </mc:Fallback>
    </mc:AlternateContent>
    <mc:AlternateContent xmlns:mc="http://schemas.openxmlformats.org/markup-compatibility/2006">
      <mc:Choice Requires="x14">
        <oleObject progId="Equation.3" shapeId="101378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101378" r:id="rId6"/>
      </mc:Fallback>
    </mc:AlternateContent>
    <mc:AlternateContent xmlns:mc="http://schemas.openxmlformats.org/markup-compatibility/2006">
      <mc:Choice Requires="x14">
        <oleObject progId="Equation.3" shapeId="101379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101379" r:id="rId8"/>
      </mc:Fallback>
    </mc:AlternateContent>
    <mc:AlternateContent xmlns:mc="http://schemas.openxmlformats.org/markup-compatibility/2006">
      <mc:Choice Requires="x14">
        <oleObject progId="Equation.3" shapeId="101380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101380" r:id="rId10"/>
      </mc:Fallback>
    </mc:AlternateContent>
  </oleObjec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A5C30-2D59-42FD-8D4F-DD653C5BCC89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21'!O85</f>
        <v>-0.65420000000000089</v>
      </c>
      <c r="C2" s="37">
        <f>'PERHITUNGAN 21'!N85</f>
        <v>-9.1999999999999993</v>
      </c>
      <c r="D2" s="75">
        <f>C2^2</f>
        <v>84.639999999999986</v>
      </c>
      <c r="E2" s="37">
        <f>C2^3</f>
        <v>-778.68799999999976</v>
      </c>
      <c r="F2" s="91">
        <f>C2^4</f>
        <v>7163.9295999999977</v>
      </c>
      <c r="G2" s="91">
        <f>C2^5</f>
        <v>-65908.152319999979</v>
      </c>
      <c r="H2" s="91">
        <f>C2^6</f>
        <v>606355.00134399976</v>
      </c>
      <c r="I2" s="91">
        <f>C2^7</f>
        <v>-5578466.0123647964</v>
      </c>
      <c r="J2" s="91">
        <f>C2^8</f>
        <v>51321887.313756123</v>
      </c>
      <c r="K2" s="91">
        <f>C2^9</f>
        <v>-472161363.2865563</v>
      </c>
      <c r="L2" s="91">
        <f>C2^10</f>
        <v>4343884542.2363176</v>
      </c>
      <c r="Q2" s="12"/>
    </row>
    <row r="3" spans="1:24">
      <c r="A3" s="25">
        <v>2</v>
      </c>
      <c r="B3" s="37">
        <f>'PERHITUNGAN 21'!O86</f>
        <v>-0.59000000000000008</v>
      </c>
      <c r="C3" s="37">
        <f>'PERHITUNGAN 21'!N86</f>
        <v>0.8</v>
      </c>
      <c r="D3" s="75">
        <f t="shared" ref="D3:D9" si="0">C3^2</f>
        <v>0.64000000000000012</v>
      </c>
      <c r="E3" s="37">
        <f t="shared" ref="E3:E9" si="1">C3^3</f>
        <v>0.51200000000000012</v>
      </c>
      <c r="F3" s="91">
        <f t="shared" ref="F3:F9" si="2">C3^4</f>
        <v>0.40960000000000019</v>
      </c>
      <c r="G3" s="91">
        <f t="shared" ref="G3:G9" si="3">C3^5</f>
        <v>0.32768000000000019</v>
      </c>
      <c r="H3" s="91">
        <f t="shared" ref="H3:H9" si="4">C3^6</f>
        <v>0.26214400000000015</v>
      </c>
      <c r="I3" s="91">
        <f t="shared" ref="I3:I9" si="5">C3^7</f>
        <v>0.20971520000000016</v>
      </c>
      <c r="J3" s="91">
        <f t="shared" ref="J3:J9" si="6">C3^8</f>
        <v>0.16777216000000014</v>
      </c>
      <c r="K3" s="91">
        <f t="shared" ref="K3:K9" si="7">C3^9</f>
        <v>0.13421772800000012</v>
      </c>
      <c r="L3" s="91">
        <f t="shared" ref="L3:L9" si="8">C3^10</f>
        <v>0.10737418240000011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21'!O87</f>
        <v>6.4000000000000057E-2</v>
      </c>
      <c r="C4" s="37">
        <f>'PERHITUNGAN 21'!N87</f>
        <v>25.3</v>
      </c>
      <c r="D4" s="75">
        <f t="shared" si="0"/>
        <v>640.09</v>
      </c>
      <c r="E4" s="37">
        <f t="shared" si="1"/>
        <v>16194.277000000002</v>
      </c>
      <c r="F4" s="91">
        <f t="shared" si="2"/>
        <v>409715.20810000005</v>
      </c>
      <c r="G4" s="91">
        <f t="shared" si="3"/>
        <v>10365794.764930002</v>
      </c>
      <c r="H4" s="91">
        <f t="shared" si="4"/>
        <v>262254607.55272904</v>
      </c>
      <c r="I4" s="91">
        <f t="shared" si="5"/>
        <v>6635041571.0840454</v>
      </c>
      <c r="J4" s="91">
        <f t="shared" si="6"/>
        <v>167866551748.42633</v>
      </c>
      <c r="K4" s="91">
        <f t="shared" si="7"/>
        <v>4247023759235.1865</v>
      </c>
      <c r="L4" s="91">
        <f t="shared" si="8"/>
        <v>107449701108650.22</v>
      </c>
      <c r="R4" s="414" t="str">
        <f>IF('PERHITUNGAN 13'!$C$2="Celcius","(°C)","(°F)")</f>
        <v>(°C)</v>
      </c>
      <c r="S4" s="415"/>
      <c r="T4" s="5" t="str">
        <f>IF('PERHITUNGAN 13'!$C$2="Celcius","(°C)","(°F)")</f>
        <v>(°C)</v>
      </c>
      <c r="U4" s="14"/>
      <c r="V4" s="1"/>
    </row>
    <row r="5" spans="1:24">
      <c r="A5" s="25">
        <v>4</v>
      </c>
      <c r="B5" s="37">
        <f>'PERHITUNGAN 21'!O88</f>
        <v>0.47959999999999781</v>
      </c>
      <c r="C5" s="37">
        <f>'PERHITUNGAN 21'!N88</f>
        <v>50</v>
      </c>
      <c r="D5" s="75">
        <f t="shared" si="0"/>
        <v>2500</v>
      </c>
      <c r="E5" s="37">
        <f t="shared" si="1"/>
        <v>125000</v>
      </c>
      <c r="F5" s="91">
        <f t="shared" si="2"/>
        <v>6250000</v>
      </c>
      <c r="G5" s="91">
        <f t="shared" si="3"/>
        <v>312500000</v>
      </c>
      <c r="H5" s="91">
        <f t="shared" si="4"/>
        <v>15625000000</v>
      </c>
      <c r="I5" s="91">
        <f t="shared" si="5"/>
        <v>781250000000</v>
      </c>
      <c r="J5" s="91">
        <f t="shared" si="6"/>
        <v>39062500000000</v>
      </c>
      <c r="K5" s="91">
        <f t="shared" si="7"/>
        <v>1953125000000000</v>
      </c>
      <c r="L5" s="91">
        <f t="shared" si="8"/>
        <v>9.765625E+16</v>
      </c>
      <c r="R5" s="412"/>
      <c r="S5" s="413"/>
      <c r="T5" s="21"/>
      <c r="U5" s="32"/>
    </row>
    <row r="6" spans="1:24">
      <c r="A6" s="25">
        <v>5</v>
      </c>
      <c r="B6" s="37">
        <f>'PERHITUNGAN 21'!O89</f>
        <v>0.71500000000000341</v>
      </c>
      <c r="C6" s="37">
        <f>'PERHITUNGAN 21'!N89</f>
        <v>98.5</v>
      </c>
      <c r="D6" s="75">
        <f t="shared" si="0"/>
        <v>9702.25</v>
      </c>
      <c r="E6" s="37">
        <f t="shared" si="1"/>
        <v>955671.625</v>
      </c>
      <c r="F6" s="91">
        <f t="shared" si="2"/>
        <v>94133655.0625</v>
      </c>
      <c r="G6" s="91">
        <f t="shared" si="3"/>
        <v>9272165023.65625</v>
      </c>
      <c r="H6" s="91">
        <f t="shared" si="4"/>
        <v>913308254830.14063</v>
      </c>
      <c r="I6" s="91">
        <f t="shared" si="5"/>
        <v>89960863100768.844</v>
      </c>
      <c r="J6" s="91">
        <f t="shared" si="6"/>
        <v>8861145015425732</v>
      </c>
      <c r="K6" s="91">
        <f t="shared" si="7"/>
        <v>8.7282278401943462E+17</v>
      </c>
      <c r="L6" s="91">
        <f t="shared" si="8"/>
        <v>8.5973044225914307E+19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21'!O90</f>
        <v>-0.28199999999999648</v>
      </c>
      <c r="C7" s="37">
        <f>'PERHITUNGAN 21'!N90</f>
        <v>125.7</v>
      </c>
      <c r="D7" s="75">
        <f t="shared" si="0"/>
        <v>15800.490000000002</v>
      </c>
      <c r="E7" s="37">
        <f t="shared" si="1"/>
        <v>1986121.5930000003</v>
      </c>
      <c r="F7" s="91">
        <f t="shared" si="2"/>
        <v>249655484.24010006</v>
      </c>
      <c r="G7" s="91">
        <f t="shared" si="3"/>
        <v>31381694368.980579</v>
      </c>
      <c r="H7" s="91">
        <f t="shared" si="4"/>
        <v>3944678982180.8589</v>
      </c>
      <c r="I7" s="91">
        <f t="shared" si="5"/>
        <v>495846148060134</v>
      </c>
      <c r="J7" s="91">
        <f t="shared" si="6"/>
        <v>6.2327860811158848E+16</v>
      </c>
      <c r="K7" s="91">
        <f t="shared" si="7"/>
        <v>7.834612103962667E+18</v>
      </c>
      <c r="L7" s="91">
        <f t="shared" si="8"/>
        <v>9.8481074146810737E+20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21'!O91</f>
        <v>-0.26680000000001203</v>
      </c>
      <c r="C8" s="37">
        <f>'PERHITUNGAN 21'!N91</f>
        <v>149.9</v>
      </c>
      <c r="D8" s="75">
        <f t="shared" si="0"/>
        <v>22470.010000000002</v>
      </c>
      <c r="E8" s="37">
        <f t="shared" si="1"/>
        <v>3368254.4990000003</v>
      </c>
      <c r="F8" s="91">
        <f t="shared" si="2"/>
        <v>504901349.40010011</v>
      </c>
      <c r="G8" s="91">
        <f t="shared" si="3"/>
        <v>75684712275.075012</v>
      </c>
      <c r="H8" s="91">
        <f t="shared" si="4"/>
        <v>11345138370033.744</v>
      </c>
      <c r="I8" s="91">
        <f t="shared" si="5"/>
        <v>1700636241668058.3</v>
      </c>
      <c r="J8" s="91">
        <f t="shared" si="6"/>
        <v>2.5492537262604198E+17</v>
      </c>
      <c r="K8" s="91">
        <f t="shared" si="7"/>
        <v>3.8213313356643697E+19</v>
      </c>
      <c r="L8" s="91">
        <f t="shared" si="8"/>
        <v>5.7281756721608907E+21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21'!O92</f>
        <v>-0.90899999999999181</v>
      </c>
      <c r="C9" s="37">
        <f>'PERHITUNGAN 21'!N92</f>
        <v>200.7</v>
      </c>
      <c r="D9" s="75">
        <f t="shared" si="0"/>
        <v>40280.49</v>
      </c>
      <c r="E9" s="37">
        <f t="shared" si="1"/>
        <v>8084294.3429999994</v>
      </c>
      <c r="F9" s="91">
        <f t="shared" si="2"/>
        <v>1622517874.6400998</v>
      </c>
      <c r="G9" s="91">
        <f t="shared" si="3"/>
        <v>325639337440.26801</v>
      </c>
      <c r="H9" s="91">
        <f t="shared" si="4"/>
        <v>65355815024261.789</v>
      </c>
      <c r="I9" s="91">
        <f t="shared" si="5"/>
        <v>1.311691207536934E+16</v>
      </c>
      <c r="J9" s="91">
        <f t="shared" si="6"/>
        <v>2.6325642535266263E+18</v>
      </c>
      <c r="K9" s="91">
        <f t="shared" si="7"/>
        <v>5.2835564568279384E+20</v>
      </c>
      <c r="L9" s="91">
        <f t="shared" si="8"/>
        <v>1.0604097808853674E+23</v>
      </c>
      <c r="R9" s="408"/>
      <c r="S9" s="409"/>
      <c r="T9" s="23"/>
      <c r="U9" s="27"/>
      <c r="V9" s="88"/>
    </row>
    <row r="10" spans="1:24">
      <c r="A10" s="25">
        <v>9</v>
      </c>
      <c r="B10" s="37">
        <f>'PERHITUNGAN 21'!O93</f>
        <v>0</v>
      </c>
      <c r="C10" s="37" t="e">
        <f>'PERHITUNGAN 21'!N93</f>
        <v>#DIV/0!</v>
      </c>
      <c r="D10" s="75" t="e">
        <f>C10^2</f>
        <v>#DIV/0!</v>
      </c>
      <c r="E10" s="37" t="e">
        <f>C10^3</f>
        <v>#DIV/0!</v>
      </c>
      <c r="F10" s="91" t="e">
        <f>C10^4</f>
        <v>#DIV/0!</v>
      </c>
      <c r="G10" s="91" t="e">
        <f>C10^5</f>
        <v>#DIV/0!</v>
      </c>
      <c r="H10" s="91" t="e">
        <f>C10^6</f>
        <v>#DIV/0!</v>
      </c>
      <c r="I10" s="91" t="e">
        <f>C10^7</f>
        <v>#DIV/0!</v>
      </c>
      <c r="J10" s="91" t="e">
        <f>C10^8</f>
        <v>#DIV/0!</v>
      </c>
      <c r="K10" s="91" t="e">
        <f>C10^9</f>
        <v>#DIV/0!</v>
      </c>
      <c r="L10" s="91" t="e">
        <f>C10^10</f>
        <v>#DIV/0!</v>
      </c>
      <c r="R10" s="408"/>
      <c r="S10" s="409"/>
      <c r="T10" s="23"/>
      <c r="U10" s="27"/>
      <c r="V10" s="88"/>
    </row>
    <row r="11" spans="1:24">
      <c r="A11" s="25">
        <v>10</v>
      </c>
      <c r="B11" s="37">
        <f>'PERHITUNGAN 21'!O94</f>
        <v>0</v>
      </c>
      <c r="C11" s="37" t="e">
        <f>'PERHITUNGAN 21'!N94</f>
        <v>#DIV/0!</v>
      </c>
      <c r="D11" s="75" t="e">
        <f>C11^2</f>
        <v>#DIV/0!</v>
      </c>
      <c r="E11" s="37" t="e">
        <f>C11^3</f>
        <v>#DIV/0!</v>
      </c>
      <c r="F11" s="91" t="e">
        <f>C11^4</f>
        <v>#DIV/0!</v>
      </c>
      <c r="G11" s="91" t="e">
        <f>C11^5</f>
        <v>#DIV/0!</v>
      </c>
      <c r="H11" s="91" t="e">
        <f>C11^6</f>
        <v>#DIV/0!</v>
      </c>
      <c r="I11" s="91" t="e">
        <f>C11^7</f>
        <v>#DIV/0!</v>
      </c>
      <c r="J11" s="91" t="e">
        <f>C11^8</f>
        <v>#DIV/0!</v>
      </c>
      <c r="K11" s="91" t="e">
        <f>C11^9</f>
        <v>#DIV/0!</v>
      </c>
      <c r="L11" s="91" t="e">
        <f>C11^10</f>
        <v>#DIV/0!</v>
      </c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230</v>
      </c>
      <c r="R19" s="408">
        <f>'REGRESI 20'!R19:S19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-0.84383395695430652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20'!R20:S20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-0.47568384008438525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20'!R21:S21</f>
        <v>25</v>
      </c>
      <c r="S21" s="409"/>
      <c r="T21" s="23">
        <f t="shared" si="9"/>
        <v>0.16880773779408209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20'!R22:S22</f>
        <v>50</v>
      </c>
      <c r="S22" s="409"/>
      <c r="T22" s="23">
        <f t="shared" si="9"/>
        <v>0.47457789091765878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20'!R23:S23</f>
        <v>100</v>
      </c>
      <c r="S23" s="409"/>
      <c r="T23" s="23">
        <f t="shared" si="9"/>
        <v>0.34694475838522654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20'!R24:S24</f>
        <v>125</v>
      </c>
      <c r="S24" s="409"/>
      <c r="T24" s="23">
        <f t="shared" si="9"/>
        <v>5.2036890471761188E-2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20'!R25:S25</f>
        <v>150</v>
      </c>
      <c r="S25" s="409"/>
      <c r="T25" s="23">
        <f t="shared" si="9"/>
        <v>-0.30460156671150873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20'!R26:S26</f>
        <v>200</v>
      </c>
      <c r="S26" s="409"/>
      <c r="T26" s="23">
        <f t="shared" si="9"/>
        <v>-0.9260794134023751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20'!R27:S27</f>
        <v>0</v>
      </c>
      <c r="S27" s="409"/>
      <c r="T27" s="23">
        <f t="shared" si="9"/>
        <v>-0.47568384008438525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20'!R28:S28</f>
        <v>0</v>
      </c>
      <c r="S28" s="409"/>
      <c r="T28" s="23">
        <f t="shared" si="9"/>
        <v>-0.47568384008438525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0.93312900601753612</v>
      </c>
      <c r="Q33" s="31" t="s">
        <v>100</v>
      </c>
      <c r="U33" s="70"/>
    </row>
    <row r="34" spans="2:24">
      <c r="B34" t="s">
        <v>76</v>
      </c>
      <c r="C34">
        <v>0.87072974187127494</v>
      </c>
      <c r="X34" s="46"/>
    </row>
    <row r="35" spans="2:24">
      <c r="B35" t="s">
        <v>77</v>
      </c>
      <c r="C35">
        <v>0.77377704827473126</v>
      </c>
      <c r="Q35" t="s">
        <v>99</v>
      </c>
    </row>
    <row r="36" spans="2:24">
      <c r="B36" t="s">
        <v>78</v>
      </c>
      <c r="C36">
        <v>0.26893484904419435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-0.47568384008438525</v>
      </c>
      <c r="U38" s="26" t="s">
        <v>97</v>
      </c>
      <c r="V38">
        <f>C78</f>
        <v>-11.102835137227007</v>
      </c>
    </row>
    <row r="39" spans="2:24" ht="13.5" thickBot="1">
      <c r="B39" t="s">
        <v>80</v>
      </c>
      <c r="R39" s="26" t="s">
        <v>98</v>
      </c>
      <c r="S39">
        <f t="shared" si="10"/>
        <v>3.3477394395186794E-2</v>
      </c>
      <c r="U39" s="26" t="s">
        <v>98</v>
      </c>
      <c r="V39">
        <f>C79</f>
        <v>0.40084237654093219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-3.263753069009298E-4</v>
      </c>
      <c r="U40" s="26" t="s">
        <v>111</v>
      </c>
      <c r="V40">
        <f>C80</f>
        <v>-4.3335449726809704E-3</v>
      </c>
    </row>
    <row r="41" spans="2:24">
      <c r="B41" t="s">
        <v>81</v>
      </c>
      <c r="C41">
        <v>3</v>
      </c>
      <c r="D41">
        <v>1.9486727828782995</v>
      </c>
      <c r="E41">
        <v>0.64955759429276649</v>
      </c>
      <c r="F41">
        <v>8.9809752526804996</v>
      </c>
      <c r="G41">
        <v>2.9948078026902344E-2</v>
      </c>
      <c r="R41" s="26" t="s">
        <v>112</v>
      </c>
      <c r="S41">
        <f t="shared" si="10"/>
        <v>7.3864222796023052E-7</v>
      </c>
      <c r="U41" s="26" t="s">
        <v>112</v>
      </c>
      <c r="V41">
        <f>C81</f>
        <v>1.6392508584661901E-5</v>
      </c>
    </row>
    <row r="42" spans="2:24">
      <c r="B42" t="s">
        <v>82</v>
      </c>
      <c r="C42">
        <v>4</v>
      </c>
      <c r="D42">
        <v>0.28930381212169437</v>
      </c>
      <c r="E42">
        <v>7.2325953030423593E-2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2.2379765949999939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-0.47568384008438525</v>
      </c>
      <c r="D46">
        <v>0.16139238249362756</v>
      </c>
      <c r="E46">
        <v>-2.9473747938702575</v>
      </c>
      <c r="F46">
        <v>4.2079087848152182E-2</v>
      </c>
      <c r="G46">
        <v>-0.92378093047502752</v>
      </c>
      <c r="H46">
        <v>-2.7586749693742973E-2</v>
      </c>
      <c r="I46">
        <v>-0.92378093047502752</v>
      </c>
      <c r="J46">
        <v>-2.7586749693742973E-2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3.3477394395186794E-2</v>
      </c>
      <c r="D47">
        <v>9.2166656371758318E-3</v>
      </c>
      <c r="E47">
        <v>3.6322674287059118</v>
      </c>
      <c r="F47">
        <v>2.211544077360994E-2</v>
      </c>
      <c r="G47">
        <v>7.8878282006052541E-3</v>
      </c>
      <c r="H47">
        <v>5.9066960589768333E-2</v>
      </c>
      <c r="I47">
        <v>7.8878282006052541E-3</v>
      </c>
      <c r="J47">
        <v>5.9066960589768333E-2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-3.263753069009298E-4</v>
      </c>
      <c r="D48">
        <v>1.2225643737037882E-4</v>
      </c>
      <c r="E48">
        <v>-2.6695960877067599</v>
      </c>
      <c r="F48">
        <v>5.5829456066778409E-2</v>
      </c>
      <c r="G48">
        <v>-6.6581359401683866E-4</v>
      </c>
      <c r="H48">
        <v>1.3062980214979055E-5</v>
      </c>
      <c r="I48">
        <v>-6.6581359401683866E-4</v>
      </c>
      <c r="J48">
        <v>1.3062980214979055E-5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7.3864222796023052E-7</v>
      </c>
      <c r="D49" s="67">
        <v>4.1085185138921751E-7</v>
      </c>
      <c r="E49" s="67">
        <v>1.7978310806259048</v>
      </c>
      <c r="F49" s="67">
        <v>0.14660794871883259</v>
      </c>
      <c r="G49" s="67">
        <v>-4.020653837908136E-7</v>
      </c>
      <c r="H49" s="67">
        <v>1.8793498397112747E-6</v>
      </c>
      <c r="I49" s="67">
        <v>-4.020653837908136E-7</v>
      </c>
      <c r="J49" s="67">
        <v>1.8793498397112747E-6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62" spans="2:21">
      <c r="B62" t="s">
        <v>73</v>
      </c>
    </row>
    <row r="63" spans="2:21" ht="13.5" thickBot="1"/>
    <row r="64" spans="2:21" ht="13.5">
      <c r="B64" s="69" t="s">
        <v>74</v>
      </c>
      <c r="C64" s="69"/>
    </row>
    <row r="65" spans="2:10">
      <c r="B65" t="s">
        <v>75</v>
      </c>
      <c r="C65">
        <v>1</v>
      </c>
    </row>
    <row r="66" spans="2:10">
      <c r="B66" t="s">
        <v>76</v>
      </c>
      <c r="C66">
        <v>1</v>
      </c>
    </row>
    <row r="67" spans="2:10">
      <c r="B67" t="s">
        <v>77</v>
      </c>
      <c r="C67">
        <v>65535</v>
      </c>
    </row>
    <row r="68" spans="2:10">
      <c r="B68" t="s">
        <v>78</v>
      </c>
      <c r="C68">
        <v>0</v>
      </c>
    </row>
    <row r="69" spans="2:10" ht="13.5" thickBot="1">
      <c r="B69" s="67" t="s">
        <v>79</v>
      </c>
      <c r="C69" s="67">
        <v>4</v>
      </c>
    </row>
    <row r="71" spans="2:10" ht="13.5" thickBot="1">
      <c r="B71" t="s">
        <v>80</v>
      </c>
    </row>
    <row r="72" spans="2:10" ht="13.5">
      <c r="B72" s="68"/>
      <c r="C72" s="68" t="s">
        <v>85</v>
      </c>
      <c r="D72" s="68" t="s">
        <v>86</v>
      </c>
      <c r="E72" s="68" t="s">
        <v>87</v>
      </c>
      <c r="F72" s="68" t="s">
        <v>88</v>
      </c>
      <c r="G72" s="68" t="s">
        <v>89</v>
      </c>
    </row>
    <row r="73" spans="2:10">
      <c r="B73" t="s">
        <v>81</v>
      </c>
      <c r="C73">
        <v>3</v>
      </c>
      <c r="D73">
        <v>4.6205533379281514</v>
      </c>
      <c r="E73">
        <v>1.5401844459760505</v>
      </c>
      <c r="F73" t="e">
        <v>#NUM!</v>
      </c>
      <c r="G73" t="e">
        <v>#NUM!</v>
      </c>
    </row>
    <row r="74" spans="2:10">
      <c r="B74" t="s">
        <v>82</v>
      </c>
      <c r="C74">
        <v>0</v>
      </c>
      <c r="D74">
        <v>0</v>
      </c>
      <c r="E74">
        <v>65535</v>
      </c>
    </row>
    <row r="75" spans="2:10" ht="13.5" thickBot="1">
      <c r="B75" s="67" t="s">
        <v>83</v>
      </c>
      <c r="C75" s="67">
        <v>3</v>
      </c>
      <c r="D75" s="67">
        <v>4.6205533379281514</v>
      </c>
      <c r="E75" s="67"/>
      <c r="F75" s="67"/>
      <c r="G75" s="67"/>
    </row>
    <row r="76" spans="2:10" ht="13.5" thickBot="1"/>
    <row r="77" spans="2:10" ht="13.5">
      <c r="B77" s="68"/>
      <c r="C77" s="68" t="s">
        <v>90</v>
      </c>
      <c r="D77" s="68" t="s">
        <v>78</v>
      </c>
      <c r="E77" s="68" t="s">
        <v>91</v>
      </c>
      <c r="F77" s="68" t="s">
        <v>92</v>
      </c>
      <c r="G77" s="68" t="s">
        <v>93</v>
      </c>
      <c r="H77" s="68" t="s">
        <v>94</v>
      </c>
      <c r="I77" s="68" t="s">
        <v>120</v>
      </c>
      <c r="J77" s="68" t="s">
        <v>121</v>
      </c>
    </row>
    <row r="78" spans="2:10">
      <c r="B78" t="s">
        <v>84</v>
      </c>
      <c r="C78">
        <v>-11.102835137227007</v>
      </c>
      <c r="D78">
        <v>0</v>
      </c>
      <c r="E78">
        <v>65535</v>
      </c>
      <c r="F78" t="e">
        <v>#NUM!</v>
      </c>
      <c r="G78">
        <v>-11.102835137227007</v>
      </c>
      <c r="H78">
        <v>-11.102835137227007</v>
      </c>
      <c r="I78">
        <v>-11.102835137227007</v>
      </c>
      <c r="J78">
        <v>-11.102835137227007</v>
      </c>
    </row>
    <row r="79" spans="2:10">
      <c r="B79" t="s">
        <v>95</v>
      </c>
      <c r="C79">
        <v>0.40084237654093219</v>
      </c>
      <c r="D79">
        <v>0</v>
      </c>
      <c r="E79">
        <v>65535</v>
      </c>
      <c r="F79" t="e">
        <v>#NUM!</v>
      </c>
      <c r="G79">
        <v>0.40084237654093219</v>
      </c>
      <c r="H79">
        <v>0.40084237654093219</v>
      </c>
      <c r="I79">
        <v>0.40084237654093219</v>
      </c>
      <c r="J79">
        <v>0.40084237654093219</v>
      </c>
    </row>
    <row r="80" spans="2:10">
      <c r="B80" t="s">
        <v>108</v>
      </c>
      <c r="C80">
        <v>-4.3335449726809704E-3</v>
      </c>
      <c r="D80">
        <v>0</v>
      </c>
      <c r="E80">
        <v>65535</v>
      </c>
      <c r="F80" t="e">
        <v>#NUM!</v>
      </c>
      <c r="G80">
        <v>-4.3335449726809704E-3</v>
      </c>
      <c r="H80">
        <v>-4.3335449726809704E-3</v>
      </c>
      <c r="I80">
        <v>-4.3335449726809704E-3</v>
      </c>
      <c r="J80">
        <v>-4.3335449726809704E-3</v>
      </c>
    </row>
    <row r="81" spans="2:10" ht="13.5" thickBot="1">
      <c r="B81" s="67" t="s">
        <v>109</v>
      </c>
      <c r="C81" s="67">
        <v>1.6392508584661901E-5</v>
      </c>
      <c r="D81" s="67">
        <v>0</v>
      </c>
      <c r="E81" s="67">
        <v>65535</v>
      </c>
      <c r="F81" s="67" t="e">
        <v>#NUM!</v>
      </c>
      <c r="G81" s="67">
        <v>1.6392508584661901E-5</v>
      </c>
      <c r="H81" s="67">
        <v>1.6392508584661901E-5</v>
      </c>
      <c r="I81" s="67">
        <v>1.6392508584661901E-5</v>
      </c>
      <c r="J81" s="67">
        <v>1.6392508584661901E-5</v>
      </c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A929-AAEA-4D38-AC61-7CD55011B4F6}">
  <dimension ref="A1:AH187"/>
  <sheetViews>
    <sheetView workbookViewId="0"/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13'!$C$2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13'!G3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13'!E5</f>
        <v>Termometer Digital</v>
      </c>
      <c r="F5" s="11"/>
      <c r="G5" s="11" t="s">
        <v>127</v>
      </c>
      <c r="H5" s="11" t="s">
        <v>16</v>
      </c>
      <c r="I5" s="66" t="str">
        <f>'PERHITUNGAN 13'!I5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13'!E6</f>
        <v>Hioki / LR 8431-20</v>
      </c>
      <c r="F6" s="11"/>
      <c r="G6" s="11" t="s">
        <v>128</v>
      </c>
      <c r="H6" s="11" t="s">
        <v>16</v>
      </c>
      <c r="I6" s="129">
        <f>'PERHITUNGAN 13'!I6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13'!E7</f>
        <v>210149173</v>
      </c>
      <c r="F7" s="11"/>
      <c r="G7" s="11" t="s">
        <v>44</v>
      </c>
      <c r="H7" s="11" t="s">
        <v>16</v>
      </c>
      <c r="I7" s="31">
        <v>10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13'!E11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13'!E12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13'!E13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13'!E14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13'!E17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13'!E18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13'!E19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13'!E21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13'!D24</f>
        <v>22</v>
      </c>
      <c r="E23" s="244">
        <f>'PERHITUNGAN 13'!E24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13'!D25</f>
        <v>22</v>
      </c>
      <c r="E24" s="244">
        <f>'PERHITUNGAN 13'!E25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13'!D28</f>
        <v>20</v>
      </c>
      <c r="E27" s="244">
        <f>'PERHITUNGAN 13'!E28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13'!D29</f>
        <v>20</v>
      </c>
      <c r="E28" s="244">
        <f>'PERHITUNGAN 13'!E29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13'!D33</f>
        <v>55</v>
      </c>
      <c r="E32" s="244">
        <f>'PERHITUNGAN 13'!E33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13'!D34</f>
        <v>55</v>
      </c>
      <c r="E33" s="244">
        <f>'PERHITUNGAN 13'!E34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-9.8035999999999994</v>
      </c>
      <c r="P36" s="380">
        <f>F56</f>
        <v>0.20400000000000001</v>
      </c>
      <c r="Q36" s="380">
        <f>F64</f>
        <v>25.366</v>
      </c>
      <c r="R36" s="380">
        <f>F72</f>
        <v>50.48</v>
      </c>
      <c r="S36" s="380">
        <f>F80</f>
        <v>99.218999999999994</v>
      </c>
      <c r="T36" s="380">
        <f>F88</f>
        <v>125.4102</v>
      </c>
      <c r="U36" s="380">
        <f>F96</f>
        <v>149.64580000000001</v>
      </c>
      <c r="V36" s="380">
        <f>F104</f>
        <v>199.6728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22'!$E$11="Burn Engr",IF(O36&lt;=$AA$38,$AB$38,$AB$39),IF(O36&lt;=$AC$38,$AD$38,IF(O36&lt;=$AC$39,$AD$39,$AD$40)))</f>
        <v>0.02</v>
      </c>
      <c r="P38" s="54">
        <f>IF('PERHITUNGAN 22'!$E$11="Burn Engr",IF(P36&lt;=$AA$38,$AB$38,$AB$39),IF(P36&lt;=$AC$38,$AD$38,IF(P36&lt;=$AC$39,$AD$39,$AD$40)))</f>
        <v>7.0000000000000007E-2</v>
      </c>
      <c r="Q38" s="54">
        <f>IF('PERHITUNGAN 22'!$E$11="Burn Engr",IF(Q36&lt;=$AA$38,$AB$38,$AB$39),IF(Q36&lt;=$AC$38,$AD$38,IF(Q36&lt;=$AC$39,$AD$39,$AD$40)))</f>
        <v>7.0000000000000007E-2</v>
      </c>
      <c r="R38" s="54">
        <f>IF('PERHITUNGAN 22'!$E$11="Burn Engr",IF(R36&lt;=$AA$38,$AB$38,$AB$39),IF(R36&lt;=$AC$38,$AD$38,IF(R36&lt;=$AC$39,$AD$39,$AD$40)))</f>
        <v>7.0000000000000007E-2</v>
      </c>
      <c r="S38" s="54">
        <f>IF('PERHITUNGAN 22'!$E$11="Burn Engr",IF(S36&lt;=$AA$38,$AB$38,$AB$39),IF(S36&lt;=$AC$38,$AD$38,IF(S36&lt;=$AC$39,$AD$39,$AD$40)))</f>
        <v>7.0000000000000007E-2</v>
      </c>
      <c r="T38" s="54">
        <f>IF('PERHITUNGAN 22'!$E$11="Burn Engr",IF(T36&lt;=$AA$38,$AB$38,$AB$39),IF(T36&lt;=$AC$38,$AD$38,IF(T36&lt;=$AC$39,$AD$39,$AD$40)))</f>
        <v>7.0000000000000007E-2</v>
      </c>
      <c r="U38" s="54">
        <f>IF('PERHITUNGAN 22'!$E$11="Burn Engr",IF(U36&lt;=$AA$38,$AB$38,$AB$39),IF(U36&lt;=$AC$38,$AD$38,IF(U36&lt;=$AC$39,$AD$39,$AD$40)))</f>
        <v>7.0000000000000007E-2</v>
      </c>
      <c r="V38" s="54">
        <f>IF('PERHITUNGAN 22'!$E$11="Burn Engr",IF(V36&lt;=$AA$38,$AB$38,$AB$39),IF(V36&lt;=$AC$38,$AD$38,IF(V36&lt;=$AC$39,$AD$39,$AD$40)))</f>
        <v>7.0000000000000007E-2</v>
      </c>
      <c r="W38" s="54">
        <f>IF('PERHITUNGAN 22'!$E$11="Burn Engr",IF(W36&lt;=$AA$38,$AB$38,$AB$39),IF(W36&lt;=$AC$38,$AD$38,IF(W36&lt;=$AC$39,$AD$39,$AD$40)))</f>
        <v>0.02</v>
      </c>
      <c r="X38" s="54">
        <f>IF('PERHITUNGAN 22'!$E$11="Burn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0.01</v>
      </c>
      <c r="P40" s="37">
        <f t="shared" ref="P40:X40" si="1">P38/P39</f>
        <v>3.5000000000000003E-2</v>
      </c>
      <c r="Q40" s="37">
        <f t="shared" si="1"/>
        <v>3.5000000000000003E-2</v>
      </c>
      <c r="R40" s="37">
        <f>R38/R39</f>
        <v>3.5000000000000003E-2</v>
      </c>
      <c r="S40" s="37">
        <f t="shared" si="1"/>
        <v>3.5000000000000003E-2</v>
      </c>
      <c r="T40" s="37">
        <f t="shared" si="1"/>
        <v>3.5000000000000003E-2</v>
      </c>
      <c r="U40" s="37">
        <f t="shared" si="1"/>
        <v>3.5000000000000003E-2</v>
      </c>
      <c r="V40" s="37">
        <f t="shared" si="1"/>
        <v>3.5000000000000003E-2</v>
      </c>
      <c r="W40" s="37">
        <f t="shared" si="1"/>
        <v>0.01</v>
      </c>
      <c r="X40" s="37">
        <f t="shared" si="1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-10</v>
      </c>
      <c r="C43" s="373">
        <v>-9</v>
      </c>
      <c r="D43" s="374"/>
      <c r="E43" s="90">
        <v>-9.8040000000000003</v>
      </c>
      <c r="F43" s="37">
        <f>IF('PERHITUNGAN 22'!$E$11="Burn Engr",'PERHITUNGAN 22'!E43,E43+('regresi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-9.8040000000000003</v>
      </c>
      <c r="G43" s="90">
        <f>F43-C43</f>
        <v>-0.80400000000000027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-9</v>
      </c>
      <c r="D44" s="374"/>
      <c r="E44" s="90">
        <v>-9.8040000000000003</v>
      </c>
      <c r="F44" s="37">
        <f>IF('PERHITUNGAN 22'!$E$11="Burn Engr",'PERHITUNGAN 22'!E44,E44+('regresi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-9.8040000000000003</v>
      </c>
      <c r="G44" s="90">
        <f>F44-C44</f>
        <v>-0.80400000000000027</v>
      </c>
      <c r="H44" s="63"/>
      <c r="I44" s="63"/>
      <c r="AB44" s="1"/>
    </row>
    <row r="45" spans="1:30" ht="13.5" customHeight="1">
      <c r="A45" s="105"/>
      <c r="C45" s="373">
        <v>-9</v>
      </c>
      <c r="D45" s="374"/>
      <c r="E45" s="90">
        <v>-9.8040000000000003</v>
      </c>
      <c r="F45" s="37">
        <f>IF('PERHITUNGAN 22'!$E$11="Burn Engr",'PERHITUNGAN 22'!E45,E45+('regresi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-9.8040000000000003</v>
      </c>
      <c r="G45" s="90">
        <f>F45-C45</f>
        <v>-0.80400000000000027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-9</v>
      </c>
      <c r="D46" s="374"/>
      <c r="E46" s="90">
        <v>-9.8030000000000008</v>
      </c>
      <c r="F46" s="37">
        <f>IF('PERHITUNGAN 22'!$E$11="Burn Engr",'PERHITUNGAN 22'!E46,E46+('regresi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-9.8030000000000008</v>
      </c>
      <c r="G46" s="90">
        <f>F46-C46</f>
        <v>-0.80300000000000082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-9</v>
      </c>
      <c r="D47" s="374"/>
      <c r="E47" s="90">
        <v>-9.8030000000000008</v>
      </c>
      <c r="F47" s="37">
        <f>IF('PERHITUNGAN 22'!$E$11="Burn Engr",'PERHITUNGAN 22'!E47,E47+('regresi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-9.8030000000000008</v>
      </c>
      <c r="G47" s="90">
        <f>F47-C47</f>
        <v>-0.80300000000000082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-9</v>
      </c>
      <c r="D48" s="357"/>
      <c r="E48" s="95">
        <f>AVERAGE(E43:E47)</f>
        <v>-9.8035999999999994</v>
      </c>
      <c r="F48" s="95">
        <f>AVERAGE(F43:F47)</f>
        <v>-9.8035999999999994</v>
      </c>
      <c r="G48" s="95">
        <f>SUM(G43:G47)/5</f>
        <v>-0.80360000000000054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5.4772255750486253E-4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2.4494897427818204E-4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>
        <v>0</v>
      </c>
      <c r="C51" s="373">
        <v>0.8</v>
      </c>
      <c r="D51" s="374"/>
      <c r="E51" s="90">
        <v>0.20399999999999999</v>
      </c>
      <c r="F51" s="37">
        <f>IF('PERHITUNGAN 22'!$E$11="Burn Engr",'PERHITUNGAN 22'!E51,E51+('regresi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0.20399999999999999</v>
      </c>
      <c r="G51" s="90">
        <f>F51-C51</f>
        <v>-0.59600000000000009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>
        <v>0.8</v>
      </c>
      <c r="D52" s="374"/>
      <c r="E52" s="90">
        <v>0.20399999999999999</v>
      </c>
      <c r="F52" s="37">
        <f>IF('PERHITUNGAN 22'!$E$11="Burn Engr",'PERHITUNGAN 22'!E52,E52+('regresi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0.20399999999999999</v>
      </c>
      <c r="G52" s="90">
        <f>F52-C52</f>
        <v>-0.59600000000000009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>
        <v>0.8</v>
      </c>
      <c r="D53" s="374"/>
      <c r="E53" s="90">
        <v>0.20399999999999999</v>
      </c>
      <c r="F53" s="37">
        <f>IF('PERHITUNGAN 22'!$E$11="Burn Engr",'PERHITUNGAN 22'!E53,E53+('regresi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0.20399999999999999</v>
      </c>
      <c r="G53" s="90">
        <f>F53-C53</f>
        <v>-0.59600000000000009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0.8</v>
      </c>
      <c r="D54" s="374"/>
      <c r="E54" s="90">
        <v>0.20399999999999999</v>
      </c>
      <c r="F54" s="37">
        <f>IF('PERHITUNGAN 22'!$E$11="Burn Engr",'PERHITUNGAN 22'!E54,E54+('regresi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0.20399999999999999</v>
      </c>
      <c r="G54" s="90">
        <f>F54-C54</f>
        <v>-0.59600000000000009</v>
      </c>
      <c r="H54" s="63"/>
      <c r="I54" s="63"/>
      <c r="AB54" s="1"/>
    </row>
    <row r="55" spans="1:28" ht="13.5" customHeight="1">
      <c r="A55" s="10"/>
      <c r="C55" s="373">
        <v>0.8</v>
      </c>
      <c r="D55" s="374"/>
      <c r="E55" s="90">
        <v>0.20399999999999999</v>
      </c>
      <c r="F55" s="37">
        <f>IF('PERHITUNGAN 22'!$E$11="Burn Engr",'PERHITUNGAN 22'!E55,E55+('regresi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0.20399999999999999</v>
      </c>
      <c r="G55" s="90">
        <f>F55-C55</f>
        <v>-0.59600000000000009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0.8</v>
      </c>
      <c r="D56" s="334"/>
      <c r="E56" s="95">
        <f>AVERAGE(E51:E55)</f>
        <v>0.20400000000000001</v>
      </c>
      <c r="F56" s="95">
        <f>AVERAGE(F51:F55)</f>
        <v>0.20400000000000001</v>
      </c>
      <c r="G56" s="95">
        <f>SUM(G51:G55)/5</f>
        <v>-0.59600000000000009</v>
      </c>
      <c r="H56" s="63"/>
      <c r="I56" s="63"/>
      <c r="N56" s="390"/>
      <c r="O56" s="115">
        <f>C48</f>
        <v>-9</v>
      </c>
      <c r="P56" s="115">
        <f>C56</f>
        <v>0.8</v>
      </c>
      <c r="Q56" s="115">
        <f>C64</f>
        <v>25.3</v>
      </c>
      <c r="R56" s="115">
        <f>C72</f>
        <v>49.9</v>
      </c>
      <c r="S56" s="115">
        <f>C80</f>
        <v>93.8</v>
      </c>
      <c r="T56" s="115">
        <f>C88</f>
        <v>120.6</v>
      </c>
      <c r="U56" s="115">
        <f>C96</f>
        <v>144.69999999999999</v>
      </c>
      <c r="V56" s="115">
        <f>C104</f>
        <v>195.9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0</v>
      </c>
      <c r="H57" s="44"/>
      <c r="I57" s="63"/>
      <c r="N57" s="25" t="s">
        <v>152</v>
      </c>
      <c r="O57" s="112">
        <f>$G$49/5^0.5</f>
        <v>2.4494897427818204E-4</v>
      </c>
      <c r="P57" s="112">
        <f>$G$57/5^0.5</f>
        <v>0</v>
      </c>
      <c r="Q57" s="112">
        <f>$G$65/5^0.5</f>
        <v>0</v>
      </c>
      <c r="R57" s="112">
        <f>$G$73/5^0.5</f>
        <v>0</v>
      </c>
      <c r="S57" s="112">
        <f>$G$81/5^0.5</f>
        <v>0</v>
      </c>
      <c r="T57" s="112">
        <f>$G$89/5^0.5</f>
        <v>7.3484692283498122E-4</v>
      </c>
      <c r="U57" s="112">
        <f>$G$97/5^0.5</f>
        <v>4.8989794855201297E-4</v>
      </c>
      <c r="V57" s="112">
        <f>$G$105/5^0.5</f>
        <v>4.8989794855897474E-4</v>
      </c>
      <c r="W57" s="112">
        <f>$G$113/5^0.5</f>
        <v>0</v>
      </c>
      <c r="X57" s="112">
        <f>$G$121/5^0.5</f>
        <v>0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0</v>
      </c>
      <c r="H58" s="44"/>
      <c r="I58" s="63"/>
      <c r="N58" s="25" t="s">
        <v>153</v>
      </c>
      <c r="O58" s="113">
        <f>IF('DRAFT-SERTIF'!$O$27="Ya",'REGRESI 22'!$C$36,0)</f>
        <v>0.92539343133017926</v>
      </c>
      <c r="P58" s="113">
        <f>IF('DRAFT-SERTIF'!$O$27="Ya",'REGRESI 22'!$C$36,0)</f>
        <v>0.92539343133017926</v>
      </c>
      <c r="Q58" s="113">
        <f>IF('DRAFT-SERTIF'!$O$27="Ya",'REGRESI 22'!$C$36,0)</f>
        <v>0.92539343133017926</v>
      </c>
      <c r="R58" s="113">
        <f>IF('DRAFT-SERTIF'!$O$27="Ya",'REGRESI 22'!$C$36,0)</f>
        <v>0.92539343133017926</v>
      </c>
      <c r="S58" s="113">
        <f>IF('DRAFT-SERTIF'!$O$27="Ya",'REGRESI 22'!$C$36,0)</f>
        <v>0.92539343133017926</v>
      </c>
      <c r="T58" s="113">
        <f>IF('DRAFT-SERTIF'!$O$27="Ya",'REGRESI 22'!$C$36,0)</f>
        <v>0.92539343133017926</v>
      </c>
      <c r="U58" s="113">
        <f>IF('DRAFT-SERTIF'!$O$27="Ya",'REGRESI 22'!$C$36,0)</f>
        <v>0.92539343133017926</v>
      </c>
      <c r="V58" s="113">
        <f>IF('DRAFT-SERTIF'!$O$27="Ya",'REGRESI 22'!$C$36,0)</f>
        <v>0.92539343133017926</v>
      </c>
      <c r="W58" s="113">
        <f>IF('DRAFT-SERTIF'!$O$27="Ya",'REGRESI 22'!$C$36,0)</f>
        <v>0.92539343133017926</v>
      </c>
      <c r="X58" s="113">
        <f>IF('DRAFT-SERTIF'!$O$27="Ya",'REGRESI 22'!$C$36,0)</f>
        <v>0.92539343133017926</v>
      </c>
      <c r="AB58" s="1"/>
    </row>
    <row r="59" spans="1:28" ht="13.5" customHeight="1">
      <c r="A59" s="105">
        <v>3</v>
      </c>
      <c r="B59" s="196">
        <v>25</v>
      </c>
      <c r="C59" s="327">
        <v>25.3</v>
      </c>
      <c r="D59" s="327"/>
      <c r="E59" s="15">
        <v>25.366</v>
      </c>
      <c r="F59" s="37">
        <f>IF('PERHITUNGAN 22'!$E$11="Burn Engr",'PERHITUNGAN 22'!E59,E59+('regresi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25.366</v>
      </c>
      <c r="G59" s="90">
        <f>F59-C59</f>
        <v>6.5999999999998948E-2</v>
      </c>
      <c r="H59" s="63"/>
      <c r="I59" s="63"/>
      <c r="N59" s="25" t="s">
        <v>154</v>
      </c>
      <c r="O59" s="91">
        <f t="shared" ref="O59:X59" si="3">O40</f>
        <v>0.01</v>
      </c>
      <c r="P59" s="91">
        <f t="shared" si="3"/>
        <v>3.5000000000000003E-2</v>
      </c>
      <c r="Q59" s="91">
        <f t="shared" si="3"/>
        <v>3.5000000000000003E-2</v>
      </c>
      <c r="R59" s="91">
        <f t="shared" si="3"/>
        <v>3.5000000000000003E-2</v>
      </c>
      <c r="S59" s="91">
        <f t="shared" si="3"/>
        <v>3.5000000000000003E-2</v>
      </c>
      <c r="T59" s="91">
        <f t="shared" si="3"/>
        <v>3.5000000000000003E-2</v>
      </c>
      <c r="U59" s="91">
        <f t="shared" si="3"/>
        <v>3.5000000000000003E-2</v>
      </c>
      <c r="V59" s="91">
        <f t="shared" si="3"/>
        <v>3.5000000000000003E-2</v>
      </c>
      <c r="W59" s="91">
        <f t="shared" si="3"/>
        <v>0.01</v>
      </c>
      <c r="X59" s="91">
        <f t="shared" si="3"/>
        <v>0.01</v>
      </c>
    </row>
    <row r="60" spans="1:28">
      <c r="A60" s="10"/>
      <c r="C60" s="327">
        <v>25.3</v>
      </c>
      <c r="D60" s="327"/>
      <c r="E60" s="15">
        <v>25.366</v>
      </c>
      <c r="F60" s="37">
        <f>IF('PERHITUNGAN 22'!$E$11="Burn Engr",'PERHITUNGAN 22'!E60,E60+('regresi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25.366</v>
      </c>
      <c r="G60" s="90">
        <f>F60-C60</f>
        <v>6.5999999999998948E-2</v>
      </c>
      <c r="H60" s="63"/>
      <c r="I60" s="63"/>
      <c r="N60" s="133" t="s">
        <v>155</v>
      </c>
      <c r="O60" s="134">
        <f>'PERHITUNGAN 13'!O61</f>
        <v>1.5000000000000003E-2</v>
      </c>
      <c r="P60" s="134">
        <f>'PERHITUNGAN 13'!P61</f>
        <v>0.01</v>
      </c>
      <c r="Q60" s="134">
        <f>'PERHITUNGAN 13'!Q61</f>
        <v>5.0000000000000001E-3</v>
      </c>
      <c r="R60" s="134">
        <f>'PERHITUNGAN 13'!R61</f>
        <v>1.4999999999999999E-2</v>
      </c>
      <c r="S60" s="134">
        <f>'PERHITUNGAN 13'!S61</f>
        <v>5.0000000000000001E-3</v>
      </c>
      <c r="T60" s="134">
        <f>'PERHITUNGAN 13'!T61</f>
        <v>0.05</v>
      </c>
      <c r="U60" s="134">
        <f>'PERHITUNGAN 13'!U61</f>
        <v>0.05</v>
      </c>
      <c r="V60" s="134">
        <f>'PERHITUNGAN 13'!V61</f>
        <v>1.5000000000000003E-2</v>
      </c>
      <c r="W60" s="134">
        <f>'PERHITUNGAN 13'!W61</f>
        <v>1.4999999999999999E-2</v>
      </c>
      <c r="X60" s="134">
        <f>'PERHITUNGAN 13'!X61</f>
        <v>1.4999999999999999E-2</v>
      </c>
    </row>
    <row r="61" spans="1:28">
      <c r="A61" s="10"/>
      <c r="C61" s="327">
        <v>25.3</v>
      </c>
      <c r="D61" s="327"/>
      <c r="E61" s="15">
        <v>25.366</v>
      </c>
      <c r="F61" s="37">
        <f>IF('PERHITUNGAN 22'!$E$11="Burn Engr",'PERHITUNGAN 22'!E61,E61+('regresi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25.366</v>
      </c>
      <c r="G61" s="90">
        <f>F61-C61</f>
        <v>6.5999999999998948E-2</v>
      </c>
      <c r="H61" s="63"/>
      <c r="I61" s="63"/>
      <c r="N61" s="25" t="s">
        <v>156</v>
      </c>
      <c r="O61" s="20">
        <f t="shared" ref="O61:X61" si="4">(0.1*O38)/SQRT(3)</f>
        <v>1.1547005383792516E-3</v>
      </c>
      <c r="P61" s="20">
        <f t="shared" si="4"/>
        <v>4.041451884327381E-3</v>
      </c>
      <c r="Q61" s="20">
        <f t="shared" si="4"/>
        <v>4.041451884327381E-3</v>
      </c>
      <c r="R61" s="20">
        <f t="shared" si="4"/>
        <v>4.041451884327381E-3</v>
      </c>
      <c r="S61" s="20">
        <f t="shared" si="4"/>
        <v>4.041451884327381E-3</v>
      </c>
      <c r="T61" s="20">
        <f t="shared" si="4"/>
        <v>4.041451884327381E-3</v>
      </c>
      <c r="U61" s="20">
        <f t="shared" si="4"/>
        <v>4.041451884327381E-3</v>
      </c>
      <c r="V61" s="20">
        <f t="shared" si="4"/>
        <v>4.041451884327381E-3</v>
      </c>
      <c r="W61" s="20">
        <f t="shared" si="4"/>
        <v>1.1547005383792516E-3</v>
      </c>
      <c r="X61" s="20">
        <f t="shared" si="4"/>
        <v>1.1547005383792516E-3</v>
      </c>
    </row>
    <row r="62" spans="1:28">
      <c r="A62" s="10"/>
      <c r="C62" s="327">
        <v>25.3</v>
      </c>
      <c r="D62" s="327"/>
      <c r="E62" s="15">
        <v>25.366</v>
      </c>
      <c r="F62" s="37">
        <f>IF('PERHITUNGAN 22'!$E$11="Burn Engr",'PERHITUNGAN 22'!E62,E62+('regresi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25.366</v>
      </c>
      <c r="G62" s="90">
        <f>F62-C62</f>
        <v>6.5999999999998948E-2</v>
      </c>
      <c r="H62" s="63"/>
      <c r="I62" s="63"/>
      <c r="N62" s="25" t="s">
        <v>157</v>
      </c>
      <c r="O62" s="114">
        <f t="shared" ref="O62:X62" si="5">$T$28</f>
        <v>2.886751345948129E-3</v>
      </c>
      <c r="P62" s="114">
        <f t="shared" si="5"/>
        <v>2.886751345948129E-3</v>
      </c>
      <c r="Q62" s="114">
        <f t="shared" si="5"/>
        <v>2.886751345948129E-3</v>
      </c>
      <c r="R62" s="114">
        <f t="shared" si="5"/>
        <v>2.886751345948129E-3</v>
      </c>
      <c r="S62" s="114">
        <f t="shared" si="5"/>
        <v>2.886751345948129E-3</v>
      </c>
      <c r="T62" s="114">
        <f t="shared" si="5"/>
        <v>2.886751345948129E-3</v>
      </c>
      <c r="U62" s="114">
        <f t="shared" si="5"/>
        <v>2.886751345948129E-3</v>
      </c>
      <c r="V62" s="114">
        <f t="shared" si="5"/>
        <v>2.886751345948129E-3</v>
      </c>
      <c r="W62" s="114">
        <f t="shared" si="5"/>
        <v>2.886751345948129E-3</v>
      </c>
      <c r="X62" s="114">
        <f t="shared" si="5"/>
        <v>2.886751345948129E-3</v>
      </c>
    </row>
    <row r="63" spans="1:28">
      <c r="A63" s="10"/>
      <c r="C63" s="327">
        <v>25.3</v>
      </c>
      <c r="D63" s="327"/>
      <c r="E63" s="15">
        <v>25.366</v>
      </c>
      <c r="F63" s="37">
        <f>IF('PERHITUNGAN 22'!$E$11="Burn Engr",'PERHITUNGAN 22'!E63,E63+('regresi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25.366</v>
      </c>
      <c r="G63" s="90">
        <f>F63-C63</f>
        <v>6.5999999999998948E-2</v>
      </c>
      <c r="H63" s="63"/>
      <c r="I63" s="63"/>
      <c r="N63" s="25" t="s">
        <v>158</v>
      </c>
      <c r="O63" s="114">
        <f t="shared" ref="O63:X63" si="6">$T$26</f>
        <v>2.886751345948129E-4</v>
      </c>
      <c r="P63" s="114">
        <f t="shared" si="6"/>
        <v>2.886751345948129E-4</v>
      </c>
      <c r="Q63" s="114">
        <f t="shared" si="6"/>
        <v>2.886751345948129E-4</v>
      </c>
      <c r="R63" s="114">
        <f t="shared" si="6"/>
        <v>2.886751345948129E-4</v>
      </c>
      <c r="S63" s="114">
        <f t="shared" si="6"/>
        <v>2.886751345948129E-4</v>
      </c>
      <c r="T63" s="114">
        <f t="shared" si="6"/>
        <v>2.886751345948129E-4</v>
      </c>
      <c r="U63" s="114">
        <f t="shared" si="6"/>
        <v>2.886751345948129E-4</v>
      </c>
      <c r="V63" s="114">
        <f t="shared" si="6"/>
        <v>2.886751345948129E-4</v>
      </c>
      <c r="W63" s="114">
        <f t="shared" si="6"/>
        <v>2.886751345948129E-4</v>
      </c>
      <c r="X63" s="114">
        <f t="shared" si="6"/>
        <v>2.886751345948129E-4</v>
      </c>
    </row>
    <row r="64" spans="1:28">
      <c r="A64" s="10"/>
      <c r="B64" s="8" t="s">
        <v>31</v>
      </c>
      <c r="C64" s="333">
        <f>AVERAGE(C59:D63)</f>
        <v>25.3</v>
      </c>
      <c r="D64" s="334"/>
      <c r="E64" s="95">
        <f>AVERAGE(E59:E63)</f>
        <v>25.366</v>
      </c>
      <c r="F64" s="95">
        <f>SUM(F59:F63)/5</f>
        <v>25.366</v>
      </c>
      <c r="G64" s="95">
        <f>SUM(G59:G63)/5</f>
        <v>6.5999999999998948E-2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7">10^10</f>
        <v>10000000000</v>
      </c>
      <c r="Q66" s="53">
        <f t="shared" si="7"/>
        <v>10000000000</v>
      </c>
      <c r="R66" s="53">
        <f t="shared" si="7"/>
        <v>10000000000</v>
      </c>
      <c r="S66" s="53">
        <f t="shared" si="7"/>
        <v>10000000000</v>
      </c>
      <c r="T66" s="53">
        <f t="shared" si="7"/>
        <v>10000000000</v>
      </c>
      <c r="U66" s="53">
        <f t="shared" si="7"/>
        <v>10000000000</v>
      </c>
      <c r="V66" s="53">
        <f t="shared" si="7"/>
        <v>10000000000</v>
      </c>
      <c r="W66" s="53">
        <f t="shared" si="7"/>
        <v>10000000000</v>
      </c>
      <c r="X66" s="53">
        <f t="shared" si="7"/>
        <v>10000000000</v>
      </c>
    </row>
    <row r="67" spans="1:28">
      <c r="A67" s="105">
        <v>4</v>
      </c>
      <c r="B67" s="196">
        <v>50</v>
      </c>
      <c r="C67" s="327">
        <v>49.9</v>
      </c>
      <c r="D67" s="327"/>
      <c r="E67" s="90">
        <v>50.48</v>
      </c>
      <c r="F67" s="37">
        <f>IF('PERHITUNGAN 22'!$E$11="Burn Engr",'PERHITUNGAN 22'!E67,E67+('regresi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50.48</v>
      </c>
      <c r="G67" s="90">
        <f>F67-C67</f>
        <v>0.57999999999999829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49.9</v>
      </c>
      <c r="D68" s="327"/>
      <c r="E68" s="90">
        <v>50.48</v>
      </c>
      <c r="F68" s="37">
        <f>IF('PERHITUNGAN 22'!$E$11="Burn Engr",'PERHITUNGAN 22'!E68,E68+('regresi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50.48</v>
      </c>
      <c r="G68" s="90">
        <f>F68-C68</f>
        <v>0.57999999999999829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49.9</v>
      </c>
      <c r="D69" s="327"/>
      <c r="E69" s="90">
        <v>50.48</v>
      </c>
      <c r="F69" s="37">
        <f>IF('PERHITUNGAN 22'!$E$11="Burn Engr",'PERHITUNGAN 22'!E69,E69+('regresi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50.48</v>
      </c>
      <c r="G69" s="90">
        <f>F69-C69</f>
        <v>0.57999999999999829</v>
      </c>
      <c r="H69" s="63"/>
      <c r="I69" s="63"/>
      <c r="N69" s="25" t="s">
        <v>163</v>
      </c>
      <c r="O69" s="53">
        <f t="shared" ref="O69:X71" si="8">10^10</f>
        <v>10000000000</v>
      </c>
      <c r="P69" s="53">
        <f t="shared" si="8"/>
        <v>10000000000</v>
      </c>
      <c r="Q69" s="53">
        <f t="shared" si="8"/>
        <v>10000000000</v>
      </c>
      <c r="R69" s="53">
        <f t="shared" si="8"/>
        <v>10000000000</v>
      </c>
      <c r="S69" s="53">
        <f t="shared" si="8"/>
        <v>10000000000</v>
      </c>
      <c r="T69" s="53">
        <f t="shared" si="8"/>
        <v>10000000000</v>
      </c>
      <c r="U69" s="53">
        <f t="shared" si="8"/>
        <v>10000000000</v>
      </c>
      <c r="V69" s="53">
        <f t="shared" si="8"/>
        <v>10000000000</v>
      </c>
      <c r="W69" s="53">
        <f t="shared" si="8"/>
        <v>10000000000</v>
      </c>
      <c r="X69" s="53">
        <f t="shared" si="8"/>
        <v>10000000000</v>
      </c>
      <c r="AB69" s="1"/>
    </row>
    <row r="70" spans="1:28">
      <c r="A70" s="10"/>
      <c r="C70" s="327">
        <v>49.9</v>
      </c>
      <c r="D70" s="327"/>
      <c r="E70" s="90">
        <v>50.48</v>
      </c>
      <c r="F70" s="37">
        <f>IF('PERHITUNGAN 22'!$E$11="Burn Engr",'PERHITUNGAN 22'!E70,E70+('regresi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50.48</v>
      </c>
      <c r="G70" s="90">
        <f>F70-C70</f>
        <v>0.57999999999999829</v>
      </c>
      <c r="H70" s="63"/>
      <c r="I70" s="63"/>
      <c r="N70" s="25" t="s">
        <v>164</v>
      </c>
      <c r="O70" s="53">
        <f t="shared" si="8"/>
        <v>10000000000</v>
      </c>
      <c r="P70" s="53">
        <f t="shared" si="8"/>
        <v>10000000000</v>
      </c>
      <c r="Q70" s="53">
        <f t="shared" si="8"/>
        <v>10000000000</v>
      </c>
      <c r="R70" s="53">
        <f t="shared" si="8"/>
        <v>10000000000</v>
      </c>
      <c r="S70" s="53">
        <f t="shared" si="8"/>
        <v>10000000000</v>
      </c>
      <c r="T70" s="53">
        <f t="shared" si="8"/>
        <v>10000000000</v>
      </c>
      <c r="U70" s="53">
        <f t="shared" si="8"/>
        <v>10000000000</v>
      </c>
      <c r="V70" s="53">
        <f t="shared" si="8"/>
        <v>10000000000</v>
      </c>
      <c r="W70" s="53">
        <f t="shared" si="8"/>
        <v>10000000000</v>
      </c>
      <c r="X70" s="53">
        <f t="shared" si="8"/>
        <v>10000000000</v>
      </c>
      <c r="AB70" s="1"/>
    </row>
    <row r="71" spans="1:28">
      <c r="A71" s="10"/>
      <c r="C71" s="327">
        <v>49.9</v>
      </c>
      <c r="D71" s="327"/>
      <c r="E71" s="90">
        <v>50.48</v>
      </c>
      <c r="F71" s="37">
        <f>IF('PERHITUNGAN 22'!$E$11="Burn Engr",'PERHITUNGAN 22'!E71,E71+('regresi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50.48</v>
      </c>
      <c r="G71" s="90">
        <f>F71-C71</f>
        <v>0.57999999999999829</v>
      </c>
      <c r="H71" s="63"/>
      <c r="I71" s="63"/>
      <c r="N71" s="25" t="s">
        <v>165</v>
      </c>
      <c r="O71" s="53">
        <f t="shared" si="8"/>
        <v>10000000000</v>
      </c>
      <c r="P71" s="53">
        <f t="shared" si="8"/>
        <v>10000000000</v>
      </c>
      <c r="Q71" s="53">
        <f t="shared" si="8"/>
        <v>10000000000</v>
      </c>
      <c r="R71" s="53">
        <f t="shared" si="8"/>
        <v>10000000000</v>
      </c>
      <c r="S71" s="53">
        <f t="shared" si="8"/>
        <v>10000000000</v>
      </c>
      <c r="T71" s="53">
        <f t="shared" si="8"/>
        <v>10000000000</v>
      </c>
      <c r="U71" s="53">
        <f t="shared" si="8"/>
        <v>10000000000</v>
      </c>
      <c r="V71" s="53">
        <f t="shared" si="8"/>
        <v>10000000000</v>
      </c>
      <c r="W71" s="53">
        <f t="shared" si="8"/>
        <v>10000000000</v>
      </c>
      <c r="X71" s="53">
        <f t="shared" si="8"/>
        <v>10000000000</v>
      </c>
      <c r="AB71" s="1"/>
    </row>
    <row r="72" spans="1:28">
      <c r="A72" s="10"/>
      <c r="B72" s="8" t="s">
        <v>31</v>
      </c>
      <c r="C72" s="333">
        <f>AVERAGE(C67:D71)</f>
        <v>49.9</v>
      </c>
      <c r="D72" s="334"/>
      <c r="E72" s="95">
        <f>AVERAGE(E67:E71)</f>
        <v>50.48</v>
      </c>
      <c r="F72" s="95">
        <f>SUM(F67:F71)/5</f>
        <v>50.48</v>
      </c>
      <c r="G72" s="95">
        <f>SUM(G67:G71)/5</f>
        <v>0.57999999999999829</v>
      </c>
      <c r="H72" s="63"/>
      <c r="I72" s="63"/>
      <c r="N72" s="111" t="s">
        <v>168</v>
      </c>
      <c r="O72" s="118">
        <f>SQRT((O57^2)+(O58^2)+(O59^2)+(O60^2)+(O61^2)+(O62^2)+(O63^2))</f>
        <v>0.92557431508714805</v>
      </c>
      <c r="P72" s="118">
        <f t="shared" ref="P72:X72" si="9">SQRT((P57^2)+(P58^2)+(P59^2)+(P60^2)+(P61^2)+(P62^2)+(P63^2))</f>
        <v>0.92612242859626459</v>
      </c>
      <c r="Q72" s="118">
        <f t="shared" si="9"/>
        <v>0.92608193630425772</v>
      </c>
      <c r="R72" s="118">
        <f t="shared" si="9"/>
        <v>0.92618991181562937</v>
      </c>
      <c r="S72" s="118">
        <f t="shared" si="9"/>
        <v>0.92608193630425772</v>
      </c>
      <c r="T72" s="118">
        <f t="shared" si="9"/>
        <v>0.92741753959532347</v>
      </c>
      <c r="U72" s="118">
        <f t="shared" si="9"/>
        <v>0.92741737785586231</v>
      </c>
      <c r="V72" s="118">
        <f t="shared" si="9"/>
        <v>0.92619004137868122</v>
      </c>
      <c r="W72" s="118">
        <f t="shared" si="9"/>
        <v>0.92557428267483932</v>
      </c>
      <c r="X72" s="118">
        <f t="shared" si="9"/>
        <v>0.92557428267483932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0</v>
      </c>
      <c r="H73" s="63"/>
      <c r="I73" s="63"/>
      <c r="N73" s="119" t="s">
        <v>167</v>
      </c>
      <c r="O73" s="120">
        <f>(O72^4)/((O57^4/O65)+(O58^4/O66)+(O59^4/O67)+(O60^4/O68)+(O61^4/O69)+(O62^4/O70)+(O63^4/O71))</f>
        <v>677197615.73592412</v>
      </c>
      <c r="P73" s="120">
        <f t="shared" ref="P73:X73" si="10">(P72^4)/((P57^4/P65)+(P58^4/P66)+(P59^4/P67)+(P60^4/P68)+(P61^4/P69)+(P62^4/P70)+(P63^4/P71))</f>
        <v>29134330.771851894</v>
      </c>
      <c r="Q73" s="120">
        <f t="shared" si="10"/>
        <v>29310610.356195986</v>
      </c>
      <c r="R73" s="120">
        <f t="shared" si="10"/>
        <v>28381773.527863618</v>
      </c>
      <c r="S73" s="120">
        <f t="shared" si="10"/>
        <v>29310610.356195986</v>
      </c>
      <c r="T73" s="120">
        <f t="shared" si="10"/>
        <v>5723596.6578983124</v>
      </c>
      <c r="U73" s="120">
        <f t="shared" si="10"/>
        <v>5723595.255725191</v>
      </c>
      <c r="V73" s="120">
        <f t="shared" si="10"/>
        <v>28381773.645878781</v>
      </c>
      <c r="W73" s="120">
        <f t="shared" si="10"/>
        <v>677198083.25609696</v>
      </c>
      <c r="X73" s="120">
        <f t="shared" si="10"/>
        <v>677198083.25609696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0</v>
      </c>
      <c r="H74" s="63"/>
      <c r="I74" s="63"/>
      <c r="L74" s="22"/>
      <c r="N74" s="122" t="s">
        <v>7</v>
      </c>
      <c r="O74" s="123">
        <f>_xlfn.T.INV.2T(0.05,O73)</f>
        <v>1.9599639852922772</v>
      </c>
      <c r="P74" s="123">
        <f t="shared" ref="P74:X74" si="11">_xlfn.T.INV.2T(0.05,P73)</f>
        <v>1.9599640660880988</v>
      </c>
      <c r="Q74" s="123">
        <f t="shared" si="11"/>
        <v>1.9599640645893495</v>
      </c>
      <c r="R74" s="123">
        <f t="shared" si="11"/>
        <v>1.9599640689724334</v>
      </c>
      <c r="S74" s="123">
        <f t="shared" si="11"/>
        <v>1.9599640645893495</v>
      </c>
      <c r="T74" s="123">
        <f t="shared" si="11"/>
        <v>1.9599643991599718</v>
      </c>
      <c r="U74" s="123">
        <f t="shared" si="11"/>
        <v>1.9599643991267204</v>
      </c>
      <c r="V74" s="123">
        <f t="shared" si="11"/>
        <v>1.9599640689724334</v>
      </c>
      <c r="W74" s="123">
        <f t="shared" si="11"/>
        <v>1.9599640104226317</v>
      </c>
      <c r="X74" s="123">
        <f t="shared" si="11"/>
        <v>1.9599640104226317</v>
      </c>
      <c r="Z74" s="124"/>
      <c r="AB74" s="1"/>
    </row>
    <row r="75" spans="1:28">
      <c r="A75" s="105">
        <v>5</v>
      </c>
      <c r="B75" s="196">
        <v>100</v>
      </c>
      <c r="C75" s="327">
        <v>93.8</v>
      </c>
      <c r="D75" s="327"/>
      <c r="E75" s="90">
        <v>99.218999999999994</v>
      </c>
      <c r="F75" s="37">
        <f>IF('PERHITUNGAN 22'!$E$11="Burn Engr",'PERHITUNGAN 22'!E75,E75+('regresi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99.218999999999994</v>
      </c>
      <c r="G75" s="90">
        <f>F75-C75</f>
        <v>5.4189999999999969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93.8</v>
      </c>
      <c r="D76" s="327"/>
      <c r="E76" s="90">
        <v>99.218999999999994</v>
      </c>
      <c r="F76" s="37">
        <f>IF('PERHITUNGAN 22'!$E$11="Burn Engr",'PERHITUNGAN 22'!E76,E76+('regresi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99.218999999999994</v>
      </c>
      <c r="G76" s="90">
        <f>F76-C76</f>
        <v>5.4189999999999969</v>
      </c>
      <c r="H76" s="63"/>
      <c r="I76" s="63"/>
      <c r="N76" s="111" t="s">
        <v>166</v>
      </c>
      <c r="O76" s="121">
        <f t="shared" ref="O76:X76" si="12">O72*O74</f>
        <v>1.8140923232823767</v>
      </c>
      <c r="P76" s="121">
        <f t="shared" si="12"/>
        <v>1.8151666808469198</v>
      </c>
      <c r="Q76" s="121">
        <f t="shared" si="12"/>
        <v>1.8150873160216681</v>
      </c>
      <c r="R76" s="121">
        <f t="shared" si="12"/>
        <v>1.8152989482033801</v>
      </c>
      <c r="S76" s="121">
        <f t="shared" si="12"/>
        <v>1.8150873160216681</v>
      </c>
      <c r="T76" s="121">
        <f t="shared" si="12"/>
        <v>1.8177053607633675</v>
      </c>
      <c r="U76" s="121">
        <f t="shared" si="12"/>
        <v>1.8177050437289437</v>
      </c>
      <c r="V76" s="121">
        <f t="shared" si="12"/>
        <v>1.8152992021423064</v>
      </c>
      <c r="W76" s="121">
        <f t="shared" si="12"/>
        <v>1.8140922830154287</v>
      </c>
      <c r="X76" s="121">
        <f t="shared" si="12"/>
        <v>1.8140922830154287</v>
      </c>
      <c r="AB76" s="1"/>
    </row>
    <row r="77" spans="1:28">
      <c r="A77" s="10"/>
      <c r="C77" s="327">
        <v>93.8</v>
      </c>
      <c r="D77" s="327"/>
      <c r="E77" s="90">
        <v>99.218999999999994</v>
      </c>
      <c r="F77" s="37">
        <f>IF('PERHITUNGAN 22'!$E$11="Burn Engr",'PERHITUNGAN 22'!E77,E77+('regresi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99.218999999999994</v>
      </c>
      <c r="G77" s="90">
        <f>F77-C77</f>
        <v>5.4189999999999969</v>
      </c>
      <c r="H77" s="63"/>
      <c r="I77" s="63"/>
      <c r="AB77" s="1"/>
    </row>
    <row r="78" spans="1:28">
      <c r="A78" s="10"/>
      <c r="C78" s="327">
        <v>93.8</v>
      </c>
      <c r="D78" s="327"/>
      <c r="E78" s="90">
        <v>99.218999999999994</v>
      </c>
      <c r="F78" s="37">
        <f>IF('PERHITUNGAN 22'!$E$11="Burn Engr",'PERHITUNGAN 22'!E78,E78+('regresi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99.218999999999994</v>
      </c>
      <c r="G78" s="90">
        <f>F78-C78</f>
        <v>5.4189999999999969</v>
      </c>
      <c r="H78" s="26"/>
      <c r="I78" s="26"/>
      <c r="AB78" s="1"/>
    </row>
    <row r="79" spans="1:28">
      <c r="A79" s="10"/>
      <c r="C79" s="327">
        <v>93.8</v>
      </c>
      <c r="D79" s="327"/>
      <c r="E79" s="90">
        <v>99.218999999999994</v>
      </c>
      <c r="F79" s="37">
        <f>IF('PERHITUNGAN 22'!$E$11="Burn Engr",'PERHITUNGAN 22'!E79,E79+('regresi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99.218999999999994</v>
      </c>
      <c r="G79" s="90">
        <f>F79-C79</f>
        <v>5.4189999999999969</v>
      </c>
      <c r="AB79" s="1"/>
    </row>
    <row r="80" spans="1:28">
      <c r="A80" s="10"/>
      <c r="B80" s="8" t="s">
        <v>31</v>
      </c>
      <c r="C80" s="333">
        <f>AVERAGE(C75:D79)</f>
        <v>93.8</v>
      </c>
      <c r="D80" s="334"/>
      <c r="E80" s="95">
        <f>AVERAGE(E75:E79)</f>
        <v>99.218999999999994</v>
      </c>
      <c r="F80" s="95">
        <f>SUM(F75:F79)/5</f>
        <v>99.218999999999994</v>
      </c>
      <c r="G80" s="95">
        <f>SUM(G75:G79)/5</f>
        <v>5.4189999999999969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0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0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125</v>
      </c>
      <c r="C83" s="327">
        <v>120.6</v>
      </c>
      <c r="D83" s="327"/>
      <c r="E83" s="90">
        <v>125.40900000000001</v>
      </c>
      <c r="F83" s="37">
        <f>IF('PERHITUNGAN 22'!$E$11="Burn Engr",'PERHITUNGAN 22'!E83,E83+('regresi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125.40900000000001</v>
      </c>
      <c r="G83" s="40">
        <f>F83-C83</f>
        <v>4.8090000000000117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120.6</v>
      </c>
      <c r="D84" s="327"/>
      <c r="E84" s="90">
        <v>125.40900000000001</v>
      </c>
      <c r="F84" s="37">
        <f>IF('PERHITUNGAN 22'!$E$11="Burn Engr",'PERHITUNGAN 22'!E84,E84+('regresi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125.40900000000001</v>
      </c>
      <c r="G84" s="40">
        <f>F84-C84</f>
        <v>4.8090000000000117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120.6</v>
      </c>
      <c r="D85" s="327"/>
      <c r="E85" s="90">
        <v>125.40900000000001</v>
      </c>
      <c r="F85" s="37">
        <f>IF('PERHITUNGAN 22'!$E$11="Burn Engr",'PERHITUNGAN 22'!E85,E85+('regresi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125.40900000000001</v>
      </c>
      <c r="G85" s="40">
        <f>F85-C85</f>
        <v>4.8090000000000117</v>
      </c>
      <c r="H85" s="26"/>
      <c r="I85" s="26"/>
      <c r="N85" s="93">
        <f>O56</f>
        <v>-9</v>
      </c>
      <c r="O85" s="403">
        <f>G48</f>
        <v>-0.80360000000000054</v>
      </c>
      <c r="P85" s="404"/>
      <c r="Q85" s="387">
        <f t="shared" ref="Q85:Q94" si="13">N85+O85</f>
        <v>-9.8036000000000012</v>
      </c>
      <c r="R85" s="405"/>
      <c r="S85" s="138" t="s">
        <v>35</v>
      </c>
      <c r="T85" s="94">
        <f>IF(N85&lt;$AA$97,MAX($O$97,O76),IF(N85&lt;$AA$98,MAX($O$98,O76),MAX($O$99,O76)))</f>
        <v>1.8140923232823767</v>
      </c>
      <c r="AB85" s="1"/>
    </row>
    <row r="86" spans="1:28">
      <c r="A86" s="10"/>
      <c r="C86" s="327">
        <v>120.6</v>
      </c>
      <c r="D86" s="327"/>
      <c r="E86" s="90">
        <v>125.41200000000001</v>
      </c>
      <c r="F86" s="37">
        <f>IF('PERHITUNGAN 22'!$E$11="Burn Engr",'PERHITUNGAN 22'!E86,E86+('regresi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125.41200000000001</v>
      </c>
      <c r="G86" s="40">
        <f>F86-C86</f>
        <v>4.8120000000000118</v>
      </c>
      <c r="H86" s="63"/>
      <c r="I86" s="63"/>
      <c r="N86" s="93">
        <f>P56</f>
        <v>0.8</v>
      </c>
      <c r="O86" s="403">
        <f>G56</f>
        <v>-0.59600000000000009</v>
      </c>
      <c r="P86" s="404"/>
      <c r="Q86" s="406">
        <f t="shared" si="13"/>
        <v>0.20399999999999996</v>
      </c>
      <c r="R86" s="407"/>
      <c r="S86" s="138" t="s">
        <v>35</v>
      </c>
      <c r="T86" s="94">
        <f>IF(N86&lt;$AA$97,MAX($O$97,P76),IF(N86&lt;$AA$98,MAX($O$98,P76),MAX($O$99,P76)))</f>
        <v>1.8151666808469198</v>
      </c>
      <c r="AB86" s="1"/>
    </row>
    <row r="87" spans="1:28">
      <c r="A87" s="10"/>
      <c r="C87" s="327">
        <v>120.6</v>
      </c>
      <c r="D87" s="327"/>
      <c r="E87" s="90">
        <v>125.41200000000001</v>
      </c>
      <c r="F87" s="37">
        <f>IF('PERHITUNGAN 22'!$E$11="Burn Engr",'PERHITUNGAN 22'!E87,E87+('regresi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125.41200000000001</v>
      </c>
      <c r="G87" s="41">
        <f>F87-C87</f>
        <v>4.8120000000000118</v>
      </c>
      <c r="H87" s="63"/>
      <c r="I87" s="63"/>
      <c r="N87" s="93">
        <f>Q56</f>
        <v>25.3</v>
      </c>
      <c r="O87" s="403">
        <f>G64</f>
        <v>6.5999999999998948E-2</v>
      </c>
      <c r="P87" s="404"/>
      <c r="Q87" s="406">
        <f t="shared" si="13"/>
        <v>25.366</v>
      </c>
      <c r="R87" s="407"/>
      <c r="S87" s="138" t="s">
        <v>35</v>
      </c>
      <c r="T87" s="94">
        <f>IF(N87&lt;$AA$97,MAX($O$97,Q76),IF(N87&lt;$AA$98,MAX($O$98,Q76),MAX($O$99,Q76)))</f>
        <v>1.8150873160216681</v>
      </c>
      <c r="AB87" s="1"/>
    </row>
    <row r="88" spans="1:28">
      <c r="A88" s="10"/>
      <c r="B88" s="8" t="s">
        <v>31</v>
      </c>
      <c r="C88" s="333">
        <f>AVERAGE(C83:D87)</f>
        <v>120.6</v>
      </c>
      <c r="D88" s="334"/>
      <c r="E88" s="95">
        <f>AVERAGE(E83:E87)</f>
        <v>125.4102</v>
      </c>
      <c r="F88" s="95">
        <f>SUM(F83:F87)/5</f>
        <v>125.4102</v>
      </c>
      <c r="G88" s="95">
        <f>SUM(G83:G87)/5</f>
        <v>4.8102000000000116</v>
      </c>
      <c r="H88" s="63"/>
      <c r="I88" s="63"/>
      <c r="N88" s="93">
        <f>R56</f>
        <v>49.9</v>
      </c>
      <c r="O88" s="403">
        <f>G72</f>
        <v>0.57999999999999829</v>
      </c>
      <c r="P88" s="404"/>
      <c r="Q88" s="406">
        <f t="shared" si="13"/>
        <v>50.48</v>
      </c>
      <c r="R88" s="407"/>
      <c r="S88" s="138" t="s">
        <v>35</v>
      </c>
      <c r="T88" s="94">
        <f>IF(N88&lt;$AA$97,MAX($O$97,R76),IF(N88&lt;$AA$98,MAX($O$98,R76),MAX($O$99,R76)))</f>
        <v>1.8152989482033801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1.6431676725155607E-3</v>
      </c>
      <c r="H89" s="63"/>
      <c r="I89" s="63"/>
      <c r="N89" s="93">
        <f>S56</f>
        <v>93.8</v>
      </c>
      <c r="O89" s="403">
        <f>G80</f>
        <v>5.4189999999999969</v>
      </c>
      <c r="P89" s="404"/>
      <c r="Q89" s="406">
        <f t="shared" si="13"/>
        <v>99.218999999999994</v>
      </c>
      <c r="R89" s="407"/>
      <c r="S89" s="138" t="s">
        <v>35</v>
      </c>
      <c r="T89" s="94">
        <f>IF(N89&lt;$AA$97,MAX($O$97,S76),IF(N89&lt;$AA$98,MAX($O$98,S76),MAX($O$99,S76)))</f>
        <v>1.8150873160216681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7.3484692283498122E-4</v>
      </c>
      <c r="H90" s="63"/>
      <c r="I90" s="63"/>
      <c r="L90" s="22"/>
      <c r="N90" s="93">
        <f>T56</f>
        <v>120.6</v>
      </c>
      <c r="O90" s="403">
        <f>G88</f>
        <v>4.8102000000000116</v>
      </c>
      <c r="P90" s="404"/>
      <c r="Q90" s="406">
        <f t="shared" si="13"/>
        <v>125.4102</v>
      </c>
      <c r="R90" s="407"/>
      <c r="S90" s="138" t="s">
        <v>35</v>
      </c>
      <c r="T90" s="94">
        <f>IF(N90&lt;$AA$97,MAX($O$97,T76),IF(N90&lt;$AA$98,MAX($O$98,T76),MAX($O$99,T76)))</f>
        <v>1.8177053607633675</v>
      </c>
      <c r="AB90" s="1"/>
    </row>
    <row r="91" spans="1:28">
      <c r="A91" s="105">
        <v>7</v>
      </c>
      <c r="B91" s="196">
        <v>150</v>
      </c>
      <c r="C91" s="327">
        <v>144.69999999999999</v>
      </c>
      <c r="D91" s="327"/>
      <c r="E91" s="90">
        <v>149.64500000000001</v>
      </c>
      <c r="F91" s="37">
        <f>IF('PERHITUNGAN 22'!$E$11="Burn Engr",'PERHITUNGAN 22'!E91,E91+('regresi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149.64500000000001</v>
      </c>
      <c r="G91" s="40">
        <f>F91-C91</f>
        <v>4.9450000000000216</v>
      </c>
      <c r="H91" s="63"/>
      <c r="I91" s="63"/>
      <c r="N91" s="93">
        <f>U56</f>
        <v>144.69999999999999</v>
      </c>
      <c r="O91" s="403">
        <f>G96</f>
        <v>4.9458000000000144</v>
      </c>
      <c r="P91" s="404"/>
      <c r="Q91" s="406">
        <f t="shared" si="13"/>
        <v>149.64580000000001</v>
      </c>
      <c r="R91" s="407"/>
      <c r="S91" s="138" t="s">
        <v>35</v>
      </c>
      <c r="T91" s="94">
        <f>IF(N91&lt;$AA$97,MAX($O$97,U76),IF(N91&lt;$AA$98,MAX($O$98,U76),MAX($O$99,U76)))</f>
        <v>1.8177050437289437</v>
      </c>
      <c r="AB91" s="1"/>
    </row>
    <row r="92" spans="1:28">
      <c r="A92" s="10"/>
      <c r="C92" s="327">
        <v>144.69999999999999</v>
      </c>
      <c r="D92" s="327"/>
      <c r="E92" s="90">
        <v>149.64500000000001</v>
      </c>
      <c r="F92" s="37">
        <f>IF('PERHITUNGAN 22'!$E$11="Burn Engr",'PERHITUNGAN 22'!E92,E92+('regresi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149.64500000000001</v>
      </c>
      <c r="G92" s="40">
        <f>F92-C92</f>
        <v>4.9450000000000216</v>
      </c>
      <c r="H92" s="44"/>
      <c r="I92" s="63"/>
      <c r="N92" s="93">
        <f>V56</f>
        <v>195.9</v>
      </c>
      <c r="O92" s="403">
        <f>G104</f>
        <v>3.7727999999999953</v>
      </c>
      <c r="P92" s="404"/>
      <c r="Q92" s="406">
        <f t="shared" si="13"/>
        <v>199.6728</v>
      </c>
      <c r="R92" s="407"/>
      <c r="S92" s="138" t="s">
        <v>35</v>
      </c>
      <c r="T92" s="94">
        <f>IF(N92&lt;$AA$97,MAX($O$97,V76),IF(N92&lt;$AA$98,MAX($O$98,V76),MAX($O$99,V76)))</f>
        <v>1.8152992021423064</v>
      </c>
      <c r="AB92" s="1"/>
    </row>
    <row r="93" spans="1:28">
      <c r="A93" s="10"/>
      <c r="C93" s="327">
        <v>144.69999999999999</v>
      </c>
      <c r="D93" s="327"/>
      <c r="E93" s="90">
        <v>149.64500000000001</v>
      </c>
      <c r="F93" s="37">
        <f>IF('PERHITUNGAN 22'!$E$11="Burn Engr",'PERHITUNGAN 22'!E93,E93+('regresi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149.64500000000001</v>
      </c>
      <c r="G93" s="40">
        <f>F93-C93</f>
        <v>4.9450000000000216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3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144.69999999999999</v>
      </c>
      <c r="D94" s="327"/>
      <c r="E94" s="90">
        <v>149.64699999999999</v>
      </c>
      <c r="F94" s="37">
        <f>IF('PERHITUNGAN 22'!$E$11="Burn Engr",'PERHITUNGAN 22'!E94,E94+('regresi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149.64699999999999</v>
      </c>
      <c r="G94" s="40">
        <f>F94-C94</f>
        <v>4.9470000000000027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3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144.69999999999999</v>
      </c>
      <c r="D95" s="327"/>
      <c r="E95" s="90">
        <v>149.64699999999999</v>
      </c>
      <c r="F95" s="37">
        <f>IF('PERHITUNGAN 22'!$E$11="Burn Engr",'PERHITUNGAN 22'!E95,E95+('regresi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149.64699999999999</v>
      </c>
      <c r="G95" s="41">
        <f>F95-C95</f>
        <v>4.9470000000000027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144.69999999999999</v>
      </c>
      <c r="D96" s="334"/>
      <c r="E96" s="95">
        <f>AVERAGE(E91:E95)</f>
        <v>149.64580000000001</v>
      </c>
      <c r="F96" s="95">
        <f>SUM(F91:F95)/5</f>
        <v>149.64580000000001</v>
      </c>
      <c r="G96" s="95">
        <f>SUM(G91:G95)/5</f>
        <v>4.9458000000000144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1.0954451149999956E-3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4.8989794855201297E-4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>
        <v>200</v>
      </c>
      <c r="C99" s="327">
        <v>195.9</v>
      </c>
      <c r="D99" s="327"/>
      <c r="E99" s="90">
        <v>199.672</v>
      </c>
      <c r="F99" s="37">
        <f>IF('PERHITUNGAN 22'!$E$11="Burn Engr",'PERHITUNGAN 22'!E99,E99+('regresi PRT'!$P$40+('regresi PRT'!$P$41*E99)+('regresi PRT'!$P$42*(E99^2))+('regresi PRT'!$P$43*(E99^3))+('regresi PRT'!$P$44*(E99^4))+('regresi PRT'!$P$45*(E99^5))+('regresi PRT'!$P$46*(E99^6))+('regresi PRT'!$P$47*(E99^7))+('regresi PRT'!$P$48*(E99^8))+('regresi PRT'!$P$49*(E99^9))+('regresi PRT'!$P$50*(E99^10))))</f>
        <v>199.672</v>
      </c>
      <c r="G99" s="40">
        <f>F99-C99</f>
        <v>3.7719999999999914</v>
      </c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>
        <v>195.9</v>
      </c>
      <c r="D100" s="327"/>
      <c r="E100" s="90">
        <v>199.672</v>
      </c>
      <c r="F100" s="37">
        <f>IF('PERHITUNGAN 22'!$E$11="Burn Engr",'PERHITUNGAN 22'!E100,E100+('regresi PRT'!$P$40+('regresi PRT'!$P$41*E100)+('regresi PRT'!$P$42*(E100^2))+('regresi PRT'!$P$43*(E100^3))+('regresi PRT'!$P$44*(E100^4))+('regresi PRT'!$P$45*(E100^5))+('regresi PRT'!$P$46*(E100^6))+('regresi PRT'!$P$47*(E100^7))+('regresi PRT'!$P$48*(E100^8))+('regresi PRT'!$P$49*(E100^9))+('regresi PRT'!$P$50*(E100^10))))</f>
        <v>199.672</v>
      </c>
      <c r="G100" s="40">
        <f>F100-C100</f>
        <v>3.7719999999999914</v>
      </c>
      <c r="H100" s="44"/>
      <c r="I100" s="44"/>
      <c r="M100" s="1"/>
    </row>
    <row r="101" spans="1:27">
      <c r="A101" s="10"/>
      <c r="C101" s="327">
        <v>195.9</v>
      </c>
      <c r="D101" s="327"/>
      <c r="E101" s="90">
        <v>199.672</v>
      </c>
      <c r="F101" s="37">
        <f>IF('PERHITUNGAN 22'!$E$11="Burn Engr",'PERHITUNGAN 22'!E101,E101+('regresi PRT'!$P$40+('regresi PRT'!$P$41*E101)+('regresi PRT'!$P$42*(E101^2))+('regresi PRT'!$P$43*(E101^3))+('regresi PRT'!$P$44*(E101^4))+('regresi PRT'!$P$45*(E101^5))+('regresi PRT'!$P$46*(E101^6))+('regresi PRT'!$P$47*(E101^7))+('regresi PRT'!$P$48*(E101^8))+('regresi PRT'!$P$49*(E101^9))+('regresi PRT'!$P$50*(E101^10))))</f>
        <v>199.672</v>
      </c>
      <c r="G101" s="40">
        <f>F101-C101</f>
        <v>3.7719999999999914</v>
      </c>
      <c r="H101" s="44"/>
      <c r="I101" s="44"/>
    </row>
    <row r="102" spans="1:27">
      <c r="A102" s="10"/>
      <c r="C102" s="327">
        <v>195.9</v>
      </c>
      <c r="D102" s="327"/>
      <c r="E102" s="90">
        <v>199.67400000000001</v>
      </c>
      <c r="F102" s="37">
        <f>IF('PERHITUNGAN 22'!$E$11="Burn Engr",'PERHITUNGAN 22'!E102,E102+('regresi PRT'!$P$40+('regresi PRT'!$P$41*E102)+('regresi PRT'!$P$42*(E102^2))+('regresi PRT'!$P$43*(E102^3))+('regresi PRT'!$P$44*(E102^4))+('regresi PRT'!$P$45*(E102^5))+('regresi PRT'!$P$46*(E102^6))+('regresi PRT'!$P$47*(E102^7))+('regresi PRT'!$P$48*(E102^8))+('regresi PRT'!$P$49*(E102^9))+('regresi PRT'!$P$50*(E102^10))))</f>
        <v>199.67400000000001</v>
      </c>
      <c r="G102" s="40">
        <f>F102-C102</f>
        <v>3.7740000000000009</v>
      </c>
      <c r="H102" s="63"/>
      <c r="I102" s="63"/>
    </row>
    <row r="103" spans="1:27">
      <c r="A103" s="10"/>
      <c r="C103" s="327">
        <v>195.9</v>
      </c>
      <c r="D103" s="327"/>
      <c r="E103" s="90">
        <v>199.67400000000001</v>
      </c>
      <c r="F103" s="37">
        <f>IF('PERHITUNGAN 22'!$E$11="Burn Engr",'PERHITUNGAN 22'!E103,E103+('regresi PRT'!$P$40+('regresi PRT'!$P$41*E103)+('regresi PRT'!$P$42*(E103^2))+('regresi PRT'!$P$43*(E103^3))+('regresi PRT'!$P$44*(E103^4))+('regresi PRT'!$P$45*(E103^5))+('regresi PRT'!$P$46*(E103^6))+('regresi PRT'!$P$47*(E103^7))+('regresi PRT'!$P$48*(E103^8))+('regresi PRT'!$P$49*(E103^9))+('regresi PRT'!$P$50*(E103^10))))</f>
        <v>199.67400000000001</v>
      </c>
      <c r="G103" s="41">
        <f>F103-C103</f>
        <v>3.7740000000000009</v>
      </c>
      <c r="H103" s="63"/>
      <c r="I103" s="63"/>
      <c r="N103" s="74"/>
      <c r="O103" s="129"/>
    </row>
    <row r="104" spans="1:27">
      <c r="A104" s="10"/>
      <c r="B104" s="8" t="s">
        <v>31</v>
      </c>
      <c r="C104" s="333">
        <f>AVERAGE(C99:D103)</f>
        <v>195.9</v>
      </c>
      <c r="D104" s="334"/>
      <c r="E104" s="95">
        <f>AVERAGE(E99:E103)</f>
        <v>199.6728</v>
      </c>
      <c r="F104" s="95">
        <f>SUM(F99:F103)/5</f>
        <v>199.6728</v>
      </c>
      <c r="G104" s="95">
        <f>SUM(G99:G103)/5</f>
        <v>3.7727999999999953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>
        <f>_xlfn.STDEV.S(G99:G103)</f>
        <v>1.0954451150155626E-3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>
        <f>G105/SQRT(5)</f>
        <v>4.8989794855897474E-4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>
        <f>IF('PERHITUNGAN 22'!$E$11="Burn Engr",'PERHITUNGAN 22'!E107,E107+('regresi PRT'!$P$40+('regresi PRT'!$P$41*E107)+('regresi PRT'!$P$42*(E107^2))+('regresi PRT'!$P$43*(E107^3))+('regresi PRT'!$P$44*(E107^4))+('regresi PRT'!$P$45*(E107^5))+('regresi PRT'!$P$46*(E107^6))+('regresi PRT'!$P$47*(E107^7))+('regresi PRT'!$P$48*(E107^8))+('regresi PRT'!$P$49*(E107^9))+('regresi PRT'!$P$50*(E107^10))))</f>
        <v>0</v>
      </c>
      <c r="G107" s="40">
        <f>F107-C107</f>
        <v>0</v>
      </c>
      <c r="H107" s="63"/>
      <c r="I107" s="63"/>
      <c r="M107" s="1"/>
    </row>
    <row r="108" spans="1:27">
      <c r="A108" s="10"/>
      <c r="C108" s="327"/>
      <c r="D108" s="327"/>
      <c r="E108" s="90"/>
      <c r="F108" s="37">
        <f>IF('PERHITUNGAN 22'!$E$11="Burn Engr",'PERHITUNGAN 22'!E108,E108+('regresi PRT'!$P$40+('regresi PRT'!$P$41*E108)+('regresi PRT'!$P$42*(E108^2))+('regresi PRT'!$P$43*(E108^3))+('regresi PRT'!$P$44*(E108^4))+('regresi PRT'!$P$45*(E108^5))+('regresi PRT'!$P$46*(E108^6))+('regresi PRT'!$P$47*(E108^7))+('regresi PRT'!$P$48*(E108^8))+('regresi PRT'!$P$49*(E108^9))+('regresi PRT'!$P$50*(E108^10))))</f>
        <v>0</v>
      </c>
      <c r="G108" s="40">
        <f>F108-C108</f>
        <v>0</v>
      </c>
      <c r="H108" s="44"/>
      <c r="I108" s="44"/>
      <c r="M108" s="1"/>
    </row>
    <row r="109" spans="1:27">
      <c r="A109" s="10"/>
      <c r="C109" s="327"/>
      <c r="D109" s="327"/>
      <c r="E109" s="90"/>
      <c r="F109" s="37">
        <f>IF('PERHITUNGAN 22'!$E$11="Burn Engr",'PERHITUNGAN 22'!E109,E109+('regresi PRT'!$P$40+('regresi PRT'!$P$41*E109)+('regresi PRT'!$P$42*(E109^2))+('regresi PRT'!$P$43*(E109^3))+('regresi PRT'!$P$44*(E109^4))+('regresi PRT'!$P$45*(E109^5))+('regresi PRT'!$P$46*(E109^6))+('regresi PRT'!$P$47*(E109^7))+('regresi PRT'!$P$48*(E109^8))+('regresi PRT'!$P$49*(E109^9))+('regresi PRT'!$P$50*(E109^10))))</f>
        <v>0</v>
      </c>
      <c r="G109" s="40">
        <f>F109-C109</f>
        <v>0</v>
      </c>
      <c r="H109" s="44"/>
      <c r="I109" s="44"/>
    </row>
    <row r="110" spans="1:27">
      <c r="A110" s="10"/>
      <c r="C110" s="327"/>
      <c r="D110" s="327"/>
      <c r="E110" s="90"/>
      <c r="F110" s="37">
        <f>IF('PERHITUNGAN 22'!$E$11="Burn Engr",'PERHITUNGAN 22'!E110,E110+('regresi PRT'!$P$40+('regresi PRT'!$P$41*E110)+('regresi PRT'!$P$42*(E110^2))+('regresi PRT'!$P$43*(E110^3))+('regresi PRT'!$P$44*(E110^4))+('regresi PRT'!$P$45*(E110^5))+('regresi PRT'!$P$46*(E110^6))+('regresi PRT'!$P$47*(E110^7))+('regresi PRT'!$P$48*(E110^8))+('regresi PRT'!$P$49*(E110^9))+('regresi PRT'!$P$50*(E110^10))))</f>
        <v>0</v>
      </c>
      <c r="G110" s="40">
        <f>F110-C110</f>
        <v>0</v>
      </c>
      <c r="H110" s="63"/>
      <c r="I110" s="63"/>
    </row>
    <row r="111" spans="1:27">
      <c r="A111" s="10"/>
      <c r="C111" s="327"/>
      <c r="D111" s="327"/>
      <c r="E111" s="90"/>
      <c r="F111" s="37">
        <f>IF('PERHITUNGAN 22'!$E$11="Burn Engr",'PERHITUNGAN 22'!E111,E111+('regresi PRT'!$P$40+('regresi PRT'!$P$41*E111)+('regresi PRT'!$P$42*(E111^2))+('regresi PRT'!$P$43*(E111^3))+('regresi PRT'!$P$44*(E111^4))+('regresi PRT'!$P$45*(E111^5))+('regresi PRT'!$P$46*(E111^6))+('regresi PRT'!$P$47*(E111^7))+('regresi PRT'!$P$48*(E111^8))+('regresi PRT'!$P$49*(E111^9))+('regresi PRT'!$P$50*(E111^10))))</f>
        <v>0</v>
      </c>
      <c r="G111" s="41">
        <f>F111-C111</f>
        <v>0</v>
      </c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>
        <f>_xlfn.STDEV.S(G107:G111)</f>
        <v>0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>
        <f>G113/SQRT(5)</f>
        <v>0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>
        <f>IF('PERHITUNGAN 22'!$E$11="Burn Engr",'PERHITUNGAN 22'!E115,E115+('regresi PRT'!$P$40+('regresi PRT'!$P$41*E115)+('regresi PRT'!$P$42*(E115^2))+('regresi PRT'!$P$43*(E115^3))+('regresi PRT'!$P$44*(E115^4))+('regresi PRT'!$P$45*(E115^5))+('regresi PRT'!$P$46*(E115^6))+('regresi PRT'!$P$47*(E115^7))+('regresi PRT'!$P$48*(E115^8))+('regresi PRT'!$P$49*(E115^9))+('regresi PRT'!$P$50*(E115^10))))</f>
        <v>0</v>
      </c>
      <c r="G115" s="40">
        <f>F115-C115</f>
        <v>0</v>
      </c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>
        <f>IF('PERHITUNGAN 22'!$E$11="Burn Engr",'PERHITUNGAN 22'!E116,E116+('regresi PRT'!$P$40+('regresi PRT'!$P$41*E116)+('regresi PRT'!$P$42*(E116^2))+('regresi PRT'!$P$43*(E116^3))+('regresi PRT'!$P$44*(E116^4))+('regresi PRT'!$P$45*(E116^5))+('regresi PRT'!$P$46*(E116^6))+('regresi PRT'!$P$47*(E116^7))+('regresi PRT'!$P$48*(E116^8))+('regresi PRT'!$P$49*(E116^9))+('regresi PRT'!$P$50*(E116^10))))</f>
        <v>0</v>
      </c>
      <c r="G116" s="40">
        <f>F116-C116</f>
        <v>0</v>
      </c>
      <c r="H116" s="44"/>
      <c r="I116" s="44"/>
      <c r="U116" s="49"/>
    </row>
    <row r="117" spans="1:21">
      <c r="A117" s="10"/>
      <c r="C117" s="224"/>
      <c r="D117" s="225"/>
      <c r="E117" s="90"/>
      <c r="F117" s="37">
        <f>IF('PERHITUNGAN 22'!$E$11="Burn Engr",'PERHITUNGAN 22'!E117,E117+('regresi PRT'!$P$40+('regresi PRT'!$P$41*E117)+('regresi PRT'!$P$42*(E117^2))+('regresi PRT'!$P$43*(E117^3))+('regresi PRT'!$P$44*(E117^4))+('regresi PRT'!$P$45*(E117^5))+('regresi PRT'!$P$46*(E117^6))+('regresi PRT'!$P$47*(E117^7))+('regresi PRT'!$P$48*(E117^8))+('regresi PRT'!$P$49*(E117^9))+('regresi PRT'!$P$50*(E117^10))))</f>
        <v>0</v>
      </c>
      <c r="G117" s="40">
        <f>F117-C117</f>
        <v>0</v>
      </c>
      <c r="H117" s="44"/>
      <c r="I117" s="44"/>
      <c r="U117" s="49"/>
    </row>
    <row r="118" spans="1:21">
      <c r="A118" s="10"/>
      <c r="C118" s="224"/>
      <c r="D118" s="225"/>
      <c r="E118" s="90"/>
      <c r="F118" s="37">
        <f>IF('PERHITUNGAN 22'!$E$11="Burn Engr",'PERHITUNGAN 22'!E118,E118+('regresi PRT'!$P$40+('regresi PRT'!$P$41*E118)+('regresi PRT'!$P$42*(E118^2))+('regresi PRT'!$P$43*(E118^3))+('regresi PRT'!$P$44*(E118^4))+('regresi PRT'!$P$45*(E118^5))+('regresi PRT'!$P$46*(E118^6))+('regresi PRT'!$P$47*(E118^7))+('regresi PRT'!$P$48*(E118^8))+('regresi PRT'!$P$49*(E118^9))+('regresi PRT'!$P$50*(E118^10))))</f>
        <v>0</v>
      </c>
      <c r="G118" s="40">
        <f>F118-C118</f>
        <v>0</v>
      </c>
      <c r="H118" s="63"/>
      <c r="I118" s="63"/>
    </row>
    <row r="119" spans="1:21">
      <c r="A119" s="10"/>
      <c r="C119" s="233"/>
      <c r="D119" s="234"/>
      <c r="E119" s="90"/>
      <c r="F119" s="37">
        <f>IF('PERHITUNGAN 22'!$E$11="Burn Engr",'PERHITUNGAN 22'!E119,E119+('regresi PRT'!$P$40+('regresi PRT'!$P$41*E119)+('regresi PRT'!$P$42*(E119^2))+('regresi PRT'!$P$43*(E119^3))+('regresi PRT'!$P$44*(E119^4))+('regresi PRT'!$P$45*(E119^5))+('regresi PRT'!$P$46*(E119^6))+('regresi PRT'!$P$47*(E119^7))+('regresi PRT'!$P$48*(E119^8))+('regresi PRT'!$P$49*(E119^9))+('regresi PRT'!$P$50*(E119^10))))</f>
        <v>0</v>
      </c>
      <c r="G119" s="41">
        <f>F119-C119</f>
        <v>0</v>
      </c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>
        <f>_xlfn.STDEV.S(G115:G119)</f>
        <v>0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>
        <f>G121/SQRT(5)</f>
        <v>0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26"/>
      <c r="D125" s="26"/>
      <c r="H125" s="44"/>
      <c r="I125" s="44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1">
    <mergeCell ref="C180:D180"/>
    <mergeCell ref="C181:D181"/>
    <mergeCell ref="C182:D182"/>
    <mergeCell ref="C183:D183"/>
    <mergeCell ref="C184:D184"/>
    <mergeCell ref="C185:D185"/>
    <mergeCell ref="C172:D172"/>
    <mergeCell ref="C173:D173"/>
    <mergeCell ref="C174:D174"/>
    <mergeCell ref="C175:D175"/>
    <mergeCell ref="C176:D176"/>
    <mergeCell ref="C177:D177"/>
    <mergeCell ref="C164:D164"/>
    <mergeCell ref="C165:D165"/>
    <mergeCell ref="C166:D166"/>
    <mergeCell ref="C167:D167"/>
    <mergeCell ref="C168:D168"/>
    <mergeCell ref="C169:D169"/>
    <mergeCell ref="C156:D156"/>
    <mergeCell ref="C157:D157"/>
    <mergeCell ref="C158:D158"/>
    <mergeCell ref="C159:D159"/>
    <mergeCell ref="C160:D160"/>
    <mergeCell ref="C161:D161"/>
    <mergeCell ref="C146:D146"/>
    <mergeCell ref="C147:D147"/>
    <mergeCell ref="C148:D148"/>
    <mergeCell ref="C149:D149"/>
    <mergeCell ref="C150:D150"/>
    <mergeCell ref="C151:D151"/>
    <mergeCell ref="C138:D138"/>
    <mergeCell ref="C139:D139"/>
    <mergeCell ref="C140:D140"/>
    <mergeCell ref="C141:D141"/>
    <mergeCell ref="C142:D142"/>
    <mergeCell ref="C143:D143"/>
    <mergeCell ref="C109:D109"/>
    <mergeCell ref="C110:D110"/>
    <mergeCell ref="C111:D111"/>
    <mergeCell ref="C112:D112"/>
    <mergeCell ref="C126:D126"/>
    <mergeCell ref="C127:D127"/>
    <mergeCell ref="C101:D101"/>
    <mergeCell ref="C102:D102"/>
    <mergeCell ref="C103:D103"/>
    <mergeCell ref="C104:D104"/>
    <mergeCell ref="C107:D107"/>
    <mergeCell ref="C108:D108"/>
    <mergeCell ref="C95:D95"/>
    <mergeCell ref="C96:D96"/>
    <mergeCell ref="N96:O96"/>
    <mergeCell ref="Z96:AA96"/>
    <mergeCell ref="C99:D99"/>
    <mergeCell ref="C100:D100"/>
    <mergeCell ref="C93:D93"/>
    <mergeCell ref="O93:P93"/>
    <mergeCell ref="Q93:R93"/>
    <mergeCell ref="C94:D94"/>
    <mergeCell ref="O94:P94"/>
    <mergeCell ref="Q94:R94"/>
    <mergeCell ref="C91:D91"/>
    <mergeCell ref="O91:P91"/>
    <mergeCell ref="Q91:R91"/>
    <mergeCell ref="C92:D92"/>
    <mergeCell ref="O92:P92"/>
    <mergeCell ref="Q92:R92"/>
    <mergeCell ref="C88:D88"/>
    <mergeCell ref="O88:P88"/>
    <mergeCell ref="Q88:R88"/>
    <mergeCell ref="O89:P89"/>
    <mergeCell ref="Q89:R89"/>
    <mergeCell ref="O90:P90"/>
    <mergeCell ref="Q90:R90"/>
    <mergeCell ref="C86:D86"/>
    <mergeCell ref="O86:P86"/>
    <mergeCell ref="Q86:R86"/>
    <mergeCell ref="C87:D87"/>
    <mergeCell ref="O87:P87"/>
    <mergeCell ref="Q87:R87"/>
    <mergeCell ref="S83:T83"/>
    <mergeCell ref="C84:D84"/>
    <mergeCell ref="S84:T84"/>
    <mergeCell ref="C85:D85"/>
    <mergeCell ref="O85:P85"/>
    <mergeCell ref="Q85:R85"/>
    <mergeCell ref="C79:D79"/>
    <mergeCell ref="C80:D80"/>
    <mergeCell ref="C83:D83"/>
    <mergeCell ref="N83:N84"/>
    <mergeCell ref="O83:P84"/>
    <mergeCell ref="Q83:R84"/>
    <mergeCell ref="C71:D71"/>
    <mergeCell ref="C72:D72"/>
    <mergeCell ref="C75:D75"/>
    <mergeCell ref="C76:D76"/>
    <mergeCell ref="C77:D77"/>
    <mergeCell ref="C78:D78"/>
    <mergeCell ref="C63:D63"/>
    <mergeCell ref="C64:D64"/>
    <mergeCell ref="C67:D67"/>
    <mergeCell ref="C68:D68"/>
    <mergeCell ref="C69:D69"/>
    <mergeCell ref="C70:D70"/>
    <mergeCell ref="O55:X55"/>
    <mergeCell ref="C56:D56"/>
    <mergeCell ref="C59:D59"/>
    <mergeCell ref="C60:D60"/>
    <mergeCell ref="C61:D61"/>
    <mergeCell ref="C62:D62"/>
    <mergeCell ref="C51:D51"/>
    <mergeCell ref="C52:D52"/>
    <mergeCell ref="C53:D53"/>
    <mergeCell ref="C54:D54"/>
    <mergeCell ref="C55:D55"/>
    <mergeCell ref="N55:N56"/>
    <mergeCell ref="T45:Y4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N45:S45"/>
    <mergeCell ref="T36:T37"/>
    <mergeCell ref="U36:U37"/>
    <mergeCell ref="V36:V37"/>
    <mergeCell ref="W36:W37"/>
    <mergeCell ref="X36:X37"/>
    <mergeCell ref="C40:D40"/>
    <mergeCell ref="N36:N37"/>
    <mergeCell ref="O36:O37"/>
    <mergeCell ref="P36:P37"/>
    <mergeCell ref="Q36:Q37"/>
    <mergeCell ref="R36:R37"/>
    <mergeCell ref="S36:S37"/>
    <mergeCell ref="T28:T29"/>
    <mergeCell ref="U28:U29"/>
    <mergeCell ref="AB28:AC28"/>
    <mergeCell ref="AB30:AC30"/>
    <mergeCell ref="J31:K31"/>
    <mergeCell ref="AB32:AC32"/>
    <mergeCell ref="J26:K26"/>
    <mergeCell ref="N28:N29"/>
    <mergeCell ref="O28:O29"/>
    <mergeCell ref="P28:P29"/>
    <mergeCell ref="Q28:Q29"/>
    <mergeCell ref="S28:S29"/>
    <mergeCell ref="E16:F16"/>
    <mergeCell ref="N16:N20"/>
    <mergeCell ref="E17:F17"/>
    <mergeCell ref="E18:F18"/>
    <mergeCell ref="AB18:AC18"/>
    <mergeCell ref="F21:G21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</mergeCells>
  <conditionalFormatting sqref="C56">
    <cfRule type="expression" dxfId="81" priority="18" stopIfTrue="1">
      <formula>COUNT(C51:C55)&lt;&gt;5</formula>
    </cfRule>
  </conditionalFormatting>
  <conditionalFormatting sqref="C64">
    <cfRule type="expression" dxfId="80" priority="2" stopIfTrue="1">
      <formula>COUNT(C59:C63)&lt;&gt;5</formula>
    </cfRule>
  </conditionalFormatting>
  <conditionalFormatting sqref="C72">
    <cfRule type="expression" dxfId="79" priority="8" stopIfTrue="1">
      <formula>COUNT(C67:C71)&lt;&gt;5</formula>
    </cfRule>
  </conditionalFormatting>
  <conditionalFormatting sqref="C80">
    <cfRule type="expression" dxfId="78" priority="7" stopIfTrue="1">
      <formula>COUNT(C75:C79)&lt;&gt;5</formula>
    </cfRule>
  </conditionalFormatting>
  <conditionalFormatting sqref="C88">
    <cfRule type="expression" dxfId="77" priority="6" stopIfTrue="1">
      <formula>COUNT(C83:C87)&lt;&gt;5</formula>
    </cfRule>
  </conditionalFormatting>
  <conditionalFormatting sqref="C96">
    <cfRule type="expression" dxfId="76" priority="5" stopIfTrue="1">
      <formula>COUNT(C91:C95)&lt;&gt;5</formula>
    </cfRule>
  </conditionalFormatting>
  <conditionalFormatting sqref="C104">
    <cfRule type="expression" dxfId="75" priority="4" stopIfTrue="1">
      <formula>COUNT(C99:C103)&lt;&gt;5</formula>
    </cfRule>
  </conditionalFormatting>
  <conditionalFormatting sqref="C112">
    <cfRule type="expression" dxfId="74" priority="3" stopIfTrue="1">
      <formula>COUNT(C107:C111)&lt;&gt;5</formula>
    </cfRule>
  </conditionalFormatting>
  <conditionalFormatting sqref="C48:E48">
    <cfRule type="expression" dxfId="73" priority="19" stopIfTrue="1">
      <formula>COUNT(C43:C47)&lt;&gt;5</formula>
    </cfRule>
  </conditionalFormatting>
  <conditionalFormatting sqref="C120:E120">
    <cfRule type="expression" dxfId="72" priority="9" stopIfTrue="1">
      <formula>COUNT(C115:C119)&lt;&gt;5</formula>
    </cfRule>
  </conditionalFormatting>
  <conditionalFormatting sqref="E56">
    <cfRule type="expression" dxfId="71" priority="17" stopIfTrue="1">
      <formula>COUNT(E51:E55)&lt;&gt;5</formula>
    </cfRule>
  </conditionalFormatting>
  <conditionalFormatting sqref="E64">
    <cfRule type="expression" dxfId="70" priority="1" stopIfTrue="1">
      <formula>COUNT(E59:E63)&lt;&gt;5</formula>
    </cfRule>
  </conditionalFormatting>
  <conditionalFormatting sqref="E72">
    <cfRule type="expression" dxfId="69" priority="16" stopIfTrue="1">
      <formula>COUNT(E67:E71)&lt;&gt;5</formula>
    </cfRule>
  </conditionalFormatting>
  <conditionalFormatting sqref="E80">
    <cfRule type="expression" dxfId="68" priority="15" stopIfTrue="1">
      <formula>COUNT(E75:E79)&lt;&gt;5</formula>
    </cfRule>
  </conditionalFormatting>
  <conditionalFormatting sqref="E88">
    <cfRule type="expression" dxfId="67" priority="14" stopIfTrue="1">
      <formula>COUNT(E83:E87)&lt;&gt;5</formula>
    </cfRule>
  </conditionalFormatting>
  <conditionalFormatting sqref="E96">
    <cfRule type="expression" dxfId="66" priority="13" stopIfTrue="1">
      <formula>COUNT(E91:E95)&lt;&gt;5</formula>
    </cfRule>
  </conditionalFormatting>
  <conditionalFormatting sqref="E104">
    <cfRule type="expression" dxfId="65" priority="12" stopIfTrue="1">
      <formula>COUNT(E99:E103)&lt;&gt;5</formula>
    </cfRule>
  </conditionalFormatting>
  <conditionalFormatting sqref="E112">
    <cfRule type="expression" dxfId="64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103425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103425" r:id="rId4"/>
      </mc:Fallback>
    </mc:AlternateContent>
    <mc:AlternateContent xmlns:mc="http://schemas.openxmlformats.org/markup-compatibility/2006">
      <mc:Choice Requires="x14">
        <oleObject progId="Equation.3" shapeId="103426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103426" r:id="rId6"/>
      </mc:Fallback>
    </mc:AlternateContent>
    <mc:AlternateContent xmlns:mc="http://schemas.openxmlformats.org/markup-compatibility/2006">
      <mc:Choice Requires="x14">
        <oleObject progId="Equation.3" shapeId="103427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103427" r:id="rId8"/>
      </mc:Fallback>
    </mc:AlternateContent>
    <mc:AlternateContent xmlns:mc="http://schemas.openxmlformats.org/markup-compatibility/2006">
      <mc:Choice Requires="x14">
        <oleObject progId="Equation.3" shapeId="103428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103428" r:id="rId10"/>
      </mc:Fallback>
    </mc:AlternateContent>
  </oleObjec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79181-EDF3-4A0C-832A-30A6EE8AD289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22'!O85</f>
        <v>-0.80360000000000054</v>
      </c>
      <c r="C2" s="37">
        <f>'PERHITUNGAN 22'!N85</f>
        <v>-9</v>
      </c>
      <c r="D2" s="75">
        <f>C2^2</f>
        <v>81</v>
      </c>
      <c r="E2" s="37">
        <f>C2^3</f>
        <v>-729</v>
      </c>
      <c r="F2" s="91">
        <f>C2^4</f>
        <v>6561</v>
      </c>
      <c r="G2" s="91">
        <f>C2^5</f>
        <v>-59049</v>
      </c>
      <c r="H2" s="91">
        <f>C2^6</f>
        <v>531441</v>
      </c>
      <c r="I2" s="91">
        <f>C2^7</f>
        <v>-4782969</v>
      </c>
      <c r="J2" s="91">
        <f>C2^8</f>
        <v>43046721</v>
      </c>
      <c r="K2" s="91">
        <f>C2^9</f>
        <v>-387420489</v>
      </c>
      <c r="L2" s="91">
        <f>C2^10</f>
        <v>3486784401</v>
      </c>
      <c r="Q2" s="12"/>
    </row>
    <row r="3" spans="1:24">
      <c r="A3" s="25">
        <v>2</v>
      </c>
      <c r="B3" s="37">
        <f>'PERHITUNGAN 22'!O86</f>
        <v>-0.59600000000000009</v>
      </c>
      <c r="C3" s="37">
        <f>'PERHITUNGAN 22'!N86</f>
        <v>0.8</v>
      </c>
      <c r="D3" s="75">
        <f t="shared" ref="D3:D9" si="0">C3^2</f>
        <v>0.64000000000000012</v>
      </c>
      <c r="E3" s="37">
        <f t="shared" ref="E3:E9" si="1">C3^3</f>
        <v>0.51200000000000012</v>
      </c>
      <c r="F3" s="91">
        <f t="shared" ref="F3:F9" si="2">C3^4</f>
        <v>0.40960000000000019</v>
      </c>
      <c r="G3" s="91">
        <f t="shared" ref="G3:G9" si="3">C3^5</f>
        <v>0.32768000000000019</v>
      </c>
      <c r="H3" s="91">
        <f t="shared" ref="H3:H9" si="4">C3^6</f>
        <v>0.26214400000000015</v>
      </c>
      <c r="I3" s="91">
        <f t="shared" ref="I3:I9" si="5">C3^7</f>
        <v>0.20971520000000016</v>
      </c>
      <c r="J3" s="91">
        <f t="shared" ref="J3:J9" si="6">C3^8</f>
        <v>0.16777216000000014</v>
      </c>
      <c r="K3" s="91">
        <f t="shared" ref="K3:K9" si="7">C3^9</f>
        <v>0.13421772800000012</v>
      </c>
      <c r="L3" s="91">
        <f t="shared" ref="L3:L9" si="8">C3^10</f>
        <v>0.10737418240000011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22'!O87</f>
        <v>6.5999999999998948E-2</v>
      </c>
      <c r="C4" s="37">
        <f>'PERHITUNGAN 22'!N87</f>
        <v>25.3</v>
      </c>
      <c r="D4" s="75">
        <f t="shared" si="0"/>
        <v>640.09</v>
      </c>
      <c r="E4" s="37">
        <f t="shared" si="1"/>
        <v>16194.277000000002</v>
      </c>
      <c r="F4" s="91">
        <f t="shared" si="2"/>
        <v>409715.20810000005</v>
      </c>
      <c r="G4" s="91">
        <f t="shared" si="3"/>
        <v>10365794.764930002</v>
      </c>
      <c r="H4" s="91">
        <f t="shared" si="4"/>
        <v>262254607.55272904</v>
      </c>
      <c r="I4" s="91">
        <f t="shared" si="5"/>
        <v>6635041571.0840454</v>
      </c>
      <c r="J4" s="91">
        <f t="shared" si="6"/>
        <v>167866551748.42633</v>
      </c>
      <c r="K4" s="91">
        <f t="shared" si="7"/>
        <v>4247023759235.1865</v>
      </c>
      <c r="L4" s="91">
        <f t="shared" si="8"/>
        <v>107449701108650.22</v>
      </c>
      <c r="R4" s="414" t="str">
        <f>IF('PERHITUNGAN 13'!$C$2="Celcius","(°C)","(°F)")</f>
        <v>(°C)</v>
      </c>
      <c r="S4" s="415"/>
      <c r="T4" s="5" t="str">
        <f>IF('PERHITUNGAN 13'!$C$2="Celcius","(°C)","(°F)")</f>
        <v>(°C)</v>
      </c>
      <c r="U4" s="14"/>
      <c r="V4" s="1"/>
    </row>
    <row r="5" spans="1:24">
      <c r="A5" s="25">
        <v>4</v>
      </c>
      <c r="B5" s="37">
        <f>'PERHITUNGAN 22'!O88</f>
        <v>0.57999999999999829</v>
      </c>
      <c r="C5" s="37">
        <f>'PERHITUNGAN 22'!N88</f>
        <v>49.9</v>
      </c>
      <c r="D5" s="75">
        <f t="shared" si="0"/>
        <v>2490.0099999999998</v>
      </c>
      <c r="E5" s="37">
        <f t="shared" si="1"/>
        <v>124251.49899999998</v>
      </c>
      <c r="F5" s="91">
        <f t="shared" si="2"/>
        <v>6200149.8000999987</v>
      </c>
      <c r="G5" s="91">
        <f t="shared" si="3"/>
        <v>309387475.0249899</v>
      </c>
      <c r="H5" s="91">
        <f t="shared" si="4"/>
        <v>15438435003.746996</v>
      </c>
      <c r="I5" s="91">
        <f t="shared" si="5"/>
        <v>770377906686.9751</v>
      </c>
      <c r="J5" s="91">
        <f t="shared" si="6"/>
        <v>38441857543680.055</v>
      </c>
      <c r="K5" s="91">
        <f t="shared" si="7"/>
        <v>1918248691429634.8</v>
      </c>
      <c r="L5" s="91">
        <f t="shared" si="8"/>
        <v>9.5720609702338768E+16</v>
      </c>
      <c r="R5" s="412"/>
      <c r="S5" s="413"/>
      <c r="T5" s="21"/>
      <c r="U5" s="32"/>
    </row>
    <row r="6" spans="1:24">
      <c r="A6" s="25">
        <v>5</v>
      </c>
      <c r="B6" s="37">
        <f>'PERHITUNGAN 22'!O89</f>
        <v>5.4189999999999969</v>
      </c>
      <c r="C6" s="37">
        <f>'PERHITUNGAN 22'!N89</f>
        <v>93.8</v>
      </c>
      <c r="D6" s="75">
        <f t="shared" si="0"/>
        <v>8798.4399999999987</v>
      </c>
      <c r="E6" s="37">
        <f t="shared" si="1"/>
        <v>825293.6719999999</v>
      </c>
      <c r="F6" s="91">
        <f t="shared" si="2"/>
        <v>77412546.433599979</v>
      </c>
      <c r="G6" s="91">
        <f t="shared" si="3"/>
        <v>7261296855.4716778</v>
      </c>
      <c r="H6" s="91">
        <f t="shared" si="4"/>
        <v>681109645043.24329</v>
      </c>
      <c r="I6" s="91">
        <f t="shared" si="5"/>
        <v>63888084705056.227</v>
      </c>
      <c r="J6" s="91">
        <f t="shared" si="6"/>
        <v>5992702345334273</v>
      </c>
      <c r="K6" s="91">
        <f t="shared" si="7"/>
        <v>5.6211547999235482E+17</v>
      </c>
      <c r="L6" s="91">
        <f t="shared" si="8"/>
        <v>5.2726432023282876E+19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22'!O90</f>
        <v>4.8102000000000116</v>
      </c>
      <c r="C7" s="37">
        <f>'PERHITUNGAN 22'!N90</f>
        <v>120.6</v>
      </c>
      <c r="D7" s="75">
        <f t="shared" si="0"/>
        <v>14544.359999999999</v>
      </c>
      <c r="E7" s="37">
        <f t="shared" si="1"/>
        <v>1754049.8159999999</v>
      </c>
      <c r="F7" s="91">
        <f t="shared" si="2"/>
        <v>211538407.80959997</v>
      </c>
      <c r="G7" s="91">
        <f t="shared" si="3"/>
        <v>25511531981.837753</v>
      </c>
      <c r="H7" s="91">
        <f t="shared" si="4"/>
        <v>3076690757009.6333</v>
      </c>
      <c r="I7" s="91">
        <f t="shared" si="5"/>
        <v>371048905295361.75</v>
      </c>
      <c r="J7" s="91">
        <f t="shared" si="6"/>
        <v>4.4748497978620624E+16</v>
      </c>
      <c r="K7" s="91">
        <f t="shared" si="7"/>
        <v>5.3966688562216468E+18</v>
      </c>
      <c r="L7" s="91">
        <f t="shared" si="8"/>
        <v>6.5083826406033064E+20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22'!O91</f>
        <v>4.9458000000000144</v>
      </c>
      <c r="C8" s="37">
        <f>'PERHITUNGAN 22'!N91</f>
        <v>144.69999999999999</v>
      </c>
      <c r="D8" s="75">
        <f t="shared" si="0"/>
        <v>20938.089999999997</v>
      </c>
      <c r="E8" s="37">
        <f t="shared" si="1"/>
        <v>3029741.6229999992</v>
      </c>
      <c r="F8" s="91">
        <f t="shared" si="2"/>
        <v>438403612.84809983</v>
      </c>
      <c r="G8" s="91">
        <f t="shared" si="3"/>
        <v>63437002779.120041</v>
      </c>
      <c r="H8" s="91">
        <f t="shared" si="4"/>
        <v>9179334302138.6699</v>
      </c>
      <c r="I8" s="91">
        <f t="shared" si="5"/>
        <v>1328249673519465.3</v>
      </c>
      <c r="J8" s="91">
        <f t="shared" si="6"/>
        <v>1.9219772775826659E+17</v>
      </c>
      <c r="K8" s="91">
        <f t="shared" si="7"/>
        <v>2.7811011206621172E+19</v>
      </c>
      <c r="L8" s="91">
        <f t="shared" si="8"/>
        <v>4.0242533215980833E+21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22'!O92</f>
        <v>3.7727999999999953</v>
      </c>
      <c r="C9" s="37">
        <f>'PERHITUNGAN 22'!N92</f>
        <v>195.9</v>
      </c>
      <c r="D9" s="75">
        <f t="shared" si="0"/>
        <v>38376.810000000005</v>
      </c>
      <c r="E9" s="37">
        <f t="shared" si="1"/>
        <v>7518017.0790000008</v>
      </c>
      <c r="F9" s="91">
        <f t="shared" si="2"/>
        <v>1472779545.7761004</v>
      </c>
      <c r="G9" s="91">
        <f t="shared" si="3"/>
        <v>288517513017.53809</v>
      </c>
      <c r="H9" s="91">
        <f t="shared" si="4"/>
        <v>56520580800135.711</v>
      </c>
      <c r="I9" s="91">
        <f t="shared" si="5"/>
        <v>1.1072381778746586E+16</v>
      </c>
      <c r="J9" s="91">
        <f t="shared" si="6"/>
        <v>2.1690795904564567E+18</v>
      </c>
      <c r="K9" s="91">
        <f t="shared" si="7"/>
        <v>4.249226917704199E+20</v>
      </c>
      <c r="L9" s="91">
        <f t="shared" si="8"/>
        <v>8.324235531782527E+22</v>
      </c>
      <c r="R9" s="408"/>
      <c r="S9" s="409"/>
      <c r="T9" s="23"/>
      <c r="U9" s="27"/>
      <c r="V9" s="88"/>
    </row>
    <row r="10" spans="1:24">
      <c r="A10" s="25">
        <v>9</v>
      </c>
      <c r="B10" s="37">
        <f>'PERHITUNGAN 22'!O93</f>
        <v>0</v>
      </c>
      <c r="C10" s="37" t="e">
        <f>'PERHITUNGAN 22'!N93</f>
        <v>#DIV/0!</v>
      </c>
      <c r="D10" s="75" t="e">
        <f>C10^2</f>
        <v>#DIV/0!</v>
      </c>
      <c r="E10" s="37" t="e">
        <f>C10^3</f>
        <v>#DIV/0!</v>
      </c>
      <c r="F10" s="91" t="e">
        <f>C10^4</f>
        <v>#DIV/0!</v>
      </c>
      <c r="G10" s="91" t="e">
        <f>C10^5</f>
        <v>#DIV/0!</v>
      </c>
      <c r="H10" s="91" t="e">
        <f>C10^6</f>
        <v>#DIV/0!</v>
      </c>
      <c r="I10" s="91" t="e">
        <f>C10^7</f>
        <v>#DIV/0!</v>
      </c>
      <c r="J10" s="91" t="e">
        <f>C10^8</f>
        <v>#DIV/0!</v>
      </c>
      <c r="K10" s="91" t="e">
        <f>C10^9</f>
        <v>#DIV/0!</v>
      </c>
      <c r="L10" s="91" t="e">
        <f>C10^10</f>
        <v>#DIV/0!</v>
      </c>
      <c r="R10" s="408"/>
      <c r="S10" s="409"/>
      <c r="T10" s="23"/>
      <c r="U10" s="27"/>
      <c r="V10" s="88"/>
    </row>
    <row r="11" spans="1:24">
      <c r="A11" s="25">
        <v>10</v>
      </c>
      <c r="B11" s="37">
        <f>'PERHITUNGAN 22'!O94</f>
        <v>0</v>
      </c>
      <c r="C11" s="37" t="e">
        <f>'PERHITUNGAN 22'!N94</f>
        <v>#DIV/0!</v>
      </c>
      <c r="D11" s="75" t="e">
        <f>C11^2</f>
        <v>#DIV/0!</v>
      </c>
      <c r="E11" s="37" t="e">
        <f>C11^3</f>
        <v>#DIV/0!</v>
      </c>
      <c r="F11" s="91" t="e">
        <f>C11^4</f>
        <v>#DIV/0!</v>
      </c>
      <c r="G11" s="91" t="e">
        <f>C11^5</f>
        <v>#DIV/0!</v>
      </c>
      <c r="H11" s="91" t="e">
        <f>C11^6</f>
        <v>#DIV/0!</v>
      </c>
      <c r="I11" s="91" t="e">
        <f>C11^7</f>
        <v>#DIV/0!</v>
      </c>
      <c r="J11" s="91" t="e">
        <f>C11^8</f>
        <v>#DIV/0!</v>
      </c>
      <c r="K11" s="91" t="e">
        <f>C11^9</f>
        <v>#DIV/0!</v>
      </c>
      <c r="L11" s="91" t="e">
        <f>C11^10</f>
        <v>#DIV/0!</v>
      </c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151</v>
      </c>
      <c r="R19" s="408">
        <f>'REGRESI 13'!R19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-0.90376374546435845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13'!R20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-0.73817504094720654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13'!R21</f>
        <v>25</v>
      </c>
      <c r="S21" s="409"/>
      <c r="T21" s="23">
        <f t="shared" si="9"/>
        <v>0.13147597368515768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13'!R22</f>
        <v>50</v>
      </c>
      <c r="S22" s="409"/>
      <c r="T22" s="23">
        <f t="shared" si="9"/>
        <v>1.4354187714518238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13'!R23</f>
        <v>100</v>
      </c>
      <c r="S23" s="409"/>
      <c r="T23" s="23">
        <f t="shared" si="9"/>
        <v>4.2627868224918259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13'!R24</f>
        <v>125</v>
      </c>
      <c r="S24" s="409"/>
      <c r="T24" s="23">
        <f t="shared" si="9"/>
        <v>5.2445156288170462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13'!R25</f>
        <v>150</v>
      </c>
      <c r="S25" s="409"/>
      <c r="T25" s="23">
        <f t="shared" si="9"/>
        <v>5.5771433243803319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13'!R26</f>
        <v>200</v>
      </c>
      <c r="S26" s="409"/>
      <c r="T26" s="23">
        <f t="shared" si="9"/>
        <v>3.2117024893248676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13'!R27</f>
        <v>0</v>
      </c>
      <c r="S27" s="409"/>
      <c r="T27" s="23">
        <f t="shared" si="9"/>
        <v>-0.73817504094720654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13'!R28</f>
        <v>0</v>
      </c>
      <c r="S28" s="409"/>
      <c r="T28" s="23">
        <f t="shared" si="9"/>
        <v>-0.73817504094720654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0.96594373695208469</v>
      </c>
      <c r="Q33" s="31" t="s">
        <v>100</v>
      </c>
      <c r="U33" s="70"/>
    </row>
    <row r="34" spans="2:24">
      <c r="B34" t="s">
        <v>76</v>
      </c>
      <c r="C34">
        <v>0.93304730295695826</v>
      </c>
      <c r="X34" s="46"/>
    </row>
    <row r="35" spans="2:24">
      <c r="B35" t="s">
        <v>77</v>
      </c>
      <c r="C35">
        <v>0.88283278017467692</v>
      </c>
      <c r="Q35" t="s">
        <v>99</v>
      </c>
    </row>
    <row r="36" spans="2:24">
      <c r="B36" t="s">
        <v>78</v>
      </c>
      <c r="C36">
        <v>0.92539343133017926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-0.73817504094720654</v>
      </c>
      <c r="U38" s="26" t="s">
        <v>97</v>
      </c>
      <c r="V38">
        <f>C78</f>
        <v>0</v>
      </c>
    </row>
    <row r="39" spans="2:24" ht="13.5" thickBot="1">
      <c r="B39" t="s">
        <v>80</v>
      </c>
      <c r="R39" s="26" t="s">
        <v>98</v>
      </c>
      <c r="S39">
        <f t="shared" si="10"/>
        <v>2.2488895276287748E-2</v>
      </c>
      <c r="U39" s="26" t="s">
        <v>98</v>
      </c>
      <c r="V39">
        <f>C79</f>
        <v>0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5.6411200528668859E-4</v>
      </c>
      <c r="U40" s="26" t="s">
        <v>111</v>
      </c>
      <c r="V40">
        <f>C80</f>
        <v>0</v>
      </c>
    </row>
    <row r="41" spans="2:24">
      <c r="B41" t="s">
        <v>81</v>
      </c>
      <c r="C41">
        <v>3</v>
      </c>
      <c r="D41">
        <v>47.736261264003943</v>
      </c>
      <c r="E41">
        <v>15.912087088001314</v>
      </c>
      <c r="F41">
        <v>18.581224141120224</v>
      </c>
      <c r="G41">
        <v>8.2149951613459567E-3</v>
      </c>
      <c r="R41" s="26" t="s">
        <v>112</v>
      </c>
      <c r="S41">
        <f t="shared" si="10"/>
        <v>-2.8890477170566275E-6</v>
      </c>
      <c r="U41" s="26" t="s">
        <v>112</v>
      </c>
      <c r="V41">
        <f>C81</f>
        <v>0</v>
      </c>
    </row>
    <row r="42" spans="2:24">
      <c r="B42" t="s">
        <v>82</v>
      </c>
      <c r="C42">
        <v>4</v>
      </c>
      <c r="D42">
        <v>3.4254120109961725</v>
      </c>
      <c r="E42">
        <v>0.85635300274904314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51.161673275000112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-0.73817504094720654</v>
      </c>
      <c r="D46">
        <v>0.55663643770717053</v>
      </c>
      <c r="E46">
        <v>-1.3261349616058336</v>
      </c>
      <c r="F46">
        <v>0.25545015414798922</v>
      </c>
      <c r="G46">
        <v>-2.2836455537940168</v>
      </c>
      <c r="H46">
        <v>0.80729547189960349</v>
      </c>
      <c r="I46">
        <v>-2.2836455537940168</v>
      </c>
      <c r="J46">
        <v>0.80729547189960349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2.2488895276287748E-2</v>
      </c>
      <c r="D47">
        <v>3.230461479605224E-2</v>
      </c>
      <c r="E47">
        <v>0.69615116658304765</v>
      </c>
      <c r="F47">
        <v>0.52466575050924946</v>
      </c>
      <c r="G47">
        <v>-6.7203094349511702E-2</v>
      </c>
      <c r="H47">
        <v>0.11218088490208721</v>
      </c>
      <c r="I47">
        <v>-6.7203094349511702E-2</v>
      </c>
      <c r="J47">
        <v>0.11218088490208721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5.6411200528668859E-4</v>
      </c>
      <c r="D48">
        <v>4.4258892467134616E-4</v>
      </c>
      <c r="E48">
        <v>1.2745732526081215</v>
      </c>
      <c r="F48">
        <v>0.2714688747097822</v>
      </c>
      <c r="G48">
        <v>-6.6471184823182529E-4</v>
      </c>
      <c r="H48">
        <v>1.7929358588052026E-3</v>
      </c>
      <c r="I48">
        <v>-6.6471184823182529E-4</v>
      </c>
      <c r="J48">
        <v>1.7929358588052026E-3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-2.8890477170566275E-6</v>
      </c>
      <c r="D49" s="67">
        <v>1.5289791895137033E-6</v>
      </c>
      <c r="E49" s="67">
        <v>-1.8895271674531413</v>
      </c>
      <c r="F49" s="67">
        <v>0.1318224895351634</v>
      </c>
      <c r="G49" s="67">
        <v>-7.1341745037312382E-6</v>
      </c>
      <c r="H49" s="67">
        <v>1.3560790696179832E-6</v>
      </c>
      <c r="I49" s="67">
        <v>-7.1341745037312382E-6</v>
      </c>
      <c r="J49" s="67">
        <v>1.3560790696179832E-6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56" spans="2:21" ht="13.5" thickBot="1">
      <c r="B56" s="67"/>
      <c r="C56" s="67"/>
      <c r="D56" s="67"/>
      <c r="E56" s="67"/>
      <c r="F56" s="67"/>
      <c r="G56" s="67"/>
      <c r="H56" s="67"/>
      <c r="I56" s="67"/>
      <c r="J56" s="67"/>
    </row>
    <row r="63" spans="2:21" ht="13.5" thickBot="1"/>
    <row r="64" spans="2:21" ht="13.5">
      <c r="B64" s="69"/>
      <c r="C64" s="69"/>
    </row>
    <row r="69" spans="2:10" ht="13.5" thickBot="1">
      <c r="B69" s="67"/>
      <c r="C69" s="67"/>
    </row>
    <row r="71" spans="2:10" ht="13.5" thickBot="1"/>
    <row r="72" spans="2:10" ht="13.5">
      <c r="B72" s="68"/>
      <c r="C72" s="68"/>
      <c r="D72" s="68"/>
      <c r="E72" s="68"/>
      <c r="F72" s="68"/>
      <c r="G72" s="68"/>
    </row>
    <row r="75" spans="2:10" ht="13.5" thickBot="1">
      <c r="B75" s="67"/>
      <c r="C75" s="67"/>
      <c r="D75" s="67"/>
      <c r="E75" s="67"/>
      <c r="F75" s="67"/>
      <c r="G75" s="67"/>
    </row>
    <row r="76" spans="2:10" ht="13.5" thickBot="1"/>
    <row r="77" spans="2:10" ht="13.5">
      <c r="B77" s="68"/>
      <c r="C77" s="68"/>
      <c r="D77" s="68"/>
      <c r="E77" s="68"/>
      <c r="F77" s="68"/>
      <c r="G77" s="68"/>
      <c r="H77" s="68"/>
      <c r="I77" s="68"/>
      <c r="J77" s="68"/>
    </row>
    <row r="81" spans="2:10" ht="13.5" thickBot="1">
      <c r="B81" s="67"/>
      <c r="C81" s="67"/>
      <c r="D81" s="67"/>
      <c r="E81" s="67"/>
      <c r="F81" s="67"/>
      <c r="G81" s="67"/>
      <c r="H81" s="67"/>
      <c r="I81" s="67"/>
      <c r="J81" s="67"/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4679-D366-4EAD-A469-3E15D94C31BB}">
  <dimension ref="A1:AH187"/>
  <sheetViews>
    <sheetView workbookViewId="0"/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13'!$C$2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13'!G3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13'!E5</f>
        <v>Termometer Digital</v>
      </c>
      <c r="F5" s="11"/>
      <c r="G5" s="11" t="s">
        <v>127</v>
      </c>
      <c r="H5" s="11" t="s">
        <v>16</v>
      </c>
      <c r="I5" s="66" t="str">
        <f>'PERHITUNGAN 13'!I5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13'!E6</f>
        <v>Hioki / LR 8431-20</v>
      </c>
      <c r="F6" s="11"/>
      <c r="G6" s="11" t="s">
        <v>128</v>
      </c>
      <c r="H6" s="11" t="s">
        <v>16</v>
      </c>
      <c r="I6" s="129">
        <f>'PERHITUNGAN 13'!I6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13'!E7</f>
        <v>210149173</v>
      </c>
      <c r="F7" s="11"/>
      <c r="G7" s="11" t="s">
        <v>44</v>
      </c>
      <c r="H7" s="11" t="s">
        <v>16</v>
      </c>
      <c r="I7" s="31">
        <v>11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13'!E11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13'!E12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13'!E13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13'!E14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13'!E17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13'!E18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13'!E19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13'!E21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13'!D24</f>
        <v>22</v>
      </c>
      <c r="E23" s="244">
        <f>'PERHITUNGAN 13'!E24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13'!D25</f>
        <v>22</v>
      </c>
      <c r="E24" s="244">
        <f>'PERHITUNGAN 13'!E25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13'!D28</f>
        <v>20</v>
      </c>
      <c r="E27" s="244">
        <f>'PERHITUNGAN 13'!E28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13'!D29</f>
        <v>20</v>
      </c>
      <c r="E28" s="244">
        <f>'PERHITUNGAN 13'!E29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13'!D33</f>
        <v>55</v>
      </c>
      <c r="E32" s="244">
        <f>'PERHITUNGAN 13'!E33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13'!D34</f>
        <v>55</v>
      </c>
      <c r="E33" s="244">
        <f>'PERHITUNGAN 13'!E34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-9.8047999999999984</v>
      </c>
      <c r="P36" s="380">
        <f>F56</f>
        <v>0.20680000000000001</v>
      </c>
      <c r="Q36" s="380">
        <f>F64</f>
        <v>25.385000000000002</v>
      </c>
      <c r="R36" s="380">
        <f>F72</f>
        <v>50.485599999999998</v>
      </c>
      <c r="S36" s="380">
        <f>F80</f>
        <v>99.802800000000005</v>
      </c>
      <c r="T36" s="380">
        <f>F88</f>
        <v>125.34179999999999</v>
      </c>
      <c r="U36" s="380">
        <f>F96</f>
        <v>151.08180000000002</v>
      </c>
      <c r="V36" s="380">
        <f>F104</f>
        <v>199.37799999999999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23'!$E$11="Burn Engr",IF(O36&lt;=$AA$38,$AB$38,$AB$39),IF(O36&lt;=$AC$38,$AD$38,IF(O36&lt;=$AC$39,$AD$39,$AD$40)))</f>
        <v>0.02</v>
      </c>
      <c r="P38" s="54">
        <f>IF('PERHITUNGAN 23'!$E$11="Burn Engr",IF(P36&lt;=$AA$38,$AB$38,$AB$39),IF(P36&lt;=$AC$38,$AD$38,IF(P36&lt;=$AC$39,$AD$39,$AD$40)))</f>
        <v>7.0000000000000007E-2</v>
      </c>
      <c r="Q38" s="54">
        <f>IF('PERHITUNGAN 23'!$E$11="Burn Engr",IF(Q36&lt;=$AA$38,$AB$38,$AB$39),IF(Q36&lt;=$AC$38,$AD$38,IF(Q36&lt;=$AC$39,$AD$39,$AD$40)))</f>
        <v>7.0000000000000007E-2</v>
      </c>
      <c r="R38" s="54">
        <f>IF('PERHITUNGAN 23'!$E$11="Burn Engr",IF(R36&lt;=$AA$38,$AB$38,$AB$39),IF(R36&lt;=$AC$38,$AD$38,IF(R36&lt;=$AC$39,$AD$39,$AD$40)))</f>
        <v>7.0000000000000007E-2</v>
      </c>
      <c r="S38" s="54">
        <f>IF('PERHITUNGAN 23'!$E$11="Burn Engr",IF(S36&lt;=$AA$38,$AB$38,$AB$39),IF(S36&lt;=$AC$38,$AD$38,IF(S36&lt;=$AC$39,$AD$39,$AD$40)))</f>
        <v>7.0000000000000007E-2</v>
      </c>
      <c r="T38" s="54">
        <f>IF('PERHITUNGAN 23'!$E$11="Burn Engr",IF(T36&lt;=$AA$38,$AB$38,$AB$39),IF(T36&lt;=$AC$38,$AD$38,IF(T36&lt;=$AC$39,$AD$39,$AD$40)))</f>
        <v>7.0000000000000007E-2</v>
      </c>
      <c r="U38" s="54">
        <f>IF('PERHITUNGAN 23'!$E$11="Burn Engr",IF(U36&lt;=$AA$38,$AB$38,$AB$39),IF(U36&lt;=$AC$38,$AD$38,IF(U36&lt;=$AC$39,$AD$39,$AD$40)))</f>
        <v>7.0000000000000007E-2</v>
      </c>
      <c r="V38" s="54">
        <f>IF('PERHITUNGAN 23'!$E$11="Burn Engr",IF(V36&lt;=$AA$38,$AB$38,$AB$39),IF(V36&lt;=$AC$38,$AD$38,IF(V36&lt;=$AC$39,$AD$39,$AD$40)))</f>
        <v>7.0000000000000007E-2</v>
      </c>
      <c r="W38" s="54">
        <f>IF('PERHITUNGAN 23'!$E$11="Burn Engr",IF(W36&lt;=$AA$38,$AB$38,$AB$39),IF(W36&lt;=$AC$38,$AD$38,IF(W36&lt;=$AC$39,$AD$39,$AD$40)))</f>
        <v>0.02</v>
      </c>
      <c r="X38" s="54">
        <f>IF('PERHITUNGAN 23'!$E$11="Burn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0.01</v>
      </c>
      <c r="P40" s="37">
        <f t="shared" ref="P40:X40" si="1">P38/P39</f>
        <v>3.5000000000000003E-2</v>
      </c>
      <c r="Q40" s="37">
        <f t="shared" si="1"/>
        <v>3.5000000000000003E-2</v>
      </c>
      <c r="R40" s="37">
        <f>R38/R39</f>
        <v>3.5000000000000003E-2</v>
      </c>
      <c r="S40" s="37">
        <f t="shared" si="1"/>
        <v>3.5000000000000003E-2</v>
      </c>
      <c r="T40" s="37">
        <f t="shared" si="1"/>
        <v>3.5000000000000003E-2</v>
      </c>
      <c r="U40" s="37">
        <f t="shared" si="1"/>
        <v>3.5000000000000003E-2</v>
      </c>
      <c r="V40" s="37">
        <f t="shared" si="1"/>
        <v>3.5000000000000003E-2</v>
      </c>
      <c r="W40" s="37">
        <f t="shared" si="1"/>
        <v>0.01</v>
      </c>
      <c r="X40" s="37">
        <f t="shared" si="1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-10</v>
      </c>
      <c r="C43" s="373">
        <v>-9</v>
      </c>
      <c r="D43" s="374"/>
      <c r="E43" s="90">
        <v>-9.8040000000000003</v>
      </c>
      <c r="F43" s="37">
        <f>IF('PERHITUNGAN 23'!$E$11="Burn Engr",'PERHITUNGAN 23'!E43,E43+('regresi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-9.8040000000000003</v>
      </c>
      <c r="G43" s="90">
        <f>F43-C43</f>
        <v>-0.80400000000000027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-9</v>
      </c>
      <c r="D44" s="374"/>
      <c r="E44" s="90">
        <v>-9.8040000000000003</v>
      </c>
      <c r="F44" s="37">
        <f>IF('PERHITUNGAN 23'!$E$11="Burn Engr",'PERHITUNGAN 23'!E44,E44+('regresi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-9.8040000000000003</v>
      </c>
      <c r="G44" s="90">
        <f>F44-C44</f>
        <v>-0.80400000000000027</v>
      </c>
      <c r="H44" s="63"/>
      <c r="I44" s="63"/>
      <c r="AB44" s="1"/>
    </row>
    <row r="45" spans="1:30" ht="13.5" customHeight="1">
      <c r="A45" s="105"/>
      <c r="C45" s="373">
        <v>-9</v>
      </c>
      <c r="D45" s="374"/>
      <c r="E45" s="90">
        <v>-9.8040000000000003</v>
      </c>
      <c r="F45" s="37">
        <f>IF('PERHITUNGAN 23'!$E$11="Burn Engr",'PERHITUNGAN 23'!E45,E45+('regresi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-9.8040000000000003</v>
      </c>
      <c r="G45" s="90">
        <f>F45-C45</f>
        <v>-0.80400000000000027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-9</v>
      </c>
      <c r="D46" s="374"/>
      <c r="E46" s="90">
        <v>-9.8059999999999992</v>
      </c>
      <c r="F46" s="37">
        <f>IF('PERHITUNGAN 23'!$E$11="Burn Engr",'PERHITUNGAN 23'!E46,E46+('regresi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-9.8059999999999992</v>
      </c>
      <c r="G46" s="90">
        <f>F46-C46</f>
        <v>-0.80599999999999916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-9</v>
      </c>
      <c r="D47" s="374"/>
      <c r="E47" s="90">
        <v>-9.8059999999999992</v>
      </c>
      <c r="F47" s="37">
        <f>IF('PERHITUNGAN 23'!$E$11="Burn Engr",'PERHITUNGAN 23'!E47,E47+('regresi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-9.8059999999999992</v>
      </c>
      <c r="G47" s="90">
        <f>F47-C47</f>
        <v>-0.80599999999999916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-9</v>
      </c>
      <c r="D48" s="357"/>
      <c r="E48" s="95">
        <f>AVERAGE(E43:E47)</f>
        <v>-9.8047999999999984</v>
      </c>
      <c r="F48" s="95">
        <f>AVERAGE(F43:F47)</f>
        <v>-9.8047999999999984</v>
      </c>
      <c r="G48" s="95">
        <f>SUM(G43:G47)/5</f>
        <v>-0.80479999999999985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1.0954451150097251E-3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4.8989794855636409E-4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>
        <v>0</v>
      </c>
      <c r="C51" s="373">
        <v>0.7</v>
      </c>
      <c r="D51" s="374"/>
      <c r="E51" s="90">
        <v>0.20599999999999999</v>
      </c>
      <c r="F51" s="37">
        <f>IF('PERHITUNGAN 23'!$E$11="Burn Engr",'PERHITUNGAN 23'!E51,E51+('regresi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0.20599999999999999</v>
      </c>
      <c r="G51" s="90">
        <f>F51-C51</f>
        <v>-0.49399999999999999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>
        <v>0.7</v>
      </c>
      <c r="D52" s="374"/>
      <c r="E52" s="90">
        <v>0.20599999999999999</v>
      </c>
      <c r="F52" s="37">
        <f>IF('PERHITUNGAN 23'!$E$11="Burn Engr",'PERHITUNGAN 23'!E52,E52+('regresi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0.20599999999999999</v>
      </c>
      <c r="G52" s="90">
        <f>F52-C52</f>
        <v>-0.49399999999999999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>
        <v>0.7</v>
      </c>
      <c r="D53" s="374"/>
      <c r="E53" s="90">
        <v>0.20599999999999999</v>
      </c>
      <c r="F53" s="37">
        <f>IF('PERHITUNGAN 23'!$E$11="Burn Engr",'PERHITUNGAN 23'!E53,E53+('regresi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0.20599999999999999</v>
      </c>
      <c r="G53" s="90">
        <f>F53-C53</f>
        <v>-0.49399999999999999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0.7</v>
      </c>
      <c r="D54" s="374"/>
      <c r="E54" s="90">
        <v>0.20799999999999999</v>
      </c>
      <c r="F54" s="37">
        <f>IF('PERHITUNGAN 23'!$E$11="Burn Engr",'PERHITUNGAN 23'!E54,E54+('regresi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0.20799999999999999</v>
      </c>
      <c r="G54" s="90">
        <f>F54-C54</f>
        <v>-0.49199999999999999</v>
      </c>
      <c r="H54" s="63"/>
      <c r="I54" s="63"/>
      <c r="AB54" s="1"/>
    </row>
    <row r="55" spans="1:28" ht="13.5" customHeight="1">
      <c r="A55" s="10"/>
      <c r="C55" s="373">
        <v>0.7</v>
      </c>
      <c r="D55" s="374"/>
      <c r="E55" s="90">
        <v>0.20799999999999999</v>
      </c>
      <c r="F55" s="37">
        <f>IF('PERHITUNGAN 23'!$E$11="Burn Engr",'PERHITUNGAN 23'!E55,E55+('regresi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0.20799999999999999</v>
      </c>
      <c r="G55" s="90">
        <f>F55-C55</f>
        <v>-0.49199999999999999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0.7</v>
      </c>
      <c r="D56" s="334"/>
      <c r="E56" s="95">
        <f>AVERAGE(E51:E55)</f>
        <v>0.20680000000000001</v>
      </c>
      <c r="F56" s="95">
        <f>AVERAGE(F51:F55)</f>
        <v>0.20680000000000001</v>
      </c>
      <c r="G56" s="95">
        <f>SUM(G51:G55)/5</f>
        <v>-0.49320000000000003</v>
      </c>
      <c r="H56" s="63"/>
      <c r="I56" s="63"/>
      <c r="N56" s="390"/>
      <c r="O56" s="115">
        <f>C48</f>
        <v>-9</v>
      </c>
      <c r="P56" s="115">
        <f>C56</f>
        <v>0.7</v>
      </c>
      <c r="Q56" s="115">
        <f>C64</f>
        <v>25.1</v>
      </c>
      <c r="R56" s="115">
        <f>C72</f>
        <v>49.6</v>
      </c>
      <c r="S56" s="115">
        <f>C80</f>
        <v>99.2</v>
      </c>
      <c r="T56" s="115">
        <f>C88</f>
        <v>124.7</v>
      </c>
      <c r="U56" s="115">
        <f>C96</f>
        <v>151.5</v>
      </c>
      <c r="V56" s="115">
        <f>C104</f>
        <v>201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1.0954451150103333E-3</v>
      </c>
      <c r="H57" s="44"/>
      <c r="I57" s="63"/>
      <c r="N57" s="25" t="s">
        <v>152</v>
      </c>
      <c r="O57" s="112">
        <f>$G$49/5^0.5</f>
        <v>4.8989794855636409E-4</v>
      </c>
      <c r="P57" s="112">
        <f>$G$57/5^0.5</f>
        <v>4.8989794855663611E-4</v>
      </c>
      <c r="Q57" s="112">
        <f>$G$65/5^0.5</f>
        <v>0</v>
      </c>
      <c r="R57" s="112">
        <f>$G$73/5^0.5</f>
        <v>2.449489742777469E-4</v>
      </c>
      <c r="S57" s="112">
        <f>$G$81/5^0.5</f>
        <v>7.3484692283498122E-4</v>
      </c>
      <c r="T57" s="112">
        <f>$G$89/5^0.5</f>
        <v>4.8989794855897485E-4</v>
      </c>
      <c r="U57" s="112">
        <f>$G$97/5^0.5</f>
        <v>7.3484692283150028E-4</v>
      </c>
      <c r="V57" s="112">
        <f>$G$105/5^0.5</f>
        <v>0</v>
      </c>
      <c r="W57" s="112">
        <f>$G$113/5^0.5</f>
        <v>0</v>
      </c>
      <c r="X57" s="112">
        <f>$G$121/5^0.5</f>
        <v>0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4.8989794855663611E-4</v>
      </c>
      <c r="H58" s="44"/>
      <c r="I58" s="63"/>
      <c r="N58" s="25" t="s">
        <v>153</v>
      </c>
      <c r="O58" s="113">
        <f>IF('DRAFT-SERTIF'!$O$27="Ya",'REGRESI 23'!$C$36,0)</f>
        <v>0.19642034791218965</v>
      </c>
      <c r="P58" s="113">
        <f>IF('DRAFT-SERTIF'!$O$27="Ya",'REGRESI 23'!$C$36,0)</f>
        <v>0.19642034791218965</v>
      </c>
      <c r="Q58" s="113">
        <f>IF('DRAFT-SERTIF'!$O$27="Ya",'REGRESI 23'!$C$36,0)</f>
        <v>0.19642034791218965</v>
      </c>
      <c r="R58" s="113">
        <f>IF('DRAFT-SERTIF'!$O$27="Ya",'REGRESI 23'!$C$36,0)</f>
        <v>0.19642034791218965</v>
      </c>
      <c r="S58" s="113">
        <f>IF('DRAFT-SERTIF'!$O$27="Ya",'REGRESI 23'!$C$36,0)</f>
        <v>0.19642034791218965</v>
      </c>
      <c r="T58" s="113">
        <f>IF('DRAFT-SERTIF'!$O$27="Ya",'REGRESI 23'!$C$36,0)</f>
        <v>0.19642034791218965</v>
      </c>
      <c r="U58" s="113">
        <f>IF('DRAFT-SERTIF'!$O$27="Ya",'REGRESI 23'!$C$36,0)</f>
        <v>0.19642034791218965</v>
      </c>
      <c r="V58" s="113">
        <f>IF('DRAFT-SERTIF'!$O$27="Ya",'REGRESI 23'!$C$36,0)</f>
        <v>0.19642034791218965</v>
      </c>
      <c r="W58" s="113">
        <f>IF('DRAFT-SERTIF'!$O$27="Ya",'REGRESI 23'!$C$36,0)</f>
        <v>0.19642034791218965</v>
      </c>
      <c r="X58" s="113">
        <f>IF('DRAFT-SERTIF'!$O$27="Ya",'REGRESI 23'!$C$36,0)</f>
        <v>0.19642034791218965</v>
      </c>
      <c r="AB58" s="1"/>
    </row>
    <row r="59" spans="1:28" ht="13.5" customHeight="1">
      <c r="A59" s="105">
        <v>3</v>
      </c>
      <c r="B59" s="196">
        <v>25</v>
      </c>
      <c r="C59" s="327">
        <v>25.1</v>
      </c>
      <c r="D59" s="327"/>
      <c r="E59" s="15">
        <v>25.385000000000002</v>
      </c>
      <c r="F59" s="37">
        <f>IF('PERHITUNGAN 23'!$E$11="Burn Engr",'PERHITUNGAN 23'!E59,E59+('regresi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25.385000000000002</v>
      </c>
      <c r="G59" s="90">
        <f>F59-C59</f>
        <v>0.28500000000000014</v>
      </c>
      <c r="H59" s="63"/>
      <c r="I59" s="63"/>
      <c r="N59" s="25" t="s">
        <v>154</v>
      </c>
      <c r="O59" s="91">
        <f t="shared" ref="O59:X59" si="3">O40</f>
        <v>0.01</v>
      </c>
      <c r="P59" s="91">
        <f t="shared" si="3"/>
        <v>3.5000000000000003E-2</v>
      </c>
      <c r="Q59" s="91">
        <f t="shared" si="3"/>
        <v>3.5000000000000003E-2</v>
      </c>
      <c r="R59" s="91">
        <f t="shared" si="3"/>
        <v>3.5000000000000003E-2</v>
      </c>
      <c r="S59" s="91">
        <f t="shared" si="3"/>
        <v>3.5000000000000003E-2</v>
      </c>
      <c r="T59" s="91">
        <f t="shared" si="3"/>
        <v>3.5000000000000003E-2</v>
      </c>
      <c r="U59" s="91">
        <f t="shared" si="3"/>
        <v>3.5000000000000003E-2</v>
      </c>
      <c r="V59" s="91">
        <f t="shared" si="3"/>
        <v>3.5000000000000003E-2</v>
      </c>
      <c r="W59" s="91">
        <f t="shared" si="3"/>
        <v>0.01</v>
      </c>
      <c r="X59" s="91">
        <f t="shared" si="3"/>
        <v>0.01</v>
      </c>
    </row>
    <row r="60" spans="1:28">
      <c r="A60" s="10"/>
      <c r="C60" s="327">
        <v>25.1</v>
      </c>
      <c r="D60" s="327"/>
      <c r="E60" s="15">
        <v>25.385000000000002</v>
      </c>
      <c r="F60" s="37">
        <f>IF('PERHITUNGAN 23'!$E$11="Burn Engr",'PERHITUNGAN 23'!E60,E60+('regresi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25.385000000000002</v>
      </c>
      <c r="G60" s="90">
        <f>F60-C60</f>
        <v>0.28500000000000014</v>
      </c>
      <c r="H60" s="63"/>
      <c r="I60" s="63"/>
      <c r="N60" s="133" t="s">
        <v>155</v>
      </c>
      <c r="O60" s="134">
        <f>'PERHITUNGAN 13'!O61</f>
        <v>1.5000000000000003E-2</v>
      </c>
      <c r="P60" s="134">
        <f>'PERHITUNGAN 13'!P61</f>
        <v>0.01</v>
      </c>
      <c r="Q60" s="134">
        <f>'PERHITUNGAN 13'!Q61</f>
        <v>5.0000000000000001E-3</v>
      </c>
      <c r="R60" s="134">
        <f>'PERHITUNGAN 13'!R61</f>
        <v>1.4999999999999999E-2</v>
      </c>
      <c r="S60" s="134">
        <f>'PERHITUNGAN 13'!S61</f>
        <v>5.0000000000000001E-3</v>
      </c>
      <c r="T60" s="134">
        <f>'PERHITUNGAN 13'!T61</f>
        <v>0.05</v>
      </c>
      <c r="U60" s="134">
        <f>'PERHITUNGAN 13'!U61</f>
        <v>0.05</v>
      </c>
      <c r="V60" s="134">
        <f>'PERHITUNGAN 13'!V61</f>
        <v>1.5000000000000003E-2</v>
      </c>
      <c r="W60" s="134">
        <f>'PERHITUNGAN 13'!W61</f>
        <v>1.4999999999999999E-2</v>
      </c>
      <c r="X60" s="134">
        <f>'PERHITUNGAN 13'!X61</f>
        <v>1.4999999999999999E-2</v>
      </c>
    </row>
    <row r="61" spans="1:28">
      <c r="A61" s="10"/>
      <c r="C61" s="327">
        <v>25.1</v>
      </c>
      <c r="D61" s="327"/>
      <c r="E61" s="15">
        <v>25.385000000000002</v>
      </c>
      <c r="F61" s="37">
        <f>IF('PERHITUNGAN 23'!$E$11="Burn Engr",'PERHITUNGAN 23'!E61,E61+('regresi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25.385000000000002</v>
      </c>
      <c r="G61" s="90">
        <f>F61-C61</f>
        <v>0.28500000000000014</v>
      </c>
      <c r="H61" s="63"/>
      <c r="I61" s="63"/>
      <c r="N61" s="25" t="s">
        <v>156</v>
      </c>
      <c r="O61" s="20">
        <f t="shared" ref="O61:X61" si="4">(0.1*O38)/SQRT(3)</f>
        <v>1.1547005383792516E-3</v>
      </c>
      <c r="P61" s="20">
        <f t="shared" si="4"/>
        <v>4.041451884327381E-3</v>
      </c>
      <c r="Q61" s="20">
        <f t="shared" si="4"/>
        <v>4.041451884327381E-3</v>
      </c>
      <c r="R61" s="20">
        <f t="shared" si="4"/>
        <v>4.041451884327381E-3</v>
      </c>
      <c r="S61" s="20">
        <f t="shared" si="4"/>
        <v>4.041451884327381E-3</v>
      </c>
      <c r="T61" s="20">
        <f t="shared" si="4"/>
        <v>4.041451884327381E-3</v>
      </c>
      <c r="U61" s="20">
        <f t="shared" si="4"/>
        <v>4.041451884327381E-3</v>
      </c>
      <c r="V61" s="20">
        <f t="shared" si="4"/>
        <v>4.041451884327381E-3</v>
      </c>
      <c r="W61" s="20">
        <f t="shared" si="4"/>
        <v>1.1547005383792516E-3</v>
      </c>
      <c r="X61" s="20">
        <f t="shared" si="4"/>
        <v>1.1547005383792516E-3</v>
      </c>
    </row>
    <row r="62" spans="1:28">
      <c r="A62" s="10"/>
      <c r="C62" s="327">
        <v>25.1</v>
      </c>
      <c r="D62" s="327"/>
      <c r="E62" s="15">
        <v>25.385000000000002</v>
      </c>
      <c r="F62" s="37">
        <f>IF('PERHITUNGAN 23'!$E$11="Burn Engr",'PERHITUNGAN 23'!E62,E62+('regresi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25.385000000000002</v>
      </c>
      <c r="G62" s="90">
        <f>F62-C62</f>
        <v>0.28500000000000014</v>
      </c>
      <c r="H62" s="63"/>
      <c r="I62" s="63"/>
      <c r="N62" s="25" t="s">
        <v>157</v>
      </c>
      <c r="O62" s="114">
        <f t="shared" ref="O62:X62" si="5">$T$28</f>
        <v>2.886751345948129E-3</v>
      </c>
      <c r="P62" s="114">
        <f t="shared" si="5"/>
        <v>2.886751345948129E-3</v>
      </c>
      <c r="Q62" s="114">
        <f t="shared" si="5"/>
        <v>2.886751345948129E-3</v>
      </c>
      <c r="R62" s="114">
        <f t="shared" si="5"/>
        <v>2.886751345948129E-3</v>
      </c>
      <c r="S62" s="114">
        <f t="shared" si="5"/>
        <v>2.886751345948129E-3</v>
      </c>
      <c r="T62" s="114">
        <f t="shared" si="5"/>
        <v>2.886751345948129E-3</v>
      </c>
      <c r="U62" s="114">
        <f t="shared" si="5"/>
        <v>2.886751345948129E-3</v>
      </c>
      <c r="V62" s="114">
        <f t="shared" si="5"/>
        <v>2.886751345948129E-3</v>
      </c>
      <c r="W62" s="114">
        <f t="shared" si="5"/>
        <v>2.886751345948129E-3</v>
      </c>
      <c r="X62" s="114">
        <f t="shared" si="5"/>
        <v>2.886751345948129E-3</v>
      </c>
    </row>
    <row r="63" spans="1:28">
      <c r="A63" s="10"/>
      <c r="C63" s="327">
        <v>25.1</v>
      </c>
      <c r="D63" s="327"/>
      <c r="E63" s="15">
        <v>25.385000000000002</v>
      </c>
      <c r="F63" s="37">
        <f>IF('PERHITUNGAN 23'!$E$11="Burn Engr",'PERHITUNGAN 23'!E63,E63+('regresi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25.385000000000002</v>
      </c>
      <c r="G63" s="90">
        <f>F63-C63</f>
        <v>0.28500000000000014</v>
      </c>
      <c r="H63" s="63"/>
      <c r="I63" s="63"/>
      <c r="N63" s="25" t="s">
        <v>158</v>
      </c>
      <c r="O63" s="114">
        <f t="shared" ref="O63:X63" si="6">$T$26</f>
        <v>2.886751345948129E-4</v>
      </c>
      <c r="P63" s="114">
        <f t="shared" si="6"/>
        <v>2.886751345948129E-4</v>
      </c>
      <c r="Q63" s="114">
        <f t="shared" si="6"/>
        <v>2.886751345948129E-4</v>
      </c>
      <c r="R63" s="114">
        <f t="shared" si="6"/>
        <v>2.886751345948129E-4</v>
      </c>
      <c r="S63" s="114">
        <f t="shared" si="6"/>
        <v>2.886751345948129E-4</v>
      </c>
      <c r="T63" s="114">
        <f t="shared" si="6"/>
        <v>2.886751345948129E-4</v>
      </c>
      <c r="U63" s="114">
        <f t="shared" si="6"/>
        <v>2.886751345948129E-4</v>
      </c>
      <c r="V63" s="114">
        <f t="shared" si="6"/>
        <v>2.886751345948129E-4</v>
      </c>
      <c r="W63" s="114">
        <f t="shared" si="6"/>
        <v>2.886751345948129E-4</v>
      </c>
      <c r="X63" s="114">
        <f t="shared" si="6"/>
        <v>2.886751345948129E-4</v>
      </c>
    </row>
    <row r="64" spans="1:28">
      <c r="A64" s="10"/>
      <c r="B64" s="8" t="s">
        <v>31</v>
      </c>
      <c r="C64" s="333">
        <f>AVERAGE(C59:D63)</f>
        <v>25.1</v>
      </c>
      <c r="D64" s="334"/>
      <c r="E64" s="95">
        <f>AVERAGE(E59:E63)</f>
        <v>25.385000000000002</v>
      </c>
      <c r="F64" s="95">
        <f>SUM(F59:F63)/5</f>
        <v>25.385000000000002</v>
      </c>
      <c r="G64" s="95">
        <f>SUM(G59:G63)/5</f>
        <v>0.28500000000000014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0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0</v>
      </c>
      <c r="H66" s="44"/>
      <c r="I66" s="63"/>
      <c r="N66" s="25" t="s">
        <v>160</v>
      </c>
      <c r="O66" s="53">
        <f>10^10</f>
        <v>10000000000</v>
      </c>
      <c r="P66" s="53">
        <f t="shared" ref="P66:X66" si="7">10^10</f>
        <v>10000000000</v>
      </c>
      <c r="Q66" s="53">
        <f t="shared" si="7"/>
        <v>10000000000</v>
      </c>
      <c r="R66" s="53">
        <f t="shared" si="7"/>
        <v>10000000000</v>
      </c>
      <c r="S66" s="53">
        <f t="shared" si="7"/>
        <v>10000000000</v>
      </c>
      <c r="T66" s="53">
        <f t="shared" si="7"/>
        <v>10000000000</v>
      </c>
      <c r="U66" s="53">
        <f t="shared" si="7"/>
        <v>10000000000</v>
      </c>
      <c r="V66" s="53">
        <f t="shared" si="7"/>
        <v>10000000000</v>
      </c>
      <c r="W66" s="53">
        <f t="shared" si="7"/>
        <v>10000000000</v>
      </c>
      <c r="X66" s="53">
        <f t="shared" si="7"/>
        <v>10000000000</v>
      </c>
    </row>
    <row r="67" spans="1:28">
      <c r="A67" s="105">
        <v>4</v>
      </c>
      <c r="B67" s="196">
        <v>50</v>
      </c>
      <c r="C67" s="327">
        <v>49.6</v>
      </c>
      <c r="D67" s="327"/>
      <c r="E67" s="90">
        <v>50.485999999999997</v>
      </c>
      <c r="F67" s="37">
        <f>IF('PERHITUNGAN 23'!$E$11="Burn Engr",'PERHITUNGAN 23'!E67,E67+('regresi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50.485999999999997</v>
      </c>
      <c r="G67" s="90">
        <f>F67-C67</f>
        <v>0.88599999999999568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49.6</v>
      </c>
      <c r="D68" s="327"/>
      <c r="E68" s="90">
        <v>50.485999999999997</v>
      </c>
      <c r="F68" s="37">
        <f>IF('PERHITUNGAN 23'!$E$11="Burn Engr",'PERHITUNGAN 23'!E68,E68+('regresi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50.485999999999997</v>
      </c>
      <c r="G68" s="90">
        <f>F68-C68</f>
        <v>0.88599999999999568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49.6</v>
      </c>
      <c r="D69" s="327"/>
      <c r="E69" s="90">
        <v>50.485999999999997</v>
      </c>
      <c r="F69" s="37">
        <f>IF('PERHITUNGAN 23'!$E$11="Burn Engr",'PERHITUNGAN 23'!E69,E69+('regresi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50.485999999999997</v>
      </c>
      <c r="G69" s="90">
        <f>F69-C69</f>
        <v>0.88599999999999568</v>
      </c>
      <c r="H69" s="63"/>
      <c r="I69" s="63"/>
      <c r="N69" s="25" t="s">
        <v>163</v>
      </c>
      <c r="O69" s="53">
        <f t="shared" ref="O69:X71" si="8">10^10</f>
        <v>10000000000</v>
      </c>
      <c r="P69" s="53">
        <f t="shared" si="8"/>
        <v>10000000000</v>
      </c>
      <c r="Q69" s="53">
        <f t="shared" si="8"/>
        <v>10000000000</v>
      </c>
      <c r="R69" s="53">
        <f t="shared" si="8"/>
        <v>10000000000</v>
      </c>
      <c r="S69" s="53">
        <f t="shared" si="8"/>
        <v>10000000000</v>
      </c>
      <c r="T69" s="53">
        <f t="shared" si="8"/>
        <v>10000000000</v>
      </c>
      <c r="U69" s="53">
        <f t="shared" si="8"/>
        <v>10000000000</v>
      </c>
      <c r="V69" s="53">
        <f t="shared" si="8"/>
        <v>10000000000</v>
      </c>
      <c r="W69" s="53">
        <f t="shared" si="8"/>
        <v>10000000000</v>
      </c>
      <c r="X69" s="53">
        <f t="shared" si="8"/>
        <v>10000000000</v>
      </c>
      <c r="AB69" s="1"/>
    </row>
    <row r="70" spans="1:28">
      <c r="A70" s="10"/>
      <c r="C70" s="327">
        <v>49.6</v>
      </c>
      <c r="D70" s="327"/>
      <c r="E70" s="90">
        <v>50.484999999999999</v>
      </c>
      <c r="F70" s="37">
        <f>IF('PERHITUNGAN 23'!$E$11="Burn Engr",'PERHITUNGAN 23'!E70,E70+('regresi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50.484999999999999</v>
      </c>
      <c r="G70" s="90">
        <f>F70-C70</f>
        <v>0.88499999999999801</v>
      </c>
      <c r="H70" s="63"/>
      <c r="I70" s="63"/>
      <c r="N70" s="25" t="s">
        <v>164</v>
      </c>
      <c r="O70" s="53">
        <f t="shared" si="8"/>
        <v>10000000000</v>
      </c>
      <c r="P70" s="53">
        <f t="shared" si="8"/>
        <v>10000000000</v>
      </c>
      <c r="Q70" s="53">
        <f t="shared" si="8"/>
        <v>10000000000</v>
      </c>
      <c r="R70" s="53">
        <f t="shared" si="8"/>
        <v>10000000000</v>
      </c>
      <c r="S70" s="53">
        <f t="shared" si="8"/>
        <v>10000000000</v>
      </c>
      <c r="T70" s="53">
        <f t="shared" si="8"/>
        <v>10000000000</v>
      </c>
      <c r="U70" s="53">
        <f t="shared" si="8"/>
        <v>10000000000</v>
      </c>
      <c r="V70" s="53">
        <f t="shared" si="8"/>
        <v>10000000000</v>
      </c>
      <c r="W70" s="53">
        <f t="shared" si="8"/>
        <v>10000000000</v>
      </c>
      <c r="X70" s="53">
        <f t="shared" si="8"/>
        <v>10000000000</v>
      </c>
      <c r="AB70" s="1"/>
    </row>
    <row r="71" spans="1:28">
      <c r="A71" s="10"/>
      <c r="C71" s="327">
        <v>49.6</v>
      </c>
      <c r="D71" s="327"/>
      <c r="E71" s="90">
        <v>50.484999999999999</v>
      </c>
      <c r="F71" s="37">
        <f>IF('PERHITUNGAN 23'!$E$11="Burn Engr",'PERHITUNGAN 23'!E71,E71+('regresi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50.484999999999999</v>
      </c>
      <c r="G71" s="90">
        <f>F71-C71</f>
        <v>0.88499999999999801</v>
      </c>
      <c r="H71" s="63"/>
      <c r="I71" s="63"/>
      <c r="N71" s="25" t="s">
        <v>165</v>
      </c>
      <c r="O71" s="53">
        <f t="shared" si="8"/>
        <v>10000000000</v>
      </c>
      <c r="P71" s="53">
        <f t="shared" si="8"/>
        <v>10000000000</v>
      </c>
      <c r="Q71" s="53">
        <f t="shared" si="8"/>
        <v>10000000000</v>
      </c>
      <c r="R71" s="53">
        <f t="shared" si="8"/>
        <v>10000000000</v>
      </c>
      <c r="S71" s="53">
        <f t="shared" si="8"/>
        <v>10000000000</v>
      </c>
      <c r="T71" s="53">
        <f t="shared" si="8"/>
        <v>10000000000</v>
      </c>
      <c r="U71" s="53">
        <f t="shared" si="8"/>
        <v>10000000000</v>
      </c>
      <c r="V71" s="53">
        <f t="shared" si="8"/>
        <v>10000000000</v>
      </c>
      <c r="W71" s="53">
        <f t="shared" si="8"/>
        <v>10000000000</v>
      </c>
      <c r="X71" s="53">
        <f t="shared" si="8"/>
        <v>10000000000</v>
      </c>
      <c r="AB71" s="1"/>
    </row>
    <row r="72" spans="1:28">
      <c r="A72" s="10"/>
      <c r="B72" s="8" t="s">
        <v>31</v>
      </c>
      <c r="C72" s="333">
        <f>AVERAGE(C67:D71)</f>
        <v>49.6</v>
      </c>
      <c r="D72" s="334"/>
      <c r="E72" s="95">
        <f>AVERAGE(E67:E71)</f>
        <v>50.485599999999998</v>
      </c>
      <c r="F72" s="95">
        <f>SUM(F67:F71)/5</f>
        <v>50.485599999999998</v>
      </c>
      <c r="G72" s="95">
        <f>SUM(G67:G71)/5</f>
        <v>0.88559999999999661</v>
      </c>
      <c r="H72" s="63"/>
      <c r="I72" s="63"/>
      <c r="N72" s="111" t="s">
        <v>168</v>
      </c>
      <c r="O72" s="118">
        <f>SQRT((O57^2)+(O58^2)+(O59^2)+(O60^2)+(O61^2)+(O62^2)+(O63^2))</f>
        <v>0.1972712423896236</v>
      </c>
      <c r="P72" s="118">
        <f t="shared" ref="P72:X72" si="9">SQRT((P57^2)+(P58^2)+(P59^2)+(P60^2)+(P61^2)+(P62^2)+(P63^2))</f>
        <v>0.19982728310705128</v>
      </c>
      <c r="Q72" s="118">
        <f t="shared" si="9"/>
        <v>0.19963893175917771</v>
      </c>
      <c r="R72" s="118">
        <f t="shared" si="9"/>
        <v>0.20013935913244457</v>
      </c>
      <c r="S72" s="118">
        <f t="shared" si="9"/>
        <v>0.19964028419621532</v>
      </c>
      <c r="T72" s="118">
        <f t="shared" si="9"/>
        <v>0.20574484944694393</v>
      </c>
      <c r="U72" s="118">
        <f t="shared" si="9"/>
        <v>0.20574557850399997</v>
      </c>
      <c r="V72" s="118">
        <f t="shared" si="9"/>
        <v>0.20013920923683501</v>
      </c>
      <c r="W72" s="118">
        <f t="shared" si="9"/>
        <v>0.19727063408917617</v>
      </c>
      <c r="X72" s="118">
        <f t="shared" si="9"/>
        <v>0.19727063408917617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5.4772255750388957E-4</v>
      </c>
      <c r="H73" s="63"/>
      <c r="I73" s="63"/>
      <c r="N73" s="119" t="s">
        <v>167</v>
      </c>
      <c r="O73" s="120">
        <f>(O72^4)/((O57^4/O65)+(O58^4/O66)+(O59^4/O67)+(O60^4/O68)+(O61^4/O69)+(O62^4/O70)+(O63^4/O71))</f>
        <v>1498595.6101589606</v>
      </c>
      <c r="P73" s="120">
        <f t="shared" ref="P73:X73" si="10">(P72^4)/((P57^4/P65)+(P58^4/P66)+(P59^4/P67)+(P60^4/P68)+(P61^4/P69)+(P62^4/P70)+(P63^4/P71))</f>
        <v>63330.206087418999</v>
      </c>
      <c r="Q73" s="120">
        <f t="shared" si="10"/>
        <v>63485.799875527897</v>
      </c>
      <c r="R73" s="120">
        <f t="shared" si="10"/>
        <v>62057.883474424802</v>
      </c>
      <c r="S73" s="120">
        <f t="shared" si="10"/>
        <v>63487.33523588672</v>
      </c>
      <c r="T73" s="120">
        <f t="shared" si="10"/>
        <v>13871.705652025466</v>
      </c>
      <c r="U73" s="120">
        <f t="shared" si="10"/>
        <v>13871.895988563663</v>
      </c>
      <c r="V73" s="120">
        <f t="shared" si="10"/>
        <v>62057.699720348217</v>
      </c>
      <c r="W73" s="120">
        <f t="shared" si="10"/>
        <v>1498598.4800191203</v>
      </c>
      <c r="X73" s="120">
        <f t="shared" si="10"/>
        <v>1498598.4800191203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2.449489742777469E-4</v>
      </c>
      <c r="H74" s="63"/>
      <c r="I74" s="63"/>
      <c r="L74" s="22"/>
      <c r="N74" s="122" t="s">
        <v>7</v>
      </c>
      <c r="O74" s="123">
        <f>_xlfn.T.INV.2T(0.05,O73)</f>
        <v>1.959965567584548</v>
      </c>
      <c r="P74" s="123">
        <f t="shared" ref="P74:X74" si="11">_xlfn.T.INV.2T(0.05,P73)</f>
        <v>1.9600014441276628</v>
      </c>
      <c r="Q74" s="123">
        <f t="shared" si="11"/>
        <v>1.9600013526688023</v>
      </c>
      <c r="R74" s="123">
        <f t="shared" si="11"/>
        <v>1.9600022125684311</v>
      </c>
      <c r="S74" s="123">
        <f t="shared" si="11"/>
        <v>1.9600013514936125</v>
      </c>
      <c r="T74" s="123">
        <f t="shared" si="11"/>
        <v>1.9601350230173464</v>
      </c>
      <c r="U74" s="123">
        <f t="shared" si="11"/>
        <v>1.9601350230173464</v>
      </c>
      <c r="V74" s="123">
        <f t="shared" si="11"/>
        <v>1.9600022125684311</v>
      </c>
      <c r="W74" s="123">
        <f t="shared" si="11"/>
        <v>1.9599655675382339</v>
      </c>
      <c r="X74" s="123">
        <f t="shared" si="11"/>
        <v>1.9599655675382339</v>
      </c>
      <c r="Z74" s="124"/>
      <c r="AB74" s="1"/>
    </row>
    <row r="75" spans="1:28">
      <c r="A75" s="105">
        <v>5</v>
      </c>
      <c r="B75" s="196">
        <v>100</v>
      </c>
      <c r="C75" s="327">
        <v>99.2</v>
      </c>
      <c r="D75" s="327"/>
      <c r="E75" s="90">
        <v>99.804000000000002</v>
      </c>
      <c r="F75" s="37">
        <f>IF('PERHITUNGAN 23'!$E$11="Burn Engr",'PERHITUNGAN 23'!E75,E75+('regresi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99.804000000000002</v>
      </c>
      <c r="G75" s="90">
        <f>F75-C75</f>
        <v>0.6039999999999992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99.2</v>
      </c>
      <c r="D76" s="327"/>
      <c r="E76" s="90">
        <v>99.804000000000002</v>
      </c>
      <c r="F76" s="37">
        <f>IF('PERHITUNGAN 23'!$E$11="Burn Engr",'PERHITUNGAN 23'!E76,E76+('regresi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99.804000000000002</v>
      </c>
      <c r="G76" s="90">
        <f>F76-C76</f>
        <v>0.6039999999999992</v>
      </c>
      <c r="H76" s="63"/>
      <c r="I76" s="63"/>
      <c r="N76" s="111" t="s">
        <v>166</v>
      </c>
      <c r="O76" s="121">
        <f t="shared" ref="O76:X76" si="12">O72*O74</f>
        <v>0.38664484255828757</v>
      </c>
      <c r="P76" s="121">
        <f t="shared" si="12"/>
        <v>0.39166176346592779</v>
      </c>
      <c r="Q76" s="121">
        <f t="shared" si="12"/>
        <v>0.39129257629334302</v>
      </c>
      <c r="R76" s="121">
        <f t="shared" si="12"/>
        <v>0.39227358672161922</v>
      </c>
      <c r="S76" s="121">
        <f t="shared" si="12"/>
        <v>0.39129522683715096</v>
      </c>
      <c r="T76" s="121">
        <f t="shared" si="12"/>
        <v>0.40328768520638592</v>
      </c>
      <c r="U76" s="121">
        <f t="shared" si="12"/>
        <v>0.40328911425665526</v>
      </c>
      <c r="V76" s="121">
        <f t="shared" si="12"/>
        <v>0.3922732929258928</v>
      </c>
      <c r="W76" s="121">
        <f t="shared" si="12"/>
        <v>0.38664365030121944</v>
      </c>
      <c r="X76" s="121">
        <f t="shared" si="12"/>
        <v>0.38664365030121944</v>
      </c>
      <c r="AB76" s="1"/>
    </row>
    <row r="77" spans="1:28">
      <c r="A77" s="10"/>
      <c r="C77" s="327">
        <v>99.2</v>
      </c>
      <c r="D77" s="327"/>
      <c r="E77" s="90">
        <v>99.804000000000002</v>
      </c>
      <c r="F77" s="37">
        <f>IF('PERHITUNGAN 23'!$E$11="Burn Engr",'PERHITUNGAN 23'!E77,E77+('regresi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99.804000000000002</v>
      </c>
      <c r="G77" s="90">
        <f>F77-C77</f>
        <v>0.6039999999999992</v>
      </c>
      <c r="H77" s="63"/>
      <c r="I77" s="63"/>
      <c r="AB77" s="1"/>
    </row>
    <row r="78" spans="1:28">
      <c r="A78" s="10"/>
      <c r="C78" s="327">
        <v>99.2</v>
      </c>
      <c r="D78" s="327"/>
      <c r="E78" s="90">
        <v>99.801000000000002</v>
      </c>
      <c r="F78" s="37">
        <f>IF('PERHITUNGAN 23'!$E$11="Burn Engr",'PERHITUNGAN 23'!E78,E78+('regresi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99.801000000000002</v>
      </c>
      <c r="G78" s="90">
        <f>F78-C78</f>
        <v>0.60099999999999909</v>
      </c>
      <c r="H78" s="26"/>
      <c r="I78" s="26"/>
      <c r="AB78" s="1"/>
    </row>
    <row r="79" spans="1:28">
      <c r="A79" s="10"/>
      <c r="C79" s="327">
        <v>99.2</v>
      </c>
      <c r="D79" s="327"/>
      <c r="E79" s="90">
        <v>99.801000000000002</v>
      </c>
      <c r="F79" s="37">
        <f>IF('PERHITUNGAN 23'!$E$11="Burn Engr",'PERHITUNGAN 23'!E79,E79+('regresi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99.801000000000002</v>
      </c>
      <c r="G79" s="90">
        <f>F79-C79</f>
        <v>0.60099999999999909</v>
      </c>
      <c r="AB79" s="1"/>
    </row>
    <row r="80" spans="1:28">
      <c r="A80" s="10"/>
      <c r="B80" s="8" t="s">
        <v>31</v>
      </c>
      <c r="C80" s="333">
        <f>AVERAGE(C75:D79)</f>
        <v>99.2</v>
      </c>
      <c r="D80" s="334"/>
      <c r="E80" s="95">
        <f>AVERAGE(E75:E79)</f>
        <v>99.802800000000005</v>
      </c>
      <c r="F80" s="95">
        <f>SUM(F75:F79)/5</f>
        <v>99.802800000000005</v>
      </c>
      <c r="G80" s="95">
        <f>SUM(G75:G79)/5</f>
        <v>0.60279999999999911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1.6431676725155607E-3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7.3484692283498122E-4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125</v>
      </c>
      <c r="C83" s="327">
        <v>124.7</v>
      </c>
      <c r="D83" s="327"/>
      <c r="E83" s="90">
        <v>125.34099999999999</v>
      </c>
      <c r="F83" s="37">
        <f>IF('PERHITUNGAN 23'!$E$11="Burn Engr",'PERHITUNGAN 23'!E83,E83+('regresi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125.34099999999999</v>
      </c>
      <c r="G83" s="40">
        <f>F83-C83</f>
        <v>0.64099999999999113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124.7</v>
      </c>
      <c r="D84" s="327"/>
      <c r="E84" s="90">
        <v>125.34099999999999</v>
      </c>
      <c r="F84" s="37">
        <f>IF('PERHITUNGAN 23'!$E$11="Burn Engr",'PERHITUNGAN 23'!E84,E84+('regresi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125.34099999999999</v>
      </c>
      <c r="G84" s="40">
        <f>F84-C84</f>
        <v>0.64099999999999113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124.7</v>
      </c>
      <c r="D85" s="327"/>
      <c r="E85" s="90">
        <v>125.34099999999999</v>
      </c>
      <c r="F85" s="37">
        <f>IF('PERHITUNGAN 23'!$E$11="Burn Engr",'PERHITUNGAN 23'!E85,E85+('regresi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125.34099999999999</v>
      </c>
      <c r="G85" s="40">
        <f>F85-C85</f>
        <v>0.64099999999999113</v>
      </c>
      <c r="H85" s="26"/>
      <c r="I85" s="26"/>
      <c r="N85" s="93">
        <f>O56</f>
        <v>-9</v>
      </c>
      <c r="O85" s="403">
        <f>G48</f>
        <v>-0.80479999999999985</v>
      </c>
      <c r="P85" s="404"/>
      <c r="Q85" s="387">
        <f t="shared" ref="Q85:Q94" si="13">N85+O85</f>
        <v>-9.8048000000000002</v>
      </c>
      <c r="R85" s="405"/>
      <c r="S85" s="138" t="s">
        <v>35</v>
      </c>
      <c r="T85" s="94">
        <f>IF(N85&lt;$AA$97,MAX($O$97,O76),IF(N85&lt;$AA$98,MAX($O$98,O76),MAX($O$99,O76)))</f>
        <v>0.38664484255828757</v>
      </c>
      <c r="AB85" s="1"/>
    </row>
    <row r="86" spans="1:28">
      <c r="A86" s="10"/>
      <c r="C86" s="327">
        <v>124.7</v>
      </c>
      <c r="D86" s="327"/>
      <c r="E86" s="90">
        <v>125.343</v>
      </c>
      <c r="F86" s="37">
        <f>IF('PERHITUNGAN 23'!$E$11="Burn Engr",'PERHITUNGAN 23'!E86,E86+('regresi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125.343</v>
      </c>
      <c r="G86" s="40">
        <f>F86-C86</f>
        <v>0.64300000000000068</v>
      </c>
      <c r="H86" s="63"/>
      <c r="I86" s="63"/>
      <c r="N86" s="93">
        <f>P56</f>
        <v>0.7</v>
      </c>
      <c r="O86" s="403">
        <f>G56</f>
        <v>-0.49320000000000003</v>
      </c>
      <c r="P86" s="404"/>
      <c r="Q86" s="406">
        <f t="shared" si="13"/>
        <v>0.20679999999999993</v>
      </c>
      <c r="R86" s="407"/>
      <c r="S86" s="138" t="s">
        <v>35</v>
      </c>
      <c r="T86" s="94">
        <f>IF(N86&lt;$AA$97,MAX($O$97,P76),IF(N86&lt;$AA$98,MAX($O$98,P76),MAX($O$99,P76)))</f>
        <v>0.39166176346592779</v>
      </c>
      <c r="AB86" s="1"/>
    </row>
    <row r="87" spans="1:28">
      <c r="A87" s="10"/>
      <c r="C87" s="327">
        <v>124.7</v>
      </c>
      <c r="D87" s="327"/>
      <c r="E87" s="90">
        <v>125.343</v>
      </c>
      <c r="F87" s="37">
        <f>IF('PERHITUNGAN 23'!$E$11="Burn Engr",'PERHITUNGAN 23'!E87,E87+('regresi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125.343</v>
      </c>
      <c r="G87" s="41">
        <f>F87-C87</f>
        <v>0.64300000000000068</v>
      </c>
      <c r="H87" s="63"/>
      <c r="I87" s="63"/>
      <c r="N87" s="93">
        <f>Q56</f>
        <v>25.1</v>
      </c>
      <c r="O87" s="403">
        <f>G64</f>
        <v>0.28500000000000014</v>
      </c>
      <c r="P87" s="404"/>
      <c r="Q87" s="406">
        <f t="shared" si="13"/>
        <v>25.385000000000002</v>
      </c>
      <c r="R87" s="407"/>
      <c r="S87" s="138" t="s">
        <v>35</v>
      </c>
      <c r="T87" s="94">
        <f>IF(N87&lt;$AA$97,MAX($O$97,Q76),IF(N87&lt;$AA$98,MAX($O$98,Q76),MAX($O$99,Q76)))</f>
        <v>0.39129257629334302</v>
      </c>
      <c r="AB87" s="1"/>
    </row>
    <row r="88" spans="1:28">
      <c r="A88" s="10"/>
      <c r="B88" s="8" t="s">
        <v>31</v>
      </c>
      <c r="C88" s="333">
        <f>AVERAGE(C83:D87)</f>
        <v>124.7</v>
      </c>
      <c r="D88" s="334"/>
      <c r="E88" s="95">
        <f>AVERAGE(E83:E87)</f>
        <v>125.34179999999999</v>
      </c>
      <c r="F88" s="95">
        <f>SUM(F83:F87)/5</f>
        <v>125.34179999999999</v>
      </c>
      <c r="G88" s="95">
        <f>SUM(G83:G87)/5</f>
        <v>0.64179999999999493</v>
      </c>
      <c r="H88" s="63"/>
      <c r="I88" s="63"/>
      <c r="N88" s="93">
        <f>R56</f>
        <v>49.6</v>
      </c>
      <c r="O88" s="403">
        <f>G72</f>
        <v>0.88559999999999661</v>
      </c>
      <c r="P88" s="404"/>
      <c r="Q88" s="406">
        <f t="shared" si="13"/>
        <v>50.485599999999998</v>
      </c>
      <c r="R88" s="407"/>
      <c r="S88" s="138" t="s">
        <v>35</v>
      </c>
      <c r="T88" s="94">
        <f>IF(N88&lt;$AA$97,MAX($O$97,R76),IF(N88&lt;$AA$98,MAX($O$98,R76),MAX($O$99,R76)))</f>
        <v>0.39227358672161922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1.0954451150155628E-3</v>
      </c>
      <c r="H89" s="63"/>
      <c r="I89" s="63"/>
      <c r="N89" s="93">
        <f>S56</f>
        <v>99.2</v>
      </c>
      <c r="O89" s="403">
        <f>G80</f>
        <v>0.60279999999999911</v>
      </c>
      <c r="P89" s="404"/>
      <c r="Q89" s="406">
        <f t="shared" si="13"/>
        <v>99.802800000000005</v>
      </c>
      <c r="R89" s="407"/>
      <c r="S89" s="138" t="s">
        <v>35</v>
      </c>
      <c r="T89" s="94">
        <f>IF(N89&lt;$AA$97,MAX($O$97,S76),IF(N89&lt;$AA$98,MAX($O$98,S76),MAX($O$99,S76)))</f>
        <v>0.39129522683715096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4.8989794855897485E-4</v>
      </c>
      <c r="H90" s="63"/>
      <c r="I90" s="63"/>
      <c r="L90" s="22"/>
      <c r="N90" s="93">
        <f>T56</f>
        <v>124.7</v>
      </c>
      <c r="O90" s="403">
        <f>G88</f>
        <v>0.64179999999999493</v>
      </c>
      <c r="P90" s="404"/>
      <c r="Q90" s="406">
        <f t="shared" si="13"/>
        <v>125.34179999999999</v>
      </c>
      <c r="R90" s="407"/>
      <c r="S90" s="138" t="s">
        <v>35</v>
      </c>
      <c r="T90" s="94">
        <f>IF(N90&lt;$AA$97,MAX($O$97,T76),IF(N90&lt;$AA$98,MAX($O$98,T76),MAX($O$99,T76)))</f>
        <v>0.40328768520638592</v>
      </c>
      <c r="AB90" s="1"/>
    </row>
    <row r="91" spans="1:28">
      <c r="A91" s="105">
        <v>7</v>
      </c>
      <c r="B91" s="196">
        <v>150</v>
      </c>
      <c r="C91" s="327">
        <v>151.5</v>
      </c>
      <c r="D91" s="327"/>
      <c r="E91" s="90">
        <v>151.083</v>
      </c>
      <c r="F91" s="37">
        <f>IF('PERHITUNGAN 23'!$E$11="Burn Engr",'PERHITUNGAN 23'!E91,E91+('regresi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151.083</v>
      </c>
      <c r="G91" s="40">
        <f>F91-C91</f>
        <v>-0.41700000000000159</v>
      </c>
      <c r="H91" s="63"/>
      <c r="I91" s="63"/>
      <c r="N91" s="93">
        <f>U56</f>
        <v>151.5</v>
      </c>
      <c r="O91" s="403">
        <f>G96</f>
        <v>-0.41819999999999596</v>
      </c>
      <c r="P91" s="404"/>
      <c r="Q91" s="406">
        <f t="shared" si="13"/>
        <v>151.08180000000002</v>
      </c>
      <c r="R91" s="407"/>
      <c r="S91" s="138" t="s">
        <v>35</v>
      </c>
      <c r="T91" s="94">
        <f>IF(N91&lt;$AA$97,MAX($O$97,U76),IF(N91&lt;$AA$98,MAX($O$98,U76),MAX($O$99,U76)))</f>
        <v>0.40328911425665526</v>
      </c>
      <c r="AB91" s="1"/>
    </row>
    <row r="92" spans="1:28">
      <c r="A92" s="10"/>
      <c r="C92" s="327">
        <v>151.5</v>
      </c>
      <c r="D92" s="327"/>
      <c r="E92" s="90">
        <v>151.083</v>
      </c>
      <c r="F92" s="37">
        <f>IF('PERHITUNGAN 23'!$E$11="Burn Engr",'PERHITUNGAN 23'!E92,E92+('regresi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151.083</v>
      </c>
      <c r="G92" s="40">
        <f>F92-C92</f>
        <v>-0.41700000000000159</v>
      </c>
      <c r="H92" s="44"/>
      <c r="I92" s="63"/>
      <c r="N92" s="93">
        <f>V56</f>
        <v>201</v>
      </c>
      <c r="O92" s="403">
        <f>G104</f>
        <v>-1.6220000000000141</v>
      </c>
      <c r="P92" s="404"/>
      <c r="Q92" s="406">
        <f t="shared" si="13"/>
        <v>199.37799999999999</v>
      </c>
      <c r="R92" s="407"/>
      <c r="S92" s="138" t="s">
        <v>35</v>
      </c>
      <c r="T92" s="94">
        <f>IF(N92&lt;$AA$97,MAX($O$97,V76),IF(N92&lt;$AA$98,MAX($O$98,V76),MAX($O$99,V76)))</f>
        <v>0.3922732929258928</v>
      </c>
      <c r="AB92" s="1"/>
    </row>
    <row r="93" spans="1:28">
      <c r="A93" s="10"/>
      <c r="C93" s="327">
        <v>151.5</v>
      </c>
      <c r="D93" s="327"/>
      <c r="E93" s="90">
        <v>151.083</v>
      </c>
      <c r="F93" s="37">
        <f>IF('PERHITUNGAN 23'!$E$11="Burn Engr",'PERHITUNGAN 23'!E93,E93+('regresi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151.083</v>
      </c>
      <c r="G93" s="40">
        <f>F93-C93</f>
        <v>-0.41700000000000159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3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151.5</v>
      </c>
      <c r="D94" s="327"/>
      <c r="E94" s="90">
        <v>151.08000000000001</v>
      </c>
      <c r="F94" s="37">
        <f>IF('PERHITUNGAN 23'!$E$11="Burn Engr",'PERHITUNGAN 23'!E94,E94+('regresi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151.08000000000001</v>
      </c>
      <c r="G94" s="40">
        <f>F94-C94</f>
        <v>-0.41999999999998749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3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151.5</v>
      </c>
      <c r="D95" s="327"/>
      <c r="E95" s="90">
        <v>151.08000000000001</v>
      </c>
      <c r="F95" s="37">
        <f>IF('PERHITUNGAN 23'!$E$11="Burn Engr",'PERHITUNGAN 23'!E95,E95+('regresi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151.08000000000001</v>
      </c>
      <c r="G95" s="41">
        <f>F95-C95</f>
        <v>-0.41999999999998749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151.5</v>
      </c>
      <c r="D96" s="334"/>
      <c r="E96" s="95">
        <f>AVERAGE(E91:E95)</f>
        <v>151.08180000000002</v>
      </c>
      <c r="F96" s="95">
        <f>SUM(F91:F95)/5</f>
        <v>151.08180000000002</v>
      </c>
      <c r="G96" s="95">
        <f>SUM(G91:G95)/5</f>
        <v>-0.41819999999999596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1.643167672507777E-3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7.3484692283150028E-4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>
        <v>200</v>
      </c>
      <c r="C99" s="327">
        <v>201</v>
      </c>
      <c r="D99" s="327"/>
      <c r="E99" s="90">
        <v>199.37799999999999</v>
      </c>
      <c r="F99" s="37">
        <f>IF('PERHITUNGAN 23'!$E$11="Burn Engr",'PERHITUNGAN 23'!E99,E99+('regresi PRT'!$P$40+('regresi PRT'!$P$41*E99)+('regresi PRT'!$P$42*(E99^2))+('regresi PRT'!$P$43*(E99^3))+('regresi PRT'!$P$44*(E99^4))+('regresi PRT'!$P$45*(E99^5))+('regresi PRT'!$P$46*(E99^6))+('regresi PRT'!$P$47*(E99^7))+('regresi PRT'!$P$48*(E99^8))+('regresi PRT'!$P$49*(E99^9))+('regresi PRT'!$P$50*(E99^10))))</f>
        <v>199.37799999999999</v>
      </c>
      <c r="G99" s="40">
        <f>F99-C99</f>
        <v>-1.6220000000000141</v>
      </c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>
        <v>201</v>
      </c>
      <c r="D100" s="327"/>
      <c r="E100" s="90">
        <v>199.37799999999999</v>
      </c>
      <c r="F100" s="37">
        <f>IF('PERHITUNGAN 23'!$E$11="Burn Engr",'PERHITUNGAN 23'!E100,E100+('regresi PRT'!$P$40+('regresi PRT'!$P$41*E100)+('regresi PRT'!$P$42*(E100^2))+('regresi PRT'!$P$43*(E100^3))+('regresi PRT'!$P$44*(E100^4))+('regresi PRT'!$P$45*(E100^5))+('regresi PRT'!$P$46*(E100^6))+('regresi PRT'!$P$47*(E100^7))+('regresi PRT'!$P$48*(E100^8))+('regresi PRT'!$P$49*(E100^9))+('regresi PRT'!$P$50*(E100^10))))</f>
        <v>199.37799999999999</v>
      </c>
      <c r="G100" s="40">
        <f>F100-C100</f>
        <v>-1.6220000000000141</v>
      </c>
      <c r="H100" s="44"/>
      <c r="I100" s="44"/>
      <c r="M100" s="1"/>
    </row>
    <row r="101" spans="1:27">
      <c r="A101" s="10"/>
      <c r="C101" s="327">
        <v>201</v>
      </c>
      <c r="D101" s="327"/>
      <c r="E101" s="90">
        <v>199.37799999999999</v>
      </c>
      <c r="F101" s="37">
        <f>IF('PERHITUNGAN 23'!$E$11="Burn Engr",'PERHITUNGAN 23'!E101,E101+('regresi PRT'!$P$40+('regresi PRT'!$P$41*E101)+('regresi PRT'!$P$42*(E101^2))+('regresi PRT'!$P$43*(E101^3))+('regresi PRT'!$P$44*(E101^4))+('regresi PRT'!$P$45*(E101^5))+('regresi PRT'!$P$46*(E101^6))+('regresi PRT'!$P$47*(E101^7))+('regresi PRT'!$P$48*(E101^8))+('regresi PRT'!$P$49*(E101^9))+('regresi PRT'!$P$50*(E101^10))))</f>
        <v>199.37799999999999</v>
      </c>
      <c r="G101" s="40">
        <f>F101-C101</f>
        <v>-1.6220000000000141</v>
      </c>
      <c r="H101" s="44"/>
      <c r="I101" s="44"/>
    </row>
    <row r="102" spans="1:27">
      <c r="A102" s="10"/>
      <c r="C102" s="327">
        <v>201</v>
      </c>
      <c r="D102" s="327"/>
      <c r="E102" s="90">
        <v>199.37799999999999</v>
      </c>
      <c r="F102" s="37">
        <f>IF('PERHITUNGAN 23'!$E$11="Burn Engr",'PERHITUNGAN 23'!E102,E102+('regresi PRT'!$P$40+('regresi PRT'!$P$41*E102)+('regresi PRT'!$P$42*(E102^2))+('regresi PRT'!$P$43*(E102^3))+('regresi PRT'!$P$44*(E102^4))+('regresi PRT'!$P$45*(E102^5))+('regresi PRT'!$P$46*(E102^6))+('regresi PRT'!$P$47*(E102^7))+('regresi PRT'!$P$48*(E102^8))+('regresi PRT'!$P$49*(E102^9))+('regresi PRT'!$P$50*(E102^10))))</f>
        <v>199.37799999999999</v>
      </c>
      <c r="G102" s="40">
        <f>F102-C102</f>
        <v>-1.6220000000000141</v>
      </c>
      <c r="H102" s="63"/>
      <c r="I102" s="63"/>
    </row>
    <row r="103" spans="1:27">
      <c r="A103" s="10"/>
      <c r="C103" s="327">
        <v>201</v>
      </c>
      <c r="D103" s="327"/>
      <c r="E103" s="90">
        <v>199.37799999999999</v>
      </c>
      <c r="F103" s="37">
        <f>IF('PERHITUNGAN 23'!$E$11="Burn Engr",'PERHITUNGAN 23'!E103,E103+('regresi PRT'!$P$40+('regresi PRT'!$P$41*E103)+('regresi PRT'!$P$42*(E103^2))+('regresi PRT'!$P$43*(E103^3))+('regresi PRT'!$P$44*(E103^4))+('regresi PRT'!$P$45*(E103^5))+('regresi PRT'!$P$46*(E103^6))+('regresi PRT'!$P$47*(E103^7))+('regresi PRT'!$P$48*(E103^8))+('regresi PRT'!$P$49*(E103^9))+('regresi PRT'!$P$50*(E103^10))))</f>
        <v>199.37799999999999</v>
      </c>
      <c r="G103" s="41">
        <f>F103-C103</f>
        <v>-1.6220000000000141</v>
      </c>
      <c r="H103" s="63"/>
      <c r="I103" s="63"/>
      <c r="N103" s="74"/>
      <c r="O103" s="129"/>
    </row>
    <row r="104" spans="1:27">
      <c r="A104" s="10"/>
      <c r="B104" s="8" t="s">
        <v>31</v>
      </c>
      <c r="C104" s="333">
        <f>AVERAGE(C99:D103)</f>
        <v>201</v>
      </c>
      <c r="D104" s="334"/>
      <c r="E104" s="95">
        <f>AVERAGE(E99:E103)</f>
        <v>199.37799999999999</v>
      </c>
      <c r="F104" s="95">
        <f>SUM(F99:F103)/5</f>
        <v>199.37799999999999</v>
      </c>
      <c r="G104" s="95">
        <f>SUM(G99:G103)/5</f>
        <v>-1.6220000000000141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>
        <f>_xlfn.STDEV.S(G99:G103)</f>
        <v>0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>
        <f>G105/SQRT(5)</f>
        <v>0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>
        <f>IF('PERHITUNGAN 23'!$E$11="Burn Engr",'PERHITUNGAN 23'!E107,E107+('regresi PRT'!$P$40+('regresi PRT'!$P$41*E107)+('regresi PRT'!$P$42*(E107^2))+('regresi PRT'!$P$43*(E107^3))+('regresi PRT'!$P$44*(E107^4))+('regresi PRT'!$P$45*(E107^5))+('regresi PRT'!$P$46*(E107^6))+('regresi PRT'!$P$47*(E107^7))+('regresi PRT'!$P$48*(E107^8))+('regresi PRT'!$P$49*(E107^9))+('regresi PRT'!$P$50*(E107^10))))</f>
        <v>0</v>
      </c>
      <c r="G107" s="40">
        <f>F107-C107</f>
        <v>0</v>
      </c>
      <c r="H107" s="63"/>
      <c r="I107" s="63"/>
      <c r="M107" s="1"/>
    </row>
    <row r="108" spans="1:27">
      <c r="A108" s="10"/>
      <c r="C108" s="327"/>
      <c r="D108" s="327"/>
      <c r="E108" s="90"/>
      <c r="F108" s="37">
        <f>IF('PERHITUNGAN 23'!$E$11="Burn Engr",'PERHITUNGAN 23'!E108,E108+('regresi PRT'!$P$40+('regresi PRT'!$P$41*E108)+('regresi PRT'!$P$42*(E108^2))+('regresi PRT'!$P$43*(E108^3))+('regresi PRT'!$P$44*(E108^4))+('regresi PRT'!$P$45*(E108^5))+('regresi PRT'!$P$46*(E108^6))+('regresi PRT'!$P$47*(E108^7))+('regresi PRT'!$P$48*(E108^8))+('regresi PRT'!$P$49*(E108^9))+('regresi PRT'!$P$50*(E108^10))))</f>
        <v>0</v>
      </c>
      <c r="G108" s="40">
        <f>F108-C108</f>
        <v>0</v>
      </c>
      <c r="H108" s="44"/>
      <c r="I108" s="44"/>
      <c r="M108" s="1"/>
    </row>
    <row r="109" spans="1:27">
      <c r="A109" s="10"/>
      <c r="C109" s="327"/>
      <c r="D109" s="327"/>
      <c r="E109" s="90"/>
      <c r="F109" s="37">
        <f>IF('PERHITUNGAN 23'!$E$11="Burn Engr",'PERHITUNGAN 23'!E109,E109+('regresi PRT'!$P$40+('regresi PRT'!$P$41*E109)+('regresi PRT'!$P$42*(E109^2))+('regresi PRT'!$P$43*(E109^3))+('regresi PRT'!$P$44*(E109^4))+('regresi PRT'!$P$45*(E109^5))+('regresi PRT'!$P$46*(E109^6))+('regresi PRT'!$P$47*(E109^7))+('regresi PRT'!$P$48*(E109^8))+('regresi PRT'!$P$49*(E109^9))+('regresi PRT'!$P$50*(E109^10))))</f>
        <v>0</v>
      </c>
      <c r="G109" s="40">
        <f>F109-C109</f>
        <v>0</v>
      </c>
      <c r="H109" s="44"/>
      <c r="I109" s="44"/>
    </row>
    <row r="110" spans="1:27">
      <c r="A110" s="10"/>
      <c r="C110" s="327"/>
      <c r="D110" s="327"/>
      <c r="E110" s="90"/>
      <c r="F110" s="37">
        <f>IF('PERHITUNGAN 23'!$E$11="Burn Engr",'PERHITUNGAN 23'!E110,E110+('regresi PRT'!$P$40+('regresi PRT'!$P$41*E110)+('regresi PRT'!$P$42*(E110^2))+('regresi PRT'!$P$43*(E110^3))+('regresi PRT'!$P$44*(E110^4))+('regresi PRT'!$P$45*(E110^5))+('regresi PRT'!$P$46*(E110^6))+('regresi PRT'!$P$47*(E110^7))+('regresi PRT'!$P$48*(E110^8))+('regresi PRT'!$P$49*(E110^9))+('regresi PRT'!$P$50*(E110^10))))</f>
        <v>0</v>
      </c>
      <c r="G110" s="40">
        <f>F110-C110</f>
        <v>0</v>
      </c>
      <c r="H110" s="63"/>
      <c r="I110" s="63"/>
    </row>
    <row r="111" spans="1:27">
      <c r="A111" s="10"/>
      <c r="C111" s="327"/>
      <c r="D111" s="327"/>
      <c r="E111" s="90"/>
      <c r="F111" s="37">
        <f>IF('PERHITUNGAN 23'!$E$11="Burn Engr",'PERHITUNGAN 23'!E111,E111+('regresi PRT'!$P$40+('regresi PRT'!$P$41*E111)+('regresi PRT'!$P$42*(E111^2))+('regresi PRT'!$P$43*(E111^3))+('regresi PRT'!$P$44*(E111^4))+('regresi PRT'!$P$45*(E111^5))+('regresi PRT'!$P$46*(E111^6))+('regresi PRT'!$P$47*(E111^7))+('regresi PRT'!$P$48*(E111^8))+('regresi PRT'!$P$49*(E111^9))+('regresi PRT'!$P$50*(E111^10))))</f>
        <v>0</v>
      </c>
      <c r="G111" s="41">
        <f>F111-C111</f>
        <v>0</v>
      </c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>
        <f>_xlfn.STDEV.S(G107:G111)</f>
        <v>0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>
        <f>G113/SQRT(5)</f>
        <v>0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>
        <f>IF('PERHITUNGAN 23'!$E$11="Burn Engr",'PERHITUNGAN 23'!E115,E115+('regresi PRT'!$P$40+('regresi PRT'!$P$41*E115)+('regresi PRT'!$P$42*(E115^2))+('regresi PRT'!$P$43*(E115^3))+('regresi PRT'!$P$44*(E115^4))+('regresi PRT'!$P$45*(E115^5))+('regresi PRT'!$P$46*(E115^6))+('regresi PRT'!$P$47*(E115^7))+('regresi PRT'!$P$48*(E115^8))+('regresi PRT'!$P$49*(E115^9))+('regresi PRT'!$P$50*(E115^10))))</f>
        <v>0</v>
      </c>
      <c r="G115" s="40">
        <f>F115-C115</f>
        <v>0</v>
      </c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>
        <f>IF('PERHITUNGAN 23'!$E$11="Burn Engr",'PERHITUNGAN 23'!E116,E116+('regresi PRT'!$P$40+('regresi PRT'!$P$41*E116)+('regresi PRT'!$P$42*(E116^2))+('regresi PRT'!$P$43*(E116^3))+('regresi PRT'!$P$44*(E116^4))+('regresi PRT'!$P$45*(E116^5))+('regresi PRT'!$P$46*(E116^6))+('regresi PRT'!$P$47*(E116^7))+('regresi PRT'!$P$48*(E116^8))+('regresi PRT'!$P$49*(E116^9))+('regresi PRT'!$P$50*(E116^10))))</f>
        <v>0</v>
      </c>
      <c r="G116" s="40">
        <f>F116-C116</f>
        <v>0</v>
      </c>
      <c r="H116" s="44"/>
      <c r="I116" s="44"/>
      <c r="U116" s="49"/>
    </row>
    <row r="117" spans="1:21">
      <c r="A117" s="10"/>
      <c r="C117" s="224"/>
      <c r="D117" s="225"/>
      <c r="E117" s="90"/>
      <c r="F117" s="37">
        <f>IF('PERHITUNGAN 23'!$E$11="Burn Engr",'PERHITUNGAN 23'!E117,E117+('regresi PRT'!$P$40+('regresi PRT'!$P$41*E117)+('regresi PRT'!$P$42*(E117^2))+('regresi PRT'!$P$43*(E117^3))+('regresi PRT'!$P$44*(E117^4))+('regresi PRT'!$P$45*(E117^5))+('regresi PRT'!$P$46*(E117^6))+('regresi PRT'!$P$47*(E117^7))+('regresi PRT'!$P$48*(E117^8))+('regresi PRT'!$P$49*(E117^9))+('regresi PRT'!$P$50*(E117^10))))</f>
        <v>0</v>
      </c>
      <c r="G117" s="40">
        <f>F117-C117</f>
        <v>0</v>
      </c>
      <c r="H117" s="44"/>
      <c r="I117" s="44"/>
      <c r="U117" s="49"/>
    </row>
    <row r="118" spans="1:21">
      <c r="A118" s="10"/>
      <c r="C118" s="224"/>
      <c r="D118" s="225"/>
      <c r="E118" s="90"/>
      <c r="F118" s="37">
        <f>IF('PERHITUNGAN 23'!$E$11="Burn Engr",'PERHITUNGAN 23'!E118,E118+('regresi PRT'!$P$40+('regresi PRT'!$P$41*E118)+('regresi PRT'!$P$42*(E118^2))+('regresi PRT'!$P$43*(E118^3))+('regresi PRT'!$P$44*(E118^4))+('regresi PRT'!$P$45*(E118^5))+('regresi PRT'!$P$46*(E118^6))+('regresi PRT'!$P$47*(E118^7))+('regresi PRT'!$P$48*(E118^8))+('regresi PRT'!$P$49*(E118^9))+('regresi PRT'!$P$50*(E118^10))))</f>
        <v>0</v>
      </c>
      <c r="G118" s="40">
        <f>F118-C118</f>
        <v>0</v>
      </c>
      <c r="H118" s="63"/>
      <c r="I118" s="63"/>
    </row>
    <row r="119" spans="1:21">
      <c r="A119" s="10"/>
      <c r="C119" s="233"/>
      <c r="D119" s="234"/>
      <c r="E119" s="90"/>
      <c r="F119" s="37">
        <f>IF('PERHITUNGAN 23'!$E$11="Burn Engr",'PERHITUNGAN 23'!E119,E119+('regresi PRT'!$P$40+('regresi PRT'!$P$41*E119)+('regresi PRT'!$P$42*(E119^2))+('regresi PRT'!$P$43*(E119^3))+('regresi PRT'!$P$44*(E119^4))+('regresi PRT'!$P$45*(E119^5))+('regresi PRT'!$P$46*(E119^6))+('regresi PRT'!$P$47*(E119^7))+('regresi PRT'!$P$48*(E119^8))+('regresi PRT'!$P$49*(E119^9))+('regresi PRT'!$P$50*(E119^10))))</f>
        <v>0</v>
      </c>
      <c r="G119" s="41">
        <f>F119-C119</f>
        <v>0</v>
      </c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>
        <f>_xlfn.STDEV.S(G115:G119)</f>
        <v>0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>
        <f>G121/SQRT(5)</f>
        <v>0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26"/>
      <c r="D125" s="26"/>
      <c r="H125" s="44"/>
      <c r="I125" s="44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1">
    <mergeCell ref="C180:D180"/>
    <mergeCell ref="C181:D181"/>
    <mergeCell ref="C182:D182"/>
    <mergeCell ref="C183:D183"/>
    <mergeCell ref="C184:D184"/>
    <mergeCell ref="C185:D185"/>
    <mergeCell ref="C172:D172"/>
    <mergeCell ref="C173:D173"/>
    <mergeCell ref="C174:D174"/>
    <mergeCell ref="C175:D175"/>
    <mergeCell ref="C176:D176"/>
    <mergeCell ref="C177:D177"/>
    <mergeCell ref="C164:D164"/>
    <mergeCell ref="C165:D165"/>
    <mergeCell ref="C166:D166"/>
    <mergeCell ref="C167:D167"/>
    <mergeCell ref="C168:D168"/>
    <mergeCell ref="C169:D169"/>
    <mergeCell ref="C156:D156"/>
    <mergeCell ref="C157:D157"/>
    <mergeCell ref="C158:D158"/>
    <mergeCell ref="C159:D159"/>
    <mergeCell ref="C160:D160"/>
    <mergeCell ref="C161:D161"/>
    <mergeCell ref="C146:D146"/>
    <mergeCell ref="C147:D147"/>
    <mergeCell ref="C148:D148"/>
    <mergeCell ref="C149:D149"/>
    <mergeCell ref="C150:D150"/>
    <mergeCell ref="C151:D151"/>
    <mergeCell ref="C138:D138"/>
    <mergeCell ref="C139:D139"/>
    <mergeCell ref="C140:D140"/>
    <mergeCell ref="C141:D141"/>
    <mergeCell ref="C142:D142"/>
    <mergeCell ref="C143:D143"/>
    <mergeCell ref="C109:D109"/>
    <mergeCell ref="C110:D110"/>
    <mergeCell ref="C111:D111"/>
    <mergeCell ref="C112:D112"/>
    <mergeCell ref="C126:D126"/>
    <mergeCell ref="C127:D127"/>
    <mergeCell ref="C101:D101"/>
    <mergeCell ref="C102:D102"/>
    <mergeCell ref="C103:D103"/>
    <mergeCell ref="C104:D104"/>
    <mergeCell ref="C107:D107"/>
    <mergeCell ref="C108:D108"/>
    <mergeCell ref="C95:D95"/>
    <mergeCell ref="C96:D96"/>
    <mergeCell ref="N96:O96"/>
    <mergeCell ref="Z96:AA96"/>
    <mergeCell ref="C99:D99"/>
    <mergeCell ref="C100:D100"/>
    <mergeCell ref="C93:D93"/>
    <mergeCell ref="O93:P93"/>
    <mergeCell ref="Q93:R93"/>
    <mergeCell ref="C94:D94"/>
    <mergeCell ref="O94:P94"/>
    <mergeCell ref="Q94:R94"/>
    <mergeCell ref="C91:D91"/>
    <mergeCell ref="O91:P91"/>
    <mergeCell ref="Q91:R91"/>
    <mergeCell ref="C92:D92"/>
    <mergeCell ref="O92:P92"/>
    <mergeCell ref="Q92:R92"/>
    <mergeCell ref="C88:D88"/>
    <mergeCell ref="O88:P88"/>
    <mergeCell ref="Q88:R88"/>
    <mergeCell ref="O89:P89"/>
    <mergeCell ref="Q89:R89"/>
    <mergeCell ref="O90:P90"/>
    <mergeCell ref="Q90:R90"/>
    <mergeCell ref="C86:D86"/>
    <mergeCell ref="O86:P86"/>
    <mergeCell ref="Q86:R86"/>
    <mergeCell ref="C87:D87"/>
    <mergeCell ref="O87:P87"/>
    <mergeCell ref="Q87:R87"/>
    <mergeCell ref="S83:T83"/>
    <mergeCell ref="C84:D84"/>
    <mergeCell ref="S84:T84"/>
    <mergeCell ref="C85:D85"/>
    <mergeCell ref="O85:P85"/>
    <mergeCell ref="Q85:R85"/>
    <mergeCell ref="C79:D79"/>
    <mergeCell ref="C80:D80"/>
    <mergeCell ref="C83:D83"/>
    <mergeCell ref="N83:N84"/>
    <mergeCell ref="O83:P84"/>
    <mergeCell ref="Q83:R84"/>
    <mergeCell ref="C71:D71"/>
    <mergeCell ref="C72:D72"/>
    <mergeCell ref="C75:D75"/>
    <mergeCell ref="C76:D76"/>
    <mergeCell ref="C77:D77"/>
    <mergeCell ref="C78:D78"/>
    <mergeCell ref="C63:D63"/>
    <mergeCell ref="C64:D64"/>
    <mergeCell ref="C67:D67"/>
    <mergeCell ref="C68:D68"/>
    <mergeCell ref="C69:D69"/>
    <mergeCell ref="C70:D70"/>
    <mergeCell ref="O55:X55"/>
    <mergeCell ref="C56:D56"/>
    <mergeCell ref="C59:D59"/>
    <mergeCell ref="C60:D60"/>
    <mergeCell ref="C61:D61"/>
    <mergeCell ref="C62:D62"/>
    <mergeCell ref="C51:D51"/>
    <mergeCell ref="C52:D52"/>
    <mergeCell ref="C53:D53"/>
    <mergeCell ref="C54:D54"/>
    <mergeCell ref="C55:D55"/>
    <mergeCell ref="N55:N56"/>
    <mergeCell ref="T45:Y4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N45:S45"/>
    <mergeCell ref="T36:T37"/>
    <mergeCell ref="U36:U37"/>
    <mergeCell ref="V36:V37"/>
    <mergeCell ref="W36:W37"/>
    <mergeCell ref="X36:X37"/>
    <mergeCell ref="C40:D40"/>
    <mergeCell ref="N36:N37"/>
    <mergeCell ref="O36:O37"/>
    <mergeCell ref="P36:P37"/>
    <mergeCell ref="Q36:Q37"/>
    <mergeCell ref="R36:R37"/>
    <mergeCell ref="S36:S37"/>
    <mergeCell ref="T28:T29"/>
    <mergeCell ref="U28:U29"/>
    <mergeCell ref="AB28:AC28"/>
    <mergeCell ref="AB30:AC30"/>
    <mergeCell ref="J31:K31"/>
    <mergeCell ref="AB32:AC32"/>
    <mergeCell ref="J26:K26"/>
    <mergeCell ref="N28:N29"/>
    <mergeCell ref="O28:O29"/>
    <mergeCell ref="P28:P29"/>
    <mergeCell ref="Q28:Q29"/>
    <mergeCell ref="S28:S29"/>
    <mergeCell ref="E16:F16"/>
    <mergeCell ref="N16:N20"/>
    <mergeCell ref="E17:F17"/>
    <mergeCell ref="E18:F18"/>
    <mergeCell ref="AB18:AC18"/>
    <mergeCell ref="F21:G21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</mergeCells>
  <conditionalFormatting sqref="C56">
    <cfRule type="expression" dxfId="63" priority="18" stopIfTrue="1">
      <formula>COUNT(C51:C55)&lt;&gt;5</formula>
    </cfRule>
  </conditionalFormatting>
  <conditionalFormatting sqref="C64">
    <cfRule type="expression" dxfId="62" priority="2" stopIfTrue="1">
      <formula>COUNT(C59:C63)&lt;&gt;5</formula>
    </cfRule>
  </conditionalFormatting>
  <conditionalFormatting sqref="C72">
    <cfRule type="expression" dxfId="61" priority="8" stopIfTrue="1">
      <formula>COUNT(C67:C71)&lt;&gt;5</formula>
    </cfRule>
  </conditionalFormatting>
  <conditionalFormatting sqref="C80">
    <cfRule type="expression" dxfId="60" priority="7" stopIfTrue="1">
      <formula>COUNT(C75:C79)&lt;&gt;5</formula>
    </cfRule>
  </conditionalFormatting>
  <conditionalFormatting sqref="C88">
    <cfRule type="expression" dxfId="59" priority="6" stopIfTrue="1">
      <formula>COUNT(C83:C87)&lt;&gt;5</formula>
    </cfRule>
  </conditionalFormatting>
  <conditionalFormatting sqref="C96">
    <cfRule type="expression" dxfId="58" priority="5" stopIfTrue="1">
      <formula>COUNT(C91:C95)&lt;&gt;5</formula>
    </cfRule>
  </conditionalFormatting>
  <conditionalFormatting sqref="C104">
    <cfRule type="expression" dxfId="57" priority="4" stopIfTrue="1">
      <formula>COUNT(C99:C103)&lt;&gt;5</formula>
    </cfRule>
  </conditionalFormatting>
  <conditionalFormatting sqref="C112">
    <cfRule type="expression" dxfId="56" priority="3" stopIfTrue="1">
      <formula>COUNT(C107:C111)&lt;&gt;5</formula>
    </cfRule>
  </conditionalFormatting>
  <conditionalFormatting sqref="C48:E48">
    <cfRule type="expression" dxfId="55" priority="19" stopIfTrue="1">
      <formula>COUNT(C43:C47)&lt;&gt;5</formula>
    </cfRule>
  </conditionalFormatting>
  <conditionalFormatting sqref="C120:E120">
    <cfRule type="expression" dxfId="54" priority="9" stopIfTrue="1">
      <formula>COUNT(C115:C119)&lt;&gt;5</formula>
    </cfRule>
  </conditionalFormatting>
  <conditionalFormatting sqref="E56">
    <cfRule type="expression" dxfId="53" priority="17" stopIfTrue="1">
      <formula>COUNT(E51:E55)&lt;&gt;5</formula>
    </cfRule>
  </conditionalFormatting>
  <conditionalFormatting sqref="E64">
    <cfRule type="expression" dxfId="52" priority="1" stopIfTrue="1">
      <formula>COUNT(E59:E63)&lt;&gt;5</formula>
    </cfRule>
  </conditionalFormatting>
  <conditionalFormatting sqref="E72">
    <cfRule type="expression" dxfId="51" priority="16" stopIfTrue="1">
      <formula>COUNT(E67:E71)&lt;&gt;5</formula>
    </cfRule>
  </conditionalFormatting>
  <conditionalFormatting sqref="E80">
    <cfRule type="expression" dxfId="50" priority="15" stopIfTrue="1">
      <formula>COUNT(E75:E79)&lt;&gt;5</formula>
    </cfRule>
  </conditionalFormatting>
  <conditionalFormatting sqref="E88">
    <cfRule type="expression" dxfId="49" priority="14" stopIfTrue="1">
      <formula>COUNT(E83:E87)&lt;&gt;5</formula>
    </cfRule>
  </conditionalFormatting>
  <conditionalFormatting sqref="E96">
    <cfRule type="expression" dxfId="48" priority="13" stopIfTrue="1">
      <formula>COUNT(E91:E95)&lt;&gt;5</formula>
    </cfRule>
  </conditionalFormatting>
  <conditionalFormatting sqref="E104">
    <cfRule type="expression" dxfId="47" priority="12" stopIfTrue="1">
      <formula>COUNT(E99:E103)&lt;&gt;5</formula>
    </cfRule>
  </conditionalFormatting>
  <conditionalFormatting sqref="E112">
    <cfRule type="expression" dxfId="46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105473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105473" r:id="rId4"/>
      </mc:Fallback>
    </mc:AlternateContent>
    <mc:AlternateContent xmlns:mc="http://schemas.openxmlformats.org/markup-compatibility/2006">
      <mc:Choice Requires="x14">
        <oleObject progId="Equation.3" shapeId="105474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105474" r:id="rId6"/>
      </mc:Fallback>
    </mc:AlternateContent>
    <mc:AlternateContent xmlns:mc="http://schemas.openxmlformats.org/markup-compatibility/2006">
      <mc:Choice Requires="x14">
        <oleObject progId="Equation.3" shapeId="105475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105475" r:id="rId8"/>
      </mc:Fallback>
    </mc:AlternateContent>
    <mc:AlternateContent xmlns:mc="http://schemas.openxmlformats.org/markup-compatibility/2006">
      <mc:Choice Requires="x14">
        <oleObject progId="Equation.3" shapeId="105476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105476" r:id="rId10"/>
      </mc:Fallback>
    </mc:AlternateContent>
  </oleObjec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AE6F6-F897-4831-B6E2-5E86323849A4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23'!O85</f>
        <v>-0.80479999999999985</v>
      </c>
      <c r="C2" s="37">
        <f>'PERHITUNGAN 23'!N85</f>
        <v>-9</v>
      </c>
      <c r="D2" s="75">
        <f>C2^2</f>
        <v>81</v>
      </c>
      <c r="E2" s="37">
        <f>C2^3</f>
        <v>-729</v>
      </c>
      <c r="F2" s="91">
        <f>C2^4</f>
        <v>6561</v>
      </c>
      <c r="G2" s="91">
        <f>C2^5</f>
        <v>-59049</v>
      </c>
      <c r="H2" s="91">
        <f>C2^6</f>
        <v>531441</v>
      </c>
      <c r="I2" s="91">
        <f>C2^7</f>
        <v>-4782969</v>
      </c>
      <c r="J2" s="91">
        <f>C2^8</f>
        <v>43046721</v>
      </c>
      <c r="K2" s="91">
        <f>C2^9</f>
        <v>-387420489</v>
      </c>
      <c r="L2" s="91">
        <f>C2^10</f>
        <v>3486784401</v>
      </c>
      <c r="Q2" s="12"/>
    </row>
    <row r="3" spans="1:24">
      <c r="A3" s="25">
        <v>2</v>
      </c>
      <c r="B3" s="37">
        <f>'PERHITUNGAN 23'!O86</f>
        <v>-0.49320000000000003</v>
      </c>
      <c r="C3" s="37">
        <f>'PERHITUNGAN 23'!N86</f>
        <v>0.7</v>
      </c>
      <c r="D3" s="75">
        <f t="shared" ref="D3:D9" si="0">C3^2</f>
        <v>0.48999999999999994</v>
      </c>
      <c r="E3" s="37">
        <f t="shared" ref="E3:E9" si="1">C3^3</f>
        <v>0.34299999999999992</v>
      </c>
      <c r="F3" s="91">
        <f t="shared" ref="F3:F9" si="2">C3^4</f>
        <v>0.24009999999999992</v>
      </c>
      <c r="G3" s="91">
        <f t="shared" ref="G3:G9" si="3">C3^5</f>
        <v>0.16806999999999994</v>
      </c>
      <c r="H3" s="91">
        <f t="shared" ref="H3:H9" si="4">C3^6</f>
        <v>0.11764899999999995</v>
      </c>
      <c r="I3" s="91">
        <f t="shared" ref="I3:I9" si="5">C3^7</f>
        <v>8.235429999999995E-2</v>
      </c>
      <c r="J3" s="91">
        <f t="shared" ref="J3:J9" si="6">C3^8</f>
        <v>5.7648009999999965E-2</v>
      </c>
      <c r="K3" s="91">
        <f t="shared" ref="K3:K9" si="7">C3^9</f>
        <v>4.0353606999999972E-2</v>
      </c>
      <c r="L3" s="91">
        <f t="shared" ref="L3:L9" si="8">C3^10</f>
        <v>2.824752489999998E-2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23'!O87</f>
        <v>0.28500000000000014</v>
      </c>
      <c r="C4" s="37">
        <f>'PERHITUNGAN 23'!N87</f>
        <v>25.1</v>
      </c>
      <c r="D4" s="75">
        <f t="shared" si="0"/>
        <v>630.0100000000001</v>
      </c>
      <c r="E4" s="37">
        <f t="shared" si="1"/>
        <v>15813.251000000004</v>
      </c>
      <c r="F4" s="91">
        <f t="shared" si="2"/>
        <v>396912.60010000016</v>
      </c>
      <c r="G4" s="91">
        <f t="shared" si="3"/>
        <v>9962506.2625100054</v>
      </c>
      <c r="H4" s="91">
        <f t="shared" si="4"/>
        <v>250058907.18900114</v>
      </c>
      <c r="I4" s="91">
        <f t="shared" si="5"/>
        <v>6276478570.4439287</v>
      </c>
      <c r="J4" s="91">
        <f t="shared" si="6"/>
        <v>157539612118.14264</v>
      </c>
      <c r="K4" s="91">
        <f t="shared" si="7"/>
        <v>3954244264165.3804</v>
      </c>
      <c r="L4" s="91">
        <f t="shared" si="8"/>
        <v>99251531030551.063</v>
      </c>
      <c r="R4" s="414" t="str">
        <f>IF('PERHITUNGAN 13'!$C$2="Celcius","(°C)","(°F)")</f>
        <v>(°C)</v>
      </c>
      <c r="S4" s="415"/>
      <c r="T4" s="5" t="str">
        <f>IF('PERHITUNGAN 13'!$C$2="Celcius","(°C)","(°F)")</f>
        <v>(°C)</v>
      </c>
      <c r="U4" s="14"/>
      <c r="V4" s="1"/>
    </row>
    <row r="5" spans="1:24">
      <c r="A5" s="25">
        <v>4</v>
      </c>
      <c r="B5" s="37">
        <f>'PERHITUNGAN 23'!O88</f>
        <v>0.88559999999999661</v>
      </c>
      <c r="C5" s="37">
        <f>'PERHITUNGAN 23'!N88</f>
        <v>49.6</v>
      </c>
      <c r="D5" s="75">
        <f t="shared" si="0"/>
        <v>2460.1600000000003</v>
      </c>
      <c r="E5" s="37">
        <f t="shared" si="1"/>
        <v>122023.93600000002</v>
      </c>
      <c r="F5" s="91">
        <f t="shared" si="2"/>
        <v>6052387.2256000014</v>
      </c>
      <c r="G5" s="91">
        <f t="shared" si="3"/>
        <v>300198406.38976008</v>
      </c>
      <c r="H5" s="91">
        <f t="shared" si="4"/>
        <v>14889840956.932102</v>
      </c>
      <c r="I5" s="91">
        <f t="shared" si="5"/>
        <v>738536111463.83228</v>
      </c>
      <c r="J5" s="91">
        <f t="shared" si="6"/>
        <v>36631391128606.086</v>
      </c>
      <c r="K5" s="91">
        <f t="shared" si="7"/>
        <v>1816916999978862</v>
      </c>
      <c r="L5" s="91">
        <f t="shared" si="8"/>
        <v>9.0119083198951552E+16</v>
      </c>
      <c r="R5" s="412"/>
      <c r="S5" s="413"/>
      <c r="T5" s="21"/>
      <c r="U5" s="32"/>
    </row>
    <row r="6" spans="1:24">
      <c r="A6" s="25">
        <v>5</v>
      </c>
      <c r="B6" s="37">
        <f>'PERHITUNGAN 23'!O89</f>
        <v>0.60279999999999911</v>
      </c>
      <c r="C6" s="37">
        <f>'PERHITUNGAN 23'!N89</f>
        <v>99.2</v>
      </c>
      <c r="D6" s="75">
        <f t="shared" si="0"/>
        <v>9840.6400000000012</v>
      </c>
      <c r="E6" s="37">
        <f t="shared" si="1"/>
        <v>976191.48800000013</v>
      </c>
      <c r="F6" s="91">
        <f t="shared" si="2"/>
        <v>96838195.609600022</v>
      </c>
      <c r="G6" s="91">
        <f t="shared" si="3"/>
        <v>9606349004.4723225</v>
      </c>
      <c r="H6" s="91">
        <f t="shared" si="4"/>
        <v>952949821243.65454</v>
      </c>
      <c r="I6" s="91">
        <f t="shared" si="5"/>
        <v>94532622267370.531</v>
      </c>
      <c r="J6" s="91">
        <f t="shared" si="6"/>
        <v>9377636128923158</v>
      </c>
      <c r="K6" s="91">
        <f t="shared" si="7"/>
        <v>9.3026150398917734E+17</v>
      </c>
      <c r="L6" s="91">
        <f t="shared" si="8"/>
        <v>9.2281941195726389E+19</v>
      </c>
      <c r="Q6" t="s">
        <v>150</v>
      </c>
      <c r="R6" s="408"/>
      <c r="S6" s="409"/>
      <c r="T6" s="23"/>
      <c r="U6" s="27"/>
      <c r="V6" s="88"/>
    </row>
    <row r="7" spans="1:24">
      <c r="A7" s="25">
        <v>6</v>
      </c>
      <c r="B7" s="37">
        <f>'PERHITUNGAN 23'!O90</f>
        <v>0.64179999999999493</v>
      </c>
      <c r="C7" s="37">
        <f>'PERHITUNGAN 23'!N90</f>
        <v>124.7</v>
      </c>
      <c r="D7" s="75">
        <f t="shared" si="0"/>
        <v>15550.09</v>
      </c>
      <c r="E7" s="37">
        <f t="shared" si="1"/>
        <v>1939096.223</v>
      </c>
      <c r="F7" s="91">
        <f t="shared" si="2"/>
        <v>241805299.0081</v>
      </c>
      <c r="G7" s="91">
        <f t="shared" si="3"/>
        <v>30153120786.31007</v>
      </c>
      <c r="H7" s="91">
        <f t="shared" si="4"/>
        <v>3760094162052.8657</v>
      </c>
      <c r="I7" s="91">
        <f t="shared" si="5"/>
        <v>468883742007992.38</v>
      </c>
      <c r="J7" s="91">
        <f t="shared" si="6"/>
        <v>5.8469802628396648E+16</v>
      </c>
      <c r="K7" s="91">
        <f t="shared" si="7"/>
        <v>7.2911843877610619E+18</v>
      </c>
      <c r="L7" s="91">
        <f t="shared" si="8"/>
        <v>9.0921069315380439E+20</v>
      </c>
      <c r="R7" s="408"/>
      <c r="S7" s="409"/>
      <c r="T7" s="23"/>
      <c r="U7" s="27"/>
      <c r="V7" s="88"/>
    </row>
    <row r="8" spans="1:24">
      <c r="A8" s="25">
        <v>7</v>
      </c>
      <c r="B8" s="37">
        <f>'PERHITUNGAN 23'!O91</f>
        <v>-0.41819999999999596</v>
      </c>
      <c r="C8" s="37">
        <f>'PERHITUNGAN 23'!N91</f>
        <v>151.5</v>
      </c>
      <c r="D8" s="75">
        <f t="shared" si="0"/>
        <v>22952.25</v>
      </c>
      <c r="E8" s="37">
        <f t="shared" si="1"/>
        <v>3477265.875</v>
      </c>
      <c r="F8" s="91">
        <f t="shared" si="2"/>
        <v>526805780.0625</v>
      </c>
      <c r="G8" s="91">
        <f t="shared" si="3"/>
        <v>79811075679.46875</v>
      </c>
      <c r="H8" s="91">
        <f t="shared" si="4"/>
        <v>12091377965439.516</v>
      </c>
      <c r="I8" s="91">
        <f t="shared" si="5"/>
        <v>1831843761764086.5</v>
      </c>
      <c r="J8" s="91">
        <f t="shared" si="6"/>
        <v>2.7752432990725914E+17</v>
      </c>
      <c r="K8" s="91">
        <f t="shared" si="7"/>
        <v>4.2044935980949758E+19</v>
      </c>
      <c r="L8" s="91">
        <f t="shared" si="8"/>
        <v>6.3698078011138884E+21</v>
      </c>
      <c r="R8" s="408"/>
      <c r="S8" s="409"/>
      <c r="T8" s="23"/>
      <c r="U8" s="27"/>
      <c r="V8" s="88"/>
    </row>
    <row r="9" spans="1:24">
      <c r="A9" s="25">
        <v>8</v>
      </c>
      <c r="B9" s="37">
        <f>'PERHITUNGAN 23'!O92</f>
        <v>-1.6220000000000141</v>
      </c>
      <c r="C9" s="37">
        <f>'PERHITUNGAN 23'!N92</f>
        <v>201</v>
      </c>
      <c r="D9" s="75">
        <f t="shared" si="0"/>
        <v>40401</v>
      </c>
      <c r="E9" s="37">
        <f t="shared" si="1"/>
        <v>8120601</v>
      </c>
      <c r="F9" s="91">
        <f t="shared" si="2"/>
        <v>1632240801</v>
      </c>
      <c r="G9" s="91">
        <f t="shared" si="3"/>
        <v>328080401001</v>
      </c>
      <c r="H9" s="91">
        <f t="shared" si="4"/>
        <v>65944160601201</v>
      </c>
      <c r="I9" s="91">
        <f t="shared" si="5"/>
        <v>1.32547762808414E+16</v>
      </c>
      <c r="J9" s="91">
        <f t="shared" si="6"/>
        <v>2.6642100324491218E+18</v>
      </c>
      <c r="K9" s="91">
        <f t="shared" si="7"/>
        <v>5.3550621652227346E+20</v>
      </c>
      <c r="L9" s="91">
        <f t="shared" si="8"/>
        <v>1.0763674952097696E+23</v>
      </c>
      <c r="R9" s="408"/>
      <c r="S9" s="409"/>
      <c r="T9" s="23"/>
      <c r="U9" s="27"/>
      <c r="V9" s="88"/>
    </row>
    <row r="10" spans="1:24">
      <c r="A10" s="25">
        <v>9</v>
      </c>
      <c r="B10" s="37">
        <f>'PERHITUNGAN 23'!O93</f>
        <v>0</v>
      </c>
      <c r="C10" s="37" t="e">
        <f>'PERHITUNGAN 23'!N93</f>
        <v>#DIV/0!</v>
      </c>
      <c r="D10" s="75" t="e">
        <f>C10^2</f>
        <v>#DIV/0!</v>
      </c>
      <c r="E10" s="37" t="e">
        <f>C10^3</f>
        <v>#DIV/0!</v>
      </c>
      <c r="F10" s="91" t="e">
        <f>C10^4</f>
        <v>#DIV/0!</v>
      </c>
      <c r="G10" s="91" t="e">
        <f>C10^5</f>
        <v>#DIV/0!</v>
      </c>
      <c r="H10" s="91" t="e">
        <f>C10^6</f>
        <v>#DIV/0!</v>
      </c>
      <c r="I10" s="91" t="e">
        <f>C10^7</f>
        <v>#DIV/0!</v>
      </c>
      <c r="J10" s="91" t="e">
        <f>C10^8</f>
        <v>#DIV/0!</v>
      </c>
      <c r="K10" s="91" t="e">
        <f>C10^9</f>
        <v>#DIV/0!</v>
      </c>
      <c r="L10" s="91" t="e">
        <f>C10^10</f>
        <v>#DIV/0!</v>
      </c>
      <c r="R10" s="408"/>
      <c r="S10" s="409"/>
      <c r="T10" s="23"/>
      <c r="U10" s="27"/>
      <c r="V10" s="88"/>
    </row>
    <row r="11" spans="1:24">
      <c r="A11" s="25">
        <v>10</v>
      </c>
      <c r="B11" s="37">
        <f>'PERHITUNGAN 23'!O94</f>
        <v>0</v>
      </c>
      <c r="C11" s="37" t="e">
        <f>'PERHITUNGAN 23'!N94</f>
        <v>#DIV/0!</v>
      </c>
      <c r="D11" s="75" t="e">
        <f>C11^2</f>
        <v>#DIV/0!</v>
      </c>
      <c r="E11" s="37" t="e">
        <f>C11^3</f>
        <v>#DIV/0!</v>
      </c>
      <c r="F11" s="91" t="e">
        <f>C11^4</f>
        <v>#DIV/0!</v>
      </c>
      <c r="G11" s="91" t="e">
        <f>C11^5</f>
        <v>#DIV/0!</v>
      </c>
      <c r="H11" s="91" t="e">
        <f>C11^6</f>
        <v>#DIV/0!</v>
      </c>
      <c r="I11" s="91" t="e">
        <f>C11^7</f>
        <v>#DIV/0!</v>
      </c>
      <c r="J11" s="91" t="e">
        <f>C11^8</f>
        <v>#DIV/0!</v>
      </c>
      <c r="K11" s="91" t="e">
        <f>C11^9</f>
        <v>#DIV/0!</v>
      </c>
      <c r="L11" s="91" t="e">
        <f>C11^10</f>
        <v>#DIV/0!</v>
      </c>
      <c r="R11" s="408"/>
      <c r="S11" s="409"/>
      <c r="T11" s="23"/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/>
      <c r="S12" s="409"/>
      <c r="T12" s="23"/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/>
      <c r="S13" s="409"/>
      <c r="T13" s="23"/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/>
      <c r="S14" s="409"/>
      <c r="T14" s="23"/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/>
      <c r="S15" s="409"/>
      <c r="T15" s="23"/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151</v>
      </c>
      <c r="R19" s="408">
        <f>'REGRESI 13'!R19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-0.91528811986660341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13'!R20</f>
        <v>0</v>
      </c>
      <c r="S20" s="409"/>
      <c r="T20" s="23">
        <f t="shared" ref="T20:T28" si="9">$S$38+($S$39*R20)+($S$40*(R20^2))+($S$41*(R20^3))+($S$42*(R20^4))+($S$43*(R20^5))+($S$44*(R20^6))+($S$45*(R20^7))+($S$46*(R20^8))+($S$47*(R20^9))+($S$48*(R20^10))</f>
        <v>-0.4672291758883107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13'!R21</f>
        <v>25</v>
      </c>
      <c r="S21" s="409"/>
      <c r="T21" s="23">
        <f t="shared" si="9"/>
        <v>0.35609744088426354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13'!R22</f>
        <v>50</v>
      </c>
      <c r="S22" s="409"/>
      <c r="T22" s="23">
        <f t="shared" si="9"/>
        <v>0.79757767721103034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13'!R23</f>
        <v>100</v>
      </c>
      <c r="S23" s="409"/>
      <c r="T23" s="23">
        <f t="shared" si="9"/>
        <v>0.74591527182065887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13'!R24</f>
        <v>125</v>
      </c>
      <c r="S24" s="409"/>
      <c r="T24" s="23">
        <f t="shared" si="9"/>
        <v>0.35823076175027868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13'!R25</f>
        <v>150</v>
      </c>
      <c r="S25" s="409"/>
      <c r="T25" s="23">
        <f t="shared" si="9"/>
        <v>-0.20038386547239107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13'!R26</f>
        <v>200</v>
      </c>
      <c r="S26" s="409"/>
      <c r="T26" s="23">
        <f t="shared" si="9"/>
        <v>-1.6194872080810878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13'!R27</f>
        <v>0</v>
      </c>
      <c r="S27" s="409"/>
      <c r="T27" s="23">
        <f t="shared" si="9"/>
        <v>-0.4672291758883107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13'!R28</f>
        <v>0</v>
      </c>
      <c r="S28" s="409"/>
      <c r="T28" s="23">
        <f t="shared" si="9"/>
        <v>-0.4672291758883107</v>
      </c>
      <c r="U28" s="27"/>
      <c r="V28" s="88"/>
      <c r="W28" s="26"/>
      <c r="X28" s="46"/>
    </row>
    <row r="29" spans="1:24">
      <c r="R29" s="408"/>
      <c r="S29" s="409"/>
      <c r="T29" s="23"/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0.98513874012314073</v>
      </c>
      <c r="Q33" s="31" t="s">
        <v>100</v>
      </c>
      <c r="U33" s="70"/>
    </row>
    <row r="34" spans="2:24">
      <c r="B34" t="s">
        <v>76</v>
      </c>
      <c r="C34">
        <v>0.97049833729140911</v>
      </c>
      <c r="X34" s="46"/>
    </row>
    <row r="35" spans="2:24">
      <c r="B35" t="s">
        <v>77</v>
      </c>
      <c r="C35">
        <v>0.94837209025996594</v>
      </c>
      <c r="Q35" t="s">
        <v>99</v>
      </c>
    </row>
    <row r="36" spans="2:24">
      <c r="B36" t="s">
        <v>78</v>
      </c>
      <c r="C36">
        <v>0.19642034791218965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0">C46</f>
        <v>-0.4672291758883107</v>
      </c>
      <c r="U38" s="26" t="s">
        <v>97</v>
      </c>
      <c r="V38">
        <f>C78</f>
        <v>0</v>
      </c>
    </row>
    <row r="39" spans="2:24" ht="13.5" thickBot="1">
      <c r="B39" t="s">
        <v>80</v>
      </c>
      <c r="R39" s="26" t="s">
        <v>98</v>
      </c>
      <c r="S39">
        <f t="shared" si="10"/>
        <v>4.1273046490797508E-2</v>
      </c>
      <c r="U39" s="26" t="s">
        <v>98</v>
      </c>
      <c r="V39">
        <f>C79</f>
        <v>0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0"/>
        <v>-3.4766035701534921E-4</v>
      </c>
      <c r="U40" s="26" t="s">
        <v>111</v>
      </c>
      <c r="V40">
        <f>C80</f>
        <v>0</v>
      </c>
    </row>
    <row r="41" spans="2:24">
      <c r="B41" t="s">
        <v>81</v>
      </c>
      <c r="C41">
        <v>3</v>
      </c>
      <c r="D41">
        <v>5.0766970227042414</v>
      </c>
      <c r="E41">
        <v>1.6922323409014137</v>
      </c>
      <c r="F41">
        <v>43.861859442871236</v>
      </c>
      <c r="G41">
        <v>1.6157649105734118E-3</v>
      </c>
      <c r="R41" s="26" t="s">
        <v>112</v>
      </c>
      <c r="S41">
        <f t="shared" si="10"/>
        <v>5.6244336878271137E-7</v>
      </c>
      <c r="U41" s="26" t="s">
        <v>112</v>
      </c>
      <c r="V41">
        <f>C81</f>
        <v>0</v>
      </c>
    </row>
    <row r="42" spans="2:24">
      <c r="B42" t="s">
        <v>82</v>
      </c>
      <c r="C42">
        <v>4</v>
      </c>
      <c r="D42">
        <v>0.15432381229578249</v>
      </c>
      <c r="E42">
        <v>3.8580953073945622E-2</v>
      </c>
      <c r="R42" s="26" t="s">
        <v>137</v>
      </c>
      <c r="S42">
        <f t="shared" si="10"/>
        <v>0</v>
      </c>
      <c r="U42" s="26"/>
    </row>
    <row r="43" spans="2:24" ht="13.5" thickBot="1">
      <c r="B43" s="67" t="s">
        <v>83</v>
      </c>
      <c r="C43" s="67">
        <v>7</v>
      </c>
      <c r="D43" s="67">
        <v>5.2310208350000238</v>
      </c>
      <c r="E43" s="67"/>
      <c r="F43" s="67"/>
      <c r="G43" s="67"/>
      <c r="R43" s="26" t="s">
        <v>88</v>
      </c>
      <c r="S43">
        <f t="shared" si="10"/>
        <v>0</v>
      </c>
      <c r="U43" s="26"/>
    </row>
    <row r="44" spans="2:24" ht="13.5" thickBot="1">
      <c r="R44" s="26" t="s">
        <v>138</v>
      </c>
      <c r="S44">
        <f t="shared" si="10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0"/>
        <v>0</v>
      </c>
      <c r="U45" s="26"/>
    </row>
    <row r="46" spans="2:24">
      <c r="B46" t="s">
        <v>84</v>
      </c>
      <c r="C46">
        <v>-0.4672291758883107</v>
      </c>
      <c r="D46">
        <v>0.11796888731761694</v>
      </c>
      <c r="E46">
        <v>-3.9606135694944102</v>
      </c>
      <c r="F46">
        <v>1.6669079807938934E-2</v>
      </c>
      <c r="G46">
        <v>-0.79476331564693825</v>
      </c>
      <c r="H46">
        <v>-0.13969503612968309</v>
      </c>
      <c r="I46">
        <v>-0.79476331564693825</v>
      </c>
      <c r="J46">
        <v>-0.13969503612968309</v>
      </c>
      <c r="R46" s="26" t="s">
        <v>140</v>
      </c>
      <c r="S46">
        <f t="shared" si="10"/>
        <v>0</v>
      </c>
      <c r="U46" s="26"/>
    </row>
    <row r="47" spans="2:24">
      <c r="B47" t="s">
        <v>95</v>
      </c>
      <c r="C47">
        <v>4.1273046490797508E-2</v>
      </c>
      <c r="D47">
        <v>6.7700120545357394E-3</v>
      </c>
      <c r="E47">
        <v>6.0964509602528096</v>
      </c>
      <c r="F47">
        <v>3.6618279516927262E-3</v>
      </c>
      <c r="G47">
        <v>2.2476479659851698E-2</v>
      </c>
      <c r="H47">
        <v>6.006961332174332E-2</v>
      </c>
      <c r="I47">
        <v>2.2476479659851698E-2</v>
      </c>
      <c r="J47">
        <v>6.006961332174332E-2</v>
      </c>
      <c r="R47" s="26" t="s">
        <v>141</v>
      </c>
      <c r="S47">
        <f t="shared" si="10"/>
        <v>0</v>
      </c>
      <c r="U47" s="26"/>
    </row>
    <row r="48" spans="2:24">
      <c r="B48" t="s">
        <v>108</v>
      </c>
      <c r="C48">
        <v>-3.4766035701534921E-4</v>
      </c>
      <c r="D48">
        <v>8.9662893026900634E-5</v>
      </c>
      <c r="E48">
        <v>-3.8774162340606639</v>
      </c>
      <c r="F48">
        <v>1.7880455183995721E-2</v>
      </c>
      <c r="G48">
        <v>-5.966044574777609E-4</v>
      </c>
      <c r="H48">
        <v>-9.871625655293758E-5</v>
      </c>
      <c r="I48">
        <v>-5.966044574777609E-4</v>
      </c>
      <c r="J48">
        <v>-9.871625655293758E-5</v>
      </c>
      <c r="R48" s="26" t="s">
        <v>142</v>
      </c>
      <c r="S48">
        <f t="shared" si="10"/>
        <v>0</v>
      </c>
      <c r="U48" s="26"/>
    </row>
    <row r="49" spans="2:21" ht="13.5" thickBot="1">
      <c r="B49" s="67" t="s">
        <v>109</v>
      </c>
      <c r="C49" s="67">
        <v>5.6244336878271137E-7</v>
      </c>
      <c r="D49" s="67">
        <v>3.0083318695279458E-7</v>
      </c>
      <c r="E49" s="67">
        <v>1.8696187560947772</v>
      </c>
      <c r="F49" s="67">
        <v>0.13489058178326049</v>
      </c>
      <c r="G49" s="67">
        <v>-2.7280346061342784E-7</v>
      </c>
      <c r="H49" s="67">
        <v>1.3976901981788506E-6</v>
      </c>
      <c r="I49" s="67">
        <v>-2.7280346061342784E-7</v>
      </c>
      <c r="J49" s="67">
        <v>1.3976901981788506E-6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56" spans="2:21" ht="13.5" thickBot="1">
      <c r="B56" s="67"/>
      <c r="C56" s="67"/>
      <c r="D56" s="67"/>
      <c r="E56" s="67"/>
      <c r="F56" s="67"/>
      <c r="G56" s="67"/>
      <c r="H56" s="67"/>
      <c r="I56" s="67"/>
      <c r="J56" s="67"/>
    </row>
    <row r="63" spans="2:21" ht="13.5" thickBot="1"/>
    <row r="64" spans="2:21" ht="13.5">
      <c r="B64" s="69"/>
      <c r="C64" s="69"/>
    </row>
    <row r="69" spans="2:10" ht="13.5" thickBot="1">
      <c r="B69" s="67"/>
      <c r="C69" s="67"/>
    </row>
    <row r="71" spans="2:10" ht="13.5" thickBot="1"/>
    <row r="72" spans="2:10" ht="13.5">
      <c r="B72" s="68"/>
      <c r="C72" s="68"/>
      <c r="D72" s="68"/>
      <c r="E72" s="68"/>
      <c r="F72" s="68"/>
      <c r="G72" s="68"/>
    </row>
    <row r="75" spans="2:10" ht="13.5" thickBot="1">
      <c r="B75" s="67"/>
      <c r="C75" s="67"/>
      <c r="D75" s="67"/>
      <c r="E75" s="67"/>
      <c r="F75" s="67"/>
      <c r="G75" s="67"/>
    </row>
    <row r="76" spans="2:10" ht="13.5" thickBot="1"/>
    <row r="77" spans="2:10" ht="13.5">
      <c r="B77" s="68"/>
      <c r="C77" s="68"/>
      <c r="D77" s="68"/>
      <c r="E77" s="68"/>
      <c r="F77" s="68"/>
      <c r="G77" s="68"/>
      <c r="H77" s="68"/>
      <c r="I77" s="68"/>
      <c r="J77" s="68"/>
    </row>
    <row r="81" spans="2:10" ht="13.5" thickBot="1">
      <c r="B81" s="67"/>
      <c r="C81" s="67"/>
      <c r="D81" s="67"/>
      <c r="E81" s="67"/>
      <c r="F81" s="67"/>
      <c r="G81" s="67"/>
      <c r="H81" s="67"/>
      <c r="I81" s="67"/>
      <c r="J81" s="67"/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C04D4-3708-4994-B3BD-FC3F14706149}">
  <dimension ref="A1:AH187"/>
  <sheetViews>
    <sheetView workbookViewId="0"/>
  </sheetViews>
  <sheetFormatPr defaultRowHeight="13"/>
  <cols>
    <col min="1" max="1" width="4.3984375" customWidth="1"/>
    <col min="2" max="2" width="13.3984375" customWidth="1"/>
    <col min="3" max="3" width="10.59765625" customWidth="1"/>
    <col min="4" max="4" width="1.296875" customWidth="1"/>
    <col min="5" max="5" width="10.09765625" customWidth="1"/>
    <col min="6" max="6" width="15.09765625" customWidth="1"/>
    <col min="7" max="7" width="13.3984375" customWidth="1"/>
    <col min="8" max="8" width="1.59765625" customWidth="1"/>
    <col min="9" max="9" width="14.296875" customWidth="1"/>
    <col min="10" max="10" width="9.59765625" customWidth="1"/>
    <col min="12" max="12" width="5.69921875" customWidth="1"/>
    <col min="13" max="13" width="5.59765625" customWidth="1"/>
    <col min="14" max="14" width="13.3984375" customWidth="1"/>
    <col min="15" max="24" width="9.3984375" customWidth="1"/>
    <col min="25" max="25" width="6.296875" customWidth="1"/>
    <col min="26" max="26" width="8.8984375" bestFit="1" customWidth="1"/>
    <col min="27" max="27" width="13.69921875" customWidth="1"/>
    <col min="29" max="29" width="7.3984375" bestFit="1" customWidth="1"/>
    <col min="30" max="30" width="6.69921875" bestFit="1" customWidth="1"/>
    <col min="31" max="31" width="7.09765625" bestFit="1" customWidth="1"/>
    <col min="32" max="32" width="7.69921875" bestFit="1" customWidth="1"/>
    <col min="33" max="33" width="7" bestFit="1" customWidth="1"/>
  </cols>
  <sheetData>
    <row r="1" spans="1:34">
      <c r="AA1" s="48"/>
      <c r="AB1" s="49"/>
      <c r="AC1" s="49"/>
      <c r="AD1" s="49"/>
      <c r="AE1" s="49"/>
      <c r="AF1" s="49"/>
      <c r="AG1" s="49"/>
    </row>
    <row r="2" spans="1:34" ht="18.75" customHeight="1">
      <c r="B2" s="132" t="s">
        <v>170</v>
      </c>
      <c r="C2" s="132" t="str">
        <f>'PERHITUNGAN 13'!$C$2</f>
        <v>Celcius</v>
      </c>
    </row>
    <row r="3" spans="1:34">
      <c r="A3" s="11"/>
      <c r="B3" s="11"/>
      <c r="C3" s="11"/>
      <c r="D3" s="11"/>
      <c r="E3" s="11"/>
      <c r="F3" s="11"/>
      <c r="G3" s="34" t="str">
        <f>'PERHITUNGAN 13'!G3</f>
        <v>No.Kode Alat :S-10810</v>
      </c>
      <c r="H3" s="64"/>
      <c r="I3" s="64"/>
      <c r="J3" s="33"/>
      <c r="K3" s="28"/>
      <c r="N3" s="48" t="s">
        <v>54</v>
      </c>
      <c r="O3" s="49"/>
      <c r="P3" s="49"/>
      <c r="Q3" s="49"/>
      <c r="R3" s="49"/>
      <c r="S3" s="49"/>
      <c r="T3" s="49"/>
      <c r="U3" s="49"/>
      <c r="AH3" s="29"/>
    </row>
    <row r="4" spans="1:34" ht="15" customHeight="1">
      <c r="A4" s="28" t="s">
        <v>14</v>
      </c>
      <c r="B4" s="12" t="s">
        <v>15</v>
      </c>
      <c r="C4" s="12"/>
      <c r="D4" s="11"/>
      <c r="E4" s="11"/>
      <c r="F4" s="11"/>
      <c r="G4" s="11"/>
      <c r="H4" s="11"/>
      <c r="I4" s="11"/>
      <c r="J4" s="11"/>
      <c r="K4" s="11"/>
      <c r="N4" s="360" t="s">
        <v>188</v>
      </c>
      <c r="O4" s="362" t="str">
        <f>CONCATENATE("Titik Ukur ", IF($C$2="Celcius","(°C)","(°F)"))</f>
        <v>Titik Ukur (°C)</v>
      </c>
      <c r="P4" s="364" t="str">
        <f>CONCATENATE("Ketidakpastian ", IF($C$2="Celcius","(°C)","(°F)"))</f>
        <v>Ketidakpastian (°C)</v>
      </c>
      <c r="Q4" s="360" t="s">
        <v>55</v>
      </c>
      <c r="R4" s="360" t="s">
        <v>56</v>
      </c>
      <c r="S4" s="337" t="s">
        <v>8</v>
      </c>
      <c r="T4" s="366" t="str">
        <f>CONCATENATE("Ketidakpastian baku ", IF($C$2="Celcius","(°C)","(°F)"))</f>
        <v>Ketidakpastian baku (°C)</v>
      </c>
      <c r="U4" s="342" t="s">
        <v>57</v>
      </c>
      <c r="V4" s="32"/>
      <c r="AH4" s="190"/>
    </row>
    <row r="5" spans="1:34" ht="13.5" customHeight="1">
      <c r="A5" s="28"/>
      <c r="B5" s="11" t="s">
        <v>126</v>
      </c>
      <c r="C5" s="11"/>
      <c r="D5" s="11" t="s">
        <v>64</v>
      </c>
      <c r="E5" t="str">
        <f>'PERHITUNGAN 13'!E5</f>
        <v>Termometer Digital</v>
      </c>
      <c r="F5" s="11"/>
      <c r="G5" s="11" t="s">
        <v>127</v>
      </c>
      <c r="H5" s="11" t="s">
        <v>16</v>
      </c>
      <c r="I5" s="66" t="str">
        <f>'PERHITUNGAN 13'!I5</f>
        <v>-30~1000</v>
      </c>
      <c r="J5" t="str">
        <f>IF($C$2="Celcius","°C","°F")</f>
        <v>°C</v>
      </c>
      <c r="K5" s="13"/>
      <c r="L5" s="11"/>
      <c r="N5" s="361"/>
      <c r="O5" s="363"/>
      <c r="P5" s="365"/>
      <c r="Q5" s="361"/>
      <c r="R5" s="361"/>
      <c r="S5" s="338"/>
      <c r="T5" s="367"/>
      <c r="U5" s="343"/>
      <c r="V5" s="32"/>
      <c r="AH5" s="190"/>
    </row>
    <row r="6" spans="1:34" ht="15.75" customHeight="1">
      <c r="A6" s="28"/>
      <c r="B6" s="11" t="s">
        <v>53</v>
      </c>
      <c r="C6" s="11"/>
      <c r="D6" s="11" t="s">
        <v>64</v>
      </c>
      <c r="E6" s="31" t="str">
        <f>'PERHITUNGAN 13'!E6</f>
        <v>Hioki / LR 8431-20</v>
      </c>
      <c r="F6" s="11"/>
      <c r="G6" s="11" t="s">
        <v>128</v>
      </c>
      <c r="H6" s="11" t="s">
        <v>16</v>
      </c>
      <c r="I6" s="129">
        <f>'PERHITUNGAN 13'!I6</f>
        <v>0.01</v>
      </c>
      <c r="J6" t="str">
        <f>IF($C$2="Celcius","°C","°F")</f>
        <v>°C</v>
      </c>
      <c r="K6" s="11"/>
      <c r="L6" s="11"/>
      <c r="N6" s="344" t="s">
        <v>103</v>
      </c>
      <c r="O6" s="191">
        <f>IF($C$2="Celcius",Database!Q4,(Database!Q4*9/5)+32)</f>
        <v>-30</v>
      </c>
      <c r="P6" s="150">
        <f>IF($C$2="Celcius",Database!R4,(Database!R4*9/5))</f>
        <v>0</v>
      </c>
      <c r="Q6" s="151" t="s">
        <v>58</v>
      </c>
      <c r="R6" s="151">
        <v>2</v>
      </c>
      <c r="S6" s="152">
        <v>60</v>
      </c>
      <c r="T6" s="153">
        <f>P6/R6</f>
        <v>0</v>
      </c>
      <c r="U6" s="342" t="s">
        <v>104</v>
      </c>
      <c r="V6" s="32"/>
      <c r="AH6" s="190"/>
    </row>
    <row r="7" spans="1:34" ht="15.5">
      <c r="A7" s="28"/>
      <c r="B7" s="11" t="s">
        <v>129</v>
      </c>
      <c r="C7" s="11"/>
      <c r="D7" s="11" t="s">
        <v>64</v>
      </c>
      <c r="E7" s="66">
        <f>'PERHITUNGAN 13'!E7</f>
        <v>210149173</v>
      </c>
      <c r="F7" s="11"/>
      <c r="G7" s="11" t="s">
        <v>44</v>
      </c>
      <c r="H7" s="11" t="s">
        <v>16</v>
      </c>
      <c r="I7" s="31">
        <v>12</v>
      </c>
      <c r="K7" s="11"/>
      <c r="L7" s="11"/>
      <c r="N7" s="345"/>
      <c r="O7" s="192">
        <f>IF($C$2="Celcius",Database!Q5,(Database!Q5*9/5)+32)</f>
        <v>-20</v>
      </c>
      <c r="P7" s="154">
        <f>IF($C$2="Celcius",Database!R5,(Database!R5*9/5))</f>
        <v>0.02</v>
      </c>
      <c r="Q7" s="55" t="s">
        <v>58</v>
      </c>
      <c r="R7" s="55">
        <v>2</v>
      </c>
      <c r="S7" s="155">
        <v>60</v>
      </c>
      <c r="T7" s="156">
        <f t="shared" ref="T7:T25" si="0">P7/R7</f>
        <v>0.01</v>
      </c>
      <c r="U7" s="368"/>
      <c r="V7" s="32"/>
      <c r="AH7" s="190"/>
    </row>
    <row r="8" spans="1:34" ht="15.5">
      <c r="A8" s="28"/>
      <c r="B8" s="11"/>
      <c r="C8" s="11"/>
      <c r="D8" s="11"/>
      <c r="E8" s="11"/>
      <c r="F8" s="11"/>
      <c r="G8" s="11"/>
      <c r="H8" s="11"/>
      <c r="J8" s="11"/>
      <c r="K8" s="11"/>
      <c r="L8" s="11"/>
      <c r="N8" s="345"/>
      <c r="O8" s="192">
        <f>IF($C$2="Celcius",Database!Q6,(Database!Q6*9/5)+32)</f>
        <v>-10</v>
      </c>
      <c r="P8" s="154">
        <f>IF($C$2="Celcius",Database!R6,(Database!R6*9/5))</f>
        <v>3.0000000000000006E-2</v>
      </c>
      <c r="Q8" s="55" t="s">
        <v>58</v>
      </c>
      <c r="R8" s="55">
        <v>2</v>
      </c>
      <c r="S8" s="155">
        <v>60</v>
      </c>
      <c r="T8" s="156">
        <f t="shared" si="0"/>
        <v>1.5000000000000003E-2</v>
      </c>
      <c r="U8" s="368"/>
      <c r="V8" s="32"/>
      <c r="AH8" s="190"/>
    </row>
    <row r="9" spans="1:34" ht="15.5">
      <c r="A9" s="28" t="s">
        <v>17</v>
      </c>
      <c r="B9" s="12" t="s">
        <v>210</v>
      </c>
      <c r="L9" s="11"/>
      <c r="N9" s="345"/>
      <c r="O9" s="192">
        <f>IF($C$2="Celcius",Database!Q7,(Database!Q7*9/5)+32)</f>
        <v>0</v>
      </c>
      <c r="P9" s="154">
        <f>IF($C$2="Celcius",Database!R7,(Database!R7*9/5))</f>
        <v>0.02</v>
      </c>
      <c r="Q9" s="55" t="s">
        <v>58</v>
      </c>
      <c r="R9" s="55">
        <v>2</v>
      </c>
      <c r="S9" s="155">
        <v>60</v>
      </c>
      <c r="T9" s="156">
        <f t="shared" si="0"/>
        <v>0.01</v>
      </c>
      <c r="U9" s="368"/>
      <c r="V9" s="32"/>
      <c r="AH9" s="190"/>
    </row>
    <row r="10" spans="1:34" ht="15.5">
      <c r="A10" s="28"/>
      <c r="B10" t="s">
        <v>33</v>
      </c>
      <c r="D10" s="11" t="s">
        <v>64</v>
      </c>
      <c r="E10" s="83" t="str">
        <f>'PERHITUNGAN 13'!E11</f>
        <v>Termometer Digital (PRT)</v>
      </c>
      <c r="L10" s="11"/>
      <c r="N10" s="346"/>
      <c r="O10" s="193">
        <f>IF($C$2="Celcius",Database!Q8,(Database!Q8*9/5)+32)</f>
        <v>10</v>
      </c>
      <c r="P10" s="147">
        <f>IF($C$2="Celcius",Database!R8,(Database!R8*9/5))</f>
        <v>0.04</v>
      </c>
      <c r="Q10" s="52" t="s">
        <v>58</v>
      </c>
      <c r="R10" s="52">
        <v>2</v>
      </c>
      <c r="S10" s="148">
        <v>60</v>
      </c>
      <c r="T10" s="149">
        <f t="shared" si="0"/>
        <v>0.02</v>
      </c>
      <c r="U10" s="368"/>
      <c r="V10" s="32"/>
      <c r="AH10" s="190"/>
    </row>
    <row r="11" spans="1:34" ht="15.5">
      <c r="A11" s="28"/>
      <c r="B11" t="s">
        <v>43</v>
      </c>
      <c r="D11" s="11" t="s">
        <v>64</v>
      </c>
      <c r="E11" s="83" t="str">
        <f>'PERHITUNGAN 13'!E12</f>
        <v>Burn Engr</v>
      </c>
      <c r="L11" s="11"/>
      <c r="N11" s="347" t="s">
        <v>59</v>
      </c>
      <c r="O11" s="191">
        <f>IF($C$2="Celcius",Database!Q9,(Database!Q9*9/5)+32)</f>
        <v>10</v>
      </c>
      <c r="P11" s="150">
        <f>IF($C$2="Celcius",Database!R9,(Database!R9*9/5))</f>
        <v>0.02</v>
      </c>
      <c r="Q11" s="151" t="s">
        <v>58</v>
      </c>
      <c r="R11" s="151">
        <v>2</v>
      </c>
      <c r="S11" s="152">
        <v>60</v>
      </c>
      <c r="T11" s="153">
        <f t="shared" si="0"/>
        <v>0.01</v>
      </c>
      <c r="U11" s="368"/>
      <c r="V11" s="32"/>
    </row>
    <row r="12" spans="1:34" ht="15.5">
      <c r="A12" s="28"/>
      <c r="B12" t="s">
        <v>211</v>
      </c>
      <c r="D12" s="11" t="s">
        <v>64</v>
      </c>
      <c r="E12" s="83" t="str">
        <f>'PERHITUNGAN 13'!E13</f>
        <v>3925/496170</v>
      </c>
      <c r="L12" s="11"/>
      <c r="N12" s="348"/>
      <c r="O12" s="192">
        <f>IF($C$2="Celcius",Database!Q10,(Database!Q10*9/5)+32)</f>
        <v>25</v>
      </c>
      <c r="P12" s="154">
        <f>IF($C$2="Celcius",Database!R10,(Database!R10*9/5))</f>
        <v>0.01</v>
      </c>
      <c r="Q12" s="55" t="s">
        <v>58</v>
      </c>
      <c r="R12" s="55">
        <v>2</v>
      </c>
      <c r="S12" s="155">
        <v>60</v>
      </c>
      <c r="T12" s="156">
        <f t="shared" si="0"/>
        <v>5.0000000000000001E-3</v>
      </c>
      <c r="U12" s="368"/>
      <c r="V12" s="32"/>
    </row>
    <row r="13" spans="1:34" ht="15.5">
      <c r="A13" s="28"/>
      <c r="B13" t="s">
        <v>38</v>
      </c>
      <c r="D13" s="11" t="s">
        <v>64</v>
      </c>
      <c r="E13" s="83" t="str">
        <f>'PERHITUNGAN 13'!E14</f>
        <v>SI melalui BSN SNSU</v>
      </c>
      <c r="L13" s="11"/>
      <c r="N13" s="348"/>
      <c r="O13" s="192">
        <f>IF($C$2="Celcius",Database!Q11,(Database!Q11*9/5)+32)</f>
        <v>50</v>
      </c>
      <c r="P13" s="154">
        <f>IF($C$2="Celcius",Database!R11,(Database!R11*9/5))</f>
        <v>0.03</v>
      </c>
      <c r="Q13" s="55" t="s">
        <v>58</v>
      </c>
      <c r="R13" s="55">
        <v>2</v>
      </c>
      <c r="S13" s="155">
        <v>60</v>
      </c>
      <c r="T13" s="156">
        <f t="shared" si="0"/>
        <v>1.4999999999999999E-2</v>
      </c>
      <c r="U13" s="368"/>
      <c r="V13" s="32"/>
    </row>
    <row r="14" spans="1:34" ht="15.5">
      <c r="L14" s="11"/>
      <c r="N14" s="348"/>
      <c r="O14" s="192">
        <f>IF($C$2="Celcius",Database!Q12,(Database!Q12*9/5)+32)</f>
        <v>75</v>
      </c>
      <c r="P14" s="154">
        <f>IF($C$2="Celcius",Database!R12,(Database!R12*9/5))</f>
        <v>0.04</v>
      </c>
      <c r="Q14" s="55" t="s">
        <v>58</v>
      </c>
      <c r="R14" s="55">
        <v>2</v>
      </c>
      <c r="S14" s="155">
        <v>60</v>
      </c>
      <c r="T14" s="156">
        <f t="shared" si="0"/>
        <v>0.02</v>
      </c>
      <c r="U14" s="368"/>
      <c r="V14" s="32"/>
      <c r="AB14" s="326"/>
      <c r="AC14" s="326"/>
      <c r="AD14" s="35"/>
      <c r="AE14" s="1"/>
      <c r="AF14" s="16"/>
      <c r="AG14" s="58"/>
    </row>
    <row r="15" spans="1:34" ht="16.5" customHeight="1">
      <c r="A15" s="28" t="s">
        <v>20</v>
      </c>
      <c r="B15" s="12" t="s">
        <v>18</v>
      </c>
      <c r="C15" s="12"/>
      <c r="D15" s="11"/>
      <c r="E15" s="11"/>
      <c r="F15" s="11"/>
      <c r="G15" s="11"/>
      <c r="H15" s="11"/>
      <c r="I15" s="11"/>
      <c r="J15" s="11"/>
      <c r="K15" s="11"/>
      <c r="L15" s="11"/>
      <c r="M15" s="1"/>
      <c r="N15" s="349"/>
      <c r="O15" s="193">
        <f>IF($C$2="Celcius",Database!Q13,(Database!Q13*9/5)+32)</f>
        <v>90</v>
      </c>
      <c r="P15" s="147">
        <f>IF($C$2="Celcius",Database!R13,(Database!R13*9/5))</f>
        <v>0.03</v>
      </c>
      <c r="Q15" s="52" t="s">
        <v>58</v>
      </c>
      <c r="R15" s="52">
        <v>2</v>
      </c>
      <c r="S15" s="148">
        <v>60</v>
      </c>
      <c r="T15" s="149">
        <f t="shared" si="0"/>
        <v>1.4999999999999999E-2</v>
      </c>
      <c r="U15" s="368"/>
      <c r="V15" s="32"/>
      <c r="AB15" s="326"/>
      <c r="AC15" s="326"/>
      <c r="AD15" s="35"/>
      <c r="AE15" s="1"/>
      <c r="AG15" s="58"/>
    </row>
    <row r="16" spans="1:34" ht="15.75" customHeight="1">
      <c r="A16" s="28"/>
      <c r="B16" t="s">
        <v>119</v>
      </c>
      <c r="C16" s="11"/>
      <c r="D16" s="11" t="s">
        <v>64</v>
      </c>
      <c r="E16" s="354">
        <f>'PERHITUNGAN 13'!E17</f>
        <v>45237</v>
      </c>
      <c r="F16" s="355"/>
      <c r="G16" s="11"/>
      <c r="H16" s="11"/>
      <c r="I16" s="11"/>
      <c r="J16" s="11"/>
      <c r="K16" s="11"/>
      <c r="L16" s="11"/>
      <c r="M16" s="1"/>
      <c r="N16" s="344" t="s">
        <v>60</v>
      </c>
      <c r="O16" s="191">
        <f>IF($C$2="Celcius",Database!Q14,(Database!Q14*9/5)+32)</f>
        <v>30</v>
      </c>
      <c r="P16" s="150">
        <f>IF($C$2="Celcius",Database!R14,(Database!R14*9/5))</f>
        <v>0.05</v>
      </c>
      <c r="Q16" s="151" t="s">
        <v>58</v>
      </c>
      <c r="R16" s="151">
        <v>2</v>
      </c>
      <c r="S16" s="152">
        <v>60</v>
      </c>
      <c r="T16" s="153">
        <f t="shared" si="0"/>
        <v>2.5000000000000001E-2</v>
      </c>
      <c r="U16" s="368"/>
      <c r="V16" s="32"/>
      <c r="AB16" s="1"/>
      <c r="AC16" s="1"/>
      <c r="AE16" s="1"/>
      <c r="AF16" s="16"/>
      <c r="AG16" s="17"/>
    </row>
    <row r="17" spans="1:34" ht="15.5">
      <c r="A17" s="28"/>
      <c r="B17" t="s">
        <v>36</v>
      </c>
      <c r="C17" s="11"/>
      <c r="D17" s="11" t="s">
        <v>64</v>
      </c>
      <c r="E17" s="354">
        <f>'PERHITUNGAN 13'!E18</f>
        <v>45245</v>
      </c>
      <c r="F17" s="355"/>
      <c r="G17" s="11"/>
      <c r="H17" s="11"/>
      <c r="I17" s="11"/>
      <c r="J17" s="11"/>
      <c r="K17" s="11"/>
      <c r="L17" s="11"/>
      <c r="M17" s="1"/>
      <c r="N17" s="345"/>
      <c r="O17" s="192">
        <f>IF($C$2="Celcius",Database!Q15,(Database!Q15*9/5)+32)</f>
        <v>50</v>
      </c>
      <c r="P17" s="154">
        <f>IF($C$2="Celcius",Database!R15,(Database!R15*9/5))</f>
        <v>0.11000000000000001</v>
      </c>
      <c r="Q17" s="55" t="s">
        <v>58</v>
      </c>
      <c r="R17" s="158">
        <v>2</v>
      </c>
      <c r="S17" s="155">
        <v>60</v>
      </c>
      <c r="T17" s="156">
        <f t="shared" si="0"/>
        <v>5.5000000000000007E-2</v>
      </c>
      <c r="U17" s="368"/>
      <c r="V17" s="32"/>
      <c r="AB17" s="1"/>
      <c r="AC17" s="1"/>
      <c r="AE17" s="1"/>
    </row>
    <row r="18" spans="1:34" ht="15.5">
      <c r="A18" s="28"/>
      <c r="B18" t="s">
        <v>37</v>
      </c>
      <c r="C18" s="11"/>
      <c r="D18" s="30" t="s">
        <v>16</v>
      </c>
      <c r="E18" s="416" t="str">
        <f>'PERHITUNGAN 13'!E19</f>
        <v>Lab. Kalibrasi Suhu</v>
      </c>
      <c r="F18" s="417"/>
      <c r="G18" s="11"/>
      <c r="H18" s="11"/>
      <c r="I18" s="11"/>
      <c r="J18" s="11"/>
      <c r="K18" s="11"/>
      <c r="L18" s="11"/>
      <c r="M18" s="1"/>
      <c r="N18" s="345"/>
      <c r="O18" s="192">
        <f>IF($C$2="Celcius",Database!Q16,(Database!Q16*9/5)+32)</f>
        <v>70</v>
      </c>
      <c r="P18" s="154">
        <f>IF($C$2="Celcius",Database!R16,(Database!R16*9/5))</f>
        <v>0.01</v>
      </c>
      <c r="Q18" s="55" t="s">
        <v>58</v>
      </c>
      <c r="R18" s="158">
        <v>2</v>
      </c>
      <c r="S18" s="155">
        <v>60</v>
      </c>
      <c r="T18" s="156">
        <f t="shared" si="0"/>
        <v>5.0000000000000001E-3</v>
      </c>
      <c r="U18" s="368"/>
      <c r="V18" s="32"/>
      <c r="AB18" s="326"/>
      <c r="AC18" s="326"/>
      <c r="AD18" s="35"/>
      <c r="AE18" s="1"/>
      <c r="AF18" s="16"/>
      <c r="AG18" s="60"/>
    </row>
    <row r="19" spans="1:34" ht="15.5">
      <c r="A19" s="28"/>
      <c r="B19" s="11" t="s">
        <v>19</v>
      </c>
      <c r="C19" s="11"/>
      <c r="D19" t="s">
        <v>64</v>
      </c>
      <c r="E19" s="221" t="str">
        <f>'PERHITUNGAN 13'!E21</f>
        <v>MK.2.2.1.02 yang mengacu ke JIS Z8710-1993; Temperature Measurement Requirement</v>
      </c>
      <c r="F19" s="222"/>
      <c r="G19" s="11"/>
      <c r="H19" s="11"/>
      <c r="I19" s="11"/>
      <c r="J19" s="11"/>
      <c r="K19" s="11"/>
      <c r="L19" s="11"/>
      <c r="M19" s="1"/>
      <c r="N19" s="345"/>
      <c r="O19" s="192">
        <f>IF($C$2="Celcius",Database!Q17,(Database!Q17*9/5)+32)</f>
        <v>100</v>
      </c>
      <c r="P19" s="154">
        <f>IF($C$2="Celcius",Database!R17,(Database!R17*9/5))</f>
        <v>0.01</v>
      </c>
      <c r="Q19" s="55" t="s">
        <v>58</v>
      </c>
      <c r="R19" s="158">
        <v>2</v>
      </c>
      <c r="S19" s="155">
        <v>60</v>
      </c>
      <c r="T19" s="156">
        <f t="shared" si="0"/>
        <v>5.0000000000000001E-3</v>
      </c>
      <c r="U19" s="368"/>
      <c r="V19" s="32"/>
      <c r="AB19" s="61"/>
      <c r="AC19" s="61"/>
      <c r="AD19" s="35"/>
      <c r="AE19" s="1"/>
      <c r="AF19" s="16"/>
      <c r="AG19" s="60"/>
    </row>
    <row r="20" spans="1:34" ht="15.5">
      <c r="A20" s="28"/>
      <c r="B20" s="11"/>
      <c r="C20" s="11"/>
      <c r="D20" s="11"/>
      <c r="E20" s="28"/>
      <c r="F20" s="28"/>
      <c r="G20" s="45"/>
      <c r="H20" s="45"/>
      <c r="I20" s="45"/>
      <c r="J20" s="65"/>
      <c r="K20" s="65"/>
      <c r="L20" s="11"/>
      <c r="M20" s="1"/>
      <c r="N20" s="345"/>
      <c r="O20" s="193">
        <f>IF($C$2="Celcius",Database!Q18,(Database!Q18*9/5)+32)</f>
        <v>110</v>
      </c>
      <c r="P20" s="147">
        <f>IF($C$2="Celcius",Database!R18,(Database!R18*9/5))</f>
        <v>0.02</v>
      </c>
      <c r="Q20" s="52" t="s">
        <v>58</v>
      </c>
      <c r="R20" s="157">
        <v>2</v>
      </c>
      <c r="S20" s="148">
        <v>60</v>
      </c>
      <c r="T20" s="149">
        <f t="shared" si="0"/>
        <v>0.01</v>
      </c>
      <c r="U20" s="368"/>
      <c r="V20" s="32"/>
      <c r="AB20" s="61"/>
      <c r="AC20" s="61"/>
      <c r="AD20" s="35"/>
      <c r="AE20" s="1"/>
      <c r="AF20" s="16"/>
      <c r="AG20" s="60"/>
    </row>
    <row r="21" spans="1:34" ht="15.5">
      <c r="A21" s="238" t="s">
        <v>212</v>
      </c>
      <c r="B21" s="239" t="s">
        <v>21</v>
      </c>
      <c r="C21" s="240"/>
      <c r="D21" s="240"/>
      <c r="E21" s="240"/>
      <c r="F21" s="339" t="s">
        <v>68</v>
      </c>
      <c r="G21" s="339"/>
      <c r="H21" s="240"/>
      <c r="I21" s="49"/>
      <c r="J21" s="49"/>
      <c r="K21" s="240"/>
      <c r="L21" s="240"/>
      <c r="M21" s="1"/>
      <c r="N21" s="348" t="s">
        <v>61</v>
      </c>
      <c r="O21" s="191">
        <f>IF($C$2="Celcius",Database!Q19,(Database!Q19*9/5)+32)</f>
        <v>100</v>
      </c>
      <c r="P21" s="150">
        <f>IF($C$2="Celcius",Database!R19,(Database!R19*9/5))</f>
        <v>3.0000000000000006E-2</v>
      </c>
      <c r="Q21" s="151" t="s">
        <v>58</v>
      </c>
      <c r="R21" s="56">
        <v>2</v>
      </c>
      <c r="S21" s="152">
        <v>60</v>
      </c>
      <c r="T21" s="153">
        <f t="shared" si="0"/>
        <v>1.5000000000000003E-2</v>
      </c>
      <c r="U21" s="368"/>
      <c r="V21" s="32"/>
      <c r="AB21" s="61"/>
      <c r="AC21" s="61"/>
      <c r="AD21" s="35"/>
      <c r="AE21" s="1"/>
      <c r="AF21" s="16"/>
      <c r="AG21" s="60"/>
    </row>
    <row r="22" spans="1:34" ht="15.5">
      <c r="A22" s="241"/>
      <c r="B22" s="240" t="s">
        <v>22</v>
      </c>
      <c r="C22" s="240"/>
      <c r="D22" s="242" t="s">
        <v>23</v>
      </c>
      <c r="E22" s="243" t="s">
        <v>24</v>
      </c>
      <c r="F22" s="242" t="s">
        <v>23</v>
      </c>
      <c r="G22" s="243" t="s">
        <v>24</v>
      </c>
      <c r="H22" s="240"/>
      <c r="I22" s="49"/>
      <c r="J22" s="49"/>
      <c r="K22" s="240"/>
      <c r="L22" s="240"/>
      <c r="M22" s="1"/>
      <c r="N22" s="348"/>
      <c r="O22" s="192">
        <f>IF($C$2="Celcius",Database!Q20,(Database!Q20*9/5)+32)</f>
        <v>150</v>
      </c>
      <c r="P22" s="154">
        <f>IF($C$2="Celcius",Database!R20,(Database!R20*9/5))</f>
        <v>0.1</v>
      </c>
      <c r="Q22" s="55" t="s">
        <v>58</v>
      </c>
      <c r="R22" s="158">
        <v>2</v>
      </c>
      <c r="S22" s="155">
        <v>60</v>
      </c>
      <c r="T22" s="156">
        <f t="shared" si="0"/>
        <v>0.05</v>
      </c>
      <c r="U22" s="368"/>
      <c r="V22" s="32"/>
      <c r="AB22" s="61"/>
      <c r="AC22" s="61"/>
      <c r="AD22" s="35"/>
      <c r="AE22" s="1"/>
      <c r="AF22" s="16"/>
      <c r="AG22" s="60"/>
    </row>
    <row r="23" spans="1:34" ht="15.5">
      <c r="A23" s="241"/>
      <c r="B23" s="240" t="s">
        <v>25</v>
      </c>
      <c r="C23" s="240"/>
      <c r="D23" s="244">
        <f>'PERHITUNGAN 13'!D24</f>
        <v>22</v>
      </c>
      <c r="E23" s="244">
        <f>'PERHITUNGAN 13'!E24</f>
        <v>58</v>
      </c>
      <c r="F23" s="245" t="str">
        <f>CONCATENATE(D23+J27,K27)</f>
        <v>22,4± 0,79</v>
      </c>
      <c r="G23" s="245" t="str">
        <f>CONCATENATE(E23+J32,K32)</f>
        <v>56,8± 3,4</v>
      </c>
      <c r="H23" s="241"/>
      <c r="I23" s="49"/>
      <c r="J23" s="49"/>
      <c r="K23" s="240"/>
      <c r="L23" s="240"/>
      <c r="M23" s="1"/>
      <c r="N23" s="348"/>
      <c r="O23" s="192">
        <f>IF($C$2="Celcius",Database!Q21,(Database!Q21*9/5)+32)</f>
        <v>200</v>
      </c>
      <c r="P23" s="154">
        <f>IF($C$2="Celcius",Database!R21,(Database!R21*9/5))</f>
        <v>3.0000000000000006E-2</v>
      </c>
      <c r="Q23" s="55" t="s">
        <v>58</v>
      </c>
      <c r="R23" s="158">
        <v>2</v>
      </c>
      <c r="S23" s="155">
        <v>60</v>
      </c>
      <c r="T23" s="156">
        <f t="shared" si="0"/>
        <v>1.5000000000000003E-2</v>
      </c>
      <c r="U23" s="368"/>
      <c r="V23" s="32"/>
      <c r="AB23" s="61"/>
      <c r="AC23" s="61"/>
      <c r="AD23" s="35"/>
      <c r="AE23" s="1"/>
      <c r="AF23" s="16"/>
      <c r="AG23" s="60"/>
    </row>
    <row r="24" spans="1:34" ht="15.5">
      <c r="A24" s="49"/>
      <c r="B24" s="240" t="s">
        <v>26</v>
      </c>
      <c r="C24" s="240"/>
      <c r="D24" s="244">
        <f>'PERHITUNGAN 13'!D25</f>
        <v>22</v>
      </c>
      <c r="E24" s="244">
        <f>'PERHITUNGAN 13'!E25</f>
        <v>58</v>
      </c>
      <c r="F24" s="245" t="str">
        <f>CONCATENATE(D24+J28,K28)</f>
        <v>22,4± 0,79</v>
      </c>
      <c r="G24" s="245" t="str">
        <f>CONCATENATE(E24+J33,K33)</f>
        <v>56,8± 3,4</v>
      </c>
      <c r="H24" s="241"/>
      <c r="I24" s="49"/>
      <c r="J24" s="49"/>
      <c r="K24" s="240"/>
      <c r="L24" s="240"/>
      <c r="M24" s="1"/>
      <c r="N24" s="348"/>
      <c r="O24" s="192">
        <f>IF($C$2="Celcius",Database!Q22,(Database!Q22*9/5)+32)</f>
        <v>250</v>
      </c>
      <c r="P24" s="154">
        <f>IF($C$2="Celcius",Database!R22,(Database!R22*9/5))</f>
        <v>0.13</v>
      </c>
      <c r="Q24" s="55" t="s">
        <v>58</v>
      </c>
      <c r="R24" s="158">
        <v>2</v>
      </c>
      <c r="S24" s="155">
        <v>60</v>
      </c>
      <c r="T24" s="156">
        <f t="shared" si="0"/>
        <v>6.5000000000000002E-2</v>
      </c>
      <c r="U24" s="368"/>
      <c r="V24" s="32"/>
      <c r="AB24" s="61"/>
      <c r="AC24" s="61"/>
      <c r="AD24" s="35"/>
      <c r="AE24" s="1"/>
      <c r="AF24" s="16"/>
      <c r="AG24" s="60"/>
    </row>
    <row r="25" spans="1:34" ht="15.5">
      <c r="A25" s="28"/>
      <c r="B25" s="11"/>
      <c r="C25" s="11"/>
      <c r="D25" s="11"/>
      <c r="E25" s="28"/>
      <c r="F25" s="28"/>
      <c r="G25" s="45"/>
      <c r="H25" s="45"/>
      <c r="I25" s="45"/>
      <c r="J25" s="65"/>
      <c r="K25" s="65"/>
      <c r="L25" s="11"/>
      <c r="M25" s="1"/>
      <c r="N25" s="348"/>
      <c r="O25" s="193">
        <f>IF($C$2="Celcius",Database!Q23,(Database!Q23*9/5)+32)</f>
        <v>260</v>
      </c>
      <c r="P25" s="147">
        <f>IF($C$2="Celcius",Database!R23,(Database!R23*9/5))</f>
        <v>0.04</v>
      </c>
      <c r="Q25" s="52" t="s">
        <v>58</v>
      </c>
      <c r="R25" s="157">
        <v>2</v>
      </c>
      <c r="S25" s="148">
        <v>60</v>
      </c>
      <c r="T25" s="149">
        <f t="shared" si="0"/>
        <v>0.02</v>
      </c>
      <c r="U25" s="343"/>
      <c r="V25" s="32"/>
      <c r="AB25" s="61"/>
      <c r="AC25" s="61"/>
      <c r="AD25" s="35"/>
      <c r="AE25" s="1"/>
      <c r="AF25" s="16"/>
      <c r="AG25" s="60"/>
    </row>
    <row r="26" spans="1:34" ht="23">
      <c r="A26" s="49"/>
      <c r="B26" s="240" t="s">
        <v>214</v>
      </c>
      <c r="C26" s="49"/>
      <c r="D26" s="246" t="s">
        <v>215</v>
      </c>
      <c r="E26" s="246" t="s">
        <v>216</v>
      </c>
      <c r="F26" s="247" t="s">
        <v>217</v>
      </c>
      <c r="G26" s="247" t="s">
        <v>218</v>
      </c>
      <c r="H26" s="247" t="s">
        <v>219</v>
      </c>
      <c r="I26" s="247" t="s">
        <v>220</v>
      </c>
      <c r="J26" s="340" t="s">
        <v>221</v>
      </c>
      <c r="K26" s="341"/>
      <c r="L26" s="240"/>
      <c r="M26" s="1"/>
      <c r="N26" s="204" t="s">
        <v>105</v>
      </c>
      <c r="O26" s="206"/>
      <c r="P26" s="214">
        <f>VLOOKUP($E$11,Database!$AR:$AV,4,0)/2</f>
        <v>5.0000000000000001E-4</v>
      </c>
      <c r="Q26" s="210" t="s">
        <v>62</v>
      </c>
      <c r="R26" s="55"/>
      <c r="S26" s="216" t="s">
        <v>9</v>
      </c>
      <c r="T26" s="212">
        <f>P26/SQRT(3)</f>
        <v>2.886751345948129E-4</v>
      </c>
      <c r="U26" s="208" t="s">
        <v>106</v>
      </c>
      <c r="V26" s="32"/>
      <c r="AB26" s="61"/>
      <c r="AC26" s="61"/>
      <c r="AD26" s="35"/>
      <c r="AE26" s="1"/>
      <c r="AF26" s="16"/>
      <c r="AG26" s="60"/>
    </row>
    <row r="27" spans="1:34" ht="15.75" customHeight="1">
      <c r="A27" s="49"/>
      <c r="B27" s="240" t="s">
        <v>25</v>
      </c>
      <c r="C27" s="49"/>
      <c r="D27" s="244">
        <f>'PERHITUNGAN 13'!D28</f>
        <v>20</v>
      </c>
      <c r="E27" s="244">
        <f>'PERHITUNGAN 13'!E28</f>
        <v>25</v>
      </c>
      <c r="F27" s="247">
        <f>VLOOKUP($D$27:$D$28,Database!$AD$4:$AF$8,2,0)</f>
        <v>0</v>
      </c>
      <c r="G27" s="247">
        <f>VLOOKUP($E$27:$E$28,Database!$AD$4:$AF$8,2,0)</f>
        <v>1</v>
      </c>
      <c r="H27" s="247">
        <f>VLOOKUP($D$27:$D$28,Database!$AD$4:$AF$8,3,0)</f>
        <v>0.79</v>
      </c>
      <c r="I27" s="247">
        <f>VLOOKUP($E$27:$E$28,Database!$AD$4:$AF$8,3,0)</f>
        <v>0.79</v>
      </c>
      <c r="J27" s="75">
        <f>IFERROR((((D23-D27)*(G27-F27)/(E27-D27))+F27),0)</f>
        <v>0.4</v>
      </c>
      <c r="K27" s="75" t="str">
        <f>CONCATENATE("± ",IFERROR((((D23-D27)*(I27-H27)/(E27-D27))+H27),0))</f>
        <v>± 0,79</v>
      </c>
      <c r="L27" s="240"/>
      <c r="M27" s="1"/>
      <c r="N27" s="205"/>
      <c r="O27" s="207"/>
      <c r="P27" s="215"/>
      <c r="Q27" s="211"/>
      <c r="R27" s="50"/>
      <c r="S27" s="217"/>
      <c r="T27" s="213"/>
      <c r="U27" s="209"/>
      <c r="V27" s="32"/>
      <c r="AB27" s="61"/>
      <c r="AC27" s="61"/>
      <c r="AD27" s="35"/>
      <c r="AE27" s="1"/>
      <c r="AG27" s="35"/>
      <c r="AH27" s="18"/>
    </row>
    <row r="28" spans="1:34" ht="15.5">
      <c r="A28" s="49"/>
      <c r="B28" s="240" t="s">
        <v>26</v>
      </c>
      <c r="C28" s="49"/>
      <c r="D28" s="244">
        <f>'PERHITUNGAN 13'!D29</f>
        <v>20</v>
      </c>
      <c r="E28" s="244">
        <f>'PERHITUNGAN 13'!E29</f>
        <v>25</v>
      </c>
      <c r="F28" s="247">
        <f>VLOOKUP($D$27:$D$28,Database!$AD$4:$AF$8,2,0)</f>
        <v>0</v>
      </c>
      <c r="G28" s="247">
        <f>VLOOKUP($E$27:$E$28,Database!$AD$4:$AF$8,2,0)</f>
        <v>1</v>
      </c>
      <c r="H28" s="247">
        <f>VLOOKUP($D$27:$D$28,Database!$AD$4:$AF$8,3,0)</f>
        <v>0.79</v>
      </c>
      <c r="I28" s="247">
        <f>VLOOKUP($E$27:$E$28,Database!$AD$4:$AF$8,3,0)</f>
        <v>0.79</v>
      </c>
      <c r="J28" s="248">
        <f>IFERROR((((D24-D28)*(G28-F28)/(E28-D28))+F28),0)</f>
        <v>0.4</v>
      </c>
      <c r="K28" s="75" t="str">
        <f>CONCATENATE("± ",IFERROR((((D24-D28)*(I28-H28)/(E28-D28))+H28),0))</f>
        <v>± 0,79</v>
      </c>
      <c r="L28" s="240"/>
      <c r="M28" s="1"/>
      <c r="N28" s="344" t="s">
        <v>63</v>
      </c>
      <c r="O28" s="376"/>
      <c r="P28" s="378">
        <f>$I$6/2</f>
        <v>5.0000000000000001E-3</v>
      </c>
      <c r="Q28" s="342" t="s">
        <v>62</v>
      </c>
      <c r="R28" s="57"/>
      <c r="S28" s="337" t="s">
        <v>9</v>
      </c>
      <c r="T28" s="335">
        <f>P28/SQRT(3)</f>
        <v>2.886751345948129E-3</v>
      </c>
      <c r="U28" s="369" t="s">
        <v>107</v>
      </c>
      <c r="V28" s="32"/>
      <c r="AB28" s="326"/>
      <c r="AC28" s="326"/>
      <c r="AD28" s="35"/>
      <c r="AE28" s="1"/>
      <c r="AF28" s="16"/>
      <c r="AG28" s="60"/>
    </row>
    <row r="29" spans="1:34" ht="13.5" customHeight="1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240"/>
      <c r="L29" s="240"/>
      <c r="M29" s="1"/>
      <c r="N29" s="346"/>
      <c r="O29" s="377"/>
      <c r="P29" s="379"/>
      <c r="Q29" s="343"/>
      <c r="R29" s="51"/>
      <c r="S29" s="338"/>
      <c r="T29" s="336"/>
      <c r="U29" s="370"/>
      <c r="X29" s="182"/>
      <c r="Y29" s="1"/>
      <c r="Z29" s="1"/>
      <c r="AA29" s="59"/>
      <c r="AB29" s="61"/>
      <c r="AC29" s="61"/>
      <c r="AE29" s="1"/>
      <c r="AG29" s="35"/>
    </row>
    <row r="30" spans="1:34" ht="15.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240"/>
      <c r="L30" s="240"/>
      <c r="M30" s="1"/>
      <c r="X30" s="182"/>
      <c r="Y30" s="1"/>
      <c r="Z30" s="1"/>
      <c r="AA30" s="59"/>
      <c r="AB30" s="326"/>
      <c r="AC30" s="326"/>
      <c r="AD30" s="35"/>
      <c r="AE30" s="1"/>
      <c r="AF30" s="16"/>
      <c r="AG30" s="60"/>
      <c r="AH30" s="15"/>
    </row>
    <row r="31" spans="1:34" ht="13.5" customHeight="1">
      <c r="A31" s="49"/>
      <c r="B31" s="240" t="s">
        <v>114</v>
      </c>
      <c r="C31" s="49"/>
      <c r="D31" s="246" t="s">
        <v>215</v>
      </c>
      <c r="E31" s="246" t="s">
        <v>216</v>
      </c>
      <c r="F31" s="247" t="s">
        <v>217</v>
      </c>
      <c r="G31" s="247" t="s">
        <v>218</v>
      </c>
      <c r="H31" s="247" t="s">
        <v>219</v>
      </c>
      <c r="I31" s="247" t="s">
        <v>220</v>
      </c>
      <c r="J31" s="340" t="s">
        <v>221</v>
      </c>
      <c r="K31" s="341"/>
      <c r="L31" s="240"/>
      <c r="M31" s="1"/>
      <c r="X31" s="182"/>
      <c r="Y31" s="1"/>
      <c r="Z31" s="1"/>
      <c r="AA31" s="59"/>
      <c r="AB31" s="61"/>
      <c r="AC31" s="61"/>
      <c r="AD31" s="61"/>
      <c r="AG31" s="35"/>
      <c r="AH31" s="15"/>
    </row>
    <row r="32" spans="1:34" ht="13.5" customHeight="1">
      <c r="A32" s="49"/>
      <c r="B32" s="240" t="s">
        <v>25</v>
      </c>
      <c r="C32" s="49"/>
      <c r="D32" s="244">
        <f>'PERHITUNGAN 13'!D33</f>
        <v>55</v>
      </c>
      <c r="E32" s="244">
        <f>'PERHITUNGAN 13'!E33</f>
        <v>60</v>
      </c>
      <c r="F32" s="247">
        <f>VLOOKUP($D$32:$D$33,Database!$AG$4:$AI$8,2,0)</f>
        <v>0</v>
      </c>
      <c r="G32" s="247">
        <f>VLOOKUP($E$32:$E$33,Database!$AG$4:$AI$8,2,0)</f>
        <v>-2</v>
      </c>
      <c r="H32" s="247">
        <f>VLOOKUP($D$32:$D$33,Database!$AG$4:$AI$8,3,0)</f>
        <v>3.4</v>
      </c>
      <c r="I32" s="247">
        <f>VLOOKUP($E$32:$E$33,Database!$AG$4:$AI$8,3,0)</f>
        <v>3.4</v>
      </c>
      <c r="J32" s="75">
        <f>IFERROR((((E23-D32)*(G32-F32)/(E32-D32))+F32),0)</f>
        <v>-1.2</v>
      </c>
      <c r="K32" s="75" t="str">
        <f>CONCATENATE("± ",IFERROR((((E23-D32)*(I32-H32)/(E32-D32))+H32),0))</f>
        <v>± 3,4</v>
      </c>
      <c r="L32" s="240"/>
      <c r="M32" s="1"/>
      <c r="X32" s="182"/>
      <c r="Y32" s="1"/>
      <c r="Z32" s="1"/>
      <c r="AA32" s="59"/>
      <c r="AB32" s="326"/>
      <c r="AC32" s="326"/>
      <c r="AD32" s="35"/>
      <c r="AF32" s="16"/>
      <c r="AG32" s="62"/>
      <c r="AH32" s="15"/>
    </row>
    <row r="33" spans="1:30">
      <c r="A33" s="49"/>
      <c r="B33" s="240" t="s">
        <v>26</v>
      </c>
      <c r="C33" s="49"/>
      <c r="D33" s="244">
        <f>'PERHITUNGAN 13'!D34</f>
        <v>55</v>
      </c>
      <c r="E33" s="244">
        <f>'PERHITUNGAN 13'!E34</f>
        <v>60</v>
      </c>
      <c r="F33" s="247">
        <f>VLOOKUP($D$32:$D$33,Database!$AG$4:$AI$8,2,0)</f>
        <v>0</v>
      </c>
      <c r="G33" s="247">
        <f>VLOOKUP($E$32:$E$33,Database!$AG$4:$AI$8,2,0)</f>
        <v>-2</v>
      </c>
      <c r="H33" s="247">
        <f>VLOOKUP($D$32:$D$33,Database!$AG$4:$AI$8,3,0)</f>
        <v>3.4</v>
      </c>
      <c r="I33" s="247">
        <f>VLOOKUP($E$32:$E$33,Database!$AG$4:$AI$8,3,0)</f>
        <v>3.4</v>
      </c>
      <c r="J33" s="248">
        <f>IFERROR((((E24-D33)*(G33-F33)/(E33-D33))+F33),0)</f>
        <v>-1.2</v>
      </c>
      <c r="K33" s="75" t="str">
        <f>CONCATENATE("± ",IFERROR((((E24-D33)*(I33-H33)/(E33-D33))+H33),0))</f>
        <v>± 3,4</v>
      </c>
      <c r="L33" s="240"/>
      <c r="M33" s="1"/>
      <c r="N33" s="195"/>
      <c r="O33" s="1"/>
      <c r="X33" s="182"/>
      <c r="Y33" s="1"/>
      <c r="Z33" s="1"/>
      <c r="AA33" s="59"/>
      <c r="AB33" s="1"/>
      <c r="AC33" s="1"/>
      <c r="AD33" s="35"/>
    </row>
    <row r="34" spans="1:30" ht="13.5" customHeight="1">
      <c r="X34" s="45"/>
      <c r="Y34" s="45"/>
      <c r="Z34" s="45"/>
      <c r="AA34" s="45"/>
      <c r="AB34" s="1"/>
    </row>
    <row r="35" spans="1:30">
      <c r="N35" s="36" t="s">
        <v>51</v>
      </c>
      <c r="O35" s="2"/>
      <c r="P35" s="2"/>
      <c r="Q35" s="2"/>
      <c r="R35" s="2"/>
      <c r="S35" s="2"/>
      <c r="AB35" s="1"/>
    </row>
    <row r="36" spans="1:30">
      <c r="N36" s="391" t="s">
        <v>189</v>
      </c>
      <c r="O36" s="380">
        <f>F48</f>
        <v>-9.8225999999999996</v>
      </c>
      <c r="P36" s="380">
        <f>F56</f>
        <v>0.20899999999999999</v>
      </c>
      <c r="Q36" s="380">
        <f>F64</f>
        <v>25.386399999999998</v>
      </c>
      <c r="R36" s="380">
        <f>F72</f>
        <v>50.4846</v>
      </c>
      <c r="S36" s="380">
        <f>F80</f>
        <v>99.792800000000014</v>
      </c>
      <c r="T36" s="380">
        <f>F88</f>
        <v>125.33880000000002</v>
      </c>
      <c r="U36" s="380">
        <f>F96</f>
        <v>151.06760000000003</v>
      </c>
      <c r="V36" s="380">
        <f>F104</f>
        <v>199.37439999999998</v>
      </c>
      <c r="W36" s="380">
        <f>F112</f>
        <v>0</v>
      </c>
      <c r="X36" s="380">
        <f>F120</f>
        <v>0</v>
      </c>
      <c r="Y36" s="46"/>
      <c r="Z36" s="46"/>
      <c r="AA36" s="46"/>
      <c r="AB36" s="1"/>
    </row>
    <row r="37" spans="1:30">
      <c r="N37" s="392"/>
      <c r="O37" s="381"/>
      <c r="P37" s="381"/>
      <c r="Q37" s="381"/>
      <c r="R37" s="381"/>
      <c r="S37" s="381"/>
      <c r="T37" s="381"/>
      <c r="U37" s="381"/>
      <c r="V37" s="381"/>
      <c r="W37" s="381"/>
      <c r="X37" s="381"/>
      <c r="Y37" s="1"/>
      <c r="Z37" s="1"/>
      <c r="AA37" s="1"/>
      <c r="AB37" s="1"/>
    </row>
    <row r="38" spans="1:30">
      <c r="N38" s="20" t="s">
        <v>49</v>
      </c>
      <c r="O38" s="54">
        <f>IF('PERHITUNGAN 24'!$E$11="Burn Engr",IF(O36&lt;=$AA$38,$AB$38,$AB$39),IF(O36&lt;=$AC$38,$AD$38,IF(O36&lt;=$AC$39,$AD$39,$AD$40)))</f>
        <v>0.02</v>
      </c>
      <c r="P38" s="54">
        <f>IF('PERHITUNGAN 24'!$E$11="Burn Engr",IF(P36&lt;=$AA$38,$AB$38,$AB$39),IF(P36&lt;=$AC$38,$AD$38,IF(P36&lt;=$AC$39,$AD$39,$AD$40)))</f>
        <v>7.0000000000000007E-2</v>
      </c>
      <c r="Q38" s="54">
        <f>IF('PERHITUNGAN 24'!$E$11="Burn Engr",IF(Q36&lt;=$AA$38,$AB$38,$AB$39),IF(Q36&lt;=$AC$38,$AD$38,IF(Q36&lt;=$AC$39,$AD$39,$AD$40)))</f>
        <v>7.0000000000000007E-2</v>
      </c>
      <c r="R38" s="54">
        <f>IF('PERHITUNGAN 24'!$E$11="Burn Engr",IF(R36&lt;=$AA$38,$AB$38,$AB$39),IF(R36&lt;=$AC$38,$AD$38,IF(R36&lt;=$AC$39,$AD$39,$AD$40)))</f>
        <v>7.0000000000000007E-2</v>
      </c>
      <c r="S38" s="54">
        <f>IF('PERHITUNGAN 24'!$E$11="Burn Engr",IF(S36&lt;=$AA$38,$AB$38,$AB$39),IF(S36&lt;=$AC$38,$AD$38,IF(S36&lt;=$AC$39,$AD$39,$AD$40)))</f>
        <v>7.0000000000000007E-2</v>
      </c>
      <c r="T38" s="54">
        <f>IF('PERHITUNGAN 24'!$E$11="Burn Engr",IF(T36&lt;=$AA$38,$AB$38,$AB$39),IF(T36&lt;=$AC$38,$AD$38,IF(T36&lt;=$AC$39,$AD$39,$AD$40)))</f>
        <v>7.0000000000000007E-2</v>
      </c>
      <c r="U38" s="54">
        <f>IF('PERHITUNGAN 24'!$E$11="Burn Engr",IF(U36&lt;=$AA$38,$AB$38,$AB$39),IF(U36&lt;=$AC$38,$AD$38,IF(U36&lt;=$AC$39,$AD$39,$AD$40)))</f>
        <v>7.0000000000000007E-2</v>
      </c>
      <c r="V38" s="54">
        <f>IF('PERHITUNGAN 24'!$E$11="Burn Engr",IF(V36&lt;=$AA$38,$AB$38,$AB$39),IF(V36&lt;=$AC$38,$AD$38,IF(V36&lt;=$AC$39,$AD$39,$AD$40)))</f>
        <v>7.0000000000000007E-2</v>
      </c>
      <c r="W38" s="54">
        <f>IF('PERHITUNGAN 24'!$E$11="Burn Engr",IF(W36&lt;=$AA$38,$AB$38,$AB$39),IF(W36&lt;=$AC$38,$AD$38,IF(W36&lt;=$AC$39,$AD$39,$AD$40)))</f>
        <v>0.02</v>
      </c>
      <c r="X38" s="54">
        <f>IF('PERHITUNGAN 24'!$E$11="Burn Engr",IF(X36&lt;=$AA$38,$AB$38,$AB$39),IF(X36&lt;=$AC$38,$AD$38,IF(X36&lt;=$AC$39,$AD$39,$AD$40)))</f>
        <v>0.02</v>
      </c>
      <c r="Y38" s="19"/>
      <c r="Z38" s="19"/>
      <c r="AA38" s="187">
        <f>IF($C$2="Celcius",Database!H3,(Database!H3*9/5)+32)</f>
        <v>0</v>
      </c>
      <c r="AB38" s="188">
        <f>IF($C$2="Celcius",Database!I3,(Database!I3*9/5))</f>
        <v>0.02</v>
      </c>
      <c r="AC38" s="139">
        <f>IF($C$2="Celcius",Database!L3,(Database!L3*9/5)+32)</f>
        <v>0</v>
      </c>
      <c r="AD38" s="139">
        <f>IF($C$2="Celcius",Database!M3,(Database!M3*9/5))</f>
        <v>0.05</v>
      </c>
    </row>
    <row r="39" spans="1:30">
      <c r="A39" s="2" t="s">
        <v>32</v>
      </c>
      <c r="B39" s="2"/>
      <c r="C39" s="2"/>
      <c r="D39" s="2"/>
      <c r="E39" s="2"/>
      <c r="F39" s="2"/>
      <c r="G39" s="2"/>
      <c r="N39" s="25" t="s">
        <v>50</v>
      </c>
      <c r="O39" s="25">
        <v>2</v>
      </c>
      <c r="P39" s="25">
        <v>2</v>
      </c>
      <c r="Q39" s="25">
        <v>2</v>
      </c>
      <c r="R39" s="25">
        <v>2</v>
      </c>
      <c r="S39" s="25">
        <v>2</v>
      </c>
      <c r="T39" s="25">
        <v>2</v>
      </c>
      <c r="U39" s="25">
        <v>2</v>
      </c>
      <c r="V39" s="25">
        <v>2</v>
      </c>
      <c r="W39" s="25">
        <v>2</v>
      </c>
      <c r="X39" s="25">
        <v>2</v>
      </c>
      <c r="Y39" s="19"/>
      <c r="Z39" s="19"/>
      <c r="AA39" s="187">
        <f>IF($C$2="Celcius",Database!H4,(Database!H4*9/5)+32)</f>
        <v>500</v>
      </c>
      <c r="AB39" s="188">
        <f>IF($C$2="Celcius",Database!I4,(Database!I4*9/5))</f>
        <v>7.0000000000000007E-2</v>
      </c>
      <c r="AC39" s="139">
        <f>IF($C$2="Celcius",Database!L4,(Database!L4*9/5)+32)</f>
        <v>250</v>
      </c>
      <c r="AD39" s="139">
        <f>IF($C$2="Celcius",Database!M4,(Database!M4*9/5))</f>
        <v>3.1E-2</v>
      </c>
    </row>
    <row r="40" spans="1:30">
      <c r="A40" s="39"/>
      <c r="B40" s="3" t="s">
        <v>65</v>
      </c>
      <c r="C40" s="382" t="s">
        <v>2</v>
      </c>
      <c r="D40" s="382"/>
      <c r="E40" s="39" t="s">
        <v>2</v>
      </c>
      <c r="F40" s="39" t="s">
        <v>2</v>
      </c>
      <c r="G40" s="39" t="s">
        <v>4</v>
      </c>
      <c r="H40" s="1"/>
      <c r="I40" s="1"/>
      <c r="N40" s="38" t="s">
        <v>28</v>
      </c>
      <c r="O40" s="37">
        <f>O38/O39</f>
        <v>0.01</v>
      </c>
      <c r="P40" s="37">
        <f t="shared" ref="P40:X40" si="1">P38/P39</f>
        <v>3.5000000000000003E-2</v>
      </c>
      <c r="Q40" s="37">
        <f t="shared" si="1"/>
        <v>3.5000000000000003E-2</v>
      </c>
      <c r="R40" s="37">
        <f>R38/R39</f>
        <v>3.5000000000000003E-2</v>
      </c>
      <c r="S40" s="37">
        <f t="shared" si="1"/>
        <v>3.5000000000000003E-2</v>
      </c>
      <c r="T40" s="37">
        <f t="shared" si="1"/>
        <v>3.5000000000000003E-2</v>
      </c>
      <c r="U40" s="37">
        <f t="shared" si="1"/>
        <v>3.5000000000000003E-2</v>
      </c>
      <c r="V40" s="37">
        <f t="shared" si="1"/>
        <v>3.5000000000000003E-2</v>
      </c>
      <c r="W40" s="37">
        <f t="shared" si="1"/>
        <v>0.01</v>
      </c>
      <c r="X40" s="37">
        <f t="shared" si="1"/>
        <v>0.01</v>
      </c>
      <c r="AA40" s="189"/>
      <c r="AB40" s="189"/>
      <c r="AC40" s="139">
        <f>IF($C$2="Celcius",Database!L5,(Database!L5*9/5)+32)</f>
        <v>400</v>
      </c>
      <c r="AD40" s="139">
        <f>IF($C$2="Celcius",Database!M5,(Database!M5*9/5))</f>
        <v>0.08</v>
      </c>
    </row>
    <row r="41" spans="1:30">
      <c r="A41" s="105" t="s">
        <v>0</v>
      </c>
      <c r="B41" s="71" t="s">
        <v>102</v>
      </c>
      <c r="C41" s="383" t="s">
        <v>3</v>
      </c>
      <c r="D41" s="383"/>
      <c r="E41" s="105" t="s">
        <v>1</v>
      </c>
      <c r="F41" s="105" t="s">
        <v>29</v>
      </c>
      <c r="G41" s="105" t="s">
        <v>5</v>
      </c>
      <c r="H41" s="1"/>
      <c r="I41" s="1"/>
      <c r="AA41" s="1"/>
      <c r="AB41" s="1"/>
    </row>
    <row r="42" spans="1:30" ht="13.5" customHeight="1">
      <c r="A42" s="9"/>
      <c r="B42" s="5" t="str">
        <f>IF($C$2="Celcius","(°C)","(°F)")</f>
        <v>(°C)</v>
      </c>
      <c r="C42" s="375" t="str">
        <f>CONCATENATE("r ", IF($C$2="Celcius","(°C)","(°F)"))</f>
        <v>r (°C)</v>
      </c>
      <c r="D42" s="375"/>
      <c r="E42" s="9" t="str">
        <f>CONCATENATE("t ", IF($C$2="Celcius","(°C)","(°F)"))</f>
        <v>t (°C)</v>
      </c>
      <c r="F42" s="9" t="str">
        <f>CONCATENATE("t ", IF($C$2="Celcius","(°C)","(°F)"))</f>
        <v>t (°C)</v>
      </c>
      <c r="G42" s="9" t="str">
        <f>IF($C$2="Celcius","(°C)","(°F)")</f>
        <v>(°C)</v>
      </c>
      <c r="H42" s="1"/>
      <c r="I42" s="1"/>
      <c r="N42" t="s">
        <v>10</v>
      </c>
      <c r="S42" s="35" t="s">
        <v>13</v>
      </c>
      <c r="W42" t="s">
        <v>169</v>
      </c>
      <c r="AA42" s="59"/>
      <c r="AB42" s="1"/>
    </row>
    <row r="43" spans="1:30" ht="13.5" customHeight="1">
      <c r="A43" s="105">
        <v>1</v>
      </c>
      <c r="B43" s="194">
        <v>-10</v>
      </c>
      <c r="C43" s="373">
        <v>-9</v>
      </c>
      <c r="D43" s="374"/>
      <c r="E43" s="90">
        <v>-9.8230000000000004</v>
      </c>
      <c r="F43" s="37">
        <f>IF('PERHITUNGAN 24'!$E$11="Burn Engr",'PERHITUNGAN 24'!E43,E43+('regresi PRT'!$P$40+('regresi PRT'!$P$41*E43)+('regresi PRT'!$P$42*(E43^2))+('regresi PRT'!$P$43*(E43^3))+('regresi PRT'!$P$44*(E43^4))+('regresi PRT'!$P$45*(E43^5))+('regresi PRT'!$P$46*(E43^6))+('regresi PRT'!$P$47*(E43^7))+('regresi PRT'!$P$48*(E43^8))+('regresi PRT'!$P$49*(E43^9))+('regresi PRT'!$P$50*(E43^10))))</f>
        <v>-9.8230000000000004</v>
      </c>
      <c r="G43" s="90">
        <f>F43-C43</f>
        <v>-0.8230000000000004</v>
      </c>
      <c r="H43" s="63"/>
      <c r="I43" s="63"/>
      <c r="N43" t="s">
        <v>11</v>
      </c>
      <c r="S43" s="35" t="s">
        <v>12</v>
      </c>
      <c r="AA43" s="1"/>
      <c r="AB43" s="1"/>
    </row>
    <row r="44" spans="1:30" ht="13.5" customHeight="1">
      <c r="A44" s="105"/>
      <c r="C44" s="373">
        <v>-9</v>
      </c>
      <c r="D44" s="374"/>
      <c r="E44" s="90">
        <v>-9.8230000000000004</v>
      </c>
      <c r="F44" s="37">
        <f>IF('PERHITUNGAN 24'!$E$11="Burn Engr",'PERHITUNGAN 24'!E44,E44+('regresi PRT'!$P$40+('regresi PRT'!$P$41*E44)+('regresi PRT'!$P$42*(E44^2))+('regresi PRT'!$P$43*(E44^3))+('regresi PRT'!$P$44*(E44^4))+('regresi PRT'!$P$45*(E44^5))+('regresi PRT'!$P$46*(E44^6))+('regresi PRT'!$P$47*(E44^7))+('regresi PRT'!$P$48*(E44^8))+('regresi PRT'!$P$49*(E44^9))+('regresi PRT'!$P$50*(E44^10))))</f>
        <v>-9.8230000000000004</v>
      </c>
      <c r="G44" s="90">
        <f>F44-C44</f>
        <v>-0.8230000000000004</v>
      </c>
      <c r="H44" s="63"/>
      <c r="I44" s="63"/>
      <c r="AB44" s="1"/>
    </row>
    <row r="45" spans="1:30" ht="13.5" customHeight="1">
      <c r="A45" s="105"/>
      <c r="C45" s="373">
        <v>-9</v>
      </c>
      <c r="D45" s="374"/>
      <c r="E45" s="90">
        <v>-9.8230000000000004</v>
      </c>
      <c r="F45" s="37">
        <f>IF('PERHITUNGAN 24'!$E$11="Burn Engr",'PERHITUNGAN 24'!E45,E45+('regresi PRT'!$P$40+('regresi PRT'!$P$41*E45)+('regresi PRT'!$P$42*(E45^2))+('regresi PRT'!$P$43*(E45^3))+('regresi PRT'!$P$44*(E45^4))+('regresi PRT'!$P$45*(E45^5))+('regresi PRT'!$P$46*(E45^6))+('regresi PRT'!$P$47*(E45^7))+('regresi PRT'!$P$48*(E45^8))+('regresi PRT'!$P$49*(E45^9))+('regresi PRT'!$P$50*(E45^10))))</f>
        <v>-9.8230000000000004</v>
      </c>
      <c r="G45" s="90">
        <f>F45-C45</f>
        <v>-0.8230000000000004</v>
      </c>
      <c r="H45" s="63"/>
      <c r="I45" s="63"/>
      <c r="L45" s="22"/>
      <c r="N45" s="387" t="s">
        <v>69</v>
      </c>
      <c r="O45" s="388"/>
      <c r="P45" s="388"/>
      <c r="Q45" s="388"/>
      <c r="R45" s="388"/>
      <c r="S45" s="388"/>
      <c r="T45" s="401" t="s">
        <v>113</v>
      </c>
      <c r="U45" s="402"/>
      <c r="V45" s="402"/>
      <c r="W45" s="402"/>
      <c r="X45" s="402"/>
      <c r="Y45" s="387"/>
    </row>
    <row r="46" spans="1:30" ht="15.5">
      <c r="A46" s="105"/>
      <c r="C46" s="373">
        <v>-9</v>
      </c>
      <c r="D46" s="374"/>
      <c r="E46" s="90">
        <v>-9.8219999999999992</v>
      </c>
      <c r="F46" s="37">
        <f>IF('PERHITUNGAN 24'!$E$11="Burn Engr",'PERHITUNGAN 24'!E46,E46+('regresi PRT'!$P$40+('regresi PRT'!$P$41*E46)+('regresi PRT'!$P$42*(E46^2))+('regresi PRT'!$P$43*(E46^3))+('regresi PRT'!$P$44*(E46^4))+('regresi PRT'!$P$45*(E46^5))+('regresi PRT'!$P$46*(E46^6))+('regresi PRT'!$P$47*(E46^7))+('regresi PRT'!$P$48*(E46^8))+('regresi PRT'!$P$49*(E46^9))+('regresi PRT'!$P$50*(E46^10))))</f>
        <v>-9.8219999999999992</v>
      </c>
      <c r="G46" s="90">
        <f>F46-C46</f>
        <v>-0.82199999999999918</v>
      </c>
      <c r="H46" s="63"/>
      <c r="I46" s="63"/>
      <c r="N46" s="25" t="str">
        <f>CONCATENATE("Suhu ", IF($C$2="Celcius","(°C)","(°F)"))</f>
        <v>Suhu (°C)</v>
      </c>
      <c r="O46" s="99" t="s">
        <v>28</v>
      </c>
      <c r="P46" s="100" t="s">
        <v>55</v>
      </c>
      <c r="Q46" s="100" t="s">
        <v>66</v>
      </c>
      <c r="R46" s="101" t="s">
        <v>8</v>
      </c>
      <c r="S46" s="102" t="s">
        <v>67</v>
      </c>
      <c r="T46" s="179" t="str">
        <f>CONCATENATE("Suhu ", IF($C$2="Celcius","(°C)","(°F)"))</f>
        <v>Suhu (°C)</v>
      </c>
      <c r="U46" s="99" t="s">
        <v>28</v>
      </c>
      <c r="V46" s="100" t="s">
        <v>55</v>
      </c>
      <c r="W46" s="100" t="s">
        <v>66</v>
      </c>
      <c r="X46" s="101" t="s">
        <v>8</v>
      </c>
      <c r="Y46" s="102" t="s">
        <v>67</v>
      </c>
    </row>
    <row r="47" spans="1:30" ht="15.5">
      <c r="A47" s="105"/>
      <c r="C47" s="373">
        <v>-9</v>
      </c>
      <c r="D47" s="374"/>
      <c r="E47" s="90">
        <v>-9.8219999999999992</v>
      </c>
      <c r="F47" s="37">
        <f>IF('PERHITUNGAN 24'!$E$11="Burn Engr",'PERHITUNGAN 24'!E47,E47+('regresi PRT'!$P$40+('regresi PRT'!$P$41*E47)+('regresi PRT'!$P$42*(E47^2))+('regresi PRT'!$P$43*(E47^3))+('regresi PRT'!$P$44*(E47^4))+('regresi PRT'!$P$45*(E47^5))+('regresi PRT'!$P$46*(E47^6))+('regresi PRT'!$P$47*(E47^7))+('regresi PRT'!$P$48*(E47^8))+('regresi PRT'!$P$49*(E47^9))+('regresi PRT'!$P$50*(E47^10))))</f>
        <v>-9.8219999999999992</v>
      </c>
      <c r="G47" s="90">
        <f>F47-C47</f>
        <v>-0.82199999999999918</v>
      </c>
      <c r="H47" s="63"/>
      <c r="I47" s="63"/>
      <c r="J47" s="15"/>
      <c r="N47" s="110">
        <f>IF($C$2="Celcius",Database!T3,(Database!T3*9/5)+32)</f>
        <v>30</v>
      </c>
      <c r="O47" s="39">
        <f>IF($C$2="Celcius",Database!U3,(Database!U3*9/5))</f>
        <v>0.7</v>
      </c>
      <c r="P47" s="197" t="s">
        <v>58</v>
      </c>
      <c r="Q47" s="39">
        <v>2</v>
      </c>
      <c r="R47" s="103">
        <v>60</v>
      </c>
      <c r="S47" s="161">
        <f t="shared" ref="S47:S52" si="2">O47/Q47</f>
        <v>0.35</v>
      </c>
      <c r="T47" s="3" t="str">
        <f>IF($C$2="Celcius",CONCATENATE(Database!W3,"~",Database!Y3),CONCATENATE((Database!W3*9/5)+32,"~",(Database!Y3*9/5)+32))</f>
        <v>50~100</v>
      </c>
      <c r="U47" s="39">
        <f>IF($C$2="Celcius",Database!Z3,(Database!Z3*9/5))</f>
        <v>0.7</v>
      </c>
      <c r="V47" s="39" t="s">
        <v>58</v>
      </c>
      <c r="W47" s="39">
        <v>2</v>
      </c>
      <c r="X47" s="103">
        <v>60</v>
      </c>
      <c r="Y47" s="104">
        <f>U47/W47</f>
        <v>0.35</v>
      </c>
    </row>
    <row r="48" spans="1:30" ht="15.5">
      <c r="A48" s="105"/>
      <c r="B48" s="4" t="s">
        <v>31</v>
      </c>
      <c r="C48" s="356">
        <f>AVERAGE(C43:D47)</f>
        <v>-9</v>
      </c>
      <c r="D48" s="357"/>
      <c r="E48" s="95">
        <f>AVERAGE(E43:E47)</f>
        <v>-9.8225999999999996</v>
      </c>
      <c r="F48" s="95">
        <f>AVERAGE(F43:F47)</f>
        <v>-9.8225999999999996</v>
      </c>
      <c r="G48" s="95">
        <f>SUM(G43:G47)/5</f>
        <v>-0.82259999999999989</v>
      </c>
      <c r="H48" s="63"/>
      <c r="I48" s="63"/>
      <c r="J48" s="15"/>
      <c r="N48" s="146">
        <f>IF($C$2="Celcius",Database!T4,(Database!T4*9/5)+32)</f>
        <v>50</v>
      </c>
      <c r="O48" s="105">
        <f>IF($C$2="Celcius",Database!U4,(Database!U4*9/5))</f>
        <v>0.7</v>
      </c>
      <c r="P48" s="198" t="s">
        <v>58</v>
      </c>
      <c r="Q48" s="105">
        <v>2</v>
      </c>
      <c r="R48" s="143">
        <v>60</v>
      </c>
      <c r="S48" s="144">
        <f t="shared" si="2"/>
        <v>0.35</v>
      </c>
      <c r="T48" s="5" t="str">
        <f>IF($C$2="Celcius",CONCATENATE(Database!W4,"~",Database!Y4),CONCATENATE((Database!W4*9/5)+32,"~",(Database!Y4*9/5)+32))</f>
        <v>150~350</v>
      </c>
      <c r="U48" s="9">
        <f>IF($C$2="Celcius",Database!Z4,(Database!Z4*9/5))</f>
        <v>1.1000000000000001</v>
      </c>
      <c r="V48" s="9" t="s">
        <v>58</v>
      </c>
      <c r="W48" s="9">
        <v>2</v>
      </c>
      <c r="X48" s="108">
        <v>60</v>
      </c>
      <c r="Y48" s="109">
        <f>U48/W48</f>
        <v>0.55000000000000004</v>
      </c>
    </row>
    <row r="49" spans="1:28" ht="15.5">
      <c r="A49" s="105"/>
      <c r="B49" s="4" t="s">
        <v>30</v>
      </c>
      <c r="C49" s="371"/>
      <c r="D49" s="372"/>
      <c r="E49" s="4"/>
      <c r="F49" s="4"/>
      <c r="G49" s="96">
        <f>_xlfn.STDEV.S(G43:G47)</f>
        <v>5.4772255750583549E-4</v>
      </c>
      <c r="H49" s="44"/>
      <c r="I49" s="63"/>
      <c r="J49" s="15"/>
      <c r="N49" s="146">
        <f>IF($C$2="Celcius",Database!T5,(Database!T5*9/5)+32)</f>
        <v>75</v>
      </c>
      <c r="O49" s="105">
        <f>IF($C$2="Celcius",Database!U5,(Database!U5*9/5))</f>
        <v>0.7</v>
      </c>
      <c r="P49" s="198" t="s">
        <v>58</v>
      </c>
      <c r="Q49" s="105">
        <v>2</v>
      </c>
      <c r="R49" s="143">
        <v>60</v>
      </c>
      <c r="S49" s="106">
        <f t="shared" si="2"/>
        <v>0.35</v>
      </c>
      <c r="T49" s="107"/>
    </row>
    <row r="50" spans="1:28" ht="15.5">
      <c r="A50" s="9"/>
      <c r="B50" s="175" t="s">
        <v>6</v>
      </c>
      <c r="C50" s="358"/>
      <c r="D50" s="359"/>
      <c r="E50" s="5"/>
      <c r="F50" s="5"/>
      <c r="G50" s="97">
        <f>G49/SQRT(5)</f>
        <v>2.4494897427861713E-4</v>
      </c>
      <c r="H50" s="44"/>
      <c r="I50" s="63"/>
      <c r="J50" s="15"/>
      <c r="N50" s="146">
        <f>IF($C$2="Celcius",Database!T6,(Database!T6*9/5)+32)</f>
        <v>100</v>
      </c>
      <c r="O50" s="105">
        <f>IF($C$2="Celcius",Database!U6,(Database!U6*9/5))</f>
        <v>0.7</v>
      </c>
      <c r="P50" s="198" t="s">
        <v>58</v>
      </c>
      <c r="Q50" s="105">
        <v>2</v>
      </c>
      <c r="R50" s="143">
        <v>60</v>
      </c>
      <c r="S50" s="106">
        <f t="shared" si="2"/>
        <v>0.35</v>
      </c>
      <c r="T50" s="107"/>
    </row>
    <row r="51" spans="1:28" ht="15.5">
      <c r="A51" s="105">
        <v>2</v>
      </c>
      <c r="B51" s="194">
        <v>0</v>
      </c>
      <c r="C51" s="373">
        <v>0.7</v>
      </c>
      <c r="D51" s="374"/>
      <c r="E51" s="90">
        <v>0.20899999999999999</v>
      </c>
      <c r="F51" s="37">
        <f>IF('PERHITUNGAN 24'!$E$11="Burn Engr",'PERHITUNGAN 24'!E51,E51+('regresi PRT'!$P$40+('regresi PRT'!$P$41*E51)+('regresi PRT'!$P$42*(E51^2))+('regresi PRT'!$P$43*(E51^3))+('regresi PRT'!$P$44*(E51^4))+('regresi PRT'!$P$45*(E51^5))+('regresi PRT'!$P$46*(E51^6))+('regresi PRT'!$P$47*(E51^7))+('regresi PRT'!$P$48*(E51^8))+('regresi PRT'!$P$49*(E51^9))+('regresi PRT'!$P$50*(E51^10))))</f>
        <v>0.20899999999999999</v>
      </c>
      <c r="G51" s="90">
        <f>F51-C51</f>
        <v>-0.49099999999999999</v>
      </c>
      <c r="H51" s="63"/>
      <c r="I51" s="63"/>
      <c r="J51" s="15"/>
      <c r="N51" s="146">
        <f>IF($C$2="Celcius",Database!T7,(Database!T7*9/5)+32)</f>
        <v>150</v>
      </c>
      <c r="O51" s="105">
        <f>IF($C$2="Celcius",Database!U7,(Database!U7*9/5))</f>
        <v>1</v>
      </c>
      <c r="P51" s="198" t="s">
        <v>58</v>
      </c>
      <c r="Q51" s="105">
        <v>2</v>
      </c>
      <c r="R51" s="143">
        <v>60</v>
      </c>
      <c r="S51" s="106">
        <f t="shared" si="2"/>
        <v>0.5</v>
      </c>
      <c r="T51" s="107"/>
    </row>
    <row r="52" spans="1:28" ht="15.5">
      <c r="A52" s="10"/>
      <c r="C52" s="373">
        <v>0.7</v>
      </c>
      <c r="D52" s="374"/>
      <c r="E52" s="90">
        <v>0.20899999999999999</v>
      </c>
      <c r="F52" s="37">
        <f>IF('PERHITUNGAN 24'!$E$11="Burn Engr",'PERHITUNGAN 24'!E52,E52+('regresi PRT'!$P$40+('regresi PRT'!$P$41*E52)+('regresi PRT'!$P$42*(E52^2))+('regresi PRT'!$P$43*(E52^3))+('regresi PRT'!$P$44*(E52^4))+('regresi PRT'!$P$45*(E52^5))+('regresi PRT'!$P$46*(E52^6))+('regresi PRT'!$P$47*(E52^7))+('regresi PRT'!$P$48*(E52^8))+('regresi PRT'!$P$49*(E52^9))+('regresi PRT'!$P$50*(E52^10))))</f>
        <v>0.20899999999999999</v>
      </c>
      <c r="G52" s="90">
        <f>F52-C52</f>
        <v>-0.49099999999999999</v>
      </c>
      <c r="H52" s="63"/>
      <c r="I52" s="63"/>
      <c r="N52" s="159">
        <f>IF($C$2="Celcius",Database!T8,(Database!T8*9/5)+32)</f>
        <v>200</v>
      </c>
      <c r="O52" s="9">
        <f>IF($C$2="Celcius",Database!U8,(Database!U8*9/5))</f>
        <v>1</v>
      </c>
      <c r="P52" s="199" t="s">
        <v>58</v>
      </c>
      <c r="Q52" s="9">
        <v>2</v>
      </c>
      <c r="R52" s="108">
        <v>60</v>
      </c>
      <c r="S52" s="160">
        <f t="shared" si="2"/>
        <v>0.5</v>
      </c>
      <c r="T52" s="107"/>
    </row>
    <row r="53" spans="1:28" ht="15.5">
      <c r="A53" s="10"/>
      <c r="C53" s="373">
        <v>0.7</v>
      </c>
      <c r="D53" s="374"/>
      <c r="E53" s="90">
        <v>0.20899999999999999</v>
      </c>
      <c r="F53" s="37">
        <f>IF('PERHITUNGAN 24'!$E$11="Burn Engr",'PERHITUNGAN 24'!E53,E53+('regresi PRT'!$P$40+('regresi PRT'!$P$41*E53)+('regresi PRT'!$P$42*(E53^2))+('regresi PRT'!$P$43*(E53^3))+('regresi PRT'!$P$44*(E53^4))+('regresi PRT'!$P$45*(E53^5))+('regresi PRT'!$P$46*(E53^6))+('regresi PRT'!$P$47*(E53^7))+('regresi PRT'!$P$48*(E53^8))+('regresi PRT'!$P$49*(E53^9))+('regresi PRT'!$P$50*(E53^10))))</f>
        <v>0.20899999999999999</v>
      </c>
      <c r="G53" s="90">
        <f>F53-C53</f>
        <v>-0.49099999999999999</v>
      </c>
      <c r="H53" s="63"/>
      <c r="I53" s="63"/>
      <c r="L53" s="22"/>
      <c r="N53" s="45"/>
      <c r="O53" s="1"/>
      <c r="P53" s="182"/>
      <c r="Q53" s="1"/>
      <c r="R53" s="145"/>
      <c r="S53" s="22"/>
      <c r="AB53" s="1"/>
    </row>
    <row r="54" spans="1:28">
      <c r="A54" s="10"/>
      <c r="C54" s="373">
        <v>0.7</v>
      </c>
      <c r="D54" s="374"/>
      <c r="E54" s="90">
        <v>0.20899999999999999</v>
      </c>
      <c r="F54" s="37">
        <f>IF('PERHITUNGAN 24'!$E$11="Burn Engr",'PERHITUNGAN 24'!E54,E54+('regresi PRT'!$P$40+('regresi PRT'!$P$41*E54)+('regresi PRT'!$P$42*(E54^2))+('regresi PRT'!$P$43*(E54^3))+('regresi PRT'!$P$44*(E54^4))+('regresi PRT'!$P$45*(E54^5))+('regresi PRT'!$P$46*(E54^6))+('regresi PRT'!$P$47*(E54^7))+('regresi PRT'!$P$48*(E54^8))+('regresi PRT'!$P$49*(E54^9))+('regresi PRT'!$P$50*(E54^10))))</f>
        <v>0.20899999999999999</v>
      </c>
      <c r="G54" s="90">
        <f>F54-C54</f>
        <v>-0.49099999999999999</v>
      </c>
      <c r="H54" s="63"/>
      <c r="I54" s="63"/>
      <c r="AB54" s="1"/>
    </row>
    <row r="55" spans="1:28" ht="13.5" customHeight="1">
      <c r="A55" s="10"/>
      <c r="C55" s="373">
        <v>0.7</v>
      </c>
      <c r="D55" s="374"/>
      <c r="E55" s="90">
        <v>0.20899999999999999</v>
      </c>
      <c r="F55" s="37">
        <f>IF('PERHITUNGAN 24'!$E$11="Burn Engr",'PERHITUNGAN 24'!E55,E55+('regresi PRT'!$P$40+('regresi PRT'!$P$41*E55)+('regresi PRT'!$P$42*(E55^2))+('regresi PRT'!$P$43*(E55^3))+('regresi PRT'!$P$44*(E55^4))+('regresi PRT'!$P$45*(E55^5))+('regresi PRT'!$P$46*(E55^6))+('regresi PRT'!$P$47*(E55^7))+('regresi PRT'!$P$48*(E55^8))+('regresi PRT'!$P$49*(E55^9))+('regresi PRT'!$P$50*(E55^10))))</f>
        <v>0.20899999999999999</v>
      </c>
      <c r="G55" s="90">
        <f>F55-C55</f>
        <v>-0.49099999999999999</v>
      </c>
      <c r="H55" s="63"/>
      <c r="I55" s="63"/>
      <c r="N55" s="389" t="s">
        <v>190</v>
      </c>
      <c r="O55" s="384" t="str">
        <f>CONCATENATE("PENUNJUKKAN ALAT ", IF($C$2="Celcius","(°C)","(°F)"))</f>
        <v>PENUNJUKKAN ALAT (°C)</v>
      </c>
      <c r="P55" s="385"/>
      <c r="Q55" s="385"/>
      <c r="R55" s="385"/>
      <c r="S55" s="385"/>
      <c r="T55" s="385"/>
      <c r="U55" s="385"/>
      <c r="V55" s="385"/>
      <c r="W55" s="385"/>
      <c r="X55" s="386"/>
      <c r="AB55" s="1"/>
    </row>
    <row r="56" spans="1:28" ht="13.5" customHeight="1">
      <c r="A56" s="10"/>
      <c r="B56" s="8" t="s">
        <v>31</v>
      </c>
      <c r="C56" s="333">
        <f>AVERAGE(C51:D55)</f>
        <v>0.7</v>
      </c>
      <c r="D56" s="334"/>
      <c r="E56" s="95">
        <f>AVERAGE(E51:E55)</f>
        <v>0.20899999999999999</v>
      </c>
      <c r="F56" s="95">
        <f>AVERAGE(F51:F55)</f>
        <v>0.20899999999999999</v>
      </c>
      <c r="G56" s="95">
        <f>SUM(G51:G55)/5</f>
        <v>-0.49099999999999999</v>
      </c>
      <c r="H56" s="63"/>
      <c r="I56" s="63"/>
      <c r="N56" s="390"/>
      <c r="O56" s="115">
        <f>C48</f>
        <v>-9</v>
      </c>
      <c r="P56" s="115">
        <f>C56</f>
        <v>0.7</v>
      </c>
      <c r="Q56" s="115">
        <f>C64</f>
        <v>25.1</v>
      </c>
      <c r="R56" s="115">
        <f>C72</f>
        <v>49.6</v>
      </c>
      <c r="S56" s="115">
        <f>C80</f>
        <v>98.5</v>
      </c>
      <c r="T56" s="115">
        <f>C88</f>
        <v>124.7</v>
      </c>
      <c r="U56" s="115">
        <f>C96</f>
        <v>150.9</v>
      </c>
      <c r="V56" s="115">
        <f>C104</f>
        <v>201</v>
      </c>
      <c r="W56" s="116" t="e">
        <f>C112</f>
        <v>#DIV/0!</v>
      </c>
      <c r="X56" s="116" t="e">
        <f>C120</f>
        <v>#DIV/0!</v>
      </c>
      <c r="AB56" s="1"/>
    </row>
    <row r="57" spans="1:28" ht="13.5" customHeight="1">
      <c r="A57" s="10"/>
      <c r="B57" s="8" t="s">
        <v>30</v>
      </c>
      <c r="C57" s="261"/>
      <c r="D57" s="262"/>
      <c r="E57" s="42"/>
      <c r="F57" s="4"/>
      <c r="G57" s="96">
        <f>_xlfn.STDEV.S(G51:G55)</f>
        <v>0</v>
      </c>
      <c r="H57" s="44"/>
      <c r="I57" s="63"/>
      <c r="N57" s="25" t="s">
        <v>152</v>
      </c>
      <c r="O57" s="112">
        <f>$G$49/5^0.5</f>
        <v>2.4494897427861713E-4</v>
      </c>
      <c r="P57" s="112">
        <f>$G$57/5^0.5</f>
        <v>0</v>
      </c>
      <c r="Q57" s="112">
        <f>$G$65/5^0.5</f>
        <v>2.4494897427861713E-4</v>
      </c>
      <c r="R57" s="112">
        <f>$G$73/5^0.5</f>
        <v>2.449489742777469E-4</v>
      </c>
      <c r="S57" s="112">
        <f>$G$81/5^0.5</f>
        <v>2.0000000000095497E-4</v>
      </c>
      <c r="T57" s="112">
        <f>$G$89/5^0.5</f>
        <v>4.8989794855897485E-4</v>
      </c>
      <c r="U57" s="112">
        <f>$G$97/5^0.5</f>
        <v>2.4494897427948742E-4</v>
      </c>
      <c r="V57" s="112">
        <f>$G$105/5^0.5</f>
        <v>2.4494897427948737E-4</v>
      </c>
      <c r="W57" s="112">
        <f>$G$113/5^0.5</f>
        <v>0</v>
      </c>
      <c r="X57" s="112">
        <f>$G$121/5^0.5</f>
        <v>0</v>
      </c>
      <c r="AB57" s="1"/>
    </row>
    <row r="58" spans="1:28">
      <c r="A58" s="7"/>
      <c r="B58" s="6" t="s">
        <v>27</v>
      </c>
      <c r="C58" s="230"/>
      <c r="D58" s="231"/>
      <c r="E58" s="43"/>
      <c r="F58" s="9"/>
      <c r="G58" s="97">
        <f>G57/SQRT(5)</f>
        <v>0</v>
      </c>
      <c r="H58" s="44"/>
      <c r="I58" s="63"/>
      <c r="N58" s="25" t="s">
        <v>153</v>
      </c>
      <c r="O58" s="113">
        <f>IF('DRAFT-SERTIF'!$O$27="Ya",'REGRESI 24'!$C$36,0)</f>
        <v>0.13082819620017544</v>
      </c>
      <c r="P58" s="113">
        <f>IF('DRAFT-SERTIF'!$O$27="Ya",'REGRESI 24'!$C$36,0)</f>
        <v>0.13082819620017544</v>
      </c>
      <c r="Q58" s="113">
        <f>IF('DRAFT-SERTIF'!$O$27="Ya",'REGRESI 24'!$C$36,0)</f>
        <v>0.13082819620017544</v>
      </c>
      <c r="R58" s="113">
        <f>IF('DRAFT-SERTIF'!$O$27="Ya",'REGRESI 24'!$C$36,0)</f>
        <v>0.13082819620017544</v>
      </c>
      <c r="S58" s="113">
        <f>IF('DRAFT-SERTIF'!$O$27="Ya",'REGRESI 24'!$C$36,0)</f>
        <v>0.13082819620017544</v>
      </c>
      <c r="T58" s="113">
        <f>IF('DRAFT-SERTIF'!$O$27="Ya",'REGRESI 24'!$C$36,0)</f>
        <v>0.13082819620017544</v>
      </c>
      <c r="U58" s="113">
        <f>IF('DRAFT-SERTIF'!$O$27="Ya",'REGRESI 24'!$C$36,0)</f>
        <v>0.13082819620017544</v>
      </c>
      <c r="V58" s="113">
        <f>IF('DRAFT-SERTIF'!$O$27="Ya",'REGRESI 24'!$C$36,0)</f>
        <v>0.13082819620017544</v>
      </c>
      <c r="W58" s="113">
        <f>IF('DRAFT-SERTIF'!$O$27="Ya",'REGRESI 24'!$C$36,0)</f>
        <v>0.13082819620017544</v>
      </c>
      <c r="X58" s="113">
        <f>IF('DRAFT-SERTIF'!$O$27="Ya",'REGRESI 24'!$C$36,0)</f>
        <v>0.13082819620017544</v>
      </c>
      <c r="AB58" s="1"/>
    </row>
    <row r="59" spans="1:28" ht="13.5" customHeight="1">
      <c r="A59" s="105">
        <v>3</v>
      </c>
      <c r="B59" s="196">
        <v>25</v>
      </c>
      <c r="C59" s="327">
        <v>25.1</v>
      </c>
      <c r="D59" s="327"/>
      <c r="E59" s="15">
        <v>25.387</v>
      </c>
      <c r="F59" s="37">
        <f>IF('PERHITUNGAN 24'!$E$11="Burn Engr",'PERHITUNGAN 24'!E59,E59+('regresi PRT'!$P$40+('regresi PRT'!$P$41*E59)+('regresi PRT'!$P$42*(E59^2))+('regresi PRT'!$P$43*(E59^3))+('regresi PRT'!$P$44*(E59^4))+('regresi PRT'!$P$45*(E59^5))+('regresi PRT'!$P$46*(E59^6))+('regresi PRT'!$P$47*(E59^7))+('regresi PRT'!$P$48*(E59^8))+('regresi PRT'!$P$49*(E59^9))+('regresi PRT'!$P$50*(E59^10))))</f>
        <v>25.387</v>
      </c>
      <c r="G59" s="90">
        <f>F59-C59</f>
        <v>0.28699999999999903</v>
      </c>
      <c r="H59" s="63"/>
      <c r="I59" s="63"/>
      <c r="N59" s="25" t="s">
        <v>154</v>
      </c>
      <c r="O59" s="91">
        <f t="shared" ref="O59:X59" si="3">O40</f>
        <v>0.01</v>
      </c>
      <c r="P59" s="91">
        <f t="shared" si="3"/>
        <v>3.5000000000000003E-2</v>
      </c>
      <c r="Q59" s="91">
        <f t="shared" si="3"/>
        <v>3.5000000000000003E-2</v>
      </c>
      <c r="R59" s="91">
        <f t="shared" si="3"/>
        <v>3.5000000000000003E-2</v>
      </c>
      <c r="S59" s="91">
        <f t="shared" si="3"/>
        <v>3.5000000000000003E-2</v>
      </c>
      <c r="T59" s="91">
        <f t="shared" si="3"/>
        <v>3.5000000000000003E-2</v>
      </c>
      <c r="U59" s="91">
        <f t="shared" si="3"/>
        <v>3.5000000000000003E-2</v>
      </c>
      <c r="V59" s="91">
        <f t="shared" si="3"/>
        <v>3.5000000000000003E-2</v>
      </c>
      <c r="W59" s="91">
        <f t="shared" si="3"/>
        <v>0.01</v>
      </c>
      <c r="X59" s="91">
        <f t="shared" si="3"/>
        <v>0.01</v>
      </c>
    </row>
    <row r="60" spans="1:28">
      <c r="A60" s="10"/>
      <c r="C60" s="327">
        <v>25.1</v>
      </c>
      <c r="D60" s="327"/>
      <c r="E60" s="15">
        <v>25.387</v>
      </c>
      <c r="F60" s="37">
        <f>IF('PERHITUNGAN 24'!$E$11="Burn Engr",'PERHITUNGAN 24'!E60,E60+('regresi PRT'!$P$40+('regresi PRT'!$P$41*E60)+('regresi PRT'!$P$42*(E60^2))+('regresi PRT'!$P$43*(E60^3))+('regresi PRT'!$P$44*(E60^4))+('regresi PRT'!$P$45*(E60^5))+('regresi PRT'!$P$46*(E60^6))+('regresi PRT'!$P$47*(E60^7))+('regresi PRT'!$P$48*(E60^8))+('regresi PRT'!$P$49*(E60^9))+('regresi PRT'!$P$50*(E60^10))))</f>
        <v>25.387</v>
      </c>
      <c r="G60" s="90">
        <f>F60-C60</f>
        <v>0.28699999999999903</v>
      </c>
      <c r="H60" s="63"/>
      <c r="I60" s="63"/>
      <c r="N60" s="133" t="s">
        <v>155</v>
      </c>
      <c r="O60" s="134">
        <f>'PERHITUNGAN 13'!O61</f>
        <v>1.5000000000000003E-2</v>
      </c>
      <c r="P60" s="134">
        <f>'PERHITUNGAN 13'!P61</f>
        <v>0.01</v>
      </c>
      <c r="Q60" s="134">
        <f>'PERHITUNGAN 13'!Q61</f>
        <v>5.0000000000000001E-3</v>
      </c>
      <c r="R60" s="134">
        <f>'PERHITUNGAN 13'!R61</f>
        <v>1.4999999999999999E-2</v>
      </c>
      <c r="S60" s="134">
        <f>'PERHITUNGAN 13'!S61</f>
        <v>5.0000000000000001E-3</v>
      </c>
      <c r="T60" s="134">
        <f>'PERHITUNGAN 13'!T61</f>
        <v>0.05</v>
      </c>
      <c r="U60" s="134">
        <f>'PERHITUNGAN 13'!U61</f>
        <v>0.05</v>
      </c>
      <c r="V60" s="134">
        <f>'PERHITUNGAN 13'!V61</f>
        <v>1.5000000000000003E-2</v>
      </c>
      <c r="W60" s="134">
        <f>'PERHITUNGAN 13'!W61</f>
        <v>1.4999999999999999E-2</v>
      </c>
      <c r="X60" s="134">
        <f>'PERHITUNGAN 13'!X61</f>
        <v>1.4999999999999999E-2</v>
      </c>
    </row>
    <row r="61" spans="1:28">
      <c r="A61" s="10"/>
      <c r="C61" s="327">
        <v>25.1</v>
      </c>
      <c r="D61" s="327"/>
      <c r="E61" s="15">
        <v>25.385999999999999</v>
      </c>
      <c r="F61" s="37">
        <f>IF('PERHITUNGAN 24'!$E$11="Burn Engr",'PERHITUNGAN 24'!E61,E61+('regresi PRT'!$P$40+('regresi PRT'!$P$41*E61)+('regresi PRT'!$P$42*(E61^2))+('regresi PRT'!$P$43*(E61^3))+('regresi PRT'!$P$44*(E61^4))+('regresi PRT'!$P$45*(E61^5))+('regresi PRT'!$P$46*(E61^6))+('regresi PRT'!$P$47*(E61^7))+('regresi PRT'!$P$48*(E61^8))+('regresi PRT'!$P$49*(E61^9))+('regresi PRT'!$P$50*(E61^10))))</f>
        <v>25.385999999999999</v>
      </c>
      <c r="G61" s="90">
        <f>F61-C61</f>
        <v>0.28599999999999781</v>
      </c>
      <c r="H61" s="63"/>
      <c r="I61" s="63"/>
      <c r="N61" s="25" t="s">
        <v>156</v>
      </c>
      <c r="O61" s="20">
        <f t="shared" ref="O61:X61" si="4">(0.1*O38)/SQRT(3)</f>
        <v>1.1547005383792516E-3</v>
      </c>
      <c r="P61" s="20">
        <f t="shared" si="4"/>
        <v>4.041451884327381E-3</v>
      </c>
      <c r="Q61" s="20">
        <f t="shared" si="4"/>
        <v>4.041451884327381E-3</v>
      </c>
      <c r="R61" s="20">
        <f t="shared" si="4"/>
        <v>4.041451884327381E-3</v>
      </c>
      <c r="S61" s="20">
        <f t="shared" si="4"/>
        <v>4.041451884327381E-3</v>
      </c>
      <c r="T61" s="20">
        <f t="shared" si="4"/>
        <v>4.041451884327381E-3</v>
      </c>
      <c r="U61" s="20">
        <f t="shared" si="4"/>
        <v>4.041451884327381E-3</v>
      </c>
      <c r="V61" s="20">
        <f t="shared" si="4"/>
        <v>4.041451884327381E-3</v>
      </c>
      <c r="W61" s="20">
        <f t="shared" si="4"/>
        <v>1.1547005383792516E-3</v>
      </c>
      <c r="X61" s="20">
        <f t="shared" si="4"/>
        <v>1.1547005383792516E-3</v>
      </c>
    </row>
    <row r="62" spans="1:28">
      <c r="A62" s="10"/>
      <c r="C62" s="327">
        <v>25.1</v>
      </c>
      <c r="D62" s="327"/>
      <c r="E62" s="15">
        <v>25.385999999999999</v>
      </c>
      <c r="F62" s="37">
        <f>IF('PERHITUNGAN 24'!$E$11="Burn Engr",'PERHITUNGAN 24'!E62,E62+('regresi PRT'!$P$40+('regresi PRT'!$P$41*E62)+('regresi PRT'!$P$42*(E62^2))+('regresi PRT'!$P$43*(E62^3))+('regresi PRT'!$P$44*(E62^4))+('regresi PRT'!$P$45*(E62^5))+('regresi PRT'!$P$46*(E62^6))+('regresi PRT'!$P$47*(E62^7))+('regresi PRT'!$P$48*(E62^8))+('regresi PRT'!$P$49*(E62^9))+('regresi PRT'!$P$50*(E62^10))))</f>
        <v>25.385999999999999</v>
      </c>
      <c r="G62" s="90">
        <f>F62-C62</f>
        <v>0.28599999999999781</v>
      </c>
      <c r="H62" s="63"/>
      <c r="I62" s="63"/>
      <c r="N62" s="25" t="s">
        <v>157</v>
      </c>
      <c r="O62" s="114">
        <f t="shared" ref="O62:X62" si="5">$T$28</f>
        <v>2.886751345948129E-3</v>
      </c>
      <c r="P62" s="114">
        <f t="shared" si="5"/>
        <v>2.886751345948129E-3</v>
      </c>
      <c r="Q62" s="114">
        <f t="shared" si="5"/>
        <v>2.886751345948129E-3</v>
      </c>
      <c r="R62" s="114">
        <f t="shared" si="5"/>
        <v>2.886751345948129E-3</v>
      </c>
      <c r="S62" s="114">
        <f t="shared" si="5"/>
        <v>2.886751345948129E-3</v>
      </c>
      <c r="T62" s="114">
        <f t="shared" si="5"/>
        <v>2.886751345948129E-3</v>
      </c>
      <c r="U62" s="114">
        <f t="shared" si="5"/>
        <v>2.886751345948129E-3</v>
      </c>
      <c r="V62" s="114">
        <f t="shared" si="5"/>
        <v>2.886751345948129E-3</v>
      </c>
      <c r="W62" s="114">
        <f t="shared" si="5"/>
        <v>2.886751345948129E-3</v>
      </c>
      <c r="X62" s="114">
        <f t="shared" si="5"/>
        <v>2.886751345948129E-3</v>
      </c>
    </row>
    <row r="63" spans="1:28">
      <c r="A63" s="10"/>
      <c r="C63" s="327">
        <v>25.1</v>
      </c>
      <c r="D63" s="327"/>
      <c r="E63" s="15">
        <v>25.385999999999999</v>
      </c>
      <c r="F63" s="37">
        <f>IF('PERHITUNGAN 24'!$E$11="Burn Engr",'PERHITUNGAN 24'!E63,E63+('regresi PRT'!$P$40+('regresi PRT'!$P$41*E63)+('regresi PRT'!$P$42*(E63^2))+('regresi PRT'!$P$43*(E63^3))+('regresi PRT'!$P$44*(E63^4))+('regresi PRT'!$P$45*(E63^5))+('regresi PRT'!$P$46*(E63^6))+('regresi PRT'!$P$47*(E63^7))+('regresi PRT'!$P$48*(E63^8))+('regresi PRT'!$P$49*(E63^9))+('regresi PRT'!$P$50*(E63^10))))</f>
        <v>25.385999999999999</v>
      </c>
      <c r="G63" s="90">
        <f>F63-C63</f>
        <v>0.28599999999999781</v>
      </c>
      <c r="H63" s="63"/>
      <c r="I63" s="63"/>
      <c r="N63" s="25" t="s">
        <v>158</v>
      </c>
      <c r="O63" s="114">
        <f t="shared" ref="O63:X63" si="6">$T$26</f>
        <v>2.886751345948129E-4</v>
      </c>
      <c r="P63" s="114">
        <f t="shared" si="6"/>
        <v>2.886751345948129E-4</v>
      </c>
      <c r="Q63" s="114">
        <f t="shared" si="6"/>
        <v>2.886751345948129E-4</v>
      </c>
      <c r="R63" s="114">
        <f t="shared" si="6"/>
        <v>2.886751345948129E-4</v>
      </c>
      <c r="S63" s="114">
        <f t="shared" si="6"/>
        <v>2.886751345948129E-4</v>
      </c>
      <c r="T63" s="114">
        <f t="shared" si="6"/>
        <v>2.886751345948129E-4</v>
      </c>
      <c r="U63" s="114">
        <f t="shared" si="6"/>
        <v>2.886751345948129E-4</v>
      </c>
      <c r="V63" s="114">
        <f t="shared" si="6"/>
        <v>2.886751345948129E-4</v>
      </c>
      <c r="W63" s="114">
        <f t="shared" si="6"/>
        <v>2.886751345948129E-4</v>
      </c>
      <c r="X63" s="114">
        <f t="shared" si="6"/>
        <v>2.886751345948129E-4</v>
      </c>
    </row>
    <row r="64" spans="1:28">
      <c r="A64" s="10"/>
      <c r="B64" s="8" t="s">
        <v>31</v>
      </c>
      <c r="C64" s="333">
        <f>AVERAGE(C59:D63)</f>
        <v>25.1</v>
      </c>
      <c r="D64" s="334"/>
      <c r="E64" s="95">
        <f>AVERAGE(E59:E63)</f>
        <v>25.386399999999998</v>
      </c>
      <c r="F64" s="95">
        <f>SUM(F59:F63)/5</f>
        <v>25.386399999999998</v>
      </c>
      <c r="G64" s="95">
        <f>SUM(G59:G63)/5</f>
        <v>0.28639999999999832</v>
      </c>
      <c r="H64" s="63"/>
      <c r="I64" s="63"/>
      <c r="N64" s="92"/>
      <c r="O64" s="117"/>
      <c r="P64" s="117"/>
      <c r="Q64" s="117"/>
      <c r="R64" s="117"/>
      <c r="S64" s="117"/>
      <c r="T64" s="117"/>
      <c r="U64" s="117"/>
      <c r="V64" s="117"/>
      <c r="W64" s="117"/>
      <c r="X64" s="117"/>
    </row>
    <row r="65" spans="1:28">
      <c r="A65" s="10"/>
      <c r="B65" s="8" t="s">
        <v>30</v>
      </c>
      <c r="C65" s="228"/>
      <c r="D65" s="229"/>
      <c r="E65" s="42"/>
      <c r="F65" s="42"/>
      <c r="G65" s="96">
        <f>_xlfn.STDEV.S(G59:G63)</f>
        <v>5.4772255750583549E-4</v>
      </c>
      <c r="H65" s="44"/>
      <c r="I65" s="63"/>
      <c r="N65" s="25" t="s">
        <v>159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</row>
    <row r="66" spans="1:28">
      <c r="A66" s="7"/>
      <c r="B66" s="6" t="s">
        <v>27</v>
      </c>
      <c r="C66" s="230"/>
      <c r="D66" s="231"/>
      <c r="E66" s="73"/>
      <c r="F66" s="73"/>
      <c r="G66" s="97">
        <f>G65/SQRT(5)</f>
        <v>2.4494897427861713E-4</v>
      </c>
      <c r="H66" s="44"/>
      <c r="I66" s="63"/>
      <c r="N66" s="25" t="s">
        <v>160</v>
      </c>
      <c r="O66" s="53">
        <f>10^10</f>
        <v>10000000000</v>
      </c>
      <c r="P66" s="53">
        <f t="shared" ref="P66:X66" si="7">10^10</f>
        <v>10000000000</v>
      </c>
      <c r="Q66" s="53">
        <f t="shared" si="7"/>
        <v>10000000000</v>
      </c>
      <c r="R66" s="53">
        <f t="shared" si="7"/>
        <v>10000000000</v>
      </c>
      <c r="S66" s="53">
        <f t="shared" si="7"/>
        <v>10000000000</v>
      </c>
      <c r="T66" s="53">
        <f t="shared" si="7"/>
        <v>10000000000</v>
      </c>
      <c r="U66" s="53">
        <f t="shared" si="7"/>
        <v>10000000000</v>
      </c>
      <c r="V66" s="53">
        <f t="shared" si="7"/>
        <v>10000000000</v>
      </c>
      <c r="W66" s="53">
        <f t="shared" si="7"/>
        <v>10000000000</v>
      </c>
      <c r="X66" s="53">
        <f t="shared" si="7"/>
        <v>10000000000</v>
      </c>
    </row>
    <row r="67" spans="1:28">
      <c r="A67" s="105">
        <v>4</v>
      </c>
      <c r="B67" s="196">
        <v>50</v>
      </c>
      <c r="C67" s="327">
        <v>49.6</v>
      </c>
      <c r="D67" s="327"/>
      <c r="E67" s="90">
        <v>50.484999999999999</v>
      </c>
      <c r="F67" s="37">
        <f>IF('PERHITUNGAN 24'!$E$11="Burn Engr",'PERHITUNGAN 24'!E67,E67+('regresi PRT'!$P$40+('regresi PRT'!$P$41*E67)+('regresi PRT'!$P$42*(E67^2))+('regresi PRT'!$P$43*(E67^3))+('regresi PRT'!$P$44*(E67^4))+('regresi PRT'!$P$45*(E67^5))+('regresi PRT'!$P$46*(E67^6))+('regresi PRT'!$P$47*(E67^7))+('regresi PRT'!$P$48*(E67^8))+('regresi PRT'!$P$49*(E67^9))+('regresi PRT'!$P$50*(E67^10))))</f>
        <v>50.484999999999999</v>
      </c>
      <c r="G67" s="90">
        <f>F67-C67</f>
        <v>0.88499999999999801</v>
      </c>
      <c r="H67" s="63"/>
      <c r="I67" s="63"/>
      <c r="N67" s="25" t="s">
        <v>161</v>
      </c>
      <c r="O67" s="25">
        <v>60</v>
      </c>
      <c r="P67" s="25">
        <v>60</v>
      </c>
      <c r="Q67" s="25">
        <v>60</v>
      </c>
      <c r="R67" s="25">
        <v>60</v>
      </c>
      <c r="S67" s="25">
        <v>60</v>
      </c>
      <c r="T67" s="25">
        <v>60</v>
      </c>
      <c r="U67" s="25">
        <v>60</v>
      </c>
      <c r="V67" s="25">
        <v>60</v>
      </c>
      <c r="W67" s="25">
        <v>60</v>
      </c>
      <c r="X67" s="25">
        <v>60</v>
      </c>
    </row>
    <row r="68" spans="1:28" ht="13.5" customHeight="1">
      <c r="A68" s="10"/>
      <c r="C68" s="327">
        <v>49.6</v>
      </c>
      <c r="D68" s="327"/>
      <c r="E68" s="90">
        <v>50.484999999999999</v>
      </c>
      <c r="F68" s="37">
        <f>IF('PERHITUNGAN 24'!$E$11="Burn Engr",'PERHITUNGAN 24'!E68,E68+('regresi PRT'!$P$40+('regresi PRT'!$P$41*E68)+('regresi PRT'!$P$42*(E68^2))+('regresi PRT'!$P$43*(E68^3))+('regresi PRT'!$P$44*(E68^4))+('regresi PRT'!$P$45*(E68^5))+('regresi PRT'!$P$46*(E68^6))+('regresi PRT'!$P$47*(E68^7))+('regresi PRT'!$P$48*(E68^8))+('regresi PRT'!$P$49*(E68^9))+('regresi PRT'!$P$50*(E68^10))))</f>
        <v>50.484999999999999</v>
      </c>
      <c r="G68" s="90">
        <f>F68-C68</f>
        <v>0.88499999999999801</v>
      </c>
      <c r="H68" s="63"/>
      <c r="I68" s="63"/>
      <c r="N68" s="25" t="s">
        <v>162</v>
      </c>
      <c r="O68" s="25">
        <v>60</v>
      </c>
      <c r="P68" s="25">
        <v>60</v>
      </c>
      <c r="Q68" s="25">
        <v>60</v>
      </c>
      <c r="R68" s="25">
        <v>60</v>
      </c>
      <c r="S68" s="25">
        <v>60</v>
      </c>
      <c r="T68" s="25">
        <v>60</v>
      </c>
      <c r="U68" s="25">
        <v>60</v>
      </c>
      <c r="V68" s="25">
        <v>60</v>
      </c>
      <c r="W68" s="25">
        <v>60</v>
      </c>
      <c r="X68" s="25">
        <v>60</v>
      </c>
      <c r="AB68" s="1"/>
    </row>
    <row r="69" spans="1:28">
      <c r="A69" s="10"/>
      <c r="C69" s="327">
        <v>49.6</v>
      </c>
      <c r="D69" s="327"/>
      <c r="E69" s="90">
        <v>50.484999999999999</v>
      </c>
      <c r="F69" s="37">
        <f>IF('PERHITUNGAN 24'!$E$11="Burn Engr",'PERHITUNGAN 24'!E69,E69+('regresi PRT'!$P$40+('regresi PRT'!$P$41*E69)+('regresi PRT'!$P$42*(E69^2))+('regresi PRT'!$P$43*(E69^3))+('regresi PRT'!$P$44*(E69^4))+('regresi PRT'!$P$45*(E69^5))+('regresi PRT'!$P$46*(E69^6))+('regresi PRT'!$P$47*(E69^7))+('regresi PRT'!$P$48*(E69^8))+('regresi PRT'!$P$49*(E69^9))+('regresi PRT'!$P$50*(E69^10))))</f>
        <v>50.484999999999999</v>
      </c>
      <c r="G69" s="90">
        <f>F69-C69</f>
        <v>0.88499999999999801</v>
      </c>
      <c r="H69" s="63"/>
      <c r="I69" s="63"/>
      <c r="N69" s="25" t="s">
        <v>163</v>
      </c>
      <c r="O69" s="53">
        <f t="shared" ref="O69:X71" si="8">10^10</f>
        <v>10000000000</v>
      </c>
      <c r="P69" s="53">
        <f t="shared" si="8"/>
        <v>10000000000</v>
      </c>
      <c r="Q69" s="53">
        <f t="shared" si="8"/>
        <v>10000000000</v>
      </c>
      <c r="R69" s="53">
        <f t="shared" si="8"/>
        <v>10000000000</v>
      </c>
      <c r="S69" s="53">
        <f t="shared" si="8"/>
        <v>10000000000</v>
      </c>
      <c r="T69" s="53">
        <f t="shared" si="8"/>
        <v>10000000000</v>
      </c>
      <c r="U69" s="53">
        <f t="shared" si="8"/>
        <v>10000000000</v>
      </c>
      <c r="V69" s="53">
        <f t="shared" si="8"/>
        <v>10000000000</v>
      </c>
      <c r="W69" s="53">
        <f t="shared" si="8"/>
        <v>10000000000</v>
      </c>
      <c r="X69" s="53">
        <f t="shared" si="8"/>
        <v>10000000000</v>
      </c>
      <c r="AB69" s="1"/>
    </row>
    <row r="70" spans="1:28">
      <c r="A70" s="10"/>
      <c r="C70" s="327">
        <v>49.6</v>
      </c>
      <c r="D70" s="327"/>
      <c r="E70" s="90">
        <v>50.484000000000002</v>
      </c>
      <c r="F70" s="37">
        <f>IF('PERHITUNGAN 24'!$E$11="Burn Engr",'PERHITUNGAN 24'!E70,E70+('regresi PRT'!$P$40+('regresi PRT'!$P$41*E70)+('regresi PRT'!$P$42*(E70^2))+('regresi PRT'!$P$43*(E70^3))+('regresi PRT'!$P$44*(E70^4))+('regresi PRT'!$P$45*(E70^5))+('regresi PRT'!$P$46*(E70^6))+('regresi PRT'!$P$47*(E70^7))+('regresi PRT'!$P$48*(E70^8))+('regresi PRT'!$P$49*(E70^9))+('regresi PRT'!$P$50*(E70^10))))</f>
        <v>50.484000000000002</v>
      </c>
      <c r="G70" s="90">
        <f>F70-C70</f>
        <v>0.88400000000000034</v>
      </c>
      <c r="H70" s="63"/>
      <c r="I70" s="63"/>
      <c r="N70" s="25" t="s">
        <v>164</v>
      </c>
      <c r="O70" s="53">
        <f t="shared" si="8"/>
        <v>10000000000</v>
      </c>
      <c r="P70" s="53">
        <f t="shared" si="8"/>
        <v>10000000000</v>
      </c>
      <c r="Q70" s="53">
        <f t="shared" si="8"/>
        <v>10000000000</v>
      </c>
      <c r="R70" s="53">
        <f t="shared" si="8"/>
        <v>10000000000</v>
      </c>
      <c r="S70" s="53">
        <f t="shared" si="8"/>
        <v>10000000000</v>
      </c>
      <c r="T70" s="53">
        <f t="shared" si="8"/>
        <v>10000000000</v>
      </c>
      <c r="U70" s="53">
        <f t="shared" si="8"/>
        <v>10000000000</v>
      </c>
      <c r="V70" s="53">
        <f t="shared" si="8"/>
        <v>10000000000</v>
      </c>
      <c r="W70" s="53">
        <f t="shared" si="8"/>
        <v>10000000000</v>
      </c>
      <c r="X70" s="53">
        <f t="shared" si="8"/>
        <v>10000000000</v>
      </c>
      <c r="AB70" s="1"/>
    </row>
    <row r="71" spans="1:28">
      <c r="A71" s="10"/>
      <c r="C71" s="327">
        <v>49.6</v>
      </c>
      <c r="D71" s="327"/>
      <c r="E71" s="90">
        <v>50.484000000000002</v>
      </c>
      <c r="F71" s="37">
        <f>IF('PERHITUNGAN 24'!$E$11="Burn Engr",'PERHITUNGAN 24'!E71,E71+('regresi PRT'!$P$40+('regresi PRT'!$P$41*E71)+('regresi PRT'!$P$42*(E71^2))+('regresi PRT'!$P$43*(E71^3))+('regresi PRT'!$P$44*(E71^4))+('regresi PRT'!$P$45*(E71^5))+('regresi PRT'!$P$46*(E71^6))+('regresi PRT'!$P$47*(E71^7))+('regresi PRT'!$P$48*(E71^8))+('regresi PRT'!$P$49*(E71^9))+('regresi PRT'!$P$50*(E71^10))))</f>
        <v>50.484000000000002</v>
      </c>
      <c r="G71" s="90">
        <f>F71-C71</f>
        <v>0.88400000000000034</v>
      </c>
      <c r="H71" s="63"/>
      <c r="I71" s="63"/>
      <c r="N71" s="25" t="s">
        <v>165</v>
      </c>
      <c r="O71" s="53">
        <f t="shared" si="8"/>
        <v>10000000000</v>
      </c>
      <c r="P71" s="53">
        <f t="shared" si="8"/>
        <v>10000000000</v>
      </c>
      <c r="Q71" s="53">
        <f t="shared" si="8"/>
        <v>10000000000</v>
      </c>
      <c r="R71" s="53">
        <f t="shared" si="8"/>
        <v>10000000000</v>
      </c>
      <c r="S71" s="53">
        <f t="shared" si="8"/>
        <v>10000000000</v>
      </c>
      <c r="T71" s="53">
        <f t="shared" si="8"/>
        <v>10000000000</v>
      </c>
      <c r="U71" s="53">
        <f t="shared" si="8"/>
        <v>10000000000</v>
      </c>
      <c r="V71" s="53">
        <f t="shared" si="8"/>
        <v>10000000000</v>
      </c>
      <c r="W71" s="53">
        <f t="shared" si="8"/>
        <v>10000000000</v>
      </c>
      <c r="X71" s="53">
        <f t="shared" si="8"/>
        <v>10000000000</v>
      </c>
      <c r="AB71" s="1"/>
    </row>
    <row r="72" spans="1:28">
      <c r="A72" s="10"/>
      <c r="B72" s="8" t="s">
        <v>31</v>
      </c>
      <c r="C72" s="333">
        <f>AVERAGE(C67:D71)</f>
        <v>49.6</v>
      </c>
      <c r="D72" s="334"/>
      <c r="E72" s="95">
        <f>AVERAGE(E67:E71)</f>
        <v>50.4846</v>
      </c>
      <c r="F72" s="95">
        <f>SUM(F67:F71)/5</f>
        <v>50.4846</v>
      </c>
      <c r="G72" s="95">
        <f>SUM(G67:G71)/5</f>
        <v>0.88459999999999894</v>
      </c>
      <c r="H72" s="63"/>
      <c r="I72" s="63"/>
      <c r="N72" s="111" t="s">
        <v>168</v>
      </c>
      <c r="O72" s="118">
        <f>SQRT((O57^2)+(O58^2)+(O59^2)+(O60^2)+(O61^2)+(O62^2)+(O63^2))</f>
        <v>0.13210157804126185</v>
      </c>
      <c r="P72" s="118">
        <f t="shared" ref="P72:X72" si="9">SQRT((P57^2)+(P58^2)+(P59^2)+(P60^2)+(P61^2)+(P62^2)+(P63^2))</f>
        <v>0.13588880351593211</v>
      </c>
      <c r="Q72" s="118">
        <f t="shared" si="9"/>
        <v>0.13561278302944602</v>
      </c>
      <c r="R72" s="118">
        <f t="shared" si="9"/>
        <v>0.13634818268312784</v>
      </c>
      <c r="S72" s="118">
        <f t="shared" si="9"/>
        <v>0.13561270929006469</v>
      </c>
      <c r="T72" s="118">
        <f t="shared" si="9"/>
        <v>0.14445070758217698</v>
      </c>
      <c r="U72" s="118">
        <f t="shared" si="9"/>
        <v>0.14445008453092578</v>
      </c>
      <c r="V72" s="118">
        <f t="shared" si="9"/>
        <v>0.13634818268312784</v>
      </c>
      <c r="W72" s="118">
        <f t="shared" si="9"/>
        <v>0.13210135094309822</v>
      </c>
      <c r="X72" s="118">
        <f t="shared" si="9"/>
        <v>0.13210135094309822</v>
      </c>
      <c r="AB72" s="1"/>
    </row>
    <row r="73" spans="1:28">
      <c r="A73" s="10"/>
      <c r="B73" s="8" t="s">
        <v>30</v>
      </c>
      <c r="C73" s="228"/>
      <c r="D73" s="229"/>
      <c r="E73" s="42"/>
      <c r="F73" s="42"/>
      <c r="G73" s="96">
        <f>_xlfn.STDEV.S(G67:G71)</f>
        <v>5.4772255750388957E-4</v>
      </c>
      <c r="H73" s="63"/>
      <c r="I73" s="63"/>
      <c r="N73" s="119" t="s">
        <v>167</v>
      </c>
      <c r="O73" s="120">
        <f>(O72^4)/((O57^4/O65)+(O58^4/O66)+(O59^4/O67)+(O60^4/O68)+(O61^4/O69)+(O62^4/O70)+(O63^4/O71))</f>
        <v>301382.85498733207</v>
      </c>
      <c r="P73" s="120">
        <f t="shared" ref="P73:X73" si="10">(P72^4)/((P57^4/P65)+(P58^4/P66)+(P59^4/P67)+(P60^4/P68)+(P61^4/P69)+(P62^4/P70)+(P63^4/P71))</f>
        <v>13543.433395349672</v>
      </c>
      <c r="Q73" s="120">
        <f t="shared" si="10"/>
        <v>13517.619583494947</v>
      </c>
      <c r="R73" s="120">
        <f t="shared" si="10"/>
        <v>13367.997754651395</v>
      </c>
      <c r="S73" s="120">
        <f t="shared" si="10"/>
        <v>13517.5904528504</v>
      </c>
      <c r="T73" s="120">
        <f t="shared" si="10"/>
        <v>3370.4902318237073</v>
      </c>
      <c r="U73" s="120">
        <f t="shared" si="10"/>
        <v>3370.43243343923</v>
      </c>
      <c r="V73" s="120">
        <f t="shared" si="10"/>
        <v>13367.997754651395</v>
      </c>
      <c r="W73" s="120">
        <f t="shared" si="10"/>
        <v>301381.05098085519</v>
      </c>
      <c r="X73" s="120">
        <f t="shared" si="10"/>
        <v>301381.05098085519</v>
      </c>
      <c r="AB73" s="1"/>
    </row>
    <row r="74" spans="1:28">
      <c r="A74" s="7"/>
      <c r="B74" s="6" t="s">
        <v>27</v>
      </c>
      <c r="C74" s="230"/>
      <c r="D74" s="231"/>
      <c r="E74" s="73"/>
      <c r="F74" s="73"/>
      <c r="G74" s="97">
        <f>G73/SQRT(5)</f>
        <v>2.449489742777469E-4</v>
      </c>
      <c r="H74" s="63"/>
      <c r="I74" s="63"/>
      <c r="L74" s="22"/>
      <c r="N74" s="122" t="s">
        <v>7</v>
      </c>
      <c r="O74" s="123">
        <f>_xlfn.T.INV.2T(0.05,O73)</f>
        <v>1.9599718558805457</v>
      </c>
      <c r="P74" s="123">
        <f t="shared" ref="P74:X74" si="11">_xlfn.T.INV.2T(0.05,P73)</f>
        <v>1.9601391657888463</v>
      </c>
      <c r="Q74" s="123">
        <f t="shared" si="11"/>
        <v>1.9601395027797848</v>
      </c>
      <c r="R74" s="123">
        <f t="shared" si="11"/>
        <v>1.9601414725624331</v>
      </c>
      <c r="S74" s="123">
        <f t="shared" si="11"/>
        <v>1.9601395027797848</v>
      </c>
      <c r="T74" s="123">
        <f t="shared" si="11"/>
        <v>1.9606681711844849</v>
      </c>
      <c r="U74" s="123">
        <f t="shared" si="11"/>
        <v>1.9606681711844849</v>
      </c>
      <c r="V74" s="123">
        <f t="shared" si="11"/>
        <v>1.9601414725624331</v>
      </c>
      <c r="W74" s="123">
        <f t="shared" si="11"/>
        <v>1.9599718559170629</v>
      </c>
      <c r="X74" s="123">
        <f t="shared" si="11"/>
        <v>1.9599718559170629</v>
      </c>
      <c r="Z74" s="124"/>
      <c r="AB74" s="1"/>
    </row>
    <row r="75" spans="1:28">
      <c r="A75" s="105">
        <v>5</v>
      </c>
      <c r="B75" s="196">
        <v>100</v>
      </c>
      <c r="C75" s="327">
        <v>98.5</v>
      </c>
      <c r="D75" s="327"/>
      <c r="E75" s="90">
        <v>99.793000000000006</v>
      </c>
      <c r="F75" s="37">
        <f>IF('PERHITUNGAN 24'!$E$11="Burn Engr",'PERHITUNGAN 24'!E75,E75+('regresi PRT'!$P$40+('regresi PRT'!$P$41*E75)+('regresi PRT'!$P$42*(E75^2))+('regresi PRT'!$P$43*(E75^3))+('regresi PRT'!$P$44*(E75^4))+('regresi PRT'!$P$45*(E75^5))+('regresi PRT'!$P$46*(E75^6))+('regresi PRT'!$P$47*(E75^7))+('regresi PRT'!$P$48*(E75^8))+('regresi PRT'!$P$49*(E75^9))+('regresi PRT'!$P$50*(E75^10))))</f>
        <v>99.793000000000006</v>
      </c>
      <c r="G75" s="90">
        <f>F75-C75</f>
        <v>1.2930000000000064</v>
      </c>
      <c r="H75" s="63"/>
      <c r="I75" s="63"/>
      <c r="N75" s="53"/>
      <c r="O75" s="20"/>
      <c r="P75" s="20"/>
      <c r="Q75" s="20"/>
      <c r="R75" s="20"/>
      <c r="S75" s="20"/>
      <c r="T75" s="20"/>
      <c r="U75" s="20"/>
      <c r="V75" s="20"/>
      <c r="W75" s="20"/>
      <c r="X75" s="20"/>
      <c r="AB75" s="1"/>
    </row>
    <row r="76" spans="1:28">
      <c r="A76" s="10"/>
      <c r="C76" s="327">
        <v>98.5</v>
      </c>
      <c r="D76" s="327"/>
      <c r="E76" s="90">
        <v>99.793000000000006</v>
      </c>
      <c r="F76" s="37">
        <f>IF('PERHITUNGAN 24'!$E$11="Burn Engr",'PERHITUNGAN 24'!E76,E76+('regresi PRT'!$P$40+('regresi PRT'!$P$41*E76)+('regresi PRT'!$P$42*(E76^2))+('regresi PRT'!$P$43*(E76^3))+('regresi PRT'!$P$44*(E76^4))+('regresi PRT'!$P$45*(E76^5))+('regresi PRT'!$P$46*(E76^6))+('regresi PRT'!$P$47*(E76^7))+('regresi PRT'!$P$48*(E76^8))+('regresi PRT'!$P$49*(E76^9))+('regresi PRT'!$P$50*(E76^10))))</f>
        <v>99.793000000000006</v>
      </c>
      <c r="G76" s="90">
        <f>F76-C76</f>
        <v>1.2930000000000064</v>
      </c>
      <c r="H76" s="63"/>
      <c r="I76" s="63"/>
      <c r="N76" s="111" t="s">
        <v>166</v>
      </c>
      <c r="O76" s="121">
        <f t="shared" ref="O76:X76" si="12">O72*O74</f>
        <v>0.25891537507828072</v>
      </c>
      <c r="P76" s="121">
        <f t="shared" si="12"/>
        <v>0.26636096596376357</v>
      </c>
      <c r="Q76" s="121">
        <f t="shared" si="12"/>
        <v>0.26581997309792116</v>
      </c>
      <c r="R76" s="121">
        <f t="shared" si="12"/>
        <v>0.26726172758571787</v>
      </c>
      <c r="S76" s="121">
        <f t="shared" si="12"/>
        <v>0.26581982855844688</v>
      </c>
      <c r="T76" s="121">
        <f t="shared" si="12"/>
        <v>0.28321990466145175</v>
      </c>
      <c r="U76" s="121">
        <f t="shared" si="12"/>
        <v>0.2832186830646945</v>
      </c>
      <c r="V76" s="121">
        <f t="shared" si="12"/>
        <v>0.26726172758571787</v>
      </c>
      <c r="W76" s="121">
        <f t="shared" si="12"/>
        <v>0.25891492997709548</v>
      </c>
      <c r="X76" s="121">
        <f t="shared" si="12"/>
        <v>0.25891492997709548</v>
      </c>
      <c r="AB76" s="1"/>
    </row>
    <row r="77" spans="1:28">
      <c r="A77" s="10"/>
      <c r="C77" s="327">
        <v>98.5</v>
      </c>
      <c r="D77" s="327"/>
      <c r="E77" s="90">
        <v>99.793000000000006</v>
      </c>
      <c r="F77" s="37">
        <f>IF('PERHITUNGAN 24'!$E$11="Burn Engr",'PERHITUNGAN 24'!E77,E77+('regresi PRT'!$P$40+('regresi PRT'!$P$41*E77)+('regresi PRT'!$P$42*(E77^2))+('regresi PRT'!$P$43*(E77^3))+('regresi PRT'!$P$44*(E77^4))+('regresi PRT'!$P$45*(E77^5))+('regresi PRT'!$P$46*(E77^6))+('regresi PRT'!$P$47*(E77^7))+('regresi PRT'!$P$48*(E77^8))+('regresi PRT'!$P$49*(E77^9))+('regresi PRT'!$P$50*(E77^10))))</f>
        <v>99.793000000000006</v>
      </c>
      <c r="G77" s="90">
        <f>F77-C77</f>
        <v>1.2930000000000064</v>
      </c>
      <c r="H77" s="63"/>
      <c r="I77" s="63"/>
      <c r="AB77" s="1"/>
    </row>
    <row r="78" spans="1:28">
      <c r="A78" s="10"/>
      <c r="C78" s="327">
        <v>98.5</v>
      </c>
      <c r="D78" s="327"/>
      <c r="E78" s="90">
        <v>99.793000000000006</v>
      </c>
      <c r="F78" s="37">
        <f>IF('PERHITUNGAN 24'!$E$11="Burn Engr",'PERHITUNGAN 24'!E78,E78+('regresi PRT'!$P$40+('regresi PRT'!$P$41*E78)+('regresi PRT'!$P$42*(E78^2))+('regresi PRT'!$P$43*(E78^3))+('regresi PRT'!$P$44*(E78^4))+('regresi PRT'!$P$45*(E78^5))+('regresi PRT'!$P$46*(E78^6))+('regresi PRT'!$P$47*(E78^7))+('regresi PRT'!$P$48*(E78^8))+('regresi PRT'!$P$49*(E78^9))+('regresi PRT'!$P$50*(E78^10))))</f>
        <v>99.793000000000006</v>
      </c>
      <c r="G78" s="90">
        <f>F78-C78</f>
        <v>1.2930000000000064</v>
      </c>
      <c r="H78" s="26"/>
      <c r="I78" s="26"/>
      <c r="AB78" s="1"/>
    </row>
    <row r="79" spans="1:28">
      <c r="A79" s="10"/>
      <c r="C79" s="327">
        <v>98.5</v>
      </c>
      <c r="D79" s="327"/>
      <c r="E79" s="90">
        <v>99.792000000000002</v>
      </c>
      <c r="F79" s="37">
        <f>IF('PERHITUNGAN 24'!$E$11="Burn Engr",'PERHITUNGAN 24'!E79,E79+('regresi PRT'!$P$40+('regresi PRT'!$P$41*E79)+('regresi PRT'!$P$42*(E79^2))+('regresi PRT'!$P$43*(E79^3))+('regresi PRT'!$P$44*(E79^4))+('regresi PRT'!$P$45*(E79^5))+('regresi PRT'!$P$46*(E79^6))+('regresi PRT'!$P$47*(E79^7))+('regresi PRT'!$P$48*(E79^8))+('regresi PRT'!$P$49*(E79^9))+('regresi PRT'!$P$50*(E79^10))))</f>
        <v>99.792000000000002</v>
      </c>
      <c r="G79" s="90">
        <f>F79-C79</f>
        <v>1.2920000000000016</v>
      </c>
      <c r="AB79" s="1"/>
    </row>
    <row r="80" spans="1:28">
      <c r="A80" s="10"/>
      <c r="B80" s="8" t="s">
        <v>31</v>
      </c>
      <c r="C80" s="333">
        <f>AVERAGE(C75:D79)</f>
        <v>98.5</v>
      </c>
      <c r="D80" s="334"/>
      <c r="E80" s="95">
        <f>AVERAGE(E75:E79)</f>
        <v>99.792800000000014</v>
      </c>
      <c r="F80" s="95">
        <f>SUM(F75:F79)/5</f>
        <v>99.792800000000014</v>
      </c>
      <c r="G80" s="95">
        <f>SUM(G75:G79)/5</f>
        <v>1.2928000000000055</v>
      </c>
      <c r="AB80" s="1"/>
    </row>
    <row r="81" spans="1:28">
      <c r="A81" s="10"/>
      <c r="B81" s="8" t="s">
        <v>30</v>
      </c>
      <c r="C81" s="228"/>
      <c r="D81" s="229"/>
      <c r="E81" s="42"/>
      <c r="F81" s="42"/>
      <c r="G81" s="96">
        <f>_xlfn.STDEV.S(G75:G79)</f>
        <v>4.4721359550209334E-4</v>
      </c>
      <c r="AB81" s="1"/>
    </row>
    <row r="82" spans="1:28">
      <c r="A82" s="7"/>
      <c r="B82" s="6" t="s">
        <v>27</v>
      </c>
      <c r="C82" s="230"/>
      <c r="D82" s="231"/>
      <c r="E82" s="73"/>
      <c r="F82" s="73"/>
      <c r="G82" s="97">
        <f>G81/SQRT(5)</f>
        <v>2.0000000000095497E-4</v>
      </c>
      <c r="H82" s="26"/>
      <c r="I82" s="26"/>
      <c r="L82" s="22"/>
      <c r="N82" s="12" t="s">
        <v>34</v>
      </c>
      <c r="AB82" s="1"/>
    </row>
    <row r="83" spans="1:28">
      <c r="A83" s="105">
        <v>6</v>
      </c>
      <c r="B83" s="196">
        <v>125</v>
      </c>
      <c r="C83" s="327">
        <v>124.7</v>
      </c>
      <c r="D83" s="327"/>
      <c r="E83" s="90">
        <v>125.33799999999999</v>
      </c>
      <c r="F83" s="37">
        <f>IF('PERHITUNGAN 24'!$E$11="Burn Engr",'PERHITUNGAN 24'!E83,E83+('regresi PRT'!$P$40+('regresi PRT'!$P$41*E83)+('regresi PRT'!$P$42*(E83^2))+('regresi PRT'!$P$43*(E83^3))+('regresi PRT'!$P$44*(E83^4))+('regresi PRT'!$P$45*(E83^5))+('regresi PRT'!$P$46*(E83^6))+('regresi PRT'!$P$47*(E83^7))+('regresi PRT'!$P$48*(E83^8))+('regresi PRT'!$P$49*(E83^9))+('regresi PRT'!$P$50*(E83^10))))</f>
        <v>125.33799999999999</v>
      </c>
      <c r="G83" s="40">
        <f>F83-C83</f>
        <v>0.63799999999999102</v>
      </c>
      <c r="H83" s="26"/>
      <c r="I83" s="26"/>
      <c r="N83" s="391" t="str">
        <f>CONCATENATE("Penunjukan Alat ", IF($C$2="Celcius","(°C)","(°F)"))</f>
        <v>Penunjukan Alat (°C)</v>
      </c>
      <c r="O83" s="393" t="str">
        <f>CONCATENATE("Koreksi Pengamatan ", IF($C$2="Celcius","(°C)","(°F)"))</f>
        <v>Koreksi Pengamatan (°C)</v>
      </c>
      <c r="P83" s="394"/>
      <c r="Q83" s="397" t="str">
        <f>CONCATENATE("Penunjukan sebenarnya ", IF($C$2="Celcius","(°C)","(°F)"))</f>
        <v>Penunjukan sebenarnya (°C)</v>
      </c>
      <c r="R83" s="398"/>
      <c r="S83" s="352" t="s">
        <v>28</v>
      </c>
      <c r="T83" s="353"/>
      <c r="AB83" s="1"/>
    </row>
    <row r="84" spans="1:28">
      <c r="A84" s="10"/>
      <c r="C84" s="327">
        <v>124.7</v>
      </c>
      <c r="D84" s="327"/>
      <c r="E84" s="90">
        <v>125.33799999999999</v>
      </c>
      <c r="F84" s="37">
        <f>IF('PERHITUNGAN 24'!$E$11="Burn Engr",'PERHITUNGAN 24'!E84,E84+('regresi PRT'!$P$40+('regresi PRT'!$P$41*E84)+('regresi PRT'!$P$42*(E84^2))+('regresi PRT'!$P$43*(E84^3))+('regresi PRT'!$P$44*(E84^4))+('regresi PRT'!$P$45*(E84^5))+('regresi PRT'!$P$46*(E84^6))+('regresi PRT'!$P$47*(E84^7))+('regresi PRT'!$P$48*(E84^8))+('regresi PRT'!$P$49*(E84^9))+('regresi PRT'!$P$50*(E84^10))))</f>
        <v>125.33799999999999</v>
      </c>
      <c r="G84" s="40">
        <f>F84-C84</f>
        <v>0.63799999999999102</v>
      </c>
      <c r="H84" s="26"/>
      <c r="I84" s="26"/>
      <c r="N84" s="392"/>
      <c r="O84" s="395"/>
      <c r="P84" s="396"/>
      <c r="Q84" s="399"/>
      <c r="R84" s="400"/>
      <c r="S84" s="350" t="str">
        <f>IF($C$2="Celcius","(°C)","(°F)")</f>
        <v>(°C)</v>
      </c>
      <c r="T84" s="351"/>
      <c r="AB84" s="1"/>
    </row>
    <row r="85" spans="1:28">
      <c r="A85" s="10"/>
      <c r="C85" s="327">
        <v>124.7</v>
      </c>
      <c r="D85" s="327"/>
      <c r="E85" s="90">
        <v>125.33799999999999</v>
      </c>
      <c r="F85" s="37">
        <f>IF('PERHITUNGAN 24'!$E$11="Burn Engr",'PERHITUNGAN 24'!E85,E85+('regresi PRT'!$P$40+('regresi PRT'!$P$41*E85)+('regresi PRT'!$P$42*(E85^2))+('regresi PRT'!$P$43*(E85^3))+('regresi PRT'!$P$44*(E85^4))+('regresi PRT'!$P$45*(E85^5))+('regresi PRT'!$P$46*(E85^6))+('regresi PRT'!$P$47*(E85^7))+('regresi PRT'!$P$48*(E85^8))+('regresi PRT'!$P$49*(E85^9))+('regresi PRT'!$P$50*(E85^10))))</f>
        <v>125.33799999999999</v>
      </c>
      <c r="G85" s="40">
        <f>F85-C85</f>
        <v>0.63799999999999102</v>
      </c>
      <c r="H85" s="26"/>
      <c r="I85" s="26"/>
      <c r="N85" s="93">
        <f>O56</f>
        <v>-9</v>
      </c>
      <c r="O85" s="403">
        <f>G48</f>
        <v>-0.82259999999999989</v>
      </c>
      <c r="P85" s="404"/>
      <c r="Q85" s="387">
        <f t="shared" ref="Q85:Q94" si="13">N85+O85</f>
        <v>-9.8225999999999996</v>
      </c>
      <c r="R85" s="405"/>
      <c r="S85" s="138" t="s">
        <v>35</v>
      </c>
      <c r="T85" s="94">
        <f>IF(N85&lt;$AA$97,MAX($O$97,O76),IF(N85&lt;$AA$98,MAX($O$98,O76),MAX($O$99,O76)))</f>
        <v>0.25891537507828072</v>
      </c>
      <c r="AB85" s="1"/>
    </row>
    <row r="86" spans="1:28">
      <c r="A86" s="10"/>
      <c r="C86" s="327">
        <v>124.7</v>
      </c>
      <c r="D86" s="327"/>
      <c r="E86" s="90">
        <v>125.34</v>
      </c>
      <c r="F86" s="37">
        <f>IF('PERHITUNGAN 24'!$E$11="Burn Engr",'PERHITUNGAN 24'!E86,E86+('regresi PRT'!$P$40+('regresi PRT'!$P$41*E86)+('regresi PRT'!$P$42*(E86^2))+('regresi PRT'!$P$43*(E86^3))+('regresi PRT'!$P$44*(E86^4))+('regresi PRT'!$P$45*(E86^5))+('regresi PRT'!$P$46*(E86^6))+('regresi PRT'!$P$47*(E86^7))+('regresi PRT'!$P$48*(E86^8))+('regresi PRT'!$P$49*(E86^9))+('regresi PRT'!$P$50*(E86^10))))</f>
        <v>125.34</v>
      </c>
      <c r="G86" s="40">
        <f>F86-C86</f>
        <v>0.64000000000000057</v>
      </c>
      <c r="H86" s="63"/>
      <c r="I86" s="63"/>
      <c r="N86" s="93">
        <f>P56</f>
        <v>0.7</v>
      </c>
      <c r="O86" s="403">
        <f>G56</f>
        <v>-0.49099999999999999</v>
      </c>
      <c r="P86" s="404"/>
      <c r="Q86" s="406">
        <f t="shared" si="13"/>
        <v>0.20899999999999996</v>
      </c>
      <c r="R86" s="407"/>
      <c r="S86" s="138" t="s">
        <v>35</v>
      </c>
      <c r="T86" s="94">
        <f>IF(N86&lt;$AA$97,MAX($O$97,P76),IF(N86&lt;$AA$98,MAX($O$98,P76),MAX($O$99,P76)))</f>
        <v>0.26636096596376357</v>
      </c>
      <c r="AB86" s="1"/>
    </row>
    <row r="87" spans="1:28">
      <c r="A87" s="10"/>
      <c r="C87" s="327">
        <v>124.7</v>
      </c>
      <c r="D87" s="327"/>
      <c r="E87" s="90">
        <v>125.34</v>
      </c>
      <c r="F87" s="37">
        <f>IF('PERHITUNGAN 24'!$E$11="Burn Engr",'PERHITUNGAN 24'!E87,E87+('regresi PRT'!$P$40+('regresi PRT'!$P$41*E87)+('regresi PRT'!$P$42*(E87^2))+('regresi PRT'!$P$43*(E87^3))+('regresi PRT'!$P$44*(E87^4))+('regresi PRT'!$P$45*(E87^5))+('regresi PRT'!$P$46*(E87^6))+('regresi PRT'!$P$47*(E87^7))+('regresi PRT'!$P$48*(E87^8))+('regresi PRT'!$P$49*(E87^9))+('regresi PRT'!$P$50*(E87^10))))</f>
        <v>125.34</v>
      </c>
      <c r="G87" s="41">
        <f>F87-C87</f>
        <v>0.64000000000000057</v>
      </c>
      <c r="H87" s="63"/>
      <c r="I87" s="63"/>
      <c r="N87" s="93">
        <f>Q56</f>
        <v>25.1</v>
      </c>
      <c r="O87" s="403">
        <f>G64</f>
        <v>0.28639999999999832</v>
      </c>
      <c r="P87" s="404"/>
      <c r="Q87" s="406">
        <f t="shared" si="13"/>
        <v>25.386399999999998</v>
      </c>
      <c r="R87" s="407"/>
      <c r="S87" s="138" t="s">
        <v>35</v>
      </c>
      <c r="T87" s="94">
        <f>IF(N87&lt;$AA$97,MAX($O$97,Q76),IF(N87&lt;$AA$98,MAX($O$98,Q76),MAX($O$99,Q76)))</f>
        <v>0.26581997309792116</v>
      </c>
      <c r="AB87" s="1"/>
    </row>
    <row r="88" spans="1:28">
      <c r="A88" s="10"/>
      <c r="B88" s="8" t="s">
        <v>31</v>
      </c>
      <c r="C88" s="333">
        <f>AVERAGE(C83:D87)</f>
        <v>124.7</v>
      </c>
      <c r="D88" s="334"/>
      <c r="E88" s="95">
        <f>AVERAGE(E83:E87)</f>
        <v>125.33880000000002</v>
      </c>
      <c r="F88" s="95">
        <f>SUM(F83:F87)/5</f>
        <v>125.33880000000002</v>
      </c>
      <c r="G88" s="95">
        <f>SUM(G83:G87)/5</f>
        <v>0.63879999999999482</v>
      </c>
      <c r="H88" s="63"/>
      <c r="I88" s="63"/>
      <c r="N88" s="93">
        <f>R56</f>
        <v>49.6</v>
      </c>
      <c r="O88" s="403">
        <f>G72</f>
        <v>0.88459999999999894</v>
      </c>
      <c r="P88" s="404"/>
      <c r="Q88" s="406">
        <f t="shared" si="13"/>
        <v>50.4846</v>
      </c>
      <c r="R88" s="407"/>
      <c r="S88" s="138" t="s">
        <v>35</v>
      </c>
      <c r="T88" s="94">
        <f>IF(N88&lt;$AA$97,MAX($O$97,R76),IF(N88&lt;$AA$98,MAX($O$98,R76),MAX($O$99,R76)))</f>
        <v>0.26726172758571787</v>
      </c>
      <c r="AB88" s="1"/>
    </row>
    <row r="89" spans="1:28">
      <c r="A89" s="10"/>
      <c r="B89" s="8" t="s">
        <v>30</v>
      </c>
      <c r="C89" s="228"/>
      <c r="D89" s="229"/>
      <c r="E89" s="42"/>
      <c r="F89" s="42"/>
      <c r="G89" s="96">
        <f>_xlfn.STDEV.S(G83:G87)</f>
        <v>1.0954451150155628E-3</v>
      </c>
      <c r="H89" s="63"/>
      <c r="I89" s="63"/>
      <c r="N89" s="93">
        <f>S56</f>
        <v>98.5</v>
      </c>
      <c r="O89" s="403">
        <f>G80</f>
        <v>1.2928000000000055</v>
      </c>
      <c r="P89" s="404"/>
      <c r="Q89" s="406">
        <f t="shared" si="13"/>
        <v>99.7928</v>
      </c>
      <c r="R89" s="407"/>
      <c r="S89" s="138" t="s">
        <v>35</v>
      </c>
      <c r="T89" s="94">
        <f>IF(N89&lt;$AA$97,MAX($O$97,S76),IF(N89&lt;$AA$98,MAX($O$98,S76),MAX($O$99,S76)))</f>
        <v>0.26581982855844688</v>
      </c>
      <c r="AB89" s="1"/>
    </row>
    <row r="90" spans="1:28">
      <c r="A90" s="7"/>
      <c r="B90" s="6" t="s">
        <v>27</v>
      </c>
      <c r="C90" s="230"/>
      <c r="D90" s="231"/>
      <c r="E90" s="73"/>
      <c r="F90" s="73"/>
      <c r="G90" s="97">
        <f>G89/SQRT(5)</f>
        <v>4.8989794855897485E-4</v>
      </c>
      <c r="H90" s="63"/>
      <c r="I90" s="63"/>
      <c r="L90" s="22"/>
      <c r="N90" s="93">
        <f>T56</f>
        <v>124.7</v>
      </c>
      <c r="O90" s="403">
        <f>G88</f>
        <v>0.63879999999999482</v>
      </c>
      <c r="P90" s="404"/>
      <c r="Q90" s="406">
        <f t="shared" si="13"/>
        <v>125.33879999999999</v>
      </c>
      <c r="R90" s="407"/>
      <c r="S90" s="138" t="s">
        <v>35</v>
      </c>
      <c r="T90" s="94">
        <f>IF(N90&lt;$AA$97,MAX($O$97,T76),IF(N90&lt;$AA$98,MAX($O$98,T76),MAX($O$99,T76)))</f>
        <v>0.28321990466145175</v>
      </c>
      <c r="AB90" s="1"/>
    </row>
    <row r="91" spans="1:28">
      <c r="A91" s="105">
        <v>7</v>
      </c>
      <c r="B91" s="196">
        <v>150</v>
      </c>
      <c r="C91" s="327">
        <v>150.9</v>
      </c>
      <c r="D91" s="327"/>
      <c r="E91" s="90">
        <v>151.06800000000001</v>
      </c>
      <c r="F91" s="37">
        <f>IF('PERHITUNGAN 24'!$E$11="Burn Engr",'PERHITUNGAN 24'!E91,E91+('regresi PRT'!$P$40+('regresi PRT'!$P$41*E91)+('regresi PRT'!$P$42*(E91^2))+('regresi PRT'!$P$43*(E91^3))+('regresi PRT'!$P$44*(E91^4))+('regresi PRT'!$P$45*(E91^5))+('regresi PRT'!$P$46*(E91^6))+('regresi PRT'!$P$47*(E91^7))+('regresi PRT'!$P$48*(E91^8))+('regresi PRT'!$P$49*(E91^9))+('regresi PRT'!$P$50*(E91^10))))</f>
        <v>151.06800000000001</v>
      </c>
      <c r="G91" s="40">
        <f>F91-C91</f>
        <v>0.16800000000000637</v>
      </c>
      <c r="H91" s="63"/>
      <c r="I91" s="63"/>
      <c r="N91" s="93">
        <f>U56</f>
        <v>150.9</v>
      </c>
      <c r="O91" s="403">
        <f>G96</f>
        <v>0.16760000000000447</v>
      </c>
      <c r="P91" s="404"/>
      <c r="Q91" s="406">
        <f t="shared" si="13"/>
        <v>151.0676</v>
      </c>
      <c r="R91" s="407"/>
      <c r="S91" s="138" t="s">
        <v>35</v>
      </c>
      <c r="T91" s="94">
        <f>IF(N91&lt;$AA$97,MAX($O$97,U76),IF(N91&lt;$AA$98,MAX($O$98,U76),MAX($O$99,U76)))</f>
        <v>0.2832186830646945</v>
      </c>
      <c r="AB91" s="1"/>
    </row>
    <row r="92" spans="1:28">
      <c r="A92" s="10"/>
      <c r="C92" s="327">
        <v>150.9</v>
      </c>
      <c r="D92" s="327"/>
      <c r="E92" s="90">
        <v>151.06800000000001</v>
      </c>
      <c r="F92" s="37">
        <f>IF('PERHITUNGAN 24'!$E$11="Burn Engr",'PERHITUNGAN 24'!E92,E92+('regresi PRT'!$P$40+('regresi PRT'!$P$41*E92)+('regresi PRT'!$P$42*(E92^2))+('regresi PRT'!$P$43*(E92^3))+('regresi PRT'!$P$44*(E92^4))+('regresi PRT'!$P$45*(E92^5))+('regresi PRT'!$P$46*(E92^6))+('regresi PRT'!$P$47*(E92^7))+('regresi PRT'!$P$48*(E92^8))+('regresi PRT'!$P$49*(E92^9))+('regresi PRT'!$P$50*(E92^10))))</f>
        <v>151.06800000000001</v>
      </c>
      <c r="G92" s="40">
        <f>F92-C92</f>
        <v>0.16800000000000637</v>
      </c>
      <c r="H92" s="44"/>
      <c r="I92" s="63"/>
      <c r="N92" s="93">
        <f>V56</f>
        <v>201</v>
      </c>
      <c r="O92" s="403">
        <f>G104</f>
        <v>-1.6256000000000028</v>
      </c>
      <c r="P92" s="404"/>
      <c r="Q92" s="406">
        <f t="shared" si="13"/>
        <v>199.37440000000001</v>
      </c>
      <c r="R92" s="407"/>
      <c r="S92" s="138" t="s">
        <v>35</v>
      </c>
      <c r="T92" s="94">
        <f>IF(N92&lt;$AA$97,MAX($O$97,V76),IF(N92&lt;$AA$98,MAX($O$98,V76),MAX($O$99,V76)))</f>
        <v>0.26726172758571787</v>
      </c>
      <c r="AB92" s="1"/>
    </row>
    <row r="93" spans="1:28">
      <c r="A93" s="10"/>
      <c r="C93" s="327">
        <v>150.9</v>
      </c>
      <c r="D93" s="327"/>
      <c r="E93" s="90">
        <v>151.06800000000001</v>
      </c>
      <c r="F93" s="37">
        <f>IF('PERHITUNGAN 24'!$E$11="Burn Engr",'PERHITUNGAN 24'!E93,E93+('regresi PRT'!$P$40+('regresi PRT'!$P$41*E93)+('regresi PRT'!$P$42*(E93^2))+('regresi PRT'!$P$43*(E93^3))+('regresi PRT'!$P$44*(E93^4))+('regresi PRT'!$P$45*(E93^5))+('regresi PRT'!$P$46*(E93^6))+('regresi PRT'!$P$47*(E93^7))+('regresi PRT'!$P$48*(E93^8))+('regresi PRT'!$P$49*(E93^9))+('regresi PRT'!$P$50*(E93^10))))</f>
        <v>151.06800000000001</v>
      </c>
      <c r="G93" s="40">
        <f>F93-C93</f>
        <v>0.16800000000000637</v>
      </c>
      <c r="H93" s="44"/>
      <c r="I93" s="63"/>
      <c r="N93" s="93" t="e">
        <f>W56</f>
        <v>#DIV/0!</v>
      </c>
      <c r="O93" s="403">
        <f>G112</f>
        <v>0</v>
      </c>
      <c r="P93" s="404"/>
      <c r="Q93" s="406" t="e">
        <f t="shared" si="13"/>
        <v>#DIV/0!</v>
      </c>
      <c r="R93" s="407"/>
      <c r="S93" s="138" t="s">
        <v>35</v>
      </c>
      <c r="T93" s="94" t="e">
        <f>IF(N93&lt;$AA$97,MAX($O$97,W76),IF(N93&lt;$AA$98,MAX($O$98,W76),MAX($O$99,W76)))</f>
        <v>#DIV/0!</v>
      </c>
      <c r="AB93" s="1"/>
    </row>
    <row r="94" spans="1:28">
      <c r="A94" s="10"/>
      <c r="C94" s="327">
        <v>150.9</v>
      </c>
      <c r="D94" s="327"/>
      <c r="E94" s="90">
        <v>151.06700000000001</v>
      </c>
      <c r="F94" s="37">
        <f>IF('PERHITUNGAN 24'!$E$11="Burn Engr",'PERHITUNGAN 24'!E94,E94+('regresi PRT'!$P$40+('regresi PRT'!$P$41*E94)+('regresi PRT'!$P$42*(E94^2))+('regresi PRT'!$P$43*(E94^3))+('regresi PRT'!$P$44*(E94^4))+('regresi PRT'!$P$45*(E94^5))+('regresi PRT'!$P$46*(E94^6))+('regresi PRT'!$P$47*(E94^7))+('regresi PRT'!$P$48*(E94^8))+('regresi PRT'!$P$49*(E94^9))+('regresi PRT'!$P$50*(E94^10))))</f>
        <v>151.06700000000001</v>
      </c>
      <c r="G94" s="40">
        <f>F94-C94</f>
        <v>0.16700000000000159</v>
      </c>
      <c r="H94" s="63"/>
      <c r="I94" s="63"/>
      <c r="N94" s="93" t="e">
        <f>X56</f>
        <v>#DIV/0!</v>
      </c>
      <c r="O94" s="403">
        <f>G120</f>
        <v>0</v>
      </c>
      <c r="P94" s="404"/>
      <c r="Q94" s="406" t="e">
        <f t="shared" si="13"/>
        <v>#DIV/0!</v>
      </c>
      <c r="R94" s="407"/>
      <c r="S94" s="138" t="s">
        <v>35</v>
      </c>
      <c r="T94" s="94" t="e">
        <f>IF(N94&lt;$AA$97,MAX($O$97,X76),IF(N94&lt;$AA$98,MAX($O$98,X76),MAX($O$99,X76)))</f>
        <v>#DIV/0!</v>
      </c>
      <c r="AB94" s="1"/>
    </row>
    <row r="95" spans="1:28">
      <c r="A95" s="10"/>
      <c r="C95" s="327">
        <v>150.9</v>
      </c>
      <c r="D95" s="327"/>
      <c r="E95" s="90">
        <v>151.06700000000001</v>
      </c>
      <c r="F95" s="37">
        <f>IF('PERHITUNGAN 24'!$E$11="Burn Engr",'PERHITUNGAN 24'!E95,E95+('regresi PRT'!$P$40+('regresi PRT'!$P$41*E95)+('regresi PRT'!$P$42*(E95^2))+('regresi PRT'!$P$43*(E95^3))+('regresi PRT'!$P$44*(E95^4))+('regresi PRT'!$P$45*(E95^5))+('regresi PRT'!$P$46*(E95^6))+('regresi PRT'!$P$47*(E95^7))+('regresi PRT'!$P$48*(E95^8))+('regresi PRT'!$P$49*(E95^9))+('regresi PRT'!$P$50*(E95^10))))</f>
        <v>151.06700000000001</v>
      </c>
      <c r="G95" s="41">
        <f>F95-C95</f>
        <v>0.16700000000000159</v>
      </c>
      <c r="H95" s="63"/>
      <c r="I95" s="63"/>
      <c r="U95" s="47"/>
      <c r="AB95" s="1"/>
    </row>
    <row r="96" spans="1:28">
      <c r="A96" s="10"/>
      <c r="B96" s="8" t="s">
        <v>31</v>
      </c>
      <c r="C96" s="333">
        <f>AVERAGE(C91:D95)</f>
        <v>150.9</v>
      </c>
      <c r="D96" s="334"/>
      <c r="E96" s="95">
        <f>AVERAGE(E91:E95)</f>
        <v>151.06760000000003</v>
      </c>
      <c r="F96" s="95">
        <f>SUM(F91:F95)/5</f>
        <v>151.06760000000003</v>
      </c>
      <c r="G96" s="95">
        <f>SUM(G91:G95)/5</f>
        <v>0.16760000000000447</v>
      </c>
      <c r="H96" s="63"/>
      <c r="I96" s="63"/>
      <c r="N96" s="332" t="str">
        <f>CONCATENATE("CMC in ",IF($C$2="Celcius","(°C)","(°F)"))</f>
        <v>CMC in (°C)</v>
      </c>
      <c r="O96" s="332"/>
      <c r="Z96" s="331"/>
      <c r="AA96" s="331"/>
    </row>
    <row r="97" spans="1:27">
      <c r="A97" s="10"/>
      <c r="B97" s="8" t="s">
        <v>30</v>
      </c>
      <c r="C97" s="228"/>
      <c r="D97" s="229"/>
      <c r="E97" s="42"/>
      <c r="F97" s="42"/>
      <c r="G97" s="96">
        <f>_xlfn.STDEV.S(G91:G95)</f>
        <v>5.4772255750778142E-4</v>
      </c>
      <c r="H97" s="63"/>
      <c r="I97" s="63"/>
      <c r="N97" s="74" t="str">
        <f>IF($C$2="Celcius",CONCATENATE(Database!AL3," ~ ",Database!AN3," ="),CONCATENATE((Database!AL3*9/5)+32," ~ ",(Database!AN3*9/5)+32," ="))</f>
        <v>-30 ~ 0 =</v>
      </c>
      <c r="O97">
        <f>IF($C$2="Celcius",Database!AO3,(Database!AO3*9/5))</f>
        <v>7.8E-2</v>
      </c>
      <c r="AA97" s="139">
        <f>IF($C$2="Celcius",Database!AN3,(Database!AN3*9/5)+32)</f>
        <v>0</v>
      </c>
    </row>
    <row r="98" spans="1:27">
      <c r="A98" s="7"/>
      <c r="B98" s="6" t="s">
        <v>27</v>
      </c>
      <c r="C98" s="230"/>
      <c r="D98" s="231"/>
      <c r="E98" s="73"/>
      <c r="F98" s="73"/>
      <c r="G98" s="97">
        <f>G97/SQRT(5)</f>
        <v>2.4494897427948742E-4</v>
      </c>
      <c r="H98" s="63"/>
      <c r="I98" s="63"/>
      <c r="L98" s="22"/>
      <c r="N98" s="74" t="str">
        <f>IF($C$2="Celcius",CONCATENATE(Database!AL4," ~ ",Database!AN4," ="),CONCATENATE((Database!AL4*9/5)+32," ~ ",(Database!AN4*9/5)+32," ="))</f>
        <v>0 ~ 250 =</v>
      </c>
      <c r="O98">
        <f>IF($C$2="Celcius",Database!AO4,(Database!AO4*9/5))</f>
        <v>0.16</v>
      </c>
      <c r="AA98" s="139">
        <f>IF($C$2="Celcius",Database!AN4,(Database!AN4*9/5)+32)</f>
        <v>250</v>
      </c>
    </row>
    <row r="99" spans="1:27">
      <c r="A99" s="105">
        <v>8</v>
      </c>
      <c r="B99" s="196">
        <v>200</v>
      </c>
      <c r="C99" s="327">
        <v>201</v>
      </c>
      <c r="D99" s="327"/>
      <c r="E99" s="90">
        <v>199.374</v>
      </c>
      <c r="F99" s="37">
        <f>IF('PERHITUNGAN 24'!$E$11="Burn Engr",'PERHITUNGAN 24'!E99,E99+('regresi PRT'!$P$40+('regresi PRT'!$P$41*E99)+('regresi PRT'!$P$42*(E99^2))+('regresi PRT'!$P$43*(E99^3))+('regresi PRT'!$P$44*(E99^4))+('regresi PRT'!$P$45*(E99^5))+('regresi PRT'!$P$46*(E99^6))+('regresi PRT'!$P$47*(E99^7))+('regresi PRT'!$P$48*(E99^8))+('regresi PRT'!$P$49*(E99^9))+('regresi PRT'!$P$50*(E99^10))))</f>
        <v>199.374</v>
      </c>
      <c r="G99" s="40">
        <f>F99-C99</f>
        <v>-1.6260000000000048</v>
      </c>
      <c r="H99" s="63"/>
      <c r="I99" s="63"/>
      <c r="N99" s="74" t="str">
        <f>IF($C$2="Celcius",CONCATENATE(Database!AL5," ~ ",Database!AN5," ="),CONCATENATE((Database!AL5*9/5)+32," ~ ",(Database!AN5*9/5)+32," ="))</f>
        <v>300 ~ 400 =</v>
      </c>
      <c r="O99">
        <f>IF($C$2="Celcius",Database!AO5,(Database!AO5*9/5))</f>
        <v>1.8</v>
      </c>
      <c r="AA99" s="139">
        <f>IF($C$2="Celcius",Database!AN5,(Database!AN5*9/5)+32)</f>
        <v>400</v>
      </c>
    </row>
    <row r="100" spans="1:27">
      <c r="A100" s="10"/>
      <c r="C100" s="327">
        <v>201</v>
      </c>
      <c r="D100" s="327"/>
      <c r="E100" s="90">
        <v>199.374</v>
      </c>
      <c r="F100" s="37">
        <f>IF('PERHITUNGAN 24'!$E$11="Burn Engr",'PERHITUNGAN 24'!E100,E100+('regresi PRT'!$P$40+('regresi PRT'!$P$41*E100)+('regresi PRT'!$P$42*(E100^2))+('regresi PRT'!$P$43*(E100^3))+('regresi PRT'!$P$44*(E100^4))+('regresi PRT'!$P$45*(E100^5))+('regresi PRT'!$P$46*(E100^6))+('regresi PRT'!$P$47*(E100^7))+('regresi PRT'!$P$48*(E100^8))+('regresi PRT'!$P$49*(E100^9))+('regresi PRT'!$P$50*(E100^10))))</f>
        <v>199.374</v>
      </c>
      <c r="G100" s="40">
        <f>F100-C100</f>
        <v>-1.6260000000000048</v>
      </c>
      <c r="H100" s="44"/>
      <c r="I100" s="44"/>
      <c r="M100" s="1"/>
    </row>
    <row r="101" spans="1:27">
      <c r="A101" s="10"/>
      <c r="C101" s="327">
        <v>201</v>
      </c>
      <c r="D101" s="327"/>
      <c r="E101" s="90">
        <v>199.374</v>
      </c>
      <c r="F101" s="37">
        <f>IF('PERHITUNGAN 24'!$E$11="Burn Engr",'PERHITUNGAN 24'!E101,E101+('regresi PRT'!$P$40+('regresi PRT'!$P$41*E101)+('regresi PRT'!$P$42*(E101^2))+('regresi PRT'!$P$43*(E101^3))+('regresi PRT'!$P$44*(E101^4))+('regresi PRT'!$P$45*(E101^5))+('regresi PRT'!$P$46*(E101^6))+('regresi PRT'!$P$47*(E101^7))+('regresi PRT'!$P$48*(E101^8))+('regresi PRT'!$P$49*(E101^9))+('regresi PRT'!$P$50*(E101^10))))</f>
        <v>199.374</v>
      </c>
      <c r="G101" s="40">
        <f>F101-C101</f>
        <v>-1.6260000000000048</v>
      </c>
      <c r="H101" s="44"/>
      <c r="I101" s="44"/>
    </row>
    <row r="102" spans="1:27">
      <c r="A102" s="10"/>
      <c r="C102" s="327">
        <v>201</v>
      </c>
      <c r="D102" s="327"/>
      <c r="E102" s="90">
        <v>199.375</v>
      </c>
      <c r="F102" s="37">
        <f>IF('PERHITUNGAN 24'!$E$11="Burn Engr",'PERHITUNGAN 24'!E102,E102+('regresi PRT'!$P$40+('regresi PRT'!$P$41*E102)+('regresi PRT'!$P$42*(E102^2))+('regresi PRT'!$P$43*(E102^3))+('regresi PRT'!$P$44*(E102^4))+('regresi PRT'!$P$45*(E102^5))+('regresi PRT'!$P$46*(E102^6))+('regresi PRT'!$P$47*(E102^7))+('regresi PRT'!$P$48*(E102^8))+('regresi PRT'!$P$49*(E102^9))+('regresi PRT'!$P$50*(E102^10))))</f>
        <v>199.375</v>
      </c>
      <c r="G102" s="40">
        <f>F102-C102</f>
        <v>-1.625</v>
      </c>
      <c r="H102" s="63"/>
      <c r="I102" s="63"/>
    </row>
    <row r="103" spans="1:27">
      <c r="A103" s="10"/>
      <c r="C103" s="327">
        <v>201</v>
      </c>
      <c r="D103" s="327"/>
      <c r="E103" s="90">
        <v>199.375</v>
      </c>
      <c r="F103" s="37">
        <f>IF('PERHITUNGAN 24'!$E$11="Burn Engr",'PERHITUNGAN 24'!E103,E103+('regresi PRT'!$P$40+('regresi PRT'!$P$41*E103)+('regresi PRT'!$P$42*(E103^2))+('regresi PRT'!$P$43*(E103^3))+('regresi PRT'!$P$44*(E103^4))+('regresi PRT'!$P$45*(E103^5))+('regresi PRT'!$P$46*(E103^6))+('regresi PRT'!$P$47*(E103^7))+('regresi PRT'!$P$48*(E103^8))+('regresi PRT'!$P$49*(E103^9))+('regresi PRT'!$P$50*(E103^10))))</f>
        <v>199.375</v>
      </c>
      <c r="G103" s="41">
        <f>F103-C103</f>
        <v>-1.625</v>
      </c>
      <c r="H103" s="63"/>
      <c r="I103" s="63"/>
      <c r="N103" s="74"/>
      <c r="O103" s="129"/>
    </row>
    <row r="104" spans="1:27">
      <c r="A104" s="10"/>
      <c r="B104" s="8" t="s">
        <v>31</v>
      </c>
      <c r="C104" s="333">
        <f>AVERAGE(C99:D103)</f>
        <v>201</v>
      </c>
      <c r="D104" s="334"/>
      <c r="E104" s="95">
        <f>AVERAGE(E99:E103)</f>
        <v>199.37439999999998</v>
      </c>
      <c r="F104" s="95">
        <f>SUM(F99:F103)/5</f>
        <v>199.37439999999998</v>
      </c>
      <c r="G104" s="95">
        <f>SUM(G99:G103)/5</f>
        <v>-1.6256000000000028</v>
      </c>
      <c r="H104" s="63"/>
      <c r="I104" s="63"/>
      <c r="M104" s="1"/>
      <c r="N104" s="74"/>
      <c r="O104" s="129"/>
    </row>
    <row r="105" spans="1:27">
      <c r="A105" s="10"/>
      <c r="B105" s="8" t="s">
        <v>30</v>
      </c>
      <c r="C105" s="228"/>
      <c r="D105" s="229"/>
      <c r="E105" s="42"/>
      <c r="F105" s="42"/>
      <c r="G105" s="96">
        <f>_xlfn.STDEV.S(G99:G103)</f>
        <v>5.4772255750778131E-4</v>
      </c>
      <c r="H105" s="63"/>
      <c r="I105" s="63"/>
      <c r="M105" s="1"/>
      <c r="N105" s="74"/>
      <c r="O105" s="129"/>
    </row>
    <row r="106" spans="1:27">
      <c r="A106" s="7"/>
      <c r="B106" s="6" t="s">
        <v>27</v>
      </c>
      <c r="C106" s="230"/>
      <c r="D106" s="231"/>
      <c r="E106" s="73"/>
      <c r="F106" s="73"/>
      <c r="G106" s="97">
        <f>G105/SQRT(5)</f>
        <v>2.4494897427948737E-4</v>
      </c>
      <c r="H106" s="63"/>
      <c r="I106" s="63"/>
      <c r="M106" s="1"/>
    </row>
    <row r="107" spans="1:27">
      <c r="A107" s="105">
        <v>9</v>
      </c>
      <c r="B107" s="196"/>
      <c r="C107" s="327"/>
      <c r="D107" s="327"/>
      <c r="E107" s="90"/>
      <c r="F107" s="37">
        <f>IF('PERHITUNGAN 24'!$E$11="Burn Engr",'PERHITUNGAN 24'!E107,E107+('regresi PRT'!$P$40+('regresi PRT'!$P$41*E107)+('regresi PRT'!$P$42*(E107^2))+('regresi PRT'!$P$43*(E107^3))+('regresi PRT'!$P$44*(E107^4))+('regresi PRT'!$P$45*(E107^5))+('regresi PRT'!$P$46*(E107^6))+('regresi PRT'!$P$47*(E107^7))+('regresi PRT'!$P$48*(E107^8))+('regresi PRT'!$P$49*(E107^9))+('regresi PRT'!$P$50*(E107^10))))</f>
        <v>0</v>
      </c>
      <c r="G107" s="40">
        <f>F107-C107</f>
        <v>0</v>
      </c>
      <c r="H107" s="63"/>
      <c r="I107" s="63"/>
      <c r="M107" s="1"/>
    </row>
    <row r="108" spans="1:27">
      <c r="A108" s="10"/>
      <c r="C108" s="327"/>
      <c r="D108" s="327"/>
      <c r="E108" s="90"/>
      <c r="F108" s="37">
        <f>IF('PERHITUNGAN 24'!$E$11="Burn Engr",'PERHITUNGAN 24'!E108,E108+('regresi PRT'!$P$40+('regresi PRT'!$P$41*E108)+('regresi PRT'!$P$42*(E108^2))+('regresi PRT'!$P$43*(E108^3))+('regresi PRT'!$P$44*(E108^4))+('regresi PRT'!$P$45*(E108^5))+('regresi PRT'!$P$46*(E108^6))+('regresi PRT'!$P$47*(E108^7))+('regresi PRT'!$P$48*(E108^8))+('regresi PRT'!$P$49*(E108^9))+('regresi PRT'!$P$50*(E108^10))))</f>
        <v>0</v>
      </c>
      <c r="G108" s="40">
        <f>F108-C108</f>
        <v>0</v>
      </c>
      <c r="H108" s="44"/>
      <c r="I108" s="44"/>
      <c r="M108" s="1"/>
    </row>
    <row r="109" spans="1:27">
      <c r="A109" s="10"/>
      <c r="C109" s="327"/>
      <c r="D109" s="327"/>
      <c r="E109" s="90"/>
      <c r="F109" s="37">
        <f>IF('PERHITUNGAN 24'!$E$11="Burn Engr",'PERHITUNGAN 24'!E109,E109+('regresi PRT'!$P$40+('regresi PRT'!$P$41*E109)+('regresi PRT'!$P$42*(E109^2))+('regresi PRT'!$P$43*(E109^3))+('regresi PRT'!$P$44*(E109^4))+('regresi PRT'!$P$45*(E109^5))+('regresi PRT'!$P$46*(E109^6))+('regresi PRT'!$P$47*(E109^7))+('regresi PRT'!$P$48*(E109^8))+('regresi PRT'!$P$49*(E109^9))+('regresi PRT'!$P$50*(E109^10))))</f>
        <v>0</v>
      </c>
      <c r="G109" s="40">
        <f>F109-C109</f>
        <v>0</v>
      </c>
      <c r="H109" s="44"/>
      <c r="I109" s="44"/>
    </row>
    <row r="110" spans="1:27">
      <c r="A110" s="10"/>
      <c r="C110" s="327"/>
      <c r="D110" s="327"/>
      <c r="E110" s="90"/>
      <c r="F110" s="37">
        <f>IF('PERHITUNGAN 24'!$E$11="Burn Engr",'PERHITUNGAN 24'!E110,E110+('regresi PRT'!$P$40+('regresi PRT'!$P$41*E110)+('regresi PRT'!$P$42*(E110^2))+('regresi PRT'!$P$43*(E110^3))+('regresi PRT'!$P$44*(E110^4))+('regresi PRT'!$P$45*(E110^5))+('regresi PRT'!$P$46*(E110^6))+('regresi PRT'!$P$47*(E110^7))+('regresi PRT'!$P$48*(E110^8))+('regresi PRT'!$P$49*(E110^9))+('regresi PRT'!$P$50*(E110^10))))</f>
        <v>0</v>
      </c>
      <c r="G110" s="40">
        <f>F110-C110</f>
        <v>0</v>
      </c>
      <c r="H110" s="63"/>
      <c r="I110" s="63"/>
    </row>
    <row r="111" spans="1:27">
      <c r="A111" s="10"/>
      <c r="C111" s="327"/>
      <c r="D111" s="327"/>
      <c r="E111" s="90"/>
      <c r="F111" s="37">
        <f>IF('PERHITUNGAN 24'!$E$11="Burn Engr",'PERHITUNGAN 24'!E111,E111+('regresi PRT'!$P$40+('regresi PRT'!$P$41*E111)+('regresi PRT'!$P$42*(E111^2))+('regresi PRT'!$P$43*(E111^3))+('regresi PRT'!$P$44*(E111^4))+('regresi PRT'!$P$45*(E111^5))+('regresi PRT'!$P$46*(E111^6))+('regresi PRT'!$P$47*(E111^7))+('regresi PRT'!$P$48*(E111^8))+('regresi PRT'!$P$49*(E111^9))+('regresi PRT'!$P$50*(E111^10))))</f>
        <v>0</v>
      </c>
      <c r="G111" s="41">
        <f>F111-C111</f>
        <v>0</v>
      </c>
      <c r="H111" s="63"/>
      <c r="I111" s="63"/>
    </row>
    <row r="112" spans="1:27">
      <c r="A112" s="10"/>
      <c r="B112" s="8" t="s">
        <v>31</v>
      </c>
      <c r="C112" s="333" t="e">
        <f>AVERAGE(C107:D111)</f>
        <v>#DIV/0!</v>
      </c>
      <c r="D112" s="334"/>
      <c r="E112" s="95" t="e">
        <f>AVERAGE(E107:E111)</f>
        <v>#DIV/0!</v>
      </c>
      <c r="F112" s="95">
        <f>SUM(F107:F111)/5</f>
        <v>0</v>
      </c>
      <c r="G112" s="95">
        <f>SUM(G107:G111)/5</f>
        <v>0</v>
      </c>
      <c r="H112" s="63"/>
      <c r="I112" s="63"/>
    </row>
    <row r="113" spans="1:21" ht="15.5">
      <c r="A113" s="10"/>
      <c r="B113" s="8" t="s">
        <v>30</v>
      </c>
      <c r="C113" s="228"/>
      <c r="D113" s="229"/>
      <c r="E113" s="42"/>
      <c r="F113" s="42"/>
      <c r="G113" s="96">
        <f>_xlfn.STDEV.S(G107:G111)</f>
        <v>0</v>
      </c>
      <c r="H113" s="63"/>
      <c r="I113" s="63"/>
      <c r="R113" s="16"/>
      <c r="U113" s="49"/>
    </row>
    <row r="114" spans="1:21">
      <c r="A114" s="7"/>
      <c r="B114" s="6" t="s">
        <v>27</v>
      </c>
      <c r="C114" s="230"/>
      <c r="D114" s="231"/>
      <c r="E114" s="73"/>
      <c r="F114" s="73"/>
      <c r="G114" s="97">
        <f>G113/SQRT(5)</f>
        <v>0</v>
      </c>
      <c r="H114" s="63"/>
      <c r="I114" s="63"/>
    </row>
    <row r="115" spans="1:21">
      <c r="A115" s="105">
        <v>10</v>
      </c>
      <c r="B115" s="196"/>
      <c r="C115" s="224"/>
      <c r="D115" s="225"/>
      <c r="E115" s="90"/>
      <c r="F115" s="37">
        <f>IF('PERHITUNGAN 24'!$E$11="Burn Engr",'PERHITUNGAN 24'!E115,E115+('regresi PRT'!$P$40+('regresi PRT'!$P$41*E115)+('regresi PRT'!$P$42*(E115^2))+('regresi PRT'!$P$43*(E115^3))+('regresi PRT'!$P$44*(E115^4))+('regresi PRT'!$P$45*(E115^5))+('regresi PRT'!$P$46*(E115^6))+('regresi PRT'!$P$47*(E115^7))+('regresi PRT'!$P$48*(E115^8))+('regresi PRT'!$P$49*(E115^9))+('regresi PRT'!$P$50*(E115^10))))</f>
        <v>0</v>
      </c>
      <c r="G115" s="40">
        <f>F115-C115</f>
        <v>0</v>
      </c>
      <c r="H115" s="63"/>
      <c r="I115" s="63"/>
      <c r="N115" s="98"/>
      <c r="U115" s="72"/>
    </row>
    <row r="116" spans="1:21">
      <c r="A116" s="10"/>
      <c r="C116" s="224"/>
      <c r="D116" s="225"/>
      <c r="E116" s="90"/>
      <c r="F116" s="37">
        <f>IF('PERHITUNGAN 24'!$E$11="Burn Engr",'PERHITUNGAN 24'!E116,E116+('regresi PRT'!$P$40+('regresi PRT'!$P$41*E116)+('regresi PRT'!$P$42*(E116^2))+('regresi PRT'!$P$43*(E116^3))+('regresi PRT'!$P$44*(E116^4))+('regresi PRT'!$P$45*(E116^5))+('regresi PRT'!$P$46*(E116^6))+('regresi PRT'!$P$47*(E116^7))+('regresi PRT'!$P$48*(E116^8))+('regresi PRT'!$P$49*(E116^9))+('regresi PRT'!$P$50*(E116^10))))</f>
        <v>0</v>
      </c>
      <c r="G116" s="40">
        <f>F116-C116</f>
        <v>0</v>
      </c>
      <c r="H116" s="44"/>
      <c r="I116" s="44"/>
      <c r="U116" s="49"/>
    </row>
    <row r="117" spans="1:21">
      <c r="A117" s="10"/>
      <c r="C117" s="224"/>
      <c r="D117" s="225"/>
      <c r="E117" s="90"/>
      <c r="F117" s="37">
        <f>IF('PERHITUNGAN 24'!$E$11="Burn Engr",'PERHITUNGAN 24'!E117,E117+('regresi PRT'!$P$40+('regresi PRT'!$P$41*E117)+('regresi PRT'!$P$42*(E117^2))+('regresi PRT'!$P$43*(E117^3))+('regresi PRT'!$P$44*(E117^4))+('regresi PRT'!$P$45*(E117^5))+('regresi PRT'!$P$46*(E117^6))+('regresi PRT'!$P$47*(E117^7))+('regresi PRT'!$P$48*(E117^8))+('regresi PRT'!$P$49*(E117^9))+('regresi PRT'!$P$50*(E117^10))))</f>
        <v>0</v>
      </c>
      <c r="G117" s="40">
        <f>F117-C117</f>
        <v>0</v>
      </c>
      <c r="H117" s="44"/>
      <c r="I117" s="44"/>
      <c r="U117" s="49"/>
    </row>
    <row r="118" spans="1:21">
      <c r="A118" s="10"/>
      <c r="C118" s="224"/>
      <c r="D118" s="225"/>
      <c r="E118" s="90"/>
      <c r="F118" s="37">
        <f>IF('PERHITUNGAN 24'!$E$11="Burn Engr",'PERHITUNGAN 24'!E118,E118+('regresi PRT'!$P$40+('regresi PRT'!$P$41*E118)+('regresi PRT'!$P$42*(E118^2))+('regresi PRT'!$P$43*(E118^3))+('regresi PRT'!$P$44*(E118^4))+('regresi PRT'!$P$45*(E118^5))+('regresi PRT'!$P$46*(E118^6))+('regresi PRT'!$P$47*(E118^7))+('regresi PRT'!$P$48*(E118^8))+('regresi PRT'!$P$49*(E118^9))+('regresi PRT'!$P$50*(E118^10))))</f>
        <v>0</v>
      </c>
      <c r="G118" s="40">
        <f>F118-C118</f>
        <v>0</v>
      </c>
      <c r="H118" s="63"/>
      <c r="I118" s="63"/>
    </row>
    <row r="119" spans="1:21">
      <c r="A119" s="10"/>
      <c r="C119" s="233"/>
      <c r="D119" s="234"/>
      <c r="E119" s="90"/>
      <c r="F119" s="37">
        <f>IF('PERHITUNGAN 24'!$E$11="Burn Engr",'PERHITUNGAN 24'!E119,E119+('regresi PRT'!$P$40+('regresi PRT'!$P$41*E119)+('regresi PRT'!$P$42*(E119^2))+('regresi PRT'!$P$43*(E119^3))+('regresi PRT'!$P$44*(E119^4))+('regresi PRT'!$P$45*(E119^5))+('regresi PRT'!$P$46*(E119^6))+('regresi PRT'!$P$47*(E119^7))+('regresi PRT'!$P$48*(E119^8))+('regresi PRT'!$P$49*(E119^9))+('regresi PRT'!$P$50*(E119^10))))</f>
        <v>0</v>
      </c>
      <c r="G119" s="41">
        <f>F119-C119</f>
        <v>0</v>
      </c>
      <c r="H119" s="63"/>
      <c r="I119" s="63"/>
    </row>
    <row r="120" spans="1:21">
      <c r="A120" s="10"/>
      <c r="B120" s="8" t="s">
        <v>31</v>
      </c>
      <c r="C120" s="226" t="e">
        <f>AVERAGE(C115:D119)</f>
        <v>#DIV/0!</v>
      </c>
      <c r="D120" s="227"/>
      <c r="E120" s="95" t="e">
        <f>AVERAGE(E115:E119)</f>
        <v>#DIV/0!</v>
      </c>
      <c r="F120" s="95">
        <f>SUM(F115:F119)/5</f>
        <v>0</v>
      </c>
      <c r="G120" s="95">
        <f>SUM(G115:G119)/5</f>
        <v>0</v>
      </c>
      <c r="H120" s="63"/>
      <c r="I120" s="63"/>
    </row>
    <row r="121" spans="1:21">
      <c r="A121" s="10"/>
      <c r="B121" s="8" t="s">
        <v>30</v>
      </c>
      <c r="C121" s="228"/>
      <c r="D121" s="229"/>
      <c r="E121" s="42"/>
      <c r="F121" s="42"/>
      <c r="G121" s="96">
        <f>_xlfn.STDEV.S(G115:G119)</f>
        <v>0</v>
      </c>
      <c r="H121" s="63"/>
      <c r="I121" s="63"/>
    </row>
    <row r="122" spans="1:21">
      <c r="A122" s="7"/>
      <c r="B122" s="6" t="s">
        <v>27</v>
      </c>
      <c r="C122" s="230"/>
      <c r="D122" s="231"/>
      <c r="E122" s="73"/>
      <c r="F122" s="73"/>
      <c r="G122" s="97">
        <f>G121/SQRT(5)</f>
        <v>0</v>
      </c>
      <c r="H122" s="63"/>
      <c r="I122" s="63"/>
    </row>
    <row r="123" spans="1:21">
      <c r="C123" s="232"/>
      <c r="D123" s="232"/>
      <c r="H123" s="63"/>
      <c r="I123" s="63"/>
    </row>
    <row r="124" spans="1:21">
      <c r="C124" s="26"/>
      <c r="D124" s="26"/>
      <c r="H124" s="44"/>
      <c r="I124" s="44"/>
    </row>
    <row r="125" spans="1:21">
      <c r="C125" s="330"/>
      <c r="D125" s="330"/>
      <c r="E125" s="63"/>
      <c r="F125" s="63"/>
      <c r="G125" s="63"/>
      <c r="H125" s="63"/>
      <c r="I125" s="63"/>
    </row>
    <row r="126" spans="1:21">
      <c r="C126" s="330"/>
      <c r="D126" s="330"/>
      <c r="E126" s="63"/>
      <c r="F126" s="63"/>
      <c r="G126" s="63"/>
      <c r="H126" s="63"/>
      <c r="I126" s="63"/>
    </row>
    <row r="127" spans="1:21">
      <c r="C127" s="330"/>
      <c r="D127" s="330"/>
      <c r="E127" s="63"/>
      <c r="F127" s="63"/>
      <c r="G127" s="63"/>
      <c r="H127" s="63"/>
      <c r="I127" s="63"/>
    </row>
    <row r="128" spans="1:21">
      <c r="C128" s="178"/>
      <c r="D128" s="26"/>
      <c r="E128" s="26"/>
      <c r="F128" s="26"/>
      <c r="G128" s="44"/>
      <c r="H128" s="44"/>
      <c r="I128" s="44"/>
    </row>
    <row r="129" spans="1:9">
      <c r="C129" s="26"/>
      <c r="D129" s="26"/>
      <c r="E129" s="26"/>
      <c r="F129" s="26"/>
      <c r="G129" s="44"/>
      <c r="H129" s="44"/>
      <c r="I129" s="44"/>
    </row>
    <row r="134" spans="1:9">
      <c r="C134" s="26"/>
      <c r="D134" s="26"/>
      <c r="E134" s="26"/>
      <c r="F134" s="26"/>
      <c r="G134" s="26"/>
      <c r="H134" s="26"/>
      <c r="I134" s="26"/>
    </row>
    <row r="135" spans="1:9">
      <c r="A135" s="1"/>
      <c r="B135" s="1"/>
      <c r="C135" s="26"/>
      <c r="D135" s="26"/>
      <c r="E135" s="26"/>
      <c r="F135" s="26"/>
      <c r="G135" s="26"/>
      <c r="H135" s="26"/>
      <c r="I135" s="26"/>
    </row>
    <row r="136" spans="1:9">
      <c r="A136" s="1"/>
      <c r="B136" s="1"/>
      <c r="C136" s="26"/>
      <c r="D136" s="26"/>
      <c r="E136" s="26"/>
      <c r="F136" s="26"/>
      <c r="G136" s="26"/>
      <c r="H136" s="26"/>
      <c r="I136" s="26"/>
    </row>
    <row r="137" spans="1:9">
      <c r="A137" s="1"/>
      <c r="B137" s="1"/>
      <c r="C137" s="26"/>
      <c r="D137" s="26"/>
      <c r="E137" s="26"/>
      <c r="F137" s="26"/>
      <c r="G137" s="26"/>
      <c r="H137" s="26"/>
      <c r="I137" s="26"/>
    </row>
    <row r="138" spans="1:9">
      <c r="A138" s="1"/>
      <c r="B138" s="1"/>
      <c r="C138" s="328"/>
      <c r="D138" s="329"/>
      <c r="E138" s="63"/>
      <c r="F138" s="63"/>
      <c r="G138" s="63"/>
      <c r="H138" s="63"/>
      <c r="I138" s="63"/>
    </row>
    <row r="139" spans="1:9">
      <c r="A139" s="1"/>
      <c r="B139" s="1"/>
      <c r="C139" s="328"/>
      <c r="D139" s="329"/>
      <c r="E139" s="26"/>
      <c r="F139" s="63"/>
      <c r="G139" s="63"/>
      <c r="H139" s="63"/>
      <c r="I139" s="63"/>
    </row>
    <row r="140" spans="1:9">
      <c r="A140" s="1"/>
      <c r="B140" s="1"/>
      <c r="C140" s="328"/>
      <c r="D140" s="329"/>
      <c r="E140" s="63"/>
      <c r="F140" s="63"/>
      <c r="G140" s="63"/>
      <c r="H140" s="63"/>
      <c r="I140" s="63"/>
    </row>
    <row r="141" spans="1:9">
      <c r="A141" s="1"/>
      <c r="B141" s="1"/>
      <c r="C141" s="328"/>
      <c r="D141" s="329"/>
      <c r="E141" s="63"/>
      <c r="F141" s="63"/>
      <c r="G141" s="63"/>
      <c r="H141" s="63"/>
      <c r="I141" s="63"/>
    </row>
    <row r="142" spans="1:9">
      <c r="A142" s="1"/>
      <c r="B142" s="1"/>
      <c r="C142" s="328"/>
      <c r="D142" s="329"/>
      <c r="E142" s="26"/>
      <c r="F142" s="63"/>
      <c r="G142" s="63"/>
      <c r="H142" s="63"/>
      <c r="I142" s="63"/>
    </row>
    <row r="143" spans="1:9">
      <c r="A143" s="1"/>
      <c r="B143" s="1"/>
      <c r="C143" s="328"/>
      <c r="D143" s="329"/>
      <c r="E143" s="63"/>
      <c r="F143" s="63"/>
      <c r="G143" s="63"/>
      <c r="H143" s="63"/>
      <c r="I143" s="63"/>
    </row>
    <row r="144" spans="1:9">
      <c r="A144" s="1"/>
      <c r="B144" s="1"/>
      <c r="C144" s="26"/>
      <c r="D144" s="26"/>
      <c r="E144" s="26"/>
      <c r="F144" s="26"/>
      <c r="G144" s="44"/>
      <c r="H144" s="44"/>
      <c r="I144" s="44"/>
    </row>
    <row r="145" spans="1:9">
      <c r="A145" s="1"/>
      <c r="B145" s="1"/>
      <c r="C145" s="26"/>
      <c r="D145" s="26"/>
      <c r="E145" s="26"/>
      <c r="F145" s="26"/>
      <c r="G145" s="44"/>
      <c r="H145" s="44"/>
      <c r="I145" s="44"/>
    </row>
    <row r="146" spans="1:9">
      <c r="A146" s="1"/>
      <c r="B146" s="1"/>
      <c r="C146" s="328"/>
      <c r="D146" s="329"/>
      <c r="E146" s="63"/>
      <c r="F146" s="63"/>
      <c r="G146" s="63"/>
      <c r="H146" s="63"/>
      <c r="I146" s="63"/>
    </row>
    <row r="147" spans="1:9">
      <c r="C147" s="328"/>
      <c r="D147" s="329"/>
      <c r="E147" s="63"/>
      <c r="F147" s="63"/>
      <c r="G147" s="63"/>
      <c r="H147" s="63"/>
      <c r="I147" s="63"/>
    </row>
    <row r="148" spans="1:9">
      <c r="C148" s="328"/>
      <c r="D148" s="329"/>
      <c r="E148" s="63"/>
      <c r="F148" s="63"/>
      <c r="G148" s="63"/>
      <c r="H148" s="63"/>
      <c r="I148" s="63"/>
    </row>
    <row r="149" spans="1:9">
      <c r="C149" s="328"/>
      <c r="D149" s="329"/>
      <c r="E149" s="63"/>
      <c r="F149" s="63"/>
      <c r="G149" s="63"/>
      <c r="H149" s="63"/>
      <c r="I149" s="63"/>
    </row>
    <row r="150" spans="1:9">
      <c r="C150" s="328"/>
      <c r="D150" s="329"/>
      <c r="E150" s="63"/>
      <c r="F150" s="63"/>
      <c r="G150" s="63"/>
      <c r="H150" s="63"/>
      <c r="I150" s="63"/>
    </row>
    <row r="151" spans="1:9">
      <c r="C151" s="328"/>
      <c r="D151" s="329"/>
      <c r="E151" s="63"/>
      <c r="F151" s="63"/>
      <c r="G151" s="63"/>
      <c r="H151" s="63"/>
      <c r="I151" s="63"/>
    </row>
    <row r="152" spans="1:9">
      <c r="C152" s="26"/>
      <c r="D152" s="26"/>
      <c r="E152" s="26"/>
      <c r="F152" s="26"/>
      <c r="G152" s="44"/>
      <c r="H152" s="44"/>
      <c r="I152" s="44"/>
    </row>
    <row r="153" spans="1:9">
      <c r="C153" s="26"/>
      <c r="D153" s="26"/>
      <c r="E153" s="26"/>
      <c r="F153" s="26"/>
      <c r="G153" s="44"/>
      <c r="H153" s="44"/>
      <c r="I153" s="44"/>
    </row>
    <row r="154" spans="1:9">
      <c r="C154" s="178"/>
      <c r="D154" s="26"/>
      <c r="E154" s="26"/>
      <c r="F154" s="26"/>
      <c r="G154" s="44"/>
      <c r="H154" s="44"/>
      <c r="I154" s="44"/>
    </row>
    <row r="155" spans="1:9">
      <c r="C155" s="26"/>
      <c r="D155" s="26"/>
      <c r="E155" s="26"/>
      <c r="F155" s="26"/>
      <c r="G155" s="44"/>
      <c r="H155" s="44"/>
      <c r="I155" s="44"/>
    </row>
    <row r="156" spans="1:9">
      <c r="A156" s="1"/>
      <c r="B156" s="1"/>
      <c r="C156" s="328"/>
      <c r="D156" s="328"/>
      <c r="E156" s="63"/>
      <c r="F156" s="63"/>
      <c r="G156" s="63"/>
      <c r="H156" s="63"/>
      <c r="I156" s="63"/>
    </row>
    <row r="157" spans="1:9">
      <c r="C157" s="328"/>
      <c r="D157" s="328"/>
      <c r="E157" s="63"/>
      <c r="F157" s="63"/>
      <c r="G157" s="63"/>
      <c r="H157" s="63"/>
      <c r="I157" s="63"/>
    </row>
    <row r="158" spans="1:9">
      <c r="C158" s="328"/>
      <c r="D158" s="328"/>
      <c r="E158" s="63"/>
      <c r="F158" s="63"/>
      <c r="G158" s="63"/>
      <c r="H158" s="63"/>
      <c r="I158" s="63"/>
    </row>
    <row r="159" spans="1:9">
      <c r="C159" s="328"/>
      <c r="D159" s="328"/>
      <c r="E159" s="63"/>
      <c r="F159" s="63"/>
      <c r="G159" s="63"/>
      <c r="H159" s="63"/>
      <c r="I159" s="63"/>
    </row>
    <row r="160" spans="1:9">
      <c r="C160" s="328"/>
      <c r="D160" s="328"/>
      <c r="E160" s="63"/>
      <c r="F160" s="63"/>
      <c r="G160" s="63"/>
      <c r="H160" s="63"/>
      <c r="I160" s="63"/>
    </row>
    <row r="161" spans="1:9">
      <c r="C161" s="328"/>
      <c r="D161" s="328"/>
      <c r="E161" s="63"/>
      <c r="F161" s="63"/>
      <c r="G161" s="63"/>
      <c r="H161" s="63"/>
      <c r="I161" s="63"/>
    </row>
    <row r="162" spans="1:9">
      <c r="C162" s="26"/>
      <c r="D162" s="26"/>
      <c r="E162" s="26"/>
      <c r="F162" s="26"/>
      <c r="G162" s="63"/>
      <c r="H162" s="63"/>
      <c r="I162" s="63"/>
    </row>
    <row r="163" spans="1:9">
      <c r="C163" s="26"/>
      <c r="D163" s="26"/>
      <c r="E163" s="26"/>
      <c r="F163" s="26"/>
      <c r="G163" s="63"/>
      <c r="H163" s="63"/>
      <c r="I163" s="63"/>
    </row>
    <row r="164" spans="1:9">
      <c r="A164" s="1"/>
      <c r="B164" s="1"/>
      <c r="C164" s="328"/>
      <c r="D164" s="328"/>
      <c r="E164" s="63"/>
      <c r="F164" s="63"/>
      <c r="G164" s="63"/>
      <c r="H164" s="63"/>
      <c r="I164" s="63"/>
    </row>
    <row r="165" spans="1:9">
      <c r="C165" s="328"/>
      <c r="D165" s="328"/>
      <c r="E165" s="63"/>
      <c r="F165" s="63"/>
      <c r="G165" s="63"/>
      <c r="H165" s="63"/>
      <c r="I165" s="63"/>
    </row>
    <row r="166" spans="1:9">
      <c r="C166" s="328"/>
      <c r="D166" s="328"/>
      <c r="E166" s="63"/>
      <c r="F166" s="63"/>
      <c r="G166" s="63"/>
      <c r="H166" s="63"/>
      <c r="I166" s="63"/>
    </row>
    <row r="167" spans="1:9">
      <c r="C167" s="328"/>
      <c r="D167" s="328"/>
      <c r="E167" s="63"/>
      <c r="F167" s="63"/>
      <c r="G167" s="63"/>
      <c r="H167" s="63"/>
      <c r="I167" s="63"/>
    </row>
    <row r="168" spans="1:9">
      <c r="C168" s="328"/>
      <c r="D168" s="328"/>
      <c r="E168" s="63"/>
      <c r="F168" s="63"/>
      <c r="G168" s="63"/>
      <c r="H168" s="63"/>
      <c r="I168" s="63"/>
    </row>
    <row r="169" spans="1:9">
      <c r="C169" s="328"/>
      <c r="D169" s="328"/>
      <c r="E169" s="63"/>
      <c r="F169" s="63"/>
      <c r="G169" s="63"/>
      <c r="H169" s="63"/>
      <c r="I169" s="63"/>
    </row>
    <row r="170" spans="1:9">
      <c r="C170" s="178"/>
      <c r="D170" s="26"/>
      <c r="E170" s="26"/>
      <c r="F170" s="26"/>
      <c r="G170" s="63"/>
      <c r="H170" s="63"/>
      <c r="I170" s="63"/>
    </row>
    <row r="171" spans="1:9">
      <c r="C171" s="26"/>
      <c r="D171" s="26"/>
      <c r="E171" s="26"/>
      <c r="F171" s="26"/>
      <c r="G171" s="63"/>
      <c r="H171" s="63"/>
      <c r="I171" s="63"/>
    </row>
    <row r="172" spans="1:9">
      <c r="A172" s="1"/>
      <c r="B172" s="1"/>
      <c r="C172" s="328"/>
      <c r="D172" s="328"/>
      <c r="E172" s="63"/>
      <c r="F172" s="63"/>
      <c r="G172" s="63"/>
      <c r="H172" s="63"/>
      <c r="I172" s="63"/>
    </row>
    <row r="173" spans="1:9">
      <c r="C173" s="328"/>
      <c r="D173" s="328"/>
      <c r="E173" s="63"/>
      <c r="F173" s="63"/>
      <c r="G173" s="63"/>
      <c r="H173" s="63"/>
      <c r="I173" s="63"/>
    </row>
    <row r="174" spans="1:9">
      <c r="C174" s="328"/>
      <c r="D174" s="328"/>
      <c r="E174" s="63"/>
      <c r="F174" s="63"/>
      <c r="G174" s="63"/>
      <c r="H174" s="63"/>
      <c r="I174" s="63"/>
    </row>
    <row r="175" spans="1:9">
      <c r="C175" s="328"/>
      <c r="D175" s="328"/>
      <c r="E175" s="63"/>
      <c r="F175" s="63"/>
      <c r="G175" s="63"/>
      <c r="H175" s="63"/>
      <c r="I175" s="63"/>
    </row>
    <row r="176" spans="1:9">
      <c r="C176" s="328"/>
      <c r="D176" s="328"/>
      <c r="E176" s="63"/>
      <c r="F176" s="63"/>
      <c r="G176" s="63"/>
      <c r="H176" s="63"/>
      <c r="I176" s="63"/>
    </row>
    <row r="177" spans="1:9">
      <c r="C177" s="328"/>
      <c r="D177" s="328"/>
      <c r="E177" s="63"/>
      <c r="F177" s="63"/>
      <c r="G177" s="63"/>
      <c r="H177" s="63"/>
      <c r="I177" s="63"/>
    </row>
    <row r="178" spans="1:9">
      <c r="C178" s="26"/>
      <c r="D178" s="26"/>
      <c r="E178" s="26"/>
      <c r="F178" s="26"/>
      <c r="G178" s="63"/>
      <c r="H178" s="63"/>
      <c r="I178" s="63"/>
    </row>
    <row r="179" spans="1:9">
      <c r="C179" s="26"/>
      <c r="D179" s="26"/>
      <c r="E179" s="26"/>
      <c r="F179" s="26"/>
      <c r="G179" s="63"/>
      <c r="H179" s="63"/>
      <c r="I179" s="63"/>
    </row>
    <row r="180" spans="1:9">
      <c r="A180" s="1"/>
      <c r="B180" s="1"/>
      <c r="C180" s="330"/>
      <c r="D180" s="329"/>
      <c r="E180" s="63"/>
      <c r="F180" s="63"/>
      <c r="G180" s="63"/>
      <c r="H180" s="63"/>
      <c r="I180" s="63"/>
    </row>
    <row r="181" spans="1:9">
      <c r="C181" s="330"/>
      <c r="D181" s="329"/>
      <c r="E181" s="63"/>
      <c r="F181" s="63"/>
      <c r="G181" s="63"/>
      <c r="H181" s="63"/>
      <c r="I181" s="63"/>
    </row>
    <row r="182" spans="1:9">
      <c r="C182" s="330"/>
      <c r="D182" s="329"/>
      <c r="E182" s="63"/>
      <c r="F182" s="63"/>
      <c r="G182" s="63"/>
      <c r="H182" s="63"/>
      <c r="I182" s="63"/>
    </row>
    <row r="183" spans="1:9">
      <c r="C183" s="330"/>
      <c r="D183" s="329"/>
      <c r="E183" s="63"/>
      <c r="F183" s="63"/>
      <c r="G183" s="63"/>
      <c r="H183" s="63"/>
      <c r="I183" s="63"/>
    </row>
    <row r="184" spans="1:9">
      <c r="C184" s="330"/>
      <c r="D184" s="329"/>
      <c r="E184" s="63"/>
      <c r="F184" s="63"/>
      <c r="G184" s="63"/>
      <c r="H184" s="63"/>
      <c r="I184" s="63"/>
    </row>
    <row r="185" spans="1:9">
      <c r="C185" s="328"/>
      <c r="D185" s="328"/>
      <c r="E185" s="63"/>
      <c r="F185" s="63"/>
      <c r="G185" s="63"/>
      <c r="H185" s="63"/>
      <c r="I185" s="63"/>
    </row>
    <row r="186" spans="1:9">
      <c r="C186" s="26"/>
      <c r="D186" s="26"/>
      <c r="E186" s="26"/>
      <c r="F186" s="26"/>
      <c r="G186" s="63"/>
      <c r="H186" s="63"/>
      <c r="I186" s="63"/>
    </row>
    <row r="187" spans="1:9">
      <c r="C187" s="26"/>
      <c r="D187" s="26"/>
      <c r="E187" s="26"/>
      <c r="F187" s="26"/>
      <c r="G187" s="63"/>
      <c r="H187" s="63"/>
      <c r="I187" s="63"/>
    </row>
  </sheetData>
  <mergeCells count="172">
    <mergeCell ref="C185:D185"/>
    <mergeCell ref="C177:D177"/>
    <mergeCell ref="C180:D180"/>
    <mergeCell ref="C181:D181"/>
    <mergeCell ref="C182:D182"/>
    <mergeCell ref="C183:D183"/>
    <mergeCell ref="C184:D184"/>
    <mergeCell ref="C169:D169"/>
    <mergeCell ref="C172:D172"/>
    <mergeCell ref="C173:D173"/>
    <mergeCell ref="C174:D174"/>
    <mergeCell ref="C175:D175"/>
    <mergeCell ref="C176:D176"/>
    <mergeCell ref="C161:D161"/>
    <mergeCell ref="C164:D164"/>
    <mergeCell ref="C165:D165"/>
    <mergeCell ref="C166:D166"/>
    <mergeCell ref="C167:D167"/>
    <mergeCell ref="C168:D168"/>
    <mergeCell ref="C151:D151"/>
    <mergeCell ref="C156:D156"/>
    <mergeCell ref="C157:D157"/>
    <mergeCell ref="C158:D158"/>
    <mergeCell ref="C159:D159"/>
    <mergeCell ref="C160:D160"/>
    <mergeCell ref="C143:D143"/>
    <mergeCell ref="C146:D146"/>
    <mergeCell ref="C147:D147"/>
    <mergeCell ref="C148:D148"/>
    <mergeCell ref="C149:D149"/>
    <mergeCell ref="C150:D150"/>
    <mergeCell ref="C127:D127"/>
    <mergeCell ref="C138:D138"/>
    <mergeCell ref="C139:D139"/>
    <mergeCell ref="C140:D140"/>
    <mergeCell ref="C141:D141"/>
    <mergeCell ref="C142:D142"/>
    <mergeCell ref="C109:D109"/>
    <mergeCell ref="C110:D110"/>
    <mergeCell ref="C111:D111"/>
    <mergeCell ref="C112:D112"/>
    <mergeCell ref="C125:D125"/>
    <mergeCell ref="C126:D126"/>
    <mergeCell ref="C101:D101"/>
    <mergeCell ref="C102:D102"/>
    <mergeCell ref="C103:D103"/>
    <mergeCell ref="C104:D104"/>
    <mergeCell ref="C107:D107"/>
    <mergeCell ref="C108:D108"/>
    <mergeCell ref="C95:D95"/>
    <mergeCell ref="C96:D96"/>
    <mergeCell ref="N96:O96"/>
    <mergeCell ref="Z96:AA96"/>
    <mergeCell ref="C99:D99"/>
    <mergeCell ref="C100:D100"/>
    <mergeCell ref="C93:D93"/>
    <mergeCell ref="O93:P93"/>
    <mergeCell ref="Q93:R93"/>
    <mergeCell ref="C94:D94"/>
    <mergeCell ref="O94:P94"/>
    <mergeCell ref="Q94:R94"/>
    <mergeCell ref="C91:D91"/>
    <mergeCell ref="O91:P91"/>
    <mergeCell ref="Q91:R91"/>
    <mergeCell ref="C92:D92"/>
    <mergeCell ref="O92:P92"/>
    <mergeCell ref="Q92:R92"/>
    <mergeCell ref="C88:D88"/>
    <mergeCell ref="O88:P88"/>
    <mergeCell ref="Q88:R88"/>
    <mergeCell ref="O89:P89"/>
    <mergeCell ref="Q89:R89"/>
    <mergeCell ref="O90:P90"/>
    <mergeCell ref="Q90:R90"/>
    <mergeCell ref="C86:D86"/>
    <mergeCell ref="O86:P86"/>
    <mergeCell ref="Q86:R86"/>
    <mergeCell ref="C87:D87"/>
    <mergeCell ref="O87:P87"/>
    <mergeCell ref="Q87:R87"/>
    <mergeCell ref="S83:T83"/>
    <mergeCell ref="C84:D84"/>
    <mergeCell ref="S84:T84"/>
    <mergeCell ref="C85:D85"/>
    <mergeCell ref="O85:P85"/>
    <mergeCell ref="Q85:R85"/>
    <mergeCell ref="C79:D79"/>
    <mergeCell ref="C80:D80"/>
    <mergeCell ref="C83:D83"/>
    <mergeCell ref="N83:N84"/>
    <mergeCell ref="O83:P84"/>
    <mergeCell ref="Q83:R84"/>
    <mergeCell ref="C71:D71"/>
    <mergeCell ref="C72:D72"/>
    <mergeCell ref="C75:D75"/>
    <mergeCell ref="C76:D76"/>
    <mergeCell ref="C77:D77"/>
    <mergeCell ref="C78:D78"/>
    <mergeCell ref="C63:D63"/>
    <mergeCell ref="C64:D64"/>
    <mergeCell ref="C67:D67"/>
    <mergeCell ref="C68:D68"/>
    <mergeCell ref="C69:D69"/>
    <mergeCell ref="C70:D70"/>
    <mergeCell ref="O55:X55"/>
    <mergeCell ref="C56:D56"/>
    <mergeCell ref="C59:D59"/>
    <mergeCell ref="C60:D60"/>
    <mergeCell ref="C61:D61"/>
    <mergeCell ref="C62:D62"/>
    <mergeCell ref="C51:D51"/>
    <mergeCell ref="C52:D52"/>
    <mergeCell ref="C53:D53"/>
    <mergeCell ref="C54:D54"/>
    <mergeCell ref="C55:D55"/>
    <mergeCell ref="N55:N56"/>
    <mergeCell ref="T45:Y4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N45:S45"/>
    <mergeCell ref="T36:T37"/>
    <mergeCell ref="U36:U37"/>
    <mergeCell ref="V36:V37"/>
    <mergeCell ref="W36:W37"/>
    <mergeCell ref="X36:X37"/>
    <mergeCell ref="C40:D40"/>
    <mergeCell ref="N36:N37"/>
    <mergeCell ref="O36:O37"/>
    <mergeCell ref="P36:P37"/>
    <mergeCell ref="Q36:Q37"/>
    <mergeCell ref="R36:R37"/>
    <mergeCell ref="S36:S37"/>
    <mergeCell ref="T28:T29"/>
    <mergeCell ref="U28:U29"/>
    <mergeCell ref="AB28:AC28"/>
    <mergeCell ref="AB30:AC30"/>
    <mergeCell ref="J31:K31"/>
    <mergeCell ref="AB32:AC32"/>
    <mergeCell ref="J26:K26"/>
    <mergeCell ref="N28:N29"/>
    <mergeCell ref="O28:O29"/>
    <mergeCell ref="P28:P29"/>
    <mergeCell ref="Q28:Q29"/>
    <mergeCell ref="S28:S29"/>
    <mergeCell ref="E16:F16"/>
    <mergeCell ref="N16:N20"/>
    <mergeCell ref="E17:F17"/>
    <mergeCell ref="E18:F18"/>
    <mergeCell ref="AB18:AC18"/>
    <mergeCell ref="F21:G21"/>
    <mergeCell ref="N21:N25"/>
    <mergeCell ref="T4:T5"/>
    <mergeCell ref="U4:U5"/>
    <mergeCell ref="N6:N10"/>
    <mergeCell ref="U6:U25"/>
    <mergeCell ref="N11:N15"/>
    <mergeCell ref="AB14:AC14"/>
    <mergeCell ref="AB15:AC15"/>
    <mergeCell ref="N4:N5"/>
    <mergeCell ref="O4:O5"/>
    <mergeCell ref="P4:P5"/>
    <mergeCell ref="Q4:Q5"/>
    <mergeCell ref="R4:R5"/>
    <mergeCell ref="S4:S5"/>
  </mergeCells>
  <conditionalFormatting sqref="C56">
    <cfRule type="expression" dxfId="45" priority="18" stopIfTrue="1">
      <formula>COUNT(C51:C55)&lt;&gt;5</formula>
    </cfRule>
  </conditionalFormatting>
  <conditionalFormatting sqref="C64">
    <cfRule type="expression" dxfId="44" priority="2" stopIfTrue="1">
      <formula>COUNT(C59:C63)&lt;&gt;5</formula>
    </cfRule>
  </conditionalFormatting>
  <conditionalFormatting sqref="C72">
    <cfRule type="expression" dxfId="43" priority="8" stopIfTrue="1">
      <formula>COUNT(C67:C71)&lt;&gt;5</formula>
    </cfRule>
  </conditionalFormatting>
  <conditionalFormatting sqref="C80">
    <cfRule type="expression" dxfId="42" priority="7" stopIfTrue="1">
      <formula>COUNT(C75:C79)&lt;&gt;5</formula>
    </cfRule>
  </conditionalFormatting>
  <conditionalFormatting sqref="C88">
    <cfRule type="expression" dxfId="41" priority="6" stopIfTrue="1">
      <formula>COUNT(C83:C87)&lt;&gt;5</formula>
    </cfRule>
  </conditionalFormatting>
  <conditionalFormatting sqref="C96">
    <cfRule type="expression" dxfId="40" priority="5" stopIfTrue="1">
      <formula>COUNT(C91:C95)&lt;&gt;5</formula>
    </cfRule>
  </conditionalFormatting>
  <conditionalFormatting sqref="C104">
    <cfRule type="expression" dxfId="39" priority="4" stopIfTrue="1">
      <formula>COUNT(C99:C103)&lt;&gt;5</formula>
    </cfRule>
  </conditionalFormatting>
  <conditionalFormatting sqref="C112">
    <cfRule type="expression" dxfId="38" priority="3" stopIfTrue="1">
      <formula>COUNT(C107:C111)&lt;&gt;5</formula>
    </cfRule>
  </conditionalFormatting>
  <conditionalFormatting sqref="C48:E48">
    <cfRule type="expression" dxfId="37" priority="19" stopIfTrue="1">
      <formula>COUNT(C43:C47)&lt;&gt;5</formula>
    </cfRule>
  </conditionalFormatting>
  <conditionalFormatting sqref="C120:E120">
    <cfRule type="expression" dxfId="36" priority="9" stopIfTrue="1">
      <formula>COUNT(C115:C119)&lt;&gt;5</formula>
    </cfRule>
  </conditionalFormatting>
  <conditionalFormatting sqref="E56">
    <cfRule type="expression" dxfId="35" priority="17" stopIfTrue="1">
      <formula>COUNT(E51:E55)&lt;&gt;5</formula>
    </cfRule>
  </conditionalFormatting>
  <conditionalFormatting sqref="E64">
    <cfRule type="expression" dxfId="34" priority="1" stopIfTrue="1">
      <formula>COUNT(E59:E63)&lt;&gt;5</formula>
    </cfRule>
  </conditionalFormatting>
  <conditionalFormatting sqref="E72">
    <cfRule type="expression" dxfId="33" priority="16" stopIfTrue="1">
      <formula>COUNT(E67:E71)&lt;&gt;5</formula>
    </cfRule>
  </conditionalFormatting>
  <conditionalFormatting sqref="E80">
    <cfRule type="expression" dxfId="32" priority="15" stopIfTrue="1">
      <formula>COUNT(E75:E79)&lt;&gt;5</formula>
    </cfRule>
  </conditionalFormatting>
  <conditionalFormatting sqref="E88">
    <cfRule type="expression" dxfId="31" priority="14" stopIfTrue="1">
      <formula>COUNT(E83:E87)&lt;&gt;5</formula>
    </cfRule>
  </conditionalFormatting>
  <conditionalFormatting sqref="E96">
    <cfRule type="expression" dxfId="30" priority="13" stopIfTrue="1">
      <formula>COUNT(E91:E95)&lt;&gt;5</formula>
    </cfRule>
  </conditionalFormatting>
  <conditionalFormatting sqref="E104">
    <cfRule type="expression" dxfId="29" priority="12" stopIfTrue="1">
      <formula>COUNT(E99:E103)&lt;&gt;5</formula>
    </cfRule>
  </conditionalFormatting>
  <conditionalFormatting sqref="E112">
    <cfRule type="expression" dxfId="28" priority="11" stopIfTrue="1">
      <formula>COUNT(E107:E111)&lt;&gt;5</formula>
    </cfRule>
  </conditionalFormatting>
  <pageMargins left="0.35433070866141736" right="0.35433070866141736" top="0.19685039370078741" bottom="0.15748031496062992" header="0.15748031496062992" footer="0"/>
  <pageSetup paperSize="9" scale="83" orientation="portrait" horizontalDpi="300" verticalDpi="300" r:id="rId1"/>
  <headerFooter alignWithMargins="0">
    <oddHeader xml:space="preserve">&amp;CKERTAS KERJA KALIBRASI
TERMOMETER TIPE KONTAK&amp;RF-017
Halaman   dari            </oddHeader>
  </headerFooter>
  <rowBreaks count="1" manualBreakCount="1">
    <brk id="70" max="24" man="1"/>
  </rowBreaks>
  <colBreaks count="2" manualBreakCount="2">
    <brk id="12" max="114" man="1"/>
    <brk id="27" max="1048575" man="1"/>
  </colBreaks>
  <drawing r:id="rId2"/>
  <legacyDrawing r:id="rId3"/>
  <oleObjects>
    <mc:AlternateContent xmlns:mc="http://schemas.openxmlformats.org/markup-compatibility/2006">
      <mc:Choice Requires="x14">
        <oleObject progId="Equation.3" shapeId="107521" r:id="rId4">
          <objectPr defaultSize="0" autoPict="0" r:id="rId5">
            <anchor moveWithCells="1" sizeWithCells="1">
              <from>
                <xdr:col>15</xdr:col>
                <xdr:colOff>0</xdr:colOff>
                <xdr:row>40</xdr:row>
                <xdr:rowOff>152400</xdr:rowOff>
              </from>
              <to>
                <xdr:col>16</xdr:col>
                <xdr:colOff>0</xdr:colOff>
                <xdr:row>42</xdr:row>
                <xdr:rowOff>146050</xdr:rowOff>
              </to>
            </anchor>
          </objectPr>
        </oleObject>
      </mc:Choice>
      <mc:Fallback>
        <oleObject progId="Equation.3" shapeId="107521" r:id="rId4"/>
      </mc:Fallback>
    </mc:AlternateContent>
    <mc:AlternateContent xmlns:mc="http://schemas.openxmlformats.org/markup-compatibility/2006">
      <mc:Choice Requires="x14">
        <oleObject progId="Equation.3" shapeId="107522" r:id="rId6">
          <objectPr defaultSize="0" autoPict="0" r:id="rId7">
            <anchor moveWithCells="1" sizeWithCells="1">
              <from>
                <xdr:col>19</xdr:col>
                <xdr:colOff>228600</xdr:colOff>
                <xdr:row>40</xdr:row>
                <xdr:rowOff>50800</xdr:rowOff>
              </from>
              <to>
                <xdr:col>21</xdr:col>
                <xdr:colOff>152400</xdr:colOff>
                <xdr:row>43</xdr:row>
                <xdr:rowOff>31750</xdr:rowOff>
              </to>
            </anchor>
          </objectPr>
        </oleObject>
      </mc:Choice>
      <mc:Fallback>
        <oleObject progId="Equation.3" shapeId="107522" r:id="rId6"/>
      </mc:Fallback>
    </mc:AlternateContent>
    <mc:AlternateContent xmlns:mc="http://schemas.openxmlformats.org/markup-compatibility/2006">
      <mc:Choice Requires="x14">
        <oleObject progId="Equation.3" shapeId="107523" r:id="rId8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107523" r:id="rId8"/>
      </mc:Fallback>
    </mc:AlternateContent>
    <mc:AlternateContent xmlns:mc="http://schemas.openxmlformats.org/markup-compatibility/2006">
      <mc:Choice Requires="x14">
        <oleObject progId="Equation.3" shapeId="107524" r:id="rId10">
          <objectPr defaultSize="0" autoPict="0" r:id="rId9">
            <anchor moveWithCells="1" sizeWithCells="1">
              <from>
                <xdr:col>17</xdr:col>
                <xdr:colOff>95250</xdr:colOff>
                <xdr:row>27</xdr:row>
                <xdr:rowOff>19050</xdr:rowOff>
              </from>
              <to>
                <xdr:col>17</xdr:col>
                <xdr:colOff>323850</xdr:colOff>
                <xdr:row>28</xdr:row>
                <xdr:rowOff>127000</xdr:rowOff>
              </to>
            </anchor>
          </objectPr>
        </oleObject>
      </mc:Choice>
      <mc:Fallback>
        <oleObject progId="Equation.3" shapeId="107524" r:id="rId10"/>
      </mc:Fallback>
    </mc:AlternateContent>
  </oleObjec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373C6-14C4-46A8-BB85-822069980332}">
  <sheetPr>
    <tabColor rgb="FF00B0F0"/>
  </sheetPr>
  <dimension ref="A1:X8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4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Q1" s="12" t="s">
        <v>47</v>
      </c>
    </row>
    <row r="2" spans="1:24">
      <c r="A2" s="25">
        <v>1</v>
      </c>
      <c r="B2" s="37">
        <f>'PERHITUNGAN 24'!O85</f>
        <v>-0.82259999999999989</v>
      </c>
      <c r="C2" s="37">
        <f>'PERHITUNGAN 24'!N85</f>
        <v>-9</v>
      </c>
      <c r="D2" s="75">
        <f>C2^2</f>
        <v>81</v>
      </c>
      <c r="E2" s="37">
        <f>C2^3</f>
        <v>-729</v>
      </c>
      <c r="F2" s="91">
        <f>C2^4</f>
        <v>6561</v>
      </c>
      <c r="G2" s="91">
        <f>C2^5</f>
        <v>-59049</v>
      </c>
      <c r="H2" s="91">
        <f>C2^6</f>
        <v>531441</v>
      </c>
      <c r="I2" s="91">
        <f>C2^7</f>
        <v>-4782969</v>
      </c>
      <c r="J2" s="91">
        <f>C2^8</f>
        <v>43046721</v>
      </c>
      <c r="K2" s="91">
        <f>C2^9</f>
        <v>-387420489</v>
      </c>
      <c r="L2" s="91">
        <f>C2^10</f>
        <v>3486784401</v>
      </c>
      <c r="Q2" s="12"/>
    </row>
    <row r="3" spans="1:24">
      <c r="A3" s="25">
        <v>2</v>
      </c>
      <c r="B3" s="37">
        <f>'PERHITUNGAN 24'!O86</f>
        <v>-0.49099999999999999</v>
      </c>
      <c r="C3" s="37">
        <f>'PERHITUNGAN 24'!N86</f>
        <v>0.7</v>
      </c>
      <c r="D3" s="75">
        <f t="shared" ref="D3:D9" si="0">C3^2</f>
        <v>0.48999999999999994</v>
      </c>
      <c r="E3" s="37">
        <f t="shared" ref="E3:E9" si="1">C3^3</f>
        <v>0.34299999999999992</v>
      </c>
      <c r="F3" s="91">
        <f t="shared" ref="F3:F9" si="2">C3^4</f>
        <v>0.24009999999999992</v>
      </c>
      <c r="G3" s="91">
        <f t="shared" ref="G3:G9" si="3">C3^5</f>
        <v>0.16806999999999994</v>
      </c>
      <c r="H3" s="91">
        <f t="shared" ref="H3:H9" si="4">C3^6</f>
        <v>0.11764899999999995</v>
      </c>
      <c r="I3" s="91">
        <f t="shared" ref="I3:I9" si="5">C3^7</f>
        <v>8.235429999999995E-2</v>
      </c>
      <c r="J3" s="91">
        <f t="shared" ref="J3:J9" si="6">C3^8</f>
        <v>5.7648009999999965E-2</v>
      </c>
      <c r="K3" s="91">
        <f t="shared" ref="K3:K9" si="7">C3^9</f>
        <v>4.0353606999999972E-2</v>
      </c>
      <c r="L3" s="91">
        <f t="shared" ref="L3:L9" si="8">C3^10</f>
        <v>2.824752489999998E-2</v>
      </c>
      <c r="R3" s="412" t="s">
        <v>48</v>
      </c>
      <c r="S3" s="413"/>
      <c r="T3" s="3" t="s">
        <v>4</v>
      </c>
      <c r="U3" s="14"/>
    </row>
    <row r="4" spans="1:24">
      <c r="A4" s="25">
        <v>3</v>
      </c>
      <c r="B4" s="37">
        <f>'PERHITUNGAN 24'!O87</f>
        <v>0.28639999999999832</v>
      </c>
      <c r="C4" s="37">
        <f>'PERHITUNGAN 24'!N87</f>
        <v>25.1</v>
      </c>
      <c r="D4" s="75">
        <f t="shared" si="0"/>
        <v>630.0100000000001</v>
      </c>
      <c r="E4" s="37">
        <f t="shared" si="1"/>
        <v>15813.251000000004</v>
      </c>
      <c r="F4" s="91">
        <f t="shared" si="2"/>
        <v>396912.60010000016</v>
      </c>
      <c r="G4" s="91">
        <f t="shared" si="3"/>
        <v>9962506.2625100054</v>
      </c>
      <c r="H4" s="91">
        <f t="shared" si="4"/>
        <v>250058907.18900114</v>
      </c>
      <c r="I4" s="91">
        <f t="shared" si="5"/>
        <v>6276478570.4439287</v>
      </c>
      <c r="J4" s="91">
        <f t="shared" si="6"/>
        <v>157539612118.14264</v>
      </c>
      <c r="K4" s="91">
        <f t="shared" si="7"/>
        <v>3954244264165.3804</v>
      </c>
      <c r="L4" s="91">
        <f t="shared" si="8"/>
        <v>99251531030551.063</v>
      </c>
      <c r="R4" s="414" t="str">
        <f>IF('PERHITUNGAN 13'!$C$2="Celcius","(°C)","(°F)")</f>
        <v>(°C)</v>
      </c>
      <c r="S4" s="415"/>
      <c r="T4" s="5" t="str">
        <f>IF('PERHITUNGAN 13'!$C$2="Celcius","(°C)","(°F)")</f>
        <v>(°C)</v>
      </c>
      <c r="U4" s="14"/>
      <c r="V4" s="1"/>
    </row>
    <row r="5" spans="1:24">
      <c r="A5" s="25">
        <v>4</v>
      </c>
      <c r="B5" s="37">
        <f>'PERHITUNGAN 24'!O88</f>
        <v>0.88459999999999894</v>
      </c>
      <c r="C5" s="37">
        <f>'PERHITUNGAN 24'!N88</f>
        <v>49.6</v>
      </c>
      <c r="D5" s="75">
        <f t="shared" si="0"/>
        <v>2460.1600000000003</v>
      </c>
      <c r="E5" s="37">
        <f t="shared" si="1"/>
        <v>122023.93600000002</v>
      </c>
      <c r="F5" s="91">
        <f t="shared" si="2"/>
        <v>6052387.2256000014</v>
      </c>
      <c r="G5" s="91">
        <f t="shared" si="3"/>
        <v>300198406.38976008</v>
      </c>
      <c r="H5" s="91">
        <f t="shared" si="4"/>
        <v>14889840956.932102</v>
      </c>
      <c r="I5" s="91">
        <f t="shared" si="5"/>
        <v>738536111463.83228</v>
      </c>
      <c r="J5" s="91">
        <f t="shared" si="6"/>
        <v>36631391128606.086</v>
      </c>
      <c r="K5" s="91">
        <f t="shared" si="7"/>
        <v>1816916999978862</v>
      </c>
      <c r="L5" s="91">
        <f t="shared" si="8"/>
        <v>9.0119083198951552E+16</v>
      </c>
      <c r="R5" s="412"/>
      <c r="S5" s="413"/>
      <c r="T5" s="21"/>
      <c r="U5" s="32"/>
    </row>
    <row r="6" spans="1:24">
      <c r="A6" s="25">
        <v>5</v>
      </c>
      <c r="B6" s="37">
        <f>'PERHITUNGAN 24'!O89</f>
        <v>1.2928000000000055</v>
      </c>
      <c r="C6" s="37">
        <f>'PERHITUNGAN 24'!N89</f>
        <v>98.5</v>
      </c>
      <c r="D6" s="75">
        <f t="shared" si="0"/>
        <v>9702.25</v>
      </c>
      <c r="E6" s="37">
        <f t="shared" si="1"/>
        <v>955671.625</v>
      </c>
      <c r="F6" s="91">
        <f t="shared" si="2"/>
        <v>94133655.0625</v>
      </c>
      <c r="G6" s="91">
        <f t="shared" si="3"/>
        <v>9272165023.65625</v>
      </c>
      <c r="H6" s="91">
        <f t="shared" si="4"/>
        <v>913308254830.14063</v>
      </c>
      <c r="I6" s="91">
        <f t="shared" si="5"/>
        <v>89960863100768.844</v>
      </c>
      <c r="J6" s="91">
        <f t="shared" si="6"/>
        <v>8861145015425732</v>
      </c>
      <c r="K6" s="91">
        <f t="shared" si="7"/>
        <v>8.7282278401943462E+17</v>
      </c>
      <c r="L6" s="91">
        <f t="shared" si="8"/>
        <v>8.5973044225914307E+19</v>
      </c>
      <c r="Q6" t="s">
        <v>150</v>
      </c>
      <c r="R6" s="408">
        <f>'REGRESI 13'!R6</f>
        <v>0</v>
      </c>
      <c r="S6" s="409"/>
      <c r="T6" s="23">
        <f>$V$38+($V$39*R6)+($V$40*(R6^2))+($V$41*(R6^3))</f>
        <v>0</v>
      </c>
      <c r="U6" s="27"/>
      <c r="V6" s="88"/>
    </row>
    <row r="7" spans="1:24">
      <c r="A7" s="25">
        <v>6</v>
      </c>
      <c r="B7" s="37">
        <f>'PERHITUNGAN 24'!O90</f>
        <v>0.63879999999999482</v>
      </c>
      <c r="C7" s="37">
        <f>'PERHITUNGAN 24'!N90</f>
        <v>124.7</v>
      </c>
      <c r="D7" s="75">
        <f t="shared" si="0"/>
        <v>15550.09</v>
      </c>
      <c r="E7" s="37">
        <f t="shared" si="1"/>
        <v>1939096.223</v>
      </c>
      <c r="F7" s="91">
        <f t="shared" si="2"/>
        <v>241805299.0081</v>
      </c>
      <c r="G7" s="91">
        <f t="shared" si="3"/>
        <v>30153120786.31007</v>
      </c>
      <c r="H7" s="91">
        <f t="shared" si="4"/>
        <v>3760094162052.8657</v>
      </c>
      <c r="I7" s="91">
        <f t="shared" si="5"/>
        <v>468883742007992.38</v>
      </c>
      <c r="J7" s="91">
        <f t="shared" si="6"/>
        <v>5.8469802628396648E+16</v>
      </c>
      <c r="K7" s="91">
        <f t="shared" si="7"/>
        <v>7.2911843877610619E+18</v>
      </c>
      <c r="L7" s="91">
        <f t="shared" si="8"/>
        <v>9.0921069315380439E+20</v>
      </c>
      <c r="R7" s="408">
        <f>'REGRESI 13'!R7</f>
        <v>0</v>
      </c>
      <c r="S7" s="409"/>
      <c r="T7" s="23">
        <f t="shared" ref="T7:T15" si="9">$V$38+($V$39*R7)+($V$40*(R7^2))+($V$41*(R7^3))</f>
        <v>0</v>
      </c>
      <c r="U7" s="27"/>
      <c r="V7" s="88"/>
    </row>
    <row r="8" spans="1:24">
      <c r="A8" s="25">
        <v>7</v>
      </c>
      <c r="B8" s="37">
        <f>'PERHITUNGAN 24'!O91</f>
        <v>0.16760000000000447</v>
      </c>
      <c r="C8" s="37">
        <f>'PERHITUNGAN 24'!N91</f>
        <v>150.9</v>
      </c>
      <c r="D8" s="75">
        <f t="shared" si="0"/>
        <v>22770.81</v>
      </c>
      <c r="E8" s="37">
        <f t="shared" si="1"/>
        <v>3436115.2290000003</v>
      </c>
      <c r="F8" s="91">
        <f t="shared" si="2"/>
        <v>518509788.05610007</v>
      </c>
      <c r="G8" s="91">
        <f t="shared" si="3"/>
        <v>78243127017.665497</v>
      </c>
      <c r="H8" s="91">
        <f t="shared" si="4"/>
        <v>11806887866965.725</v>
      </c>
      <c r="I8" s="91">
        <f t="shared" si="5"/>
        <v>1781659379125128</v>
      </c>
      <c r="J8" s="91">
        <f t="shared" si="6"/>
        <v>2.6885240030998182E+17</v>
      </c>
      <c r="K8" s="91">
        <f t="shared" si="7"/>
        <v>4.0569827206776259E+19</v>
      </c>
      <c r="L8" s="91">
        <f t="shared" si="8"/>
        <v>6.1219869255025379E+21</v>
      </c>
      <c r="R8" s="408">
        <f>'REGRESI 13'!R8</f>
        <v>0</v>
      </c>
      <c r="S8" s="409"/>
      <c r="T8" s="23">
        <f t="shared" si="9"/>
        <v>0</v>
      </c>
      <c r="U8" s="27"/>
      <c r="V8" s="88"/>
    </row>
    <row r="9" spans="1:24">
      <c r="A9" s="25">
        <v>8</v>
      </c>
      <c r="B9" s="37">
        <f>'PERHITUNGAN 24'!O92</f>
        <v>-1.6256000000000028</v>
      </c>
      <c r="C9" s="37">
        <f>'PERHITUNGAN 24'!N92</f>
        <v>201</v>
      </c>
      <c r="D9" s="75">
        <f t="shared" si="0"/>
        <v>40401</v>
      </c>
      <c r="E9" s="37">
        <f t="shared" si="1"/>
        <v>8120601</v>
      </c>
      <c r="F9" s="91">
        <f t="shared" si="2"/>
        <v>1632240801</v>
      </c>
      <c r="G9" s="91">
        <f t="shared" si="3"/>
        <v>328080401001</v>
      </c>
      <c r="H9" s="91">
        <f t="shared" si="4"/>
        <v>65944160601201</v>
      </c>
      <c r="I9" s="91">
        <f t="shared" si="5"/>
        <v>1.32547762808414E+16</v>
      </c>
      <c r="J9" s="91">
        <f t="shared" si="6"/>
        <v>2.6642100324491218E+18</v>
      </c>
      <c r="K9" s="91">
        <f t="shared" si="7"/>
        <v>5.3550621652227346E+20</v>
      </c>
      <c r="L9" s="91">
        <f t="shared" si="8"/>
        <v>1.0763674952097696E+23</v>
      </c>
      <c r="R9" s="408">
        <f>'REGRESI 13'!R9</f>
        <v>0</v>
      </c>
      <c r="S9" s="409"/>
      <c r="T9" s="23">
        <f t="shared" si="9"/>
        <v>0</v>
      </c>
      <c r="U9" s="27"/>
      <c r="V9" s="88"/>
    </row>
    <row r="10" spans="1:24">
      <c r="A10" s="25">
        <v>9</v>
      </c>
      <c r="B10" s="37">
        <f>'PERHITUNGAN 24'!O93</f>
        <v>0</v>
      </c>
      <c r="C10" s="37" t="e">
        <f>'PERHITUNGAN 24'!N93</f>
        <v>#DIV/0!</v>
      </c>
      <c r="D10" s="75" t="e">
        <f>C10^2</f>
        <v>#DIV/0!</v>
      </c>
      <c r="E10" s="37" t="e">
        <f>C10^3</f>
        <v>#DIV/0!</v>
      </c>
      <c r="F10" s="91" t="e">
        <f>C10^4</f>
        <v>#DIV/0!</v>
      </c>
      <c r="G10" s="91" t="e">
        <f>C10^5</f>
        <v>#DIV/0!</v>
      </c>
      <c r="H10" s="91" t="e">
        <f>C10^6</f>
        <v>#DIV/0!</v>
      </c>
      <c r="I10" s="91" t="e">
        <f>C10^7</f>
        <v>#DIV/0!</v>
      </c>
      <c r="J10" s="91" t="e">
        <f>C10^8</f>
        <v>#DIV/0!</v>
      </c>
      <c r="K10" s="91" t="e">
        <f>C10^9</f>
        <v>#DIV/0!</v>
      </c>
      <c r="L10" s="91" t="e">
        <f>C10^10</f>
        <v>#DIV/0!</v>
      </c>
      <c r="R10" s="408">
        <f>'REGRESI 13'!R10</f>
        <v>0</v>
      </c>
      <c r="S10" s="409"/>
      <c r="T10" s="23">
        <f t="shared" si="9"/>
        <v>0</v>
      </c>
      <c r="U10" s="27"/>
      <c r="V10" s="88"/>
    </row>
    <row r="11" spans="1:24">
      <c r="A11" s="25">
        <v>10</v>
      </c>
      <c r="B11" s="37">
        <f>'PERHITUNGAN 24'!O94</f>
        <v>0</v>
      </c>
      <c r="C11" s="37" t="e">
        <f>'PERHITUNGAN 24'!N94</f>
        <v>#DIV/0!</v>
      </c>
      <c r="D11" s="75" t="e">
        <f>C11^2</f>
        <v>#DIV/0!</v>
      </c>
      <c r="E11" s="37" t="e">
        <f>C11^3</f>
        <v>#DIV/0!</v>
      </c>
      <c r="F11" s="91" t="e">
        <f>C11^4</f>
        <v>#DIV/0!</v>
      </c>
      <c r="G11" s="91" t="e">
        <f>C11^5</f>
        <v>#DIV/0!</v>
      </c>
      <c r="H11" s="91" t="e">
        <f>C11^6</f>
        <v>#DIV/0!</v>
      </c>
      <c r="I11" s="91" t="e">
        <f>C11^7</f>
        <v>#DIV/0!</v>
      </c>
      <c r="J11" s="91" t="e">
        <f>C11^8</f>
        <v>#DIV/0!</v>
      </c>
      <c r="K11" s="91" t="e">
        <f>C11^9</f>
        <v>#DIV/0!</v>
      </c>
      <c r="L11" s="91" t="e">
        <f>C11^10</f>
        <v>#DIV/0!</v>
      </c>
      <c r="R11" s="408">
        <f>'REGRESI 13'!R11</f>
        <v>0</v>
      </c>
      <c r="S11" s="409"/>
      <c r="T11" s="23">
        <f t="shared" si="9"/>
        <v>0</v>
      </c>
      <c r="U11" s="27"/>
      <c r="V11" s="88"/>
      <c r="W11" s="26"/>
      <c r="X11" s="46"/>
    </row>
    <row r="12" spans="1:24">
      <c r="A12" s="25">
        <v>11</v>
      </c>
      <c r="B12" s="37"/>
      <c r="C12" s="37"/>
      <c r="D12" s="75"/>
      <c r="E12" s="37"/>
      <c r="F12" s="91"/>
      <c r="G12" s="91"/>
      <c r="H12" s="91"/>
      <c r="I12" s="91"/>
      <c r="J12" s="91"/>
      <c r="K12" s="91"/>
      <c r="L12" s="91"/>
      <c r="R12" s="408">
        <f>'REGRESI 13'!R12</f>
        <v>0</v>
      </c>
      <c r="S12" s="409"/>
      <c r="T12" s="23">
        <f t="shared" si="9"/>
        <v>0</v>
      </c>
      <c r="U12" s="27"/>
      <c r="V12" s="88"/>
      <c r="W12" s="26"/>
      <c r="X12" s="46"/>
    </row>
    <row r="13" spans="1:24">
      <c r="A13" s="25">
        <v>12</v>
      </c>
      <c r="B13" s="37"/>
      <c r="C13" s="37"/>
      <c r="D13" s="75"/>
      <c r="E13" s="37"/>
      <c r="F13" s="91"/>
      <c r="G13" s="91"/>
      <c r="H13" s="91"/>
      <c r="I13" s="91"/>
      <c r="J13" s="91"/>
      <c r="K13" s="91"/>
      <c r="L13" s="91"/>
      <c r="R13" s="408">
        <f>'REGRESI 13'!R13</f>
        <v>0</v>
      </c>
      <c r="S13" s="409"/>
      <c r="T13" s="23">
        <f t="shared" si="9"/>
        <v>0</v>
      </c>
      <c r="U13" s="27"/>
      <c r="V13" s="88"/>
      <c r="W13" s="26"/>
      <c r="X13" s="46"/>
    </row>
    <row r="14" spans="1:24">
      <c r="A14" s="25">
        <v>13</v>
      </c>
      <c r="B14" s="37"/>
      <c r="C14" s="37"/>
      <c r="D14" s="75"/>
      <c r="E14" s="37"/>
      <c r="F14" s="91"/>
      <c r="G14" s="91"/>
      <c r="H14" s="91"/>
      <c r="I14" s="91"/>
      <c r="J14" s="91"/>
      <c r="K14" s="91"/>
      <c r="L14" s="91"/>
      <c r="R14" s="408">
        <f>'REGRESI 13'!R14</f>
        <v>0</v>
      </c>
      <c r="S14" s="409"/>
      <c r="T14" s="23">
        <f t="shared" si="9"/>
        <v>0</v>
      </c>
      <c r="U14" s="27"/>
      <c r="V14" s="88"/>
      <c r="W14" s="26"/>
      <c r="X14" s="46"/>
    </row>
    <row r="15" spans="1:24">
      <c r="A15" s="25">
        <v>14</v>
      </c>
      <c r="B15" s="37"/>
      <c r="C15" s="37"/>
      <c r="D15" s="75"/>
      <c r="E15" s="37"/>
      <c r="F15" s="91"/>
      <c r="G15" s="91"/>
      <c r="H15" s="91"/>
      <c r="I15" s="91"/>
      <c r="J15" s="91"/>
      <c r="K15" s="91"/>
      <c r="L15" s="91"/>
      <c r="R15" s="408">
        <f>'REGRESI 13'!R15</f>
        <v>0</v>
      </c>
      <c r="S15" s="409"/>
      <c r="T15" s="23">
        <f t="shared" si="9"/>
        <v>0</v>
      </c>
      <c r="U15" s="27"/>
      <c r="V15" s="88"/>
      <c r="W15" s="26"/>
      <c r="X15" s="46"/>
    </row>
    <row r="16" spans="1:24">
      <c r="A16" s="25">
        <v>15</v>
      </c>
      <c r="B16" s="37"/>
      <c r="C16" s="37"/>
      <c r="D16" s="75"/>
      <c r="E16" s="37"/>
      <c r="F16" s="91"/>
      <c r="G16" s="91"/>
      <c r="H16" s="91"/>
      <c r="I16" s="91"/>
      <c r="J16" s="91"/>
      <c r="K16" s="91"/>
      <c r="L16" s="91"/>
      <c r="R16" s="408"/>
      <c r="S16" s="409"/>
      <c r="T16" s="23"/>
      <c r="U16" s="27"/>
      <c r="V16" s="88"/>
      <c r="W16" s="26"/>
      <c r="X16" s="46"/>
    </row>
    <row r="17" spans="1:24">
      <c r="A17" s="25">
        <v>16</v>
      </c>
      <c r="B17" s="37"/>
      <c r="C17" s="37"/>
      <c r="D17" s="75"/>
      <c r="E17" s="37"/>
      <c r="F17" s="91"/>
      <c r="G17" s="91"/>
      <c r="H17" s="91"/>
      <c r="I17" s="91"/>
      <c r="J17" s="91"/>
      <c r="K17" s="91"/>
      <c r="L17" s="91"/>
      <c r="R17" s="408"/>
      <c r="S17" s="409"/>
      <c r="T17" s="23"/>
      <c r="U17" s="27"/>
      <c r="V17" s="88"/>
      <c r="W17" s="26"/>
      <c r="X17" s="46"/>
    </row>
    <row r="18" spans="1:24">
      <c r="A18" s="25">
        <v>17</v>
      </c>
      <c r="B18" s="37"/>
      <c r="C18" s="37"/>
      <c r="D18" s="75"/>
      <c r="E18" s="37"/>
      <c r="F18" s="91"/>
      <c r="G18" s="91"/>
      <c r="H18" s="91"/>
      <c r="I18" s="91"/>
      <c r="J18" s="91"/>
      <c r="K18" s="91"/>
      <c r="L18" s="91"/>
      <c r="R18" s="408"/>
      <c r="S18" s="409"/>
      <c r="T18" s="23"/>
      <c r="U18" s="27"/>
      <c r="V18" s="88"/>
      <c r="W18" s="26"/>
      <c r="X18" s="46"/>
    </row>
    <row r="19" spans="1:24">
      <c r="A19" s="25">
        <v>18</v>
      </c>
      <c r="B19" s="37"/>
      <c r="C19" s="37"/>
      <c r="D19" s="75"/>
      <c r="E19" s="37"/>
      <c r="F19" s="91"/>
      <c r="G19" s="91"/>
      <c r="H19" s="91"/>
      <c r="I19" s="91"/>
      <c r="J19" s="91"/>
      <c r="K19" s="91"/>
      <c r="L19" s="91"/>
      <c r="Q19" t="s">
        <v>151</v>
      </c>
      <c r="R19" s="408">
        <f>'REGRESI 13'!R19</f>
        <v>-10</v>
      </c>
      <c r="S19" s="409"/>
      <c r="T19" s="23">
        <f>$S$38+($S$39*R19)+($S$40*(R19^2))+($S$41*(R19^3))+($S$42*(R19^4))+($S$43*(R19^5))+($S$44*(R19^6))+($S$45*(R19^7))+($S$46*(R19^8))+($S$47*(R19^9))+($S$48*(R19^10))</f>
        <v>-0.92652017541131193</v>
      </c>
      <c r="U19" s="27"/>
      <c r="V19" s="88"/>
      <c r="W19" s="26"/>
      <c r="X19" s="46"/>
    </row>
    <row r="20" spans="1:24">
      <c r="A20" s="25">
        <v>19</v>
      </c>
      <c r="B20" s="37"/>
      <c r="C20" s="37"/>
      <c r="D20" s="75"/>
      <c r="E20" s="37"/>
      <c r="F20" s="91"/>
      <c r="G20" s="91"/>
      <c r="H20" s="91"/>
      <c r="I20" s="91"/>
      <c r="J20" s="91"/>
      <c r="K20" s="91"/>
      <c r="L20" s="91"/>
      <c r="R20" s="408">
        <f>'REGRESI 13'!R20</f>
        <v>0</v>
      </c>
      <c r="S20" s="409"/>
      <c r="T20" s="23">
        <f t="shared" ref="T20:T29" si="10">$S$38+($S$39*R20)+($S$40*(R20^2))+($S$41*(R20^3))+($S$42*(R20^4))+($S$43*(R20^5))+($S$44*(R20^6))+($S$45*(R20^7))+($S$46*(R20^8))+($S$47*(R20^9))+($S$48*(R20^10))</f>
        <v>-0.49174205409443039</v>
      </c>
      <c r="U20" s="27"/>
      <c r="V20" s="88"/>
      <c r="W20" s="26"/>
      <c r="X20" s="46"/>
    </row>
    <row r="21" spans="1:24">
      <c r="A21" s="25">
        <v>20</v>
      </c>
      <c r="B21" s="37"/>
      <c r="C21" s="37"/>
      <c r="D21" s="75"/>
      <c r="E21" s="37"/>
      <c r="F21" s="91"/>
      <c r="G21" s="91"/>
      <c r="H21" s="91"/>
      <c r="I21" s="91"/>
      <c r="J21" s="91"/>
      <c r="K21" s="91"/>
      <c r="L21" s="91"/>
      <c r="R21" s="408">
        <f>'REGRESI 13'!R21</f>
        <v>25</v>
      </c>
      <c r="S21" s="409"/>
      <c r="T21" s="23">
        <f t="shared" si="10"/>
        <v>0.36288933327473932</v>
      </c>
      <c r="U21" s="27"/>
      <c r="V21" s="88"/>
      <c r="W21" s="26"/>
      <c r="X21" s="46"/>
    </row>
    <row r="22" spans="1:24">
      <c r="A22" s="25">
        <v>21</v>
      </c>
      <c r="B22" s="37"/>
      <c r="C22" s="37"/>
      <c r="D22" s="75"/>
      <c r="E22" s="37"/>
      <c r="F22" s="91"/>
      <c r="G22" s="91"/>
      <c r="H22" s="91"/>
      <c r="I22" s="91"/>
      <c r="J22" s="91"/>
      <c r="K22" s="91"/>
      <c r="L22" s="91"/>
      <c r="R22" s="408">
        <f>'REGRESI 13'!R22</f>
        <v>50</v>
      </c>
      <c r="S22" s="409"/>
      <c r="T22" s="23">
        <f t="shared" si="10"/>
        <v>0.89940900239229371</v>
      </c>
      <c r="U22" s="27"/>
      <c r="V22" s="88"/>
      <c r="W22" s="26"/>
      <c r="X22" s="46"/>
    </row>
    <row r="23" spans="1:24">
      <c r="A23" s="25">
        <v>22</v>
      </c>
      <c r="B23" s="37"/>
      <c r="C23" s="37"/>
      <c r="D23" s="75"/>
      <c r="E23" s="37"/>
      <c r="F23" s="91"/>
      <c r="G23" s="91"/>
      <c r="H23" s="91"/>
      <c r="I23" s="91"/>
      <c r="J23" s="91"/>
      <c r="K23" s="91"/>
      <c r="L23" s="91"/>
      <c r="R23" s="408">
        <f>'REGRESI 13'!R23</f>
        <v>100</v>
      </c>
      <c r="S23" s="409"/>
      <c r="T23" s="23">
        <f>$S$38+($S$39*R23)+($S$40*(R23^2))+($S$41*(R23^3))+($S$42*(R23^4))+($S$43*(R23^5))+($S$44*(R23^6))+($S$45*(R23^7))+($S$46*(R23^8))+($S$47*(R23^9))+($S$48*(R23^10))</f>
        <v>1.0869397083504355</v>
      </c>
      <c r="U23" s="27"/>
      <c r="V23" s="88"/>
      <c r="W23" s="26"/>
      <c r="X23" s="46"/>
    </row>
    <row r="24" spans="1:24">
      <c r="A24" s="25">
        <v>23</v>
      </c>
      <c r="B24" s="37"/>
      <c r="C24" s="37"/>
      <c r="D24" s="75"/>
      <c r="E24" s="37"/>
      <c r="F24" s="91"/>
      <c r="G24" s="91"/>
      <c r="H24" s="91"/>
      <c r="I24" s="91"/>
      <c r="J24" s="91"/>
      <c r="K24" s="91"/>
      <c r="L24" s="91"/>
      <c r="R24" s="408">
        <f>'REGRESI 13'!R24</f>
        <v>125</v>
      </c>
      <c r="S24" s="409"/>
      <c r="T24" s="23">
        <f t="shared" si="10"/>
        <v>0.77236400642996306</v>
      </c>
      <c r="U24" s="27"/>
      <c r="V24" s="88"/>
      <c r="W24" s="26"/>
      <c r="X24" s="46"/>
    </row>
    <row r="25" spans="1:24">
      <c r="A25" s="25">
        <v>24</v>
      </c>
      <c r="B25" s="37"/>
      <c r="C25" s="37"/>
      <c r="D25" s="75"/>
      <c r="E25" s="37"/>
      <c r="F25" s="91"/>
      <c r="G25" s="91"/>
      <c r="H25" s="91"/>
      <c r="I25" s="91"/>
      <c r="J25" s="91"/>
      <c r="K25" s="91"/>
      <c r="L25" s="91"/>
      <c r="R25" s="408">
        <f>'REGRESI 13'!R25</f>
        <v>150</v>
      </c>
      <c r="S25" s="409"/>
      <c r="T25" s="23">
        <f t="shared" si="10"/>
        <v>0.20850310873575473</v>
      </c>
      <c r="U25" s="27"/>
      <c r="V25" s="88"/>
      <c r="W25" s="26"/>
      <c r="X25" s="46"/>
    </row>
    <row r="26" spans="1:24">
      <c r="A26" s="25">
        <v>25</v>
      </c>
      <c r="B26" s="37"/>
      <c r="C26" s="37"/>
      <c r="D26" s="75"/>
      <c r="E26" s="37"/>
      <c r="F26" s="91"/>
      <c r="G26" s="91"/>
      <c r="H26" s="91"/>
      <c r="I26" s="91"/>
      <c r="J26" s="91"/>
      <c r="K26" s="91"/>
      <c r="L26" s="91"/>
      <c r="R26" s="408">
        <f>'REGRESI 13'!R26</f>
        <v>200</v>
      </c>
      <c r="S26" s="409"/>
      <c r="T26" s="23">
        <f t="shared" si="10"/>
        <v>-1.5982477514959894</v>
      </c>
      <c r="U26" s="27"/>
      <c r="V26" s="88"/>
      <c r="W26" s="26"/>
      <c r="X26" s="46"/>
    </row>
    <row r="27" spans="1:24">
      <c r="A27" s="25">
        <v>26</v>
      </c>
      <c r="B27" s="37"/>
      <c r="C27" s="37"/>
      <c r="D27" s="75"/>
      <c r="E27" s="37"/>
      <c r="F27" s="91"/>
      <c r="G27" s="91"/>
      <c r="H27" s="91"/>
      <c r="I27" s="91"/>
      <c r="J27" s="91"/>
      <c r="K27" s="91"/>
      <c r="L27" s="91"/>
      <c r="R27" s="408">
        <f>'REGRESI 13'!R27</f>
        <v>0</v>
      </c>
      <c r="S27" s="409"/>
      <c r="T27" s="23">
        <f t="shared" si="10"/>
        <v>-0.49174205409443039</v>
      </c>
      <c r="U27" s="27"/>
      <c r="V27" s="88"/>
      <c r="W27" s="26"/>
      <c r="X27" s="46"/>
    </row>
    <row r="28" spans="1:24">
      <c r="A28" s="25">
        <v>27</v>
      </c>
      <c r="B28" s="37"/>
      <c r="C28" s="37"/>
      <c r="D28" s="75"/>
      <c r="E28" s="37"/>
      <c r="F28" s="91"/>
      <c r="G28" s="91"/>
      <c r="H28" s="91"/>
      <c r="I28" s="91"/>
      <c r="J28" s="91"/>
      <c r="K28" s="91"/>
      <c r="L28" s="91"/>
      <c r="R28" s="408">
        <f>'REGRESI 13'!R28</f>
        <v>0</v>
      </c>
      <c r="S28" s="409"/>
      <c r="T28" s="23">
        <f t="shared" si="10"/>
        <v>-0.49174205409443039</v>
      </c>
      <c r="U28" s="27"/>
      <c r="V28" s="88"/>
      <c r="W28" s="26"/>
      <c r="X28" s="46"/>
    </row>
    <row r="29" spans="1:24">
      <c r="R29" s="408"/>
      <c r="S29" s="409"/>
      <c r="T29" s="23">
        <f t="shared" si="10"/>
        <v>-0.49174205409443039</v>
      </c>
      <c r="U29" s="27"/>
      <c r="V29" s="88"/>
      <c r="W29" s="26"/>
      <c r="X29" s="46"/>
    </row>
    <row r="30" spans="1:24">
      <c r="B30" t="s">
        <v>73</v>
      </c>
      <c r="R30" s="408"/>
      <c r="S30" s="409"/>
      <c r="T30" s="23"/>
      <c r="U30" s="27"/>
      <c r="V30" s="88"/>
      <c r="W30" s="26"/>
      <c r="X30" s="46"/>
    </row>
    <row r="31" spans="1:24" ht="13.5" thickBot="1">
      <c r="Q31" s="31"/>
      <c r="R31" s="410"/>
      <c r="S31" s="411"/>
      <c r="T31" s="24"/>
      <c r="U31" s="89"/>
      <c r="V31" s="89"/>
      <c r="W31" s="26"/>
      <c r="X31" s="46"/>
    </row>
    <row r="32" spans="1:24" ht="13.5">
      <c r="B32" s="69" t="s">
        <v>74</v>
      </c>
      <c r="C32" s="69"/>
      <c r="V32" s="70"/>
      <c r="W32" s="70"/>
      <c r="X32" s="46"/>
    </row>
    <row r="33" spans="2:24">
      <c r="B33" t="s">
        <v>75</v>
      </c>
      <c r="C33">
        <v>0.99473474828001451</v>
      </c>
      <c r="Q33" s="31" t="s">
        <v>100</v>
      </c>
      <c r="U33" s="70"/>
    </row>
    <row r="34" spans="2:24">
      <c r="B34" t="s">
        <v>76</v>
      </c>
      <c r="C34">
        <v>0.98949721943570379</v>
      </c>
      <c r="X34" s="46"/>
    </row>
    <row r="35" spans="2:24">
      <c r="B35" t="s">
        <v>77</v>
      </c>
      <c r="C35">
        <v>0.98162013401248172</v>
      </c>
      <c r="Q35" t="s">
        <v>99</v>
      </c>
    </row>
    <row r="36" spans="2:24">
      <c r="B36" t="s">
        <v>78</v>
      </c>
      <c r="C36">
        <v>0.13082819620017544</v>
      </c>
      <c r="Q36" t="s">
        <v>110</v>
      </c>
    </row>
    <row r="37" spans="2:24" ht="13.5" thickBot="1">
      <c r="B37" s="67" t="s">
        <v>79</v>
      </c>
      <c r="C37" s="67">
        <v>8</v>
      </c>
      <c r="Q37" s="31" t="s">
        <v>96</v>
      </c>
    </row>
    <row r="38" spans="2:24">
      <c r="R38" s="26" t="s">
        <v>97</v>
      </c>
      <c r="S38">
        <f t="shared" ref="S38:S48" si="11">C46</f>
        <v>-0.49174205409443039</v>
      </c>
      <c r="U38" s="26" t="s">
        <v>97</v>
      </c>
      <c r="V38">
        <f>C78</f>
        <v>0</v>
      </c>
    </row>
    <row r="39" spans="2:24" ht="13.5" thickBot="1">
      <c r="B39" t="s">
        <v>80</v>
      </c>
      <c r="R39" s="26" t="s">
        <v>98</v>
      </c>
      <c r="S39">
        <f t="shared" si="11"/>
        <v>4.0776911601392032E-2</v>
      </c>
      <c r="U39" s="26" t="s">
        <v>98</v>
      </c>
      <c r="V39">
        <f>C79</f>
        <v>0</v>
      </c>
    </row>
    <row r="40" spans="2:24" ht="13.5">
      <c r="B40" s="68"/>
      <c r="C40" s="68" t="s">
        <v>85</v>
      </c>
      <c r="D40" s="68" t="s">
        <v>86</v>
      </c>
      <c r="E40" s="68" t="s">
        <v>87</v>
      </c>
      <c r="F40" s="68" t="s">
        <v>88</v>
      </c>
      <c r="G40" s="68" t="s">
        <v>89</v>
      </c>
      <c r="R40" s="26" t="s">
        <v>111</v>
      </c>
      <c r="S40">
        <f t="shared" si="11"/>
        <v>-2.6825467909686825E-4</v>
      </c>
      <c r="U40" s="26" t="s">
        <v>111</v>
      </c>
      <c r="V40">
        <f>C80</f>
        <v>0</v>
      </c>
    </row>
    <row r="41" spans="2:24">
      <c r="B41" t="s">
        <v>81</v>
      </c>
      <c r="C41">
        <v>3</v>
      </c>
      <c r="D41">
        <v>6.4501970873160479</v>
      </c>
      <c r="E41">
        <v>2.1500656957720161</v>
      </c>
      <c r="F41">
        <v>125.61717516971548</v>
      </c>
      <c r="G41">
        <v>2.0610272668949528E-4</v>
      </c>
      <c r="R41" s="26" t="s">
        <v>112</v>
      </c>
      <c r="S41">
        <f t="shared" si="11"/>
        <v>1.8353739327434561E-7</v>
      </c>
      <c r="U41" s="26" t="s">
        <v>112</v>
      </c>
      <c r="V41">
        <f>C81</f>
        <v>0</v>
      </c>
    </row>
    <row r="42" spans="2:24">
      <c r="B42" t="s">
        <v>82</v>
      </c>
      <c r="C42">
        <v>4</v>
      </c>
      <c r="D42">
        <v>6.8464067683966401E-2</v>
      </c>
      <c r="E42">
        <v>1.71160169209916E-2</v>
      </c>
      <c r="R42" s="26" t="s">
        <v>137</v>
      </c>
      <c r="S42">
        <f t="shared" si="11"/>
        <v>0</v>
      </c>
      <c r="U42" s="26"/>
    </row>
    <row r="43" spans="2:24" ht="13.5" thickBot="1">
      <c r="B43" s="67" t="s">
        <v>83</v>
      </c>
      <c r="C43" s="67">
        <v>7</v>
      </c>
      <c r="D43" s="67">
        <v>6.5186611550000144</v>
      </c>
      <c r="E43" s="67"/>
      <c r="F43" s="67"/>
      <c r="G43" s="67"/>
      <c r="R43" s="26" t="s">
        <v>88</v>
      </c>
      <c r="S43">
        <f t="shared" si="11"/>
        <v>0</v>
      </c>
      <c r="U43" s="26"/>
    </row>
    <row r="44" spans="2:24" ht="13.5" thickBot="1">
      <c r="R44" s="26" t="s">
        <v>138</v>
      </c>
      <c r="S44">
        <f t="shared" si="11"/>
        <v>0</v>
      </c>
      <c r="U44" s="26"/>
    </row>
    <row r="45" spans="2:24" ht="13.5">
      <c r="B45" s="68"/>
      <c r="C45" s="68" t="s">
        <v>90</v>
      </c>
      <c r="D45" s="68" t="s">
        <v>78</v>
      </c>
      <c r="E45" s="68" t="s">
        <v>91</v>
      </c>
      <c r="F45" s="68" t="s">
        <v>92</v>
      </c>
      <c r="G45" s="68" t="s">
        <v>93</v>
      </c>
      <c r="H45" s="68" t="s">
        <v>94</v>
      </c>
      <c r="I45" s="68" t="s">
        <v>120</v>
      </c>
      <c r="J45" s="68" t="s">
        <v>121</v>
      </c>
      <c r="R45" s="26" t="s">
        <v>139</v>
      </c>
      <c r="S45">
        <f t="shared" si="11"/>
        <v>0</v>
      </c>
      <c r="U45" s="26"/>
    </row>
    <row r="46" spans="2:24">
      <c r="B46" t="s">
        <v>84</v>
      </c>
      <c r="C46">
        <v>-0.49174205409443039</v>
      </c>
      <c r="D46">
        <v>7.8575496728912106E-2</v>
      </c>
      <c r="E46">
        <v>-6.2582112053450416</v>
      </c>
      <c r="F46">
        <v>3.3252031361131365E-3</v>
      </c>
      <c r="G46">
        <v>-0.7099026073759036</v>
      </c>
      <c r="H46">
        <v>-0.27358150081295718</v>
      </c>
      <c r="I46">
        <v>-0.7099026073759036</v>
      </c>
      <c r="J46">
        <v>-0.27358150081295718</v>
      </c>
      <c r="R46" s="26" t="s">
        <v>140</v>
      </c>
      <c r="S46">
        <f t="shared" si="11"/>
        <v>0</v>
      </c>
      <c r="U46" s="26"/>
    </row>
    <row r="47" spans="2:24">
      <c r="B47" t="s">
        <v>95</v>
      </c>
      <c r="C47">
        <v>4.0776911601392032E-2</v>
      </c>
      <c r="D47">
        <v>4.5046657628867986E-3</v>
      </c>
      <c r="E47">
        <v>9.0521503143132858</v>
      </c>
      <c r="F47">
        <v>8.2529934258031713E-4</v>
      </c>
      <c r="G47">
        <v>2.8269954393472897E-2</v>
      </c>
      <c r="H47">
        <v>5.3283868809311172E-2</v>
      </c>
      <c r="I47">
        <v>2.8269954393472897E-2</v>
      </c>
      <c r="J47">
        <v>5.3283868809311172E-2</v>
      </c>
      <c r="R47" s="26" t="s">
        <v>141</v>
      </c>
      <c r="S47">
        <f t="shared" si="11"/>
        <v>0</v>
      </c>
      <c r="U47" s="26"/>
    </row>
    <row r="48" spans="2:24">
      <c r="B48" t="s">
        <v>108</v>
      </c>
      <c r="C48">
        <v>-2.6825467909686825E-4</v>
      </c>
      <c r="D48">
        <v>5.9703736008075559E-5</v>
      </c>
      <c r="E48">
        <v>-4.4930970326644886</v>
      </c>
      <c r="F48">
        <v>1.0879943566211303E-2</v>
      </c>
      <c r="G48">
        <v>-4.3401882469851086E-4</v>
      </c>
      <c r="H48">
        <v>-1.0249053349522562E-4</v>
      </c>
      <c r="I48">
        <v>-4.3401882469851086E-4</v>
      </c>
      <c r="J48">
        <v>-1.0249053349522562E-4</v>
      </c>
      <c r="R48" s="26" t="s">
        <v>142</v>
      </c>
      <c r="S48">
        <f t="shared" si="11"/>
        <v>0</v>
      </c>
      <c r="U48" s="26"/>
    </row>
    <row r="49" spans="2:21" ht="13.5" thickBot="1">
      <c r="B49" s="67" t="s">
        <v>109</v>
      </c>
      <c r="C49" s="67">
        <v>1.8353739327434561E-7</v>
      </c>
      <c r="D49" s="67">
        <v>2.003675283800762E-7</v>
      </c>
      <c r="E49" s="67">
        <v>0.91600367962913842</v>
      </c>
      <c r="F49" s="67">
        <v>0.41149260194657528</v>
      </c>
      <c r="G49" s="67">
        <v>-3.7277205013709683E-7</v>
      </c>
      <c r="H49" s="67">
        <v>7.3984683668578811E-7</v>
      </c>
      <c r="I49" s="67">
        <v>-3.7277205013709683E-7</v>
      </c>
      <c r="J49" s="67">
        <v>7.3984683668578811E-7</v>
      </c>
      <c r="U49" s="26"/>
    </row>
    <row r="50" spans="2:21">
      <c r="U50" s="26"/>
    </row>
    <row r="51" spans="2:21">
      <c r="U51" s="26"/>
    </row>
    <row r="52" spans="2:21">
      <c r="U52" s="26"/>
    </row>
    <row r="53" spans="2:21">
      <c r="U53" s="26"/>
    </row>
    <row r="54" spans="2:21">
      <c r="U54" s="26"/>
    </row>
    <row r="56" spans="2:21" ht="13.5" thickBot="1">
      <c r="B56" s="67"/>
      <c r="C56" s="67"/>
      <c r="D56" s="67"/>
      <c r="E56" s="67"/>
      <c r="F56" s="67"/>
      <c r="G56" s="67"/>
      <c r="H56" s="67"/>
      <c r="I56" s="67"/>
      <c r="J56" s="67"/>
    </row>
    <row r="63" spans="2:21" ht="13.5" thickBot="1"/>
    <row r="64" spans="2:21" ht="13.5">
      <c r="B64" s="69"/>
      <c r="C64" s="69"/>
    </row>
    <row r="69" spans="2:10" ht="13.5" thickBot="1">
      <c r="B69" s="67"/>
      <c r="C69" s="67"/>
    </row>
    <row r="71" spans="2:10" ht="13.5" thickBot="1"/>
    <row r="72" spans="2:10" ht="13.5">
      <c r="B72" s="68"/>
      <c r="C72" s="68"/>
      <c r="D72" s="68"/>
      <c r="E72" s="68"/>
      <c r="F72" s="68"/>
      <c r="G72" s="68"/>
    </row>
    <row r="75" spans="2:10" ht="13.5" thickBot="1">
      <c r="B75" s="67"/>
      <c r="C75" s="67"/>
      <c r="D75" s="67"/>
      <c r="E75" s="67"/>
      <c r="F75" s="67"/>
      <c r="G75" s="67"/>
    </row>
    <row r="76" spans="2:10" ht="13.5" thickBot="1"/>
    <row r="77" spans="2:10" ht="13.5">
      <c r="B77" s="68"/>
      <c r="C77" s="68"/>
      <c r="D77" s="68"/>
      <c r="E77" s="68"/>
      <c r="F77" s="68"/>
      <c r="G77" s="68"/>
      <c r="H77" s="68"/>
      <c r="I77" s="68"/>
      <c r="J77" s="68"/>
    </row>
    <row r="81" spans="2:10" ht="13.5" thickBot="1">
      <c r="B81" s="67"/>
      <c r="C81" s="67"/>
      <c r="D81" s="67"/>
      <c r="E81" s="67"/>
      <c r="F81" s="67"/>
      <c r="G81" s="67"/>
      <c r="H81" s="67"/>
      <c r="I81" s="67"/>
      <c r="J81" s="67"/>
    </row>
  </sheetData>
  <mergeCells count="29">
    <mergeCell ref="R27:S27"/>
    <mergeCell ref="R28:S28"/>
    <mergeCell ref="R29:S29"/>
    <mergeCell ref="R30:S30"/>
    <mergeCell ref="R31:S31"/>
    <mergeCell ref="R26:S26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14:S14"/>
    <mergeCell ref="R3:S3"/>
    <mergeCell ref="R4:S4"/>
    <mergeCell ref="R5:S5"/>
    <mergeCell ref="R6:S6"/>
    <mergeCell ref="R7:S7"/>
    <mergeCell ref="R8:S8"/>
    <mergeCell ref="R9:S9"/>
    <mergeCell ref="R10:S10"/>
    <mergeCell ref="R11:S11"/>
    <mergeCell ref="R12:S12"/>
    <mergeCell ref="R13:S13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4">
    <tabColor rgb="FFFFC000"/>
  </sheetPr>
  <dimension ref="A1:V91"/>
  <sheetViews>
    <sheetView workbookViewId="0"/>
  </sheetViews>
  <sheetFormatPr defaultRowHeight="13"/>
  <cols>
    <col min="1" max="1" width="4" bestFit="1" customWidth="1"/>
    <col min="2" max="2" width="19.3984375" bestFit="1" customWidth="1"/>
    <col min="3" max="3" width="10.8984375" customWidth="1"/>
    <col min="4" max="4" width="14.3984375" bestFit="1" customWidth="1"/>
    <col min="5" max="5" width="13.59765625" customWidth="1"/>
    <col min="6" max="6" width="15.59765625" bestFit="1" customWidth="1"/>
    <col min="7" max="7" width="18.69921875" bestFit="1" customWidth="1"/>
    <col min="8" max="8" width="20.69921875" bestFit="1" customWidth="1"/>
    <col min="9" max="9" width="23.8984375" bestFit="1" customWidth="1"/>
    <col min="10" max="10" width="26" bestFit="1" customWidth="1"/>
    <col min="11" max="11" width="29" bestFit="1" customWidth="1"/>
    <col min="12" max="12" width="32.09765625" bestFit="1" customWidth="1"/>
    <col min="13" max="15" width="15.09765625" customWidth="1"/>
    <col min="16" max="16" width="14.3984375" bestFit="1" customWidth="1"/>
    <col min="19" max="19" width="12.8984375" bestFit="1" customWidth="1"/>
    <col min="20" max="20" width="15.296875" customWidth="1"/>
    <col min="21" max="21" width="12.8984375" customWidth="1"/>
  </cols>
  <sheetData>
    <row r="1" spans="1:22" ht="17.5">
      <c r="A1" s="92" t="s">
        <v>0</v>
      </c>
      <c r="B1" s="92" t="s">
        <v>4</v>
      </c>
      <c r="C1" s="92" t="s">
        <v>70</v>
      </c>
      <c r="D1" s="92" t="s">
        <v>71</v>
      </c>
      <c r="E1" s="92" t="s">
        <v>72</v>
      </c>
      <c r="F1" s="92" t="s">
        <v>143</v>
      </c>
      <c r="G1" s="92" t="s">
        <v>144</v>
      </c>
      <c r="H1" s="92" t="s">
        <v>145</v>
      </c>
      <c r="I1" s="92" t="s">
        <v>146</v>
      </c>
      <c r="J1" s="92" t="s">
        <v>147</v>
      </c>
      <c r="K1" s="92" t="s">
        <v>148</v>
      </c>
      <c r="L1" s="92" t="s">
        <v>149</v>
      </c>
      <c r="O1" s="12" t="s">
        <v>47</v>
      </c>
    </row>
    <row r="2" spans="1:22">
      <c r="A2" s="25">
        <v>1</v>
      </c>
      <c r="B2" s="37">
        <f>IF('PERHITUNGAN 1'!$C$2="Celcius",Database!B3,(Database!B3*9/5))</f>
        <v>-2.7E-2</v>
      </c>
      <c r="C2" s="37">
        <f>IF('PERHITUNGAN 1'!$C$2="Celcius",Database!C3,(Database!C3*9/5)+32)</f>
        <v>-40</v>
      </c>
      <c r="D2" s="75">
        <f t="shared" ref="D2:D28" si="0">C2^2</f>
        <v>1600</v>
      </c>
      <c r="E2" s="37">
        <f t="shared" ref="E2:E28" si="1">C2^3</f>
        <v>-64000</v>
      </c>
      <c r="F2" s="91">
        <f>C2^4</f>
        <v>2560000</v>
      </c>
      <c r="G2" s="91">
        <f>C2^5</f>
        <v>-102400000</v>
      </c>
      <c r="H2" s="91">
        <f>C2^6</f>
        <v>4096000000</v>
      </c>
      <c r="I2" s="91">
        <f>C2^7</f>
        <v>-163840000000</v>
      </c>
      <c r="J2" s="91">
        <f>C2^8</f>
        <v>6553600000000</v>
      </c>
      <c r="K2" s="91">
        <f>C2^9</f>
        <v>-262144000000000</v>
      </c>
      <c r="L2" s="91">
        <f>C2^10</f>
        <v>1.048576E+16</v>
      </c>
      <c r="O2" s="12"/>
    </row>
    <row r="3" spans="1:22">
      <c r="A3" s="25">
        <v>2</v>
      </c>
      <c r="B3" s="37">
        <f>IF('PERHITUNGAN 1'!$C$2="Celcius",Database!B4,(Database!B4*9/5))</f>
        <v>-0.01</v>
      </c>
      <c r="C3" s="37">
        <f>IF('PERHITUNGAN 1'!$C$2="Celcius",Database!C4,(Database!C4*9/5)+32)</f>
        <v>-35</v>
      </c>
      <c r="D3" s="75">
        <f t="shared" si="0"/>
        <v>1225</v>
      </c>
      <c r="E3" s="37">
        <f t="shared" si="1"/>
        <v>-42875</v>
      </c>
      <c r="F3" s="91">
        <f t="shared" ref="F3:F28" si="2">C3^4</f>
        <v>1500625</v>
      </c>
      <c r="G3" s="91">
        <f t="shared" ref="G3:G28" si="3">C3^5</f>
        <v>-52521875</v>
      </c>
      <c r="H3" s="91">
        <f t="shared" ref="H3:H28" si="4">C3^6</f>
        <v>1838265625</v>
      </c>
      <c r="I3" s="91">
        <f t="shared" ref="I3:I28" si="5">C3^7</f>
        <v>-64339296875</v>
      </c>
      <c r="J3" s="91">
        <f t="shared" ref="J3:J28" si="6">C3^8</f>
        <v>2251875390625</v>
      </c>
      <c r="K3" s="91">
        <f t="shared" ref="K3:K28" si="7">C3^9</f>
        <v>-78815638671875</v>
      </c>
      <c r="L3" s="91">
        <f t="shared" ref="L3:L28" si="8">C3^10</f>
        <v>2758547353515625</v>
      </c>
      <c r="O3" s="126" t="s">
        <v>48</v>
      </c>
      <c r="P3" s="3" t="s">
        <v>4</v>
      </c>
      <c r="S3" s="1"/>
    </row>
    <row r="4" spans="1:22">
      <c r="A4" s="25">
        <v>3</v>
      </c>
      <c r="B4" s="37">
        <f>IF('PERHITUNGAN 1'!$C$2="Celcius",Database!B5,(Database!B5*9/5))</f>
        <v>4.0000000000000001E-3</v>
      </c>
      <c r="C4" s="37">
        <f>IF('PERHITUNGAN 1'!$C$2="Celcius",Database!C5,(Database!C5*9/5)+32)</f>
        <v>-30</v>
      </c>
      <c r="D4" s="75">
        <f t="shared" si="0"/>
        <v>900</v>
      </c>
      <c r="E4" s="37">
        <f t="shared" si="1"/>
        <v>-27000</v>
      </c>
      <c r="F4" s="91">
        <f t="shared" si="2"/>
        <v>810000</v>
      </c>
      <c r="G4" s="91">
        <f t="shared" si="3"/>
        <v>-24300000</v>
      </c>
      <c r="H4" s="91">
        <f t="shared" si="4"/>
        <v>729000000</v>
      </c>
      <c r="I4" s="91">
        <f t="shared" si="5"/>
        <v>-21870000000</v>
      </c>
      <c r="J4" s="91">
        <f t="shared" si="6"/>
        <v>656100000000</v>
      </c>
      <c r="K4" s="91">
        <f t="shared" si="7"/>
        <v>-19683000000000</v>
      </c>
      <c r="L4" s="91">
        <f t="shared" si="8"/>
        <v>590490000000000</v>
      </c>
      <c r="O4" s="125" t="str">
        <f>IF('PERHITUNGAN 1'!$C$2="Celcius","(°C)","(°F)")</f>
        <v>(°C)</v>
      </c>
      <c r="P4" s="5" t="str">
        <f>IF('PERHITUNGAN 1'!$C$2="Celcius","(°C)","(°F)")</f>
        <v>(°C)</v>
      </c>
      <c r="S4" s="1"/>
      <c r="T4" s="1"/>
    </row>
    <row r="5" spans="1:22">
      <c r="A5" s="25">
        <v>4</v>
      </c>
      <c r="B5" s="37">
        <f>IF('PERHITUNGAN 1'!$C$2="Celcius",Database!B6,(Database!B6*9/5))</f>
        <v>1.4E-2</v>
      </c>
      <c r="C5" s="37">
        <f>IF('PERHITUNGAN 1'!$C$2="Celcius",Database!C6,(Database!C6*9/5)+32)</f>
        <v>-25</v>
      </c>
      <c r="D5" s="75">
        <f t="shared" si="0"/>
        <v>625</v>
      </c>
      <c r="E5" s="37">
        <f t="shared" si="1"/>
        <v>-15625</v>
      </c>
      <c r="F5" s="91">
        <f t="shared" si="2"/>
        <v>390625</v>
      </c>
      <c r="G5" s="91">
        <f t="shared" si="3"/>
        <v>-9765625</v>
      </c>
      <c r="H5" s="91">
        <f t="shared" si="4"/>
        <v>244140625</v>
      </c>
      <c r="I5" s="91">
        <f t="shared" si="5"/>
        <v>-6103515625</v>
      </c>
      <c r="J5" s="91">
        <f t="shared" si="6"/>
        <v>152587890625</v>
      </c>
      <c r="K5" s="91">
        <f t="shared" si="7"/>
        <v>-3814697265625</v>
      </c>
      <c r="L5" s="91">
        <f t="shared" si="8"/>
        <v>95367431640625</v>
      </c>
      <c r="O5" s="126"/>
      <c r="P5" s="21"/>
      <c r="U5" s="19"/>
    </row>
    <row r="6" spans="1:22">
      <c r="A6" s="25">
        <v>5</v>
      </c>
      <c r="B6" s="37">
        <f>IF('PERHITUNGAN 1'!$C$2="Celcius",Database!B7,(Database!B7*9/5))</f>
        <v>2.1000000000000001E-2</v>
      </c>
      <c r="C6" s="37">
        <f>IF('PERHITUNGAN 1'!$C$2="Celcius",Database!C7,(Database!C7*9/5)+32)</f>
        <v>-20</v>
      </c>
      <c r="D6" s="75">
        <f t="shared" si="0"/>
        <v>400</v>
      </c>
      <c r="E6" s="37">
        <f t="shared" si="1"/>
        <v>-8000</v>
      </c>
      <c r="F6" s="91">
        <f t="shared" si="2"/>
        <v>160000</v>
      </c>
      <c r="G6" s="91">
        <f t="shared" si="3"/>
        <v>-3200000</v>
      </c>
      <c r="H6" s="91">
        <f t="shared" si="4"/>
        <v>64000000</v>
      </c>
      <c r="I6" s="91">
        <f t="shared" si="5"/>
        <v>-1280000000</v>
      </c>
      <c r="J6" s="91">
        <f t="shared" si="6"/>
        <v>25600000000</v>
      </c>
      <c r="K6" s="91">
        <f t="shared" si="7"/>
        <v>-512000000000</v>
      </c>
      <c r="L6" s="91">
        <f t="shared" si="8"/>
        <v>10240000000000</v>
      </c>
      <c r="O6" s="127">
        <f>IF('PERHITUNGAN 1'!$C$2="Celcius",Database!C3,(Database!C3*9/5)+32)</f>
        <v>-40</v>
      </c>
      <c r="P6" s="23">
        <f t="shared" ref="P6:P32" si="9">$P$40+($P$41*O6)+($P$42*(O6^2))+($P$43*(O6^3))+($P$44*(O6^4))+($P$45*(O6^5))+($P$46*(O6^6))+($P$47*(O6^7))+($P$48*(O6^8))+($P$49*(O6^9))+($P$50*(O6^10))</f>
        <v>-2.9461751524824952E-2</v>
      </c>
      <c r="S6" s="26"/>
      <c r="T6" s="88"/>
      <c r="U6" s="19"/>
    </row>
    <row r="7" spans="1:22">
      <c r="A7" s="25">
        <v>6</v>
      </c>
      <c r="B7" s="37">
        <f>IF('PERHITUNGAN 1'!$C$2="Celcius",Database!B8,(Database!B8*9/5))</f>
        <v>2.4E-2</v>
      </c>
      <c r="C7" s="37">
        <f>IF('PERHITUNGAN 1'!$C$2="Celcius",Database!C8,(Database!C8*9/5)+32)</f>
        <v>-15</v>
      </c>
      <c r="D7" s="75">
        <f t="shared" si="0"/>
        <v>225</v>
      </c>
      <c r="E7" s="37">
        <f t="shared" si="1"/>
        <v>-3375</v>
      </c>
      <c r="F7" s="91">
        <f t="shared" si="2"/>
        <v>50625</v>
      </c>
      <c r="G7" s="91">
        <f t="shared" si="3"/>
        <v>-759375</v>
      </c>
      <c r="H7" s="91">
        <f t="shared" si="4"/>
        <v>11390625</v>
      </c>
      <c r="I7" s="91">
        <f t="shared" si="5"/>
        <v>-170859375</v>
      </c>
      <c r="J7" s="91">
        <f t="shared" si="6"/>
        <v>2562890625</v>
      </c>
      <c r="K7" s="91">
        <f t="shared" si="7"/>
        <v>-38443359375</v>
      </c>
      <c r="L7" s="91">
        <f t="shared" si="8"/>
        <v>576650390625</v>
      </c>
      <c r="O7" s="127">
        <f>IF('PERHITUNGAN 1'!$C$2="Celcius",Database!C4,(Database!C4*9/5)+32)</f>
        <v>-35</v>
      </c>
      <c r="P7" s="23">
        <f t="shared" si="9"/>
        <v>-7.7081738736241258E-3</v>
      </c>
      <c r="S7" s="26"/>
      <c r="T7" s="88"/>
      <c r="U7" s="19"/>
    </row>
    <row r="8" spans="1:22">
      <c r="A8" s="25">
        <v>7</v>
      </c>
      <c r="B8" s="37">
        <f>IF('PERHITUNGAN 1'!$C$2="Celcius",Database!B9,(Database!B9*9/5))</f>
        <v>2.1999999999999999E-2</v>
      </c>
      <c r="C8" s="37">
        <f>IF('PERHITUNGAN 1'!$C$2="Celcius",Database!C9,(Database!C9*9/5)+32)</f>
        <v>-10</v>
      </c>
      <c r="D8" s="75">
        <f t="shared" si="0"/>
        <v>100</v>
      </c>
      <c r="E8" s="37">
        <f t="shared" si="1"/>
        <v>-1000</v>
      </c>
      <c r="F8" s="91">
        <f t="shared" si="2"/>
        <v>10000</v>
      </c>
      <c r="G8" s="91">
        <f t="shared" si="3"/>
        <v>-100000</v>
      </c>
      <c r="H8" s="91">
        <f t="shared" si="4"/>
        <v>1000000</v>
      </c>
      <c r="I8" s="91">
        <f t="shared" si="5"/>
        <v>-10000000</v>
      </c>
      <c r="J8" s="91">
        <f t="shared" si="6"/>
        <v>100000000</v>
      </c>
      <c r="K8" s="91">
        <f t="shared" si="7"/>
        <v>-1000000000</v>
      </c>
      <c r="L8" s="91">
        <f t="shared" si="8"/>
        <v>10000000000</v>
      </c>
      <c r="O8" s="127">
        <f>IF('PERHITUNGAN 1'!$C$2="Celcius",Database!C5,(Database!C5*9/5)+32)</f>
        <v>-30</v>
      </c>
      <c r="P8" s="23">
        <f t="shared" si="9"/>
        <v>6.701823049302765E-3</v>
      </c>
      <c r="S8" s="26"/>
      <c r="T8" s="88"/>
      <c r="U8" s="19"/>
    </row>
    <row r="9" spans="1:22">
      <c r="A9" s="25">
        <v>8</v>
      </c>
      <c r="B9" s="37">
        <f>IF('PERHITUNGAN 1'!$C$2="Celcius",Database!B10,(Database!B10*9/5))</f>
        <v>1.7000000000000001E-2</v>
      </c>
      <c r="C9" s="37">
        <f>IF('PERHITUNGAN 1'!$C$2="Celcius",Database!C10,(Database!C10*9/5)+32)</f>
        <v>-5</v>
      </c>
      <c r="D9" s="75">
        <f t="shared" si="0"/>
        <v>25</v>
      </c>
      <c r="E9" s="37">
        <f t="shared" si="1"/>
        <v>-125</v>
      </c>
      <c r="F9" s="91">
        <f t="shared" si="2"/>
        <v>625</v>
      </c>
      <c r="G9" s="91">
        <f t="shared" si="3"/>
        <v>-3125</v>
      </c>
      <c r="H9" s="91">
        <f t="shared" si="4"/>
        <v>15625</v>
      </c>
      <c r="I9" s="91">
        <f t="shared" si="5"/>
        <v>-78125</v>
      </c>
      <c r="J9" s="91">
        <f t="shared" si="6"/>
        <v>390625</v>
      </c>
      <c r="K9" s="91">
        <f t="shared" si="7"/>
        <v>-1953125</v>
      </c>
      <c r="L9" s="91">
        <f t="shared" si="8"/>
        <v>9765625</v>
      </c>
      <c r="O9" s="127">
        <f>IF('PERHITUNGAN 1'!$C$2="Celcius",Database!C6,(Database!C6*9/5)+32)</f>
        <v>-25</v>
      </c>
      <c r="P9" s="23">
        <f t="shared" si="9"/>
        <v>1.5376438001962763E-2</v>
      </c>
      <c r="S9" s="26"/>
      <c r="T9" s="88"/>
      <c r="U9" s="19"/>
    </row>
    <row r="10" spans="1:22">
      <c r="A10" s="25">
        <v>9</v>
      </c>
      <c r="B10" s="37">
        <f>IF('PERHITUNGAN 1'!$C$2="Celcius",Database!B11,(Database!B11*9/5))</f>
        <v>8.0000000000000002E-3</v>
      </c>
      <c r="C10" s="37">
        <f>IF('PERHITUNGAN 1'!$C$2="Celcius",Database!C11,(Database!C11*9/5)+32)</f>
        <v>0</v>
      </c>
      <c r="D10" s="75">
        <f t="shared" si="0"/>
        <v>0</v>
      </c>
      <c r="E10" s="37">
        <f t="shared" si="1"/>
        <v>0</v>
      </c>
      <c r="F10" s="91">
        <f t="shared" si="2"/>
        <v>0</v>
      </c>
      <c r="G10" s="91">
        <f t="shared" si="3"/>
        <v>0</v>
      </c>
      <c r="H10" s="91">
        <f t="shared" si="4"/>
        <v>0</v>
      </c>
      <c r="I10" s="91">
        <f t="shared" si="5"/>
        <v>0</v>
      </c>
      <c r="J10" s="91">
        <f t="shared" si="6"/>
        <v>0</v>
      </c>
      <c r="K10" s="91">
        <f t="shared" si="7"/>
        <v>0</v>
      </c>
      <c r="L10" s="91">
        <f t="shared" si="8"/>
        <v>0</v>
      </c>
      <c r="O10" s="127">
        <f>IF('PERHITUNGAN 1'!$C$2="Celcius",Database!C7,(Database!C7*9/5)+32)</f>
        <v>-20</v>
      </c>
      <c r="P10" s="23">
        <f t="shared" si="9"/>
        <v>1.9651191386000726E-2</v>
      </c>
      <c r="S10" s="26"/>
      <c r="T10" s="88"/>
      <c r="U10" s="19"/>
    </row>
    <row r="11" spans="1:22">
      <c r="A11" s="25">
        <v>10</v>
      </c>
      <c r="B11" s="37">
        <f>IF('PERHITUNGAN 1'!$C$2="Celcius",Database!B12,(Database!B12*9/5))</f>
        <v>-1.0999999999999999E-2</v>
      </c>
      <c r="C11" s="37">
        <f>IF('PERHITUNGAN 1'!$C$2="Celcius",Database!C12,(Database!C12*9/5)+32)</f>
        <v>20</v>
      </c>
      <c r="D11" s="75">
        <f t="shared" si="0"/>
        <v>400</v>
      </c>
      <c r="E11" s="37">
        <f t="shared" si="1"/>
        <v>8000</v>
      </c>
      <c r="F11" s="91">
        <f t="shared" si="2"/>
        <v>160000</v>
      </c>
      <c r="G11" s="91">
        <f t="shared" si="3"/>
        <v>3200000</v>
      </c>
      <c r="H11" s="91">
        <f t="shared" si="4"/>
        <v>64000000</v>
      </c>
      <c r="I11" s="91">
        <f t="shared" si="5"/>
        <v>1280000000</v>
      </c>
      <c r="J11" s="91">
        <f t="shared" si="6"/>
        <v>25600000000</v>
      </c>
      <c r="K11" s="91">
        <f t="shared" si="7"/>
        <v>512000000000</v>
      </c>
      <c r="L11" s="91">
        <f t="shared" si="8"/>
        <v>10240000000000</v>
      </c>
      <c r="O11" s="127">
        <f>IF('PERHITUNGAN 1'!$C$2="Celcius",Database!C8,(Database!C8*9/5)+32)</f>
        <v>-15</v>
      </c>
      <c r="P11" s="23">
        <f t="shared" si="9"/>
        <v>2.0625441970902263E-2</v>
      </c>
      <c r="S11" s="26"/>
      <c r="T11" s="88"/>
      <c r="U11" s="19"/>
      <c r="V11" s="46"/>
    </row>
    <row r="12" spans="1:22">
      <c r="A12" s="25">
        <v>11</v>
      </c>
      <c r="B12" s="37">
        <f>IF('PERHITUNGAN 1'!$C$2="Celcius",Database!B13,(Database!B13*9/5))</f>
        <v>-2.5000000000000001E-2</v>
      </c>
      <c r="C12" s="37">
        <f>IF('PERHITUNGAN 1'!$C$2="Celcius",Database!C13,(Database!C13*9/5)+32)</f>
        <v>40</v>
      </c>
      <c r="D12" s="75">
        <f t="shared" si="0"/>
        <v>1600</v>
      </c>
      <c r="E12" s="37">
        <f t="shared" si="1"/>
        <v>64000</v>
      </c>
      <c r="F12" s="91">
        <f t="shared" si="2"/>
        <v>2560000</v>
      </c>
      <c r="G12" s="91">
        <f t="shared" si="3"/>
        <v>102400000</v>
      </c>
      <c r="H12" s="91">
        <f t="shared" si="4"/>
        <v>4096000000</v>
      </c>
      <c r="I12" s="91">
        <f t="shared" si="5"/>
        <v>163840000000</v>
      </c>
      <c r="J12" s="91">
        <f t="shared" si="6"/>
        <v>6553600000000</v>
      </c>
      <c r="K12" s="91">
        <f t="shared" si="7"/>
        <v>262144000000000</v>
      </c>
      <c r="L12" s="91">
        <f t="shared" si="8"/>
        <v>1.048576E+16</v>
      </c>
      <c r="O12" s="127">
        <f>IF('PERHITUNGAN 1'!$C$2="Celcius",Database!C9,(Database!C9*9/5)+32)</f>
        <v>-10</v>
      </c>
      <c r="P12" s="23">
        <f t="shared" si="9"/>
        <v>1.9195114845066811E-2</v>
      </c>
      <c r="S12" s="26"/>
      <c r="T12" s="88"/>
      <c r="U12" s="19"/>
      <c r="V12" s="46"/>
    </row>
    <row r="13" spans="1:22">
      <c r="A13" s="25">
        <v>12</v>
      </c>
      <c r="B13" s="37">
        <f>IF('PERHITUNGAN 1'!$C$2="Celcius",Database!B14,(Database!B14*9/5))</f>
        <v>-3.5999999999999997E-2</v>
      </c>
      <c r="C13" s="37">
        <f>IF('PERHITUNGAN 1'!$C$2="Celcius",Database!C14,(Database!C14*9/5)+32)</f>
        <v>60</v>
      </c>
      <c r="D13" s="75">
        <f t="shared" si="0"/>
        <v>3600</v>
      </c>
      <c r="E13" s="37">
        <f t="shared" si="1"/>
        <v>216000</v>
      </c>
      <c r="F13" s="91">
        <f t="shared" si="2"/>
        <v>12960000</v>
      </c>
      <c r="G13" s="91">
        <f t="shared" si="3"/>
        <v>777600000</v>
      </c>
      <c r="H13" s="91">
        <f t="shared" si="4"/>
        <v>46656000000</v>
      </c>
      <c r="I13" s="91">
        <f t="shared" si="5"/>
        <v>2799360000000</v>
      </c>
      <c r="J13" s="91">
        <f t="shared" si="6"/>
        <v>167961600000000</v>
      </c>
      <c r="K13" s="91">
        <f t="shared" si="7"/>
        <v>1.0077696E+16</v>
      </c>
      <c r="L13" s="91">
        <f t="shared" si="8"/>
        <v>6.0466176E+17</v>
      </c>
      <c r="O13" s="127">
        <f>IF('PERHITUNGAN 1'!$C$2="Celcius",Database!C10,(Database!C10*9/5)+32)</f>
        <v>-5</v>
      </c>
      <c r="P13" s="23">
        <f t="shared" si="9"/>
        <v>1.6081932760060466E-2</v>
      </c>
      <c r="S13" s="26"/>
      <c r="T13" s="88"/>
      <c r="U13" s="19"/>
      <c r="V13" s="46"/>
    </row>
    <row r="14" spans="1:22">
      <c r="A14" s="25">
        <v>13</v>
      </c>
      <c r="B14" s="37">
        <f>IF('PERHITUNGAN 1'!$C$2="Celcius",Database!B15,(Database!B15*9/5))</f>
        <v>-4.3999999999999997E-2</v>
      </c>
      <c r="C14" s="37">
        <f>IF('PERHITUNGAN 1'!$C$2="Celcius",Database!C15,(Database!C15*9/5)+32)</f>
        <v>80</v>
      </c>
      <c r="D14" s="75">
        <f t="shared" si="0"/>
        <v>6400</v>
      </c>
      <c r="E14" s="37">
        <f t="shared" si="1"/>
        <v>512000</v>
      </c>
      <c r="F14" s="91">
        <f t="shared" si="2"/>
        <v>40960000</v>
      </c>
      <c r="G14" s="91">
        <f t="shared" si="3"/>
        <v>3276800000</v>
      </c>
      <c r="H14" s="91">
        <f t="shared" si="4"/>
        <v>262144000000</v>
      </c>
      <c r="I14" s="91">
        <f t="shared" si="5"/>
        <v>20971520000000</v>
      </c>
      <c r="J14" s="91">
        <f t="shared" si="6"/>
        <v>1677721600000000</v>
      </c>
      <c r="K14" s="91">
        <f t="shared" si="7"/>
        <v>1.34217728E+17</v>
      </c>
      <c r="L14" s="91">
        <f t="shared" si="8"/>
        <v>1.073741824E+19</v>
      </c>
      <c r="O14" s="127">
        <f>IF('PERHITUNGAN 1'!$C$2="Celcius",Database!C11,(Database!C11*9/5)+32)</f>
        <v>0</v>
      </c>
      <c r="P14" s="23">
        <f t="shared" si="9"/>
        <v>1.1859427501270003E-2</v>
      </c>
      <c r="S14" s="26"/>
      <c r="T14" s="88"/>
      <c r="U14" s="19"/>
      <c r="V14" s="46"/>
    </row>
    <row r="15" spans="1:22">
      <c r="A15" s="25">
        <v>14</v>
      </c>
      <c r="B15" s="37">
        <f>IF('PERHITUNGAN 1'!$C$2="Celcius",Database!B16,(Database!B16*9/5))</f>
        <v>-4.9000000000000002E-2</v>
      </c>
      <c r="C15" s="37">
        <f>IF('PERHITUNGAN 1'!$C$2="Celcius",Database!C16,(Database!C16*9/5)+32)</f>
        <v>100</v>
      </c>
      <c r="D15" s="75">
        <f t="shared" si="0"/>
        <v>10000</v>
      </c>
      <c r="E15" s="37">
        <f t="shared" si="1"/>
        <v>1000000</v>
      </c>
      <c r="F15" s="91">
        <f t="shared" si="2"/>
        <v>100000000</v>
      </c>
      <c r="G15" s="91">
        <f t="shared" si="3"/>
        <v>10000000000</v>
      </c>
      <c r="H15" s="91">
        <f t="shared" si="4"/>
        <v>1000000000000</v>
      </c>
      <c r="I15" s="91">
        <f t="shared" si="5"/>
        <v>100000000000000</v>
      </c>
      <c r="J15" s="91">
        <f t="shared" si="6"/>
        <v>1E+16</v>
      </c>
      <c r="K15" s="91">
        <f t="shared" si="7"/>
        <v>1E+18</v>
      </c>
      <c r="L15" s="91">
        <f t="shared" si="8"/>
        <v>1E+20</v>
      </c>
      <c r="O15" s="127">
        <f>IF('PERHITUNGAN 1'!$C$2="Celcius",Database!C12,(Database!C12*9/5)+32)</f>
        <v>20</v>
      </c>
      <c r="P15" s="23">
        <f t="shared" si="9"/>
        <v>-8.6229738473593172E-3</v>
      </c>
      <c r="S15" s="26"/>
      <c r="T15" s="88"/>
      <c r="U15" s="19"/>
      <c r="V15" s="46"/>
    </row>
    <row r="16" spans="1:22">
      <c r="A16" s="25">
        <v>15</v>
      </c>
      <c r="B16" s="37">
        <f>IF('PERHITUNGAN 1'!$C$2="Celcius",Database!B17,(Database!B17*9/5))</f>
        <v>-5.1999999999999998E-2</v>
      </c>
      <c r="C16" s="37">
        <f>IF('PERHITUNGAN 1'!$C$2="Celcius",Database!C17,(Database!C17*9/5)+32)</f>
        <v>120</v>
      </c>
      <c r="D16" s="75">
        <f t="shared" si="0"/>
        <v>14400</v>
      </c>
      <c r="E16" s="37">
        <f t="shared" si="1"/>
        <v>1728000</v>
      </c>
      <c r="F16" s="91">
        <f t="shared" si="2"/>
        <v>207360000</v>
      </c>
      <c r="G16" s="91">
        <f t="shared" si="3"/>
        <v>24883200000</v>
      </c>
      <c r="H16" s="91">
        <f t="shared" si="4"/>
        <v>2985984000000</v>
      </c>
      <c r="I16" s="91">
        <f t="shared" si="5"/>
        <v>358318080000000</v>
      </c>
      <c r="J16" s="91">
        <f t="shared" si="6"/>
        <v>4.29981696E+16</v>
      </c>
      <c r="K16" s="91">
        <f t="shared" si="7"/>
        <v>5.159780352E+18</v>
      </c>
      <c r="L16" s="91">
        <f t="shared" si="8"/>
        <v>6.1917364224E+20</v>
      </c>
      <c r="O16" s="127">
        <f>IF('PERHITUNGAN 1'!$C$2="Celcius",Database!C13,(Database!C13*9/5)+32)</f>
        <v>40</v>
      </c>
      <c r="P16" s="23">
        <f t="shared" si="9"/>
        <v>-2.6004909924521192E-2</v>
      </c>
      <c r="S16" s="26"/>
      <c r="T16" s="88"/>
      <c r="U16" s="19"/>
      <c r="V16" s="46"/>
    </row>
    <row r="17" spans="1:22">
      <c r="A17" s="25">
        <v>16</v>
      </c>
      <c r="B17" s="37">
        <f>IF('PERHITUNGAN 1'!$C$2="Celcius",Database!B18,(Database!B18*9/5))</f>
        <v>-5.1999999999999998E-2</v>
      </c>
      <c r="C17" s="37">
        <f>IF('PERHITUNGAN 1'!$C$2="Celcius",Database!C18,(Database!C18*9/5)+32)</f>
        <v>140</v>
      </c>
      <c r="D17" s="75">
        <f t="shared" si="0"/>
        <v>19600</v>
      </c>
      <c r="E17" s="37">
        <f t="shared" si="1"/>
        <v>2744000</v>
      </c>
      <c r="F17" s="91">
        <f t="shared" si="2"/>
        <v>384160000</v>
      </c>
      <c r="G17" s="91">
        <f t="shared" si="3"/>
        <v>53782400000</v>
      </c>
      <c r="H17" s="91">
        <f t="shared" si="4"/>
        <v>7529536000000</v>
      </c>
      <c r="I17" s="91">
        <f t="shared" si="5"/>
        <v>1054135040000000</v>
      </c>
      <c r="J17" s="91">
        <f t="shared" si="6"/>
        <v>1.475789056E+17</v>
      </c>
      <c r="K17" s="91">
        <f t="shared" si="7"/>
        <v>2.0661046784E+19</v>
      </c>
      <c r="L17" s="91">
        <f t="shared" si="8"/>
        <v>2.89254654976E+21</v>
      </c>
      <c r="O17" s="127">
        <f>IF('PERHITUNGAN 1'!$C$2="Celcius",Database!C14,(Database!C14*9/5)+32)</f>
        <v>60</v>
      </c>
      <c r="P17" s="23">
        <f t="shared" si="9"/>
        <v>-3.7374864909939236E-2</v>
      </c>
      <c r="S17" s="26"/>
      <c r="T17" s="88"/>
      <c r="U17" s="19"/>
      <c r="V17" s="46"/>
    </row>
    <row r="18" spans="1:22">
      <c r="A18" s="25">
        <v>17</v>
      </c>
      <c r="B18" s="37">
        <f>IF('PERHITUNGAN 1'!$C$2="Celcius",Database!B19,(Database!B19*9/5))</f>
        <v>-5.0999999999999997E-2</v>
      </c>
      <c r="C18" s="37">
        <f>IF('PERHITUNGAN 1'!$C$2="Celcius",Database!C19,(Database!C19*9/5)+32)</f>
        <v>160</v>
      </c>
      <c r="D18" s="75">
        <f t="shared" si="0"/>
        <v>25600</v>
      </c>
      <c r="E18" s="37">
        <f t="shared" si="1"/>
        <v>4096000</v>
      </c>
      <c r="F18" s="91">
        <f t="shared" si="2"/>
        <v>655360000</v>
      </c>
      <c r="G18" s="91">
        <f t="shared" si="3"/>
        <v>104857600000</v>
      </c>
      <c r="H18" s="91">
        <f t="shared" si="4"/>
        <v>16777216000000</v>
      </c>
      <c r="I18" s="91">
        <f t="shared" si="5"/>
        <v>2684354560000000</v>
      </c>
      <c r="J18" s="91">
        <f t="shared" si="6"/>
        <v>4.294967296E+17</v>
      </c>
      <c r="K18" s="91">
        <f t="shared" si="7"/>
        <v>6.8719476736E+19</v>
      </c>
      <c r="L18" s="91">
        <f t="shared" si="8"/>
        <v>1.099511627776E+22</v>
      </c>
      <c r="O18" s="127">
        <f>IF('PERHITUNGAN 1'!$C$2="Celcius",Database!C15,(Database!C15*9/5)+32)</f>
        <v>80</v>
      </c>
      <c r="P18" s="23">
        <f t="shared" si="9"/>
        <v>-4.4211962095446811E-2</v>
      </c>
      <c r="S18" s="26"/>
      <c r="T18" s="88"/>
      <c r="U18" s="19"/>
      <c r="V18" s="46"/>
    </row>
    <row r="19" spans="1:22">
      <c r="A19" s="25">
        <v>18</v>
      </c>
      <c r="B19" s="37">
        <f>IF('PERHITUNGAN 1'!$C$2="Celcius",Database!B20,(Database!B20*9/5))</f>
        <v>-4.9000000000000002E-2</v>
      </c>
      <c r="C19" s="37">
        <f>IF('PERHITUNGAN 1'!$C$2="Celcius",Database!C20,(Database!C20*9/5)+32)</f>
        <v>180</v>
      </c>
      <c r="D19" s="75">
        <f t="shared" si="0"/>
        <v>32400</v>
      </c>
      <c r="E19" s="37">
        <f t="shared" si="1"/>
        <v>5832000</v>
      </c>
      <c r="F19" s="91">
        <f t="shared" si="2"/>
        <v>1049760000</v>
      </c>
      <c r="G19" s="91">
        <f t="shared" si="3"/>
        <v>188956800000</v>
      </c>
      <c r="H19" s="91">
        <f t="shared" si="4"/>
        <v>34012224000000</v>
      </c>
      <c r="I19" s="91">
        <f t="shared" si="5"/>
        <v>6122200320000000</v>
      </c>
      <c r="J19" s="91">
        <f t="shared" si="6"/>
        <v>1.1019960576E+18</v>
      </c>
      <c r="K19" s="91">
        <f t="shared" si="7"/>
        <v>1.98359290368E+20</v>
      </c>
      <c r="L19" s="91">
        <f t="shared" si="8"/>
        <v>3.5704672266239999E+22</v>
      </c>
      <c r="O19" s="127">
        <f>IF('PERHITUNGAN 1'!$C$2="Celcius",Database!C16,(Database!C16*9/5)+32)</f>
        <v>100</v>
      </c>
      <c r="P19" s="23">
        <f t="shared" si="9"/>
        <v>-4.8419521572010883E-2</v>
      </c>
      <c r="S19" s="26"/>
      <c r="T19" s="88"/>
      <c r="U19" s="19"/>
      <c r="V19" s="46"/>
    </row>
    <row r="20" spans="1:22">
      <c r="A20" s="25">
        <v>19</v>
      </c>
      <c r="B20" s="37">
        <f>IF('PERHITUNGAN 1'!$C$2="Celcius",Database!B21,(Database!B21*9/5))</f>
        <v>-4.4999999999999998E-2</v>
      </c>
      <c r="C20" s="37">
        <f>IF('PERHITUNGAN 1'!$C$2="Celcius",Database!C21,(Database!C21*9/5)+32)</f>
        <v>200</v>
      </c>
      <c r="D20" s="75">
        <f t="shared" si="0"/>
        <v>40000</v>
      </c>
      <c r="E20" s="37">
        <f t="shared" si="1"/>
        <v>8000000</v>
      </c>
      <c r="F20" s="91">
        <f t="shared" si="2"/>
        <v>1600000000</v>
      </c>
      <c r="G20" s="91">
        <f t="shared" si="3"/>
        <v>320000000000</v>
      </c>
      <c r="H20" s="91">
        <f t="shared" si="4"/>
        <v>64000000000000</v>
      </c>
      <c r="I20" s="91">
        <f t="shared" si="5"/>
        <v>1.28E+16</v>
      </c>
      <c r="J20" s="91">
        <f t="shared" si="6"/>
        <v>2.56E+18</v>
      </c>
      <c r="K20" s="91">
        <f t="shared" si="7"/>
        <v>5.12E+20</v>
      </c>
      <c r="L20" s="91">
        <f t="shared" si="8"/>
        <v>1.024E+23</v>
      </c>
      <c r="O20" s="127">
        <f>IF('PERHITUNGAN 1'!$C$2="Celcius",Database!C17,(Database!C17*9/5)+32)</f>
        <v>120</v>
      </c>
      <c r="P20" s="23">
        <f t="shared" si="9"/>
        <v>-5.101058503788955E-2</v>
      </c>
      <c r="S20" s="26"/>
      <c r="T20" s="88"/>
      <c r="U20" s="19"/>
      <c r="V20" s="46"/>
    </row>
    <row r="21" spans="1:22">
      <c r="A21" s="25">
        <v>20</v>
      </c>
      <c r="B21" s="37">
        <f>IF('PERHITUNGAN 1'!$C$2="Celcius",Database!B22,(Database!B22*9/5))</f>
        <v>-3.9E-2</v>
      </c>
      <c r="C21" s="37">
        <f>IF('PERHITUNGAN 1'!$C$2="Celcius",Database!C22,(Database!C22*9/5)+32)</f>
        <v>225</v>
      </c>
      <c r="D21" s="75">
        <f t="shared" si="0"/>
        <v>50625</v>
      </c>
      <c r="E21" s="37">
        <f t="shared" si="1"/>
        <v>11390625</v>
      </c>
      <c r="F21" s="91">
        <f t="shared" si="2"/>
        <v>2562890625</v>
      </c>
      <c r="G21" s="91">
        <f t="shared" si="3"/>
        <v>576650390625</v>
      </c>
      <c r="H21" s="91">
        <f t="shared" si="4"/>
        <v>129746337890625</v>
      </c>
      <c r="I21" s="91">
        <f t="shared" si="5"/>
        <v>2.9192926025390624E+16</v>
      </c>
      <c r="J21" s="91">
        <f t="shared" si="6"/>
        <v>6.5684083557128909E+18</v>
      </c>
      <c r="K21" s="91">
        <f t="shared" si="7"/>
        <v>1.4778918800354005E+21</v>
      </c>
      <c r="L21" s="91">
        <f t="shared" si="8"/>
        <v>3.3252567300796513E+23</v>
      </c>
      <c r="O21" s="127">
        <f>IF('PERHITUNGAN 1'!$C$2="Celcius",Database!C18,(Database!C18*9/5)+32)</f>
        <v>140</v>
      </c>
      <c r="P21" s="23">
        <f t="shared" si="9"/>
        <v>-5.2129907555689192E-2</v>
      </c>
      <c r="S21" s="26"/>
      <c r="T21" s="88"/>
      <c r="U21" s="19"/>
      <c r="V21" s="46"/>
    </row>
    <row r="22" spans="1:22">
      <c r="A22" s="25">
        <v>21</v>
      </c>
      <c r="B22" s="37">
        <f>IF('PERHITUNGAN 1'!$C$2="Celcius",Database!B23,(Database!B23*9/5))</f>
        <v>-3.2000000000000001E-2</v>
      </c>
      <c r="C22" s="37">
        <f>IF('PERHITUNGAN 1'!$C$2="Celcius",Database!C23,(Database!C23*9/5)+32)</f>
        <v>250</v>
      </c>
      <c r="D22" s="75">
        <f t="shared" si="0"/>
        <v>62500</v>
      </c>
      <c r="E22" s="37">
        <f t="shared" si="1"/>
        <v>15625000</v>
      </c>
      <c r="F22" s="91">
        <f t="shared" si="2"/>
        <v>3906250000</v>
      </c>
      <c r="G22" s="91">
        <f t="shared" si="3"/>
        <v>976562500000</v>
      </c>
      <c r="H22" s="91">
        <f t="shared" si="4"/>
        <v>244140625000000</v>
      </c>
      <c r="I22" s="91">
        <f t="shared" si="5"/>
        <v>6.103515625E+16</v>
      </c>
      <c r="J22" s="91">
        <f t="shared" si="6"/>
        <v>1.52587890625E+19</v>
      </c>
      <c r="K22" s="91">
        <f t="shared" si="7"/>
        <v>3.8146972656250001E+21</v>
      </c>
      <c r="L22" s="91">
        <f t="shared" si="8"/>
        <v>9.5367431640625002E+23</v>
      </c>
      <c r="O22" s="127">
        <f>IF('PERHITUNGAN 1'!$C$2="Celcius",Database!C19,(Database!C19*9/5)+32)</f>
        <v>160</v>
      </c>
      <c r="P22" s="23">
        <f t="shared" si="9"/>
        <v>-5.1552204718477893E-2</v>
      </c>
      <c r="S22" s="26"/>
      <c r="T22" s="88"/>
      <c r="U22" s="19"/>
      <c r="V22" s="46"/>
    </row>
    <row r="23" spans="1:22">
      <c r="A23" s="25">
        <v>22</v>
      </c>
      <c r="B23" s="37">
        <f>IF('PERHITUNGAN 1'!$C$2="Celcius",Database!B24,(Database!B24*9/5))</f>
        <v>-2.5000000000000001E-2</v>
      </c>
      <c r="C23" s="37">
        <f>IF('PERHITUNGAN 1'!$C$2="Celcius",Database!C24,(Database!C24*9/5)+32)</f>
        <v>275</v>
      </c>
      <c r="D23" s="75">
        <f t="shared" si="0"/>
        <v>75625</v>
      </c>
      <c r="E23" s="37">
        <f t="shared" si="1"/>
        <v>20796875</v>
      </c>
      <c r="F23" s="91">
        <f t="shared" si="2"/>
        <v>5719140625</v>
      </c>
      <c r="G23" s="91">
        <f t="shared" si="3"/>
        <v>1572763671875</v>
      </c>
      <c r="H23" s="91">
        <f t="shared" si="4"/>
        <v>432510009765625</v>
      </c>
      <c r="I23" s="91">
        <f t="shared" si="5"/>
        <v>1.1894025268554688E+17</v>
      </c>
      <c r="J23" s="91">
        <f t="shared" si="6"/>
        <v>3.270856948852539E+19</v>
      </c>
      <c r="K23" s="91">
        <f t="shared" si="7"/>
        <v>8.9948566093444824E+21</v>
      </c>
      <c r="L23" s="91">
        <f t="shared" si="8"/>
        <v>2.4735855675697325E+24</v>
      </c>
      <c r="O23" s="127">
        <f>IF('PERHITUNGAN 1'!$C$2="Celcius",Database!C20,(Database!C20*9/5)+32)</f>
        <v>180</v>
      </c>
      <c r="P23" s="23">
        <f t="shared" si="9"/>
        <v>-4.9158583011709209E-2</v>
      </c>
      <c r="S23" s="26"/>
      <c r="T23" s="88"/>
      <c r="U23" s="19"/>
      <c r="V23" s="46"/>
    </row>
    <row r="24" spans="1:22">
      <c r="A24" s="25">
        <v>23</v>
      </c>
      <c r="B24" s="37">
        <f>IF('PERHITUNGAN 1'!$C$2="Celcius",Database!B25,(Database!B25*9/5))</f>
        <v>-1.7999999999999999E-2</v>
      </c>
      <c r="C24" s="37">
        <f>IF('PERHITUNGAN 1'!$C$2="Celcius",Database!C25,(Database!C25*9/5)+32)</f>
        <v>300</v>
      </c>
      <c r="D24" s="75">
        <f t="shared" si="0"/>
        <v>90000</v>
      </c>
      <c r="E24" s="37">
        <f t="shared" si="1"/>
        <v>27000000</v>
      </c>
      <c r="F24" s="91">
        <f t="shared" si="2"/>
        <v>8100000000</v>
      </c>
      <c r="G24" s="91">
        <f t="shared" si="3"/>
        <v>2430000000000</v>
      </c>
      <c r="H24" s="91">
        <f t="shared" si="4"/>
        <v>729000000000000</v>
      </c>
      <c r="I24" s="91">
        <f t="shared" si="5"/>
        <v>2.187E+17</v>
      </c>
      <c r="J24" s="91">
        <f t="shared" si="6"/>
        <v>6.561E+19</v>
      </c>
      <c r="K24" s="91">
        <f t="shared" si="7"/>
        <v>1.9683000000000001E+22</v>
      </c>
      <c r="L24" s="91">
        <f t="shared" si="8"/>
        <v>5.9048999999999999E+24</v>
      </c>
      <c r="O24" s="127">
        <f>IF('PERHITUNGAN 1'!$C$2="Celcius",Database!C21,(Database!C21*9/5)+32)</f>
        <v>200</v>
      </c>
      <c r="P24" s="23">
        <f t="shared" si="9"/>
        <v>-4.5168671436986212E-2</v>
      </c>
      <c r="S24" s="26"/>
      <c r="T24" s="88"/>
      <c r="U24" s="19"/>
      <c r="V24" s="46"/>
    </row>
    <row r="25" spans="1:22">
      <c r="A25" s="25">
        <v>24</v>
      </c>
      <c r="B25" s="37">
        <f>IF('PERHITUNGAN 1'!$C$2="Celcius",Database!B26,(Database!B26*9/5))</f>
        <v>-1.2E-2</v>
      </c>
      <c r="C25" s="37">
        <f>IF('PERHITUNGAN 1'!$C$2="Celcius",Database!C26,(Database!C26*9/5)+32)</f>
        <v>325</v>
      </c>
      <c r="D25" s="75">
        <f t="shared" si="0"/>
        <v>105625</v>
      </c>
      <c r="E25" s="37">
        <f t="shared" si="1"/>
        <v>34328125</v>
      </c>
      <c r="F25" s="91">
        <f t="shared" si="2"/>
        <v>11156640625</v>
      </c>
      <c r="G25" s="91">
        <f t="shared" si="3"/>
        <v>3625908203125</v>
      </c>
      <c r="H25" s="91">
        <f t="shared" si="4"/>
        <v>1178420166015625</v>
      </c>
      <c r="I25" s="91">
        <f t="shared" si="5"/>
        <v>3.8298655395507814E+17</v>
      </c>
      <c r="J25" s="91">
        <f t="shared" si="6"/>
        <v>1.2447063003540039E+20</v>
      </c>
      <c r="K25" s="91">
        <f t="shared" si="7"/>
        <v>4.0452954761505129E+22</v>
      </c>
      <c r="L25" s="91">
        <f t="shared" si="8"/>
        <v>1.3147210297489167E+25</v>
      </c>
      <c r="O25" s="127">
        <f>IF('PERHITUNGAN 1'!$C$2="Celcius",Database!C22,(Database!C22*9/5)+32)</f>
        <v>225</v>
      </c>
      <c r="P25" s="23">
        <f t="shared" si="9"/>
        <v>-3.8739177660556533E-2</v>
      </c>
      <c r="S25" s="26"/>
      <c r="T25" s="88"/>
      <c r="U25" s="19"/>
      <c r="V25" s="46"/>
    </row>
    <row r="26" spans="1:22">
      <c r="A26" s="25">
        <v>25</v>
      </c>
      <c r="B26" s="37">
        <f>IF('PERHITUNGAN 1'!$C$2="Celcius",Database!B27,(Database!B27*9/5))</f>
        <v>-8.0000000000000002E-3</v>
      </c>
      <c r="C26" s="37">
        <f>IF('PERHITUNGAN 1'!$C$2="Celcius",Database!C27,(Database!C27*9/5)+32)</f>
        <v>350</v>
      </c>
      <c r="D26" s="75">
        <f t="shared" si="0"/>
        <v>122500</v>
      </c>
      <c r="E26" s="37">
        <f t="shared" si="1"/>
        <v>42875000</v>
      </c>
      <c r="F26" s="91">
        <f t="shared" si="2"/>
        <v>15006250000</v>
      </c>
      <c r="G26" s="91">
        <f t="shared" si="3"/>
        <v>5252187500000</v>
      </c>
      <c r="H26" s="91">
        <f t="shared" si="4"/>
        <v>1838265625000000</v>
      </c>
      <c r="I26" s="91">
        <f t="shared" si="5"/>
        <v>6.4339296875E+17</v>
      </c>
      <c r="J26" s="91">
        <f t="shared" si="6"/>
        <v>2.251875390625E+20</v>
      </c>
      <c r="K26" s="91">
        <f t="shared" si="7"/>
        <v>7.8815638671875008E+22</v>
      </c>
      <c r="L26" s="91">
        <f t="shared" si="8"/>
        <v>2.7585473535156249E+25</v>
      </c>
      <c r="O26" s="127">
        <f>IF('PERHITUNGAN 1'!$C$2="Celcius",Database!C23,(Database!C23*9/5)+32)</f>
        <v>250</v>
      </c>
      <c r="P26" s="23">
        <f t="shared" si="9"/>
        <v>-3.1764847354485592E-2</v>
      </c>
      <c r="S26" s="26"/>
      <c r="T26" s="88"/>
      <c r="U26" s="19"/>
      <c r="V26" s="46"/>
    </row>
    <row r="27" spans="1:22">
      <c r="A27" s="25">
        <v>26</v>
      </c>
      <c r="B27" s="37">
        <f>IF('PERHITUNGAN 1'!$C$2="Celcius",Database!B28,(Database!B28*9/5))</f>
        <v>-6.0000000000000001E-3</v>
      </c>
      <c r="C27" s="37">
        <f>IF('PERHITUNGAN 1'!$C$2="Celcius",Database!C28,(Database!C28*9/5)+32)</f>
        <v>375</v>
      </c>
      <c r="D27" s="75">
        <f t="shared" si="0"/>
        <v>140625</v>
      </c>
      <c r="E27" s="37">
        <f t="shared" si="1"/>
        <v>52734375</v>
      </c>
      <c r="F27" s="91">
        <f t="shared" si="2"/>
        <v>19775390625</v>
      </c>
      <c r="G27" s="91">
        <f t="shared" si="3"/>
        <v>7415771484375</v>
      </c>
      <c r="H27" s="91">
        <f t="shared" si="4"/>
        <v>2780914306640625</v>
      </c>
      <c r="I27" s="91">
        <f t="shared" si="5"/>
        <v>1.0428428649902344E+18</v>
      </c>
      <c r="J27" s="91">
        <f t="shared" si="6"/>
        <v>3.9106607437133788E+20</v>
      </c>
      <c r="K27" s="91">
        <f t="shared" si="7"/>
        <v>1.466497778892517E+23</v>
      </c>
      <c r="L27" s="91">
        <f t="shared" si="8"/>
        <v>5.499366670846939E+25</v>
      </c>
      <c r="O27" s="127">
        <f>IF('PERHITUNGAN 1'!$C$2="Celcius",Database!C24,(Database!C24*9/5)+32)</f>
        <v>275</v>
      </c>
      <c r="P27" s="23">
        <f t="shared" si="9"/>
        <v>-2.4924259041426478E-2</v>
      </c>
      <c r="S27" s="26"/>
      <c r="T27" s="88"/>
      <c r="U27" s="19"/>
      <c r="V27" s="46"/>
    </row>
    <row r="28" spans="1:22">
      <c r="A28" s="25">
        <v>27</v>
      </c>
      <c r="B28" s="37">
        <f>IF('PERHITUNGAN 1'!$C$2="Celcius",Database!B29,(Database!B29*9/5))</f>
        <v>-6.0000000000000001E-3</v>
      </c>
      <c r="C28" s="37">
        <f>IF('PERHITUNGAN 1'!$C$2="Celcius",Database!C29,(Database!C29*9/5)+32)</f>
        <v>400</v>
      </c>
      <c r="D28" s="75">
        <f t="shared" si="0"/>
        <v>160000</v>
      </c>
      <c r="E28" s="37">
        <f t="shared" si="1"/>
        <v>64000000</v>
      </c>
      <c r="F28" s="91">
        <f t="shared" si="2"/>
        <v>25600000000</v>
      </c>
      <c r="G28" s="91">
        <f t="shared" si="3"/>
        <v>10240000000000</v>
      </c>
      <c r="H28" s="91">
        <f t="shared" si="4"/>
        <v>4096000000000000</v>
      </c>
      <c r="I28" s="91">
        <f t="shared" si="5"/>
        <v>1.6384E+18</v>
      </c>
      <c r="J28" s="91">
        <f t="shared" si="6"/>
        <v>6.5536E+20</v>
      </c>
      <c r="K28" s="91">
        <f t="shared" si="7"/>
        <v>2.62144E+23</v>
      </c>
      <c r="L28" s="91">
        <f t="shared" si="8"/>
        <v>1.048576E+26</v>
      </c>
      <c r="O28" s="127">
        <f>IF('PERHITUNGAN 1'!$C$2="Celcius",Database!C25,(Database!C25*9/5)+32)</f>
        <v>300</v>
      </c>
      <c r="P28" s="23">
        <f t="shared" si="9"/>
        <v>-1.8326646227310839E-2</v>
      </c>
      <c r="S28" s="26"/>
      <c r="T28" s="88"/>
      <c r="U28" s="19"/>
      <c r="V28" s="46"/>
    </row>
    <row r="29" spans="1:22">
      <c r="O29" s="127">
        <f>IF('PERHITUNGAN 1'!$C$2="Celcius",Database!C26,(Database!C26*9/5)+32)</f>
        <v>325</v>
      </c>
      <c r="P29" s="23">
        <f t="shared" si="9"/>
        <v>-1.2157117149651953E-2</v>
      </c>
      <c r="S29" s="26"/>
      <c r="T29" s="88"/>
      <c r="U29" s="19"/>
      <c r="V29" s="46"/>
    </row>
    <row r="30" spans="1:22">
      <c r="O30" s="127">
        <f>IF('PERHITUNGAN 1'!$C$2="Celcius",Database!C27,(Database!C27*9/5)+32)</f>
        <v>350</v>
      </c>
      <c r="P30" s="23">
        <f t="shared" si="9"/>
        <v>-7.5615429304827231E-3</v>
      </c>
      <c r="S30" s="26"/>
      <c r="T30" s="88"/>
      <c r="U30" s="19"/>
      <c r="V30" s="46"/>
    </row>
    <row r="31" spans="1:22">
      <c r="O31" s="127">
        <f>IF('PERHITUNGAN 1'!$C$2="Celcius",Database!C28,(Database!C28*9/5)+32)</f>
        <v>375</v>
      </c>
      <c r="P31" s="23">
        <f t="shared" si="9"/>
        <v>-6.2353911079835456E-3</v>
      </c>
      <c r="S31" s="26"/>
      <c r="T31" s="88"/>
      <c r="U31" s="19"/>
      <c r="V31" s="46"/>
    </row>
    <row r="32" spans="1:22">
      <c r="O32" s="127">
        <f>IF('PERHITUNGAN 1'!$C$2="Celcius",Database!C29,(Database!C29*9/5)+32)</f>
        <v>400</v>
      </c>
      <c r="P32" s="23">
        <f t="shared" si="9"/>
        <v>-5.958278533903183E-3</v>
      </c>
      <c r="S32" s="26"/>
      <c r="T32" s="88"/>
      <c r="U32" s="19"/>
      <c r="V32" s="46"/>
    </row>
    <row r="33" spans="1:22">
      <c r="O33" s="128"/>
      <c r="P33" s="24"/>
      <c r="S33" s="89"/>
      <c r="T33" s="89"/>
      <c r="U33" s="19"/>
      <c r="V33" s="46"/>
    </row>
    <row r="34" spans="1:22">
      <c r="A34" s="418" t="s">
        <v>178</v>
      </c>
      <c r="B34" t="s">
        <v>73</v>
      </c>
      <c r="T34" s="70"/>
      <c r="U34" s="70"/>
      <c r="V34" s="46"/>
    </row>
    <row r="35" spans="1:22" ht="13.5" thickBot="1">
      <c r="A35" s="418"/>
      <c r="O35" s="31" t="s">
        <v>182</v>
      </c>
      <c r="S35" s="70"/>
    </row>
    <row r="36" spans="1:22" ht="13.5">
      <c r="A36" s="418"/>
      <c r="B36" s="69" t="s">
        <v>74</v>
      </c>
      <c r="C36" s="69"/>
      <c r="V36" s="46"/>
    </row>
    <row r="37" spans="1:22">
      <c r="A37" s="418"/>
      <c r="B37" t="s">
        <v>75</v>
      </c>
      <c r="C37">
        <v>0.99795839188909441</v>
      </c>
      <c r="O37" t="s">
        <v>180</v>
      </c>
    </row>
    <row r="38" spans="1:22" ht="15">
      <c r="A38" s="418"/>
      <c r="B38" t="s">
        <v>76</v>
      </c>
      <c r="C38">
        <v>0.99592095194186736</v>
      </c>
      <c r="O38" t="s">
        <v>181</v>
      </c>
    </row>
    <row r="39" spans="1:22">
      <c r="A39" s="418"/>
      <c r="B39" t="s">
        <v>77</v>
      </c>
      <c r="C39">
        <v>0.99337154690553442</v>
      </c>
      <c r="O39" s="31" t="s">
        <v>96</v>
      </c>
    </row>
    <row r="40" spans="1:22">
      <c r="A40" s="418"/>
      <c r="B40" t="s">
        <v>78</v>
      </c>
      <c r="C40">
        <v>2.0633085149660722E-3</v>
      </c>
      <c r="O40" s="26" t="s">
        <v>97</v>
      </c>
      <c r="P40">
        <f>IF('PERHITUNGAN 1'!$C$2="Celcius",C50,C81)</f>
        <v>1.1859427501270003E-2</v>
      </c>
    </row>
    <row r="41" spans="1:22" ht="13.5" thickBot="1">
      <c r="A41" s="418"/>
      <c r="B41" s="67" t="s">
        <v>79</v>
      </c>
      <c r="C41" s="67">
        <v>27</v>
      </c>
      <c r="O41" s="26" t="s">
        <v>98</v>
      </c>
      <c r="P41">
        <f>IF('PERHITUNGAN 1'!$C$2="Celcius",C51,C82)</f>
        <v>-9.2366681631663773E-4</v>
      </c>
    </row>
    <row r="42" spans="1:22">
      <c r="A42" s="418"/>
      <c r="O42" s="26" t="s">
        <v>111</v>
      </c>
      <c r="P42">
        <f>IF('PERHITUNGAN 1'!$C$2="Celcius",C52,C83)</f>
        <v>-1.3044477035865188E-5</v>
      </c>
    </row>
    <row r="43" spans="1:22" ht="13.5" thickBot="1">
      <c r="A43" s="418"/>
      <c r="B43" t="s">
        <v>80</v>
      </c>
      <c r="O43" s="26" t="s">
        <v>112</v>
      </c>
      <c r="P43">
        <f>IF('PERHITUNGAN 1'!$C$2="Celcius",C53,C84)</f>
        <v>5.2164428355552564E-7</v>
      </c>
    </row>
    <row r="44" spans="1:22" ht="13.5">
      <c r="A44" s="418"/>
      <c r="B44" s="68"/>
      <c r="C44" s="68" t="s">
        <v>85</v>
      </c>
      <c r="D44" s="68" t="s">
        <v>86</v>
      </c>
      <c r="E44" s="68" t="s">
        <v>87</v>
      </c>
      <c r="F44" s="68" t="s">
        <v>88</v>
      </c>
      <c r="G44" s="68" t="s">
        <v>89</v>
      </c>
      <c r="O44" s="26" t="s">
        <v>171</v>
      </c>
      <c r="P44">
        <f>IF('PERHITUNGAN 1'!$C$2="Celcius",C54,C85)</f>
        <v>-6.9589114113498539E-9</v>
      </c>
    </row>
    <row r="45" spans="1:22">
      <c r="A45" s="418"/>
      <c r="B45" t="s">
        <v>81</v>
      </c>
      <c r="C45">
        <v>10</v>
      </c>
      <c r="D45">
        <v>1.6630847090516057E-2</v>
      </c>
      <c r="E45">
        <v>1.6630847090516056E-3</v>
      </c>
      <c r="F45">
        <v>390.64838177867523</v>
      </c>
      <c r="G45">
        <v>3.7390912595619831E-17</v>
      </c>
      <c r="O45" s="26" t="s">
        <v>172</v>
      </c>
      <c r="P45">
        <f>IF('PERHITUNGAN 1'!$C$2="Celcius",C55,C86)</f>
        <v>5.0738929589596788E-11</v>
      </c>
    </row>
    <row r="46" spans="1:22">
      <c r="A46" s="418"/>
      <c r="B46" t="s">
        <v>82</v>
      </c>
      <c r="C46">
        <v>16</v>
      </c>
      <c r="D46">
        <v>6.8115872446903981E-5</v>
      </c>
      <c r="E46">
        <v>4.2572420279314988E-6</v>
      </c>
      <c r="O46" s="26" t="s">
        <v>173</v>
      </c>
      <c r="P46">
        <f>IF('PERHITUNGAN 1'!$C$2="Celcius",C56,C87)</f>
        <v>-2.1999960440371053E-13</v>
      </c>
    </row>
    <row r="47" spans="1:22" ht="13.5" thickBot="1">
      <c r="A47" s="418"/>
      <c r="B47" s="67" t="s">
        <v>83</v>
      </c>
      <c r="C47" s="67">
        <v>26</v>
      </c>
      <c r="D47" s="67">
        <v>1.6698962962962961E-2</v>
      </c>
      <c r="E47" s="67"/>
      <c r="F47" s="67"/>
      <c r="G47" s="67"/>
      <c r="O47" s="26" t="s">
        <v>174</v>
      </c>
      <c r="P47">
        <f>IF('PERHITUNGAN 1'!$C$2="Celcius",C57,C88)</f>
        <v>5.738499834848924E-16</v>
      </c>
    </row>
    <row r="48" spans="1:22" ht="13.5" thickBot="1">
      <c r="A48" s="418"/>
      <c r="O48" s="26" t="s">
        <v>175</v>
      </c>
      <c r="P48">
        <f>IF('PERHITUNGAN 1'!$C$2="Celcius",C58,C89)</f>
        <v>-8.6387838115715956E-19</v>
      </c>
    </row>
    <row r="49" spans="1:16" ht="13.5">
      <c r="A49" s="418"/>
      <c r="B49" s="68"/>
      <c r="C49" s="68" t="s">
        <v>90</v>
      </c>
      <c r="D49" s="68" t="s">
        <v>78</v>
      </c>
      <c r="E49" s="68" t="s">
        <v>91</v>
      </c>
      <c r="F49" s="68" t="s">
        <v>92</v>
      </c>
      <c r="G49" s="68" t="s">
        <v>93</v>
      </c>
      <c r="H49" s="68" t="s">
        <v>94</v>
      </c>
      <c r="I49" s="68" t="s">
        <v>120</v>
      </c>
      <c r="J49" s="68" t="s">
        <v>121</v>
      </c>
      <c r="O49" s="26" t="s">
        <v>176</v>
      </c>
      <c r="P49">
        <f>IF('PERHITUNGAN 1'!$C$2="Celcius",C59,C90)</f>
        <v>6.6121671628462608E-22</v>
      </c>
    </row>
    <row r="50" spans="1:16">
      <c r="A50" s="418"/>
      <c r="B50" t="s">
        <v>84</v>
      </c>
      <c r="C50">
        <v>1.1859427501270003E-2</v>
      </c>
      <c r="D50">
        <v>1.0883298122467159E-3</v>
      </c>
      <c r="E50">
        <v>10.896905853187786</v>
      </c>
      <c r="F50">
        <v>8.2086236843007209E-9</v>
      </c>
      <c r="G50">
        <v>9.5522713649877165E-3</v>
      </c>
      <c r="H50">
        <v>1.416658363755229E-2</v>
      </c>
      <c r="I50">
        <v>9.5522713649877165E-3</v>
      </c>
      <c r="J50">
        <v>1.416658363755229E-2</v>
      </c>
      <c r="O50" s="26" t="s">
        <v>177</v>
      </c>
      <c r="P50">
        <f>IF('PERHITUNGAN 1'!$C$2="Celcius",C60,C91)</f>
        <v>-1.7762248965119291E-25</v>
      </c>
    </row>
    <row r="51" spans="1:16">
      <c r="A51" s="418"/>
      <c r="B51" t="s">
        <v>95</v>
      </c>
      <c r="C51">
        <v>-9.2366681631663773E-4</v>
      </c>
      <c r="D51">
        <v>5.1031217552293664E-5</v>
      </c>
      <c r="E51">
        <v>-18.100034853570182</v>
      </c>
      <c r="F51">
        <v>4.4330462318387151E-12</v>
      </c>
      <c r="G51">
        <v>-1.0318481648314579E-3</v>
      </c>
      <c r="H51">
        <v>-8.154854678018177E-4</v>
      </c>
      <c r="I51">
        <v>-1.0318481648314579E-3</v>
      </c>
      <c r="J51">
        <v>-8.154854678018177E-4</v>
      </c>
    </row>
    <row r="52" spans="1:16">
      <c r="A52" s="418"/>
      <c r="B52" t="s">
        <v>108</v>
      </c>
      <c r="C52">
        <v>-1.3044477035865188E-5</v>
      </c>
      <c r="D52">
        <v>2.0815930436589154E-6</v>
      </c>
      <c r="E52">
        <v>-6.2665836992500168</v>
      </c>
      <c r="F52">
        <v>1.1245336691082852E-5</v>
      </c>
      <c r="G52">
        <v>-1.7457257159939826E-5</v>
      </c>
      <c r="H52">
        <v>-8.6316969117905522E-6</v>
      </c>
      <c r="I52">
        <v>-1.7457257159939826E-5</v>
      </c>
      <c r="J52">
        <v>-8.6316969117905522E-6</v>
      </c>
    </row>
    <row r="53" spans="1:16">
      <c r="A53" s="418"/>
      <c r="B53" t="s">
        <v>109</v>
      </c>
      <c r="C53">
        <v>5.2164428355552564E-7</v>
      </c>
      <c r="D53">
        <v>2.9168670903041342E-8</v>
      </c>
      <c r="E53">
        <v>17.883717955113791</v>
      </c>
      <c r="F53">
        <v>5.3275839171324053E-12</v>
      </c>
      <c r="G53">
        <v>4.5980946353692746E-7</v>
      </c>
      <c r="H53">
        <v>5.8347910357412381E-7</v>
      </c>
      <c r="I53">
        <v>4.5980946353692746E-7</v>
      </c>
      <c r="J53">
        <v>5.8347910357412381E-7</v>
      </c>
    </row>
    <row r="54" spans="1:16">
      <c r="A54" s="418"/>
      <c r="B54" t="s">
        <v>130</v>
      </c>
      <c r="C54">
        <v>-6.9589114113498539E-9</v>
      </c>
      <c r="D54">
        <v>9.2404861443617773E-10</v>
      </c>
      <c r="E54">
        <v>-7.5308931831426849</v>
      </c>
      <c r="F54">
        <v>1.2035814753452757E-6</v>
      </c>
      <c r="G54">
        <v>-8.9178069658311662E-9</v>
      </c>
      <c r="H54">
        <v>-5.0000158568685424E-9</v>
      </c>
      <c r="I54">
        <v>-8.9178069658311662E-9</v>
      </c>
      <c r="J54">
        <v>-5.0000158568685424E-9</v>
      </c>
    </row>
    <row r="55" spans="1:16">
      <c r="A55" s="418"/>
      <c r="B55" t="s">
        <v>131</v>
      </c>
      <c r="C55">
        <v>5.0738929589596788E-11</v>
      </c>
      <c r="D55">
        <v>1.5901849038293631E-11</v>
      </c>
      <c r="E55">
        <v>3.1907565885835751</v>
      </c>
      <c r="F55">
        <v>5.6870982060041372E-3</v>
      </c>
      <c r="G55">
        <v>1.7028515545901704E-11</v>
      </c>
      <c r="H55">
        <v>8.4449343633291873E-11</v>
      </c>
      <c r="I55">
        <v>1.7028515545901704E-11</v>
      </c>
      <c r="J55">
        <v>8.4449343633291873E-11</v>
      </c>
    </row>
    <row r="56" spans="1:16">
      <c r="A56" s="418"/>
      <c r="B56" t="s">
        <v>132</v>
      </c>
      <c r="C56">
        <v>-2.1999960440371053E-13</v>
      </c>
      <c r="D56">
        <v>1.310028214423972E-13</v>
      </c>
      <c r="E56">
        <v>-1.6793501237715387</v>
      </c>
      <c r="F56">
        <v>0.11250209145402845</v>
      </c>
      <c r="G56">
        <v>-4.9771317979238419E-13</v>
      </c>
      <c r="H56">
        <v>5.7713970984963162E-14</v>
      </c>
      <c r="I56">
        <v>-4.9771317979238419E-13</v>
      </c>
      <c r="J56">
        <v>5.7713970984963162E-14</v>
      </c>
    </row>
    <row r="57" spans="1:16">
      <c r="A57" s="418"/>
      <c r="B57" t="s">
        <v>133</v>
      </c>
      <c r="C57">
        <v>5.738499834848924E-16</v>
      </c>
      <c r="D57">
        <v>5.9612490899744271E-16</v>
      </c>
      <c r="E57">
        <v>0.96263379507155289</v>
      </c>
      <c r="F57">
        <v>0.35005535848303104</v>
      </c>
      <c r="G57">
        <v>-6.898783700965748E-16</v>
      </c>
      <c r="H57">
        <v>1.8375783370663597E-15</v>
      </c>
      <c r="I57">
        <v>-6.898783700965748E-16</v>
      </c>
      <c r="J57">
        <v>1.8375783370663597E-15</v>
      </c>
    </row>
    <row r="58" spans="1:16">
      <c r="A58" s="418"/>
      <c r="B58" t="s">
        <v>134</v>
      </c>
      <c r="C58">
        <v>-8.6387838115715956E-19</v>
      </c>
      <c r="D58">
        <v>1.5384936860353987E-18</v>
      </c>
      <c r="E58">
        <v>-0.56150921449883862</v>
      </c>
      <c r="F58">
        <v>0.58223081793896236</v>
      </c>
      <c r="G58">
        <v>-4.125339299002043E-18</v>
      </c>
      <c r="H58">
        <v>2.3975825366877239E-18</v>
      </c>
      <c r="I58">
        <v>-4.125339299002043E-18</v>
      </c>
      <c r="J58">
        <v>2.3975825366877239E-18</v>
      </c>
    </row>
    <row r="59" spans="1:16">
      <c r="A59" s="418"/>
      <c r="B59" t="s">
        <v>135</v>
      </c>
      <c r="C59">
        <v>6.6121671628462608E-22</v>
      </c>
      <c r="D59">
        <v>2.1123246511771179E-21</v>
      </c>
      <c r="E59">
        <v>0.31302797887443828</v>
      </c>
      <c r="F59">
        <v>0.75830278488741443</v>
      </c>
      <c r="G59">
        <v>-3.8167115054214349E-21</v>
      </c>
      <c r="H59">
        <v>5.1391449379906873E-21</v>
      </c>
      <c r="I59">
        <v>-3.8167115054214349E-21</v>
      </c>
      <c r="J59">
        <v>5.1391449379906873E-21</v>
      </c>
    </row>
    <row r="60" spans="1:16" ht="13.5" thickBot="1">
      <c r="A60" s="418"/>
      <c r="B60" s="67" t="s">
        <v>136</v>
      </c>
      <c r="C60" s="67">
        <v>-1.7762248965119291E-25</v>
      </c>
      <c r="D60" s="67">
        <v>1.1995097624017832E-24</v>
      </c>
      <c r="E60" s="67">
        <v>-0.14807923638365283</v>
      </c>
      <c r="F60" s="67">
        <v>0.88413034316296957</v>
      </c>
      <c r="G60" s="67">
        <v>-2.720469591434362E-24</v>
      </c>
      <c r="H60" s="67">
        <v>2.3652246121319759E-24</v>
      </c>
      <c r="I60" s="67">
        <v>-2.720469591434362E-24</v>
      </c>
      <c r="J60" s="67">
        <v>2.3652246121319759E-24</v>
      </c>
    </row>
    <row r="65" spans="1:10">
      <c r="A65" s="418" t="s">
        <v>179</v>
      </c>
      <c r="B65" t="s">
        <v>73</v>
      </c>
    </row>
    <row r="66" spans="1:10" ht="13.5" thickBot="1">
      <c r="A66" s="418"/>
    </row>
    <row r="67" spans="1:10" ht="13.5">
      <c r="A67" s="418"/>
      <c r="B67" s="69" t="s">
        <v>74</v>
      </c>
      <c r="C67" s="69"/>
    </row>
    <row r="68" spans="1:10">
      <c r="A68" s="418"/>
      <c r="B68" t="s">
        <v>75</v>
      </c>
      <c r="C68">
        <v>0.99795839188914681</v>
      </c>
    </row>
    <row r="69" spans="1:10">
      <c r="A69" s="418"/>
      <c r="B69" t="s">
        <v>76</v>
      </c>
      <c r="C69">
        <v>0.99592095194197183</v>
      </c>
    </row>
    <row r="70" spans="1:10">
      <c r="A70" s="418"/>
      <c r="B70" t="s">
        <v>77</v>
      </c>
      <c r="C70">
        <v>0.99337154690570428</v>
      </c>
    </row>
    <row r="71" spans="1:10">
      <c r="A71" s="418"/>
      <c r="B71" t="s">
        <v>78</v>
      </c>
      <c r="C71">
        <v>3.7139553268913435E-3</v>
      </c>
    </row>
    <row r="72" spans="1:10" ht="13.5" thickBot="1">
      <c r="A72" s="418"/>
      <c r="B72" s="67" t="s">
        <v>79</v>
      </c>
      <c r="C72" s="67">
        <v>27</v>
      </c>
    </row>
    <row r="73" spans="1:10">
      <c r="A73" s="418"/>
    </row>
    <row r="74" spans="1:10" ht="13.5" thickBot="1">
      <c r="A74" s="418"/>
      <c r="B74" t="s">
        <v>80</v>
      </c>
    </row>
    <row r="75" spans="1:10" ht="13.5">
      <c r="A75" s="418"/>
      <c r="B75" s="68"/>
      <c r="C75" s="68" t="s">
        <v>85</v>
      </c>
      <c r="D75" s="68" t="s">
        <v>86</v>
      </c>
      <c r="E75" s="68" t="s">
        <v>87</v>
      </c>
      <c r="F75" s="68" t="s">
        <v>88</v>
      </c>
      <c r="G75" s="68" t="s">
        <v>89</v>
      </c>
    </row>
    <row r="76" spans="1:10">
      <c r="A76" s="418"/>
      <c r="B76" t="s">
        <v>81</v>
      </c>
      <c r="C76">
        <v>10</v>
      </c>
      <c r="D76">
        <v>5.3883944573277699E-2</v>
      </c>
      <c r="E76">
        <v>5.3883944573277697E-3</v>
      </c>
      <c r="F76">
        <v>390.64838178872708</v>
      </c>
      <c r="G76">
        <v>3.7390912587968158E-17</v>
      </c>
    </row>
    <row r="77" spans="1:10">
      <c r="A77" s="418"/>
      <c r="B77" t="s">
        <v>82</v>
      </c>
      <c r="C77">
        <v>16</v>
      </c>
      <c r="D77">
        <v>2.2069542672231338E-4</v>
      </c>
      <c r="E77">
        <v>1.3793464170144586E-5</v>
      </c>
    </row>
    <row r="78" spans="1:10" ht="13.5" thickBot="1">
      <c r="A78" s="418"/>
      <c r="B78" s="67" t="s">
        <v>83</v>
      </c>
      <c r="C78" s="67">
        <v>26</v>
      </c>
      <c r="D78" s="67">
        <v>5.4104640000000009E-2</v>
      </c>
      <c r="E78" s="67"/>
      <c r="F78" s="67"/>
      <c r="G78" s="67"/>
    </row>
    <row r="79" spans="1:10" ht="13.5" thickBot="1">
      <c r="A79" s="418"/>
    </row>
    <row r="80" spans="1:10" ht="13.5">
      <c r="A80" s="418"/>
      <c r="B80" s="68"/>
      <c r="C80" s="68" t="s">
        <v>90</v>
      </c>
      <c r="D80" s="68" t="s">
        <v>78</v>
      </c>
      <c r="E80" s="68" t="s">
        <v>91</v>
      </c>
      <c r="F80" s="68" t="s">
        <v>92</v>
      </c>
      <c r="G80" s="68" t="s">
        <v>93</v>
      </c>
      <c r="H80" s="68" t="s">
        <v>94</v>
      </c>
      <c r="I80" s="68" t="s">
        <v>120</v>
      </c>
      <c r="J80" s="68" t="s">
        <v>121</v>
      </c>
    </row>
    <row r="81" spans="1:10">
      <c r="A81" s="418"/>
      <c r="B81" t="s">
        <v>84</v>
      </c>
      <c r="C81">
        <v>3.6781288679870627E-2</v>
      </c>
      <c r="D81">
        <v>1.6307975813006836E-3</v>
      </c>
      <c r="E81">
        <v>22.554171714269277</v>
      </c>
      <c r="F81">
        <v>1.4886773908787604E-13</v>
      </c>
      <c r="G81">
        <v>3.3324152245314105E-2</v>
      </c>
      <c r="H81">
        <v>4.023842511442715E-2</v>
      </c>
      <c r="I81">
        <v>3.3324152245314105E-2</v>
      </c>
      <c r="J81">
        <v>4.023842511442715E-2</v>
      </c>
    </row>
    <row r="82" spans="1:10">
      <c r="A82" s="418"/>
      <c r="B82" t="s">
        <v>95</v>
      </c>
      <c r="C82">
        <v>2.1894739941856706E-4</v>
      </c>
      <c r="D82">
        <v>7.6665414525981546E-5</v>
      </c>
      <c r="E82">
        <v>2.8558822876300605</v>
      </c>
      <c r="F82">
        <v>1.1440833613102969E-2</v>
      </c>
      <c r="G82">
        <v>5.64239808979446E-5</v>
      </c>
      <c r="H82">
        <v>3.8147081793918954E-4</v>
      </c>
      <c r="I82">
        <v>5.64239808979446E-5</v>
      </c>
      <c r="J82">
        <v>3.8147081793918954E-4</v>
      </c>
    </row>
    <row r="83" spans="1:10">
      <c r="A83" s="418"/>
      <c r="B83" t="s">
        <v>108</v>
      </c>
      <c r="C83">
        <v>-3.1813507231570462E-5</v>
      </c>
      <c r="D83">
        <v>1.2962085876725087E-6</v>
      </c>
      <c r="E83">
        <v>-24.543509072637196</v>
      </c>
      <c r="F83">
        <v>3.9906814434975855E-14</v>
      </c>
      <c r="G83">
        <v>-3.4561346685473511E-5</v>
      </c>
      <c r="H83">
        <v>-2.9065667777667412E-5</v>
      </c>
      <c r="I83">
        <v>-3.4561346685473511E-5</v>
      </c>
      <c r="J83">
        <v>-2.9065667777667412E-5</v>
      </c>
    </row>
    <row r="84" spans="1:10">
      <c r="A84" s="418"/>
      <c r="B84" t="s">
        <v>109</v>
      </c>
      <c r="C84">
        <v>3.7150500075593036E-7</v>
      </c>
      <c r="D84">
        <v>4.052305125810267E-8</v>
      </c>
      <c r="E84">
        <v>9.1677450049284523</v>
      </c>
      <c r="F84">
        <v>9.073129341190001E-8</v>
      </c>
      <c r="G84">
        <v>2.8559996965326395E-7</v>
      </c>
      <c r="H84">
        <v>4.5741003185859677E-7</v>
      </c>
      <c r="I84">
        <v>2.8559996965326395E-7</v>
      </c>
      <c r="J84">
        <v>4.5741003185859677E-7</v>
      </c>
    </row>
    <row r="85" spans="1:10">
      <c r="A85" s="418"/>
      <c r="B85" t="s">
        <v>130</v>
      </c>
      <c r="C85">
        <v>-2.165815898076412E-9</v>
      </c>
      <c r="D85">
        <v>5.1627444592343959E-10</v>
      </c>
      <c r="E85">
        <v>-4.1950863831784337</v>
      </c>
      <c r="F85">
        <v>6.8550266741340595E-4</v>
      </c>
      <c r="G85">
        <v>-3.2602688318420286E-9</v>
      </c>
      <c r="H85">
        <v>-1.0713629643107952E-9</v>
      </c>
      <c r="I85">
        <v>-3.2602688318420286E-9</v>
      </c>
      <c r="J85">
        <v>-1.0713629643107952E-9</v>
      </c>
    </row>
    <row r="86" spans="1:10">
      <c r="A86" s="418"/>
      <c r="B86" t="s">
        <v>131</v>
      </c>
      <c r="C86">
        <v>7.4583175064775389E-12</v>
      </c>
      <c r="D86">
        <v>3.2496375857889108E-12</v>
      </c>
      <c r="E86">
        <v>2.2951228589593295</v>
      </c>
      <c r="F86">
        <v>3.5584970468919903E-2</v>
      </c>
      <c r="G86">
        <v>5.6939356781506144E-13</v>
      </c>
      <c r="H86">
        <v>1.4347241445140016E-11</v>
      </c>
      <c r="I86">
        <v>5.6939356781506144E-13</v>
      </c>
      <c r="J86">
        <v>1.4347241445140016E-11</v>
      </c>
    </row>
    <row r="87" spans="1:10">
      <c r="A87" s="418"/>
      <c r="B87" t="s">
        <v>132</v>
      </c>
      <c r="C87">
        <v>-1.5843443352225599E-14</v>
      </c>
      <c r="D87">
        <v>1.1604196402906207E-14</v>
      </c>
      <c r="E87">
        <v>-1.3653201654065159</v>
      </c>
      <c r="F87">
        <v>0.19104261537264788</v>
      </c>
      <c r="G87">
        <v>-4.0443240799950693E-14</v>
      </c>
      <c r="H87">
        <v>8.7563540954994937E-15</v>
      </c>
      <c r="I87">
        <v>-4.0443240799950693E-14</v>
      </c>
      <c r="J87">
        <v>8.7563540954994937E-15</v>
      </c>
    </row>
    <row r="88" spans="1:10">
      <c r="A88" s="418"/>
      <c r="B88" t="s">
        <v>133</v>
      </c>
      <c r="C88">
        <v>2.0708896417138971E-17</v>
      </c>
      <c r="D88">
        <v>2.4663908494084686E-17</v>
      </c>
      <c r="E88">
        <v>0.83964374187107149</v>
      </c>
      <c r="F88">
        <v>0.41347877100081543</v>
      </c>
      <c r="G88">
        <v>-3.1576253898979281E-17</v>
      </c>
      <c r="H88">
        <v>7.2994046733257216E-17</v>
      </c>
      <c r="I88">
        <v>-3.1576253898979281E-17</v>
      </c>
      <c r="J88">
        <v>7.2994046733257216E-17</v>
      </c>
    </row>
    <row r="89" spans="1:10">
      <c r="A89" s="418"/>
      <c r="B89" t="s">
        <v>134</v>
      </c>
      <c r="C89">
        <v>-1.5879899255547099E-20</v>
      </c>
      <c r="D89">
        <v>3.0914863493662173E-20</v>
      </c>
      <c r="E89">
        <v>-0.51366551428579399</v>
      </c>
      <c r="F89">
        <v>0.61450623974535112</v>
      </c>
      <c r="G89">
        <v>-8.1416482200463266E-20</v>
      </c>
      <c r="H89">
        <v>4.9656683689369068E-20</v>
      </c>
      <c r="I89">
        <v>-8.1416482200463266E-20</v>
      </c>
      <c r="J89">
        <v>4.9656683689369068E-20</v>
      </c>
    </row>
    <row r="90" spans="1:10">
      <c r="A90" s="418"/>
      <c r="B90" t="s">
        <v>135</v>
      </c>
      <c r="C90">
        <v>6.2867198473691541E-24</v>
      </c>
      <c r="D90">
        <v>2.1100023593043871E-23</v>
      </c>
      <c r="E90">
        <v>0.29794847477998659</v>
      </c>
      <c r="F90">
        <v>0.7695766530615149</v>
      </c>
      <c r="G90">
        <v>-3.844333198121806E-23</v>
      </c>
      <c r="H90">
        <v>5.1016771675956363E-23</v>
      </c>
      <c r="I90">
        <v>-3.844333198121806E-23</v>
      </c>
      <c r="J90">
        <v>5.1016771675956363E-23</v>
      </c>
    </row>
    <row r="91" spans="1:10" ht="13.5" thickBot="1">
      <c r="A91" s="418"/>
      <c r="B91" s="67" t="s">
        <v>136</v>
      </c>
      <c r="C91" s="67">
        <v>-8.9545838662687298E-28</v>
      </c>
      <c r="D91" s="67">
        <v>6.0471569555211413E-27</v>
      </c>
      <c r="E91" s="67">
        <v>-0.14807923677411855</v>
      </c>
      <c r="F91" s="67">
        <v>0.88413034285979974</v>
      </c>
      <c r="G91" s="67">
        <v>-1.3714858461858814E-26</v>
      </c>
      <c r="H91" s="67">
        <v>1.1923941688605066E-26</v>
      </c>
      <c r="I91" s="67">
        <v>-1.3714858461858814E-26</v>
      </c>
      <c r="J91" s="67">
        <v>1.1923941688605066E-26</v>
      </c>
    </row>
  </sheetData>
  <mergeCells count="2">
    <mergeCell ref="A34:A60"/>
    <mergeCell ref="A65:A91"/>
  </mergeCells>
  <phoneticPr fontId="9" type="noConversion"/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">
    <tabColor rgb="FFFFC000"/>
  </sheetPr>
  <dimension ref="A1:AV64"/>
  <sheetViews>
    <sheetView workbookViewId="0">
      <selection sqref="A1:C1"/>
    </sheetView>
  </sheetViews>
  <sheetFormatPr defaultRowHeight="13"/>
  <cols>
    <col min="6" max="6" width="4.69921875" customWidth="1"/>
    <col min="7" max="7" width="2.3984375" customWidth="1"/>
    <col min="8" max="8" width="4.69921875" customWidth="1"/>
    <col min="9" max="9" width="8.296875" customWidth="1"/>
    <col min="10" max="10" width="4.69921875" customWidth="1"/>
    <col min="11" max="11" width="2.3984375" customWidth="1"/>
    <col min="12" max="12" width="4.69921875" customWidth="1"/>
    <col min="13" max="13" width="11.296875" customWidth="1"/>
    <col min="14" max="15" width="9.09765625"/>
    <col min="16" max="16" width="9.69921875" customWidth="1"/>
    <col min="21" max="21" width="13" customWidth="1"/>
    <col min="22" max="22" width="9.09765625" style="49"/>
    <col min="23" max="23" width="6.59765625" customWidth="1"/>
    <col min="24" max="24" width="3" customWidth="1"/>
    <col min="25" max="25" width="5.3984375" customWidth="1"/>
    <col min="30" max="30" width="5.69921875" customWidth="1"/>
    <col min="31" max="32" width="6.8984375" customWidth="1"/>
    <col min="33" max="33" width="11" customWidth="1"/>
    <col min="34" max="35" width="6.8984375" customWidth="1"/>
    <col min="38" max="38" width="5.69921875" customWidth="1"/>
    <col min="39" max="39" width="4.69921875" customWidth="1"/>
    <col min="40" max="40" width="5.69921875" customWidth="1"/>
    <col min="44" max="44" width="12.59765625" bestFit="1" customWidth="1"/>
    <col min="45" max="45" width="32.69921875" bestFit="1" customWidth="1"/>
    <col min="46" max="46" width="15.296875" bestFit="1" customWidth="1"/>
    <col min="47" max="47" width="8.09765625" bestFit="1" customWidth="1"/>
    <col min="48" max="48" width="19.59765625" bestFit="1" customWidth="1"/>
  </cols>
  <sheetData>
    <row r="1" spans="1:48">
      <c r="A1" s="419" t="s">
        <v>198</v>
      </c>
      <c r="B1" s="419"/>
      <c r="C1" s="419"/>
      <c r="F1" s="423" t="s">
        <v>200</v>
      </c>
      <c r="G1" s="423"/>
      <c r="H1" s="423"/>
      <c r="I1" s="423"/>
      <c r="J1" s="423"/>
      <c r="K1" s="423"/>
      <c r="L1" s="423"/>
      <c r="M1" s="423"/>
      <c r="P1" s="431" t="s">
        <v>183</v>
      </c>
      <c r="Q1" s="431"/>
      <c r="R1" s="432"/>
      <c r="T1" s="422" t="s">
        <v>184</v>
      </c>
      <c r="U1" s="422"/>
      <c r="W1" s="422" t="s">
        <v>185</v>
      </c>
      <c r="X1" s="422"/>
      <c r="Y1" s="422"/>
      <c r="Z1" s="422"/>
      <c r="AA1" s="422"/>
      <c r="AD1" s="437" t="s">
        <v>213</v>
      </c>
      <c r="AE1" s="437"/>
      <c r="AF1" s="437"/>
      <c r="AG1" s="437"/>
      <c r="AH1" s="437"/>
      <c r="AI1" s="236"/>
      <c r="AL1" s="433" t="s">
        <v>199</v>
      </c>
      <c r="AM1" s="434"/>
      <c r="AN1" s="434"/>
      <c r="AO1" s="435"/>
      <c r="AR1" s="428" t="s">
        <v>203</v>
      </c>
      <c r="AS1" s="429"/>
      <c r="AT1" s="429"/>
      <c r="AU1" s="429"/>
      <c r="AV1" s="429"/>
    </row>
    <row r="2" spans="1:48" ht="15.5">
      <c r="A2" s="141" t="s">
        <v>0</v>
      </c>
      <c r="B2" s="141" t="s">
        <v>4</v>
      </c>
      <c r="C2" s="141" t="s">
        <v>70</v>
      </c>
      <c r="F2" s="424" t="s">
        <v>201</v>
      </c>
      <c r="G2" s="425"/>
      <c r="H2" s="425"/>
      <c r="I2" s="426"/>
      <c r="J2" s="425" t="s">
        <v>198</v>
      </c>
      <c r="K2" s="425"/>
      <c r="L2" s="425"/>
      <c r="M2" s="427"/>
      <c r="P2" s="430" t="s">
        <v>194</v>
      </c>
      <c r="Q2" s="420" t="s">
        <v>186</v>
      </c>
      <c r="R2" s="421" t="s">
        <v>28</v>
      </c>
      <c r="T2" s="142" t="s">
        <v>23</v>
      </c>
      <c r="U2" s="142" t="s">
        <v>28</v>
      </c>
      <c r="W2" s="430" t="s">
        <v>23</v>
      </c>
      <c r="X2" s="430"/>
      <c r="Y2" s="430"/>
      <c r="Z2" s="430" t="s">
        <v>28</v>
      </c>
      <c r="AA2" s="430"/>
      <c r="AD2" s="235" t="s">
        <v>65</v>
      </c>
      <c r="AE2" s="235" t="s">
        <v>4</v>
      </c>
      <c r="AF2" s="200" t="s">
        <v>202</v>
      </c>
      <c r="AG2" s="235" t="s">
        <v>114</v>
      </c>
      <c r="AH2" s="235" t="s">
        <v>4</v>
      </c>
      <c r="AI2" s="200" t="s">
        <v>202</v>
      </c>
      <c r="AL2" s="436" t="s">
        <v>192</v>
      </c>
      <c r="AM2" s="436"/>
      <c r="AN2" s="436"/>
      <c r="AO2" s="142" t="s">
        <v>193</v>
      </c>
      <c r="AR2" s="218" t="s">
        <v>43</v>
      </c>
      <c r="AS2" s="218" t="s">
        <v>33</v>
      </c>
      <c r="AT2" s="218" t="s">
        <v>204</v>
      </c>
      <c r="AU2" s="218" t="s">
        <v>205</v>
      </c>
      <c r="AV2" s="218" t="s">
        <v>38</v>
      </c>
    </row>
    <row r="3" spans="1:48">
      <c r="A3" s="25">
        <v>1</v>
      </c>
      <c r="B3" s="37">
        <v>-2.7E-2</v>
      </c>
      <c r="C3" s="37">
        <v>-40</v>
      </c>
      <c r="F3" s="32">
        <v>-40</v>
      </c>
      <c r="G3" s="180" t="s">
        <v>191</v>
      </c>
      <c r="H3">
        <v>0</v>
      </c>
      <c r="I3" s="181">
        <v>0.02</v>
      </c>
      <c r="J3">
        <v>-40</v>
      </c>
      <c r="K3" s="182" t="s">
        <v>191</v>
      </c>
      <c r="L3">
        <v>0</v>
      </c>
      <c r="M3" s="8">
        <v>0.05</v>
      </c>
      <c r="P3" s="430"/>
      <c r="Q3" s="420"/>
      <c r="R3" s="421"/>
      <c r="T3" s="20">
        <v>30</v>
      </c>
      <c r="U3" s="20">
        <v>0.7</v>
      </c>
      <c r="W3" s="135">
        <v>50</v>
      </c>
      <c r="X3" s="136" t="s">
        <v>191</v>
      </c>
      <c r="Y3" s="254">
        <v>100</v>
      </c>
      <c r="Z3" s="402">
        <v>0.7</v>
      </c>
      <c r="AA3" s="402"/>
      <c r="AD3" s="140" t="s">
        <v>101</v>
      </c>
      <c r="AE3" s="140" t="s">
        <v>101</v>
      </c>
      <c r="AF3" s="140" t="s">
        <v>101</v>
      </c>
      <c r="AG3" s="140" t="s">
        <v>115</v>
      </c>
      <c r="AH3" s="140" t="s">
        <v>115</v>
      </c>
      <c r="AI3" s="140" t="s">
        <v>115</v>
      </c>
      <c r="AL3" s="135">
        <v>-30</v>
      </c>
      <c r="AM3" s="136" t="s">
        <v>191</v>
      </c>
      <c r="AN3" s="137">
        <v>0</v>
      </c>
      <c r="AO3" s="20">
        <v>7.8E-2</v>
      </c>
      <c r="AR3" s="219" t="s">
        <v>206</v>
      </c>
      <c r="AS3" s="219" t="s">
        <v>116</v>
      </c>
      <c r="AT3" s="219" t="s">
        <v>207</v>
      </c>
      <c r="AU3" s="219">
        <v>1E-3</v>
      </c>
      <c r="AV3" s="220" t="s">
        <v>208</v>
      </c>
    </row>
    <row r="4" spans="1:48">
      <c r="A4" s="25">
        <v>2</v>
      </c>
      <c r="B4" s="37">
        <v>-0.01</v>
      </c>
      <c r="C4" s="37">
        <v>-35</v>
      </c>
      <c r="F4" s="32">
        <v>0</v>
      </c>
      <c r="G4" s="180" t="s">
        <v>191</v>
      </c>
      <c r="H4">
        <v>500</v>
      </c>
      <c r="I4" s="183">
        <v>7.0000000000000007E-2</v>
      </c>
      <c r="J4">
        <v>0</v>
      </c>
      <c r="K4" s="182" t="s">
        <v>191</v>
      </c>
      <c r="L4">
        <v>250</v>
      </c>
      <c r="M4" s="8">
        <v>3.1E-2</v>
      </c>
      <c r="P4" s="345" t="s">
        <v>103</v>
      </c>
      <c r="Q4" s="20">
        <v>-30</v>
      </c>
      <c r="R4" s="91">
        <v>0</v>
      </c>
      <c r="T4" s="20">
        <v>50</v>
      </c>
      <c r="U4" s="20">
        <v>0.7</v>
      </c>
      <c r="W4" s="135">
        <v>150</v>
      </c>
      <c r="X4" s="136" t="s">
        <v>191</v>
      </c>
      <c r="Y4" s="254">
        <v>350</v>
      </c>
      <c r="Z4" s="402">
        <v>1.1000000000000001</v>
      </c>
      <c r="AA4" s="402"/>
      <c r="AD4" s="237">
        <v>20</v>
      </c>
      <c r="AE4" s="237">
        <v>0</v>
      </c>
      <c r="AF4" s="237">
        <v>0.79</v>
      </c>
      <c r="AG4" s="237">
        <v>40</v>
      </c>
      <c r="AH4" s="237">
        <v>4</v>
      </c>
      <c r="AI4" s="237">
        <v>3.4</v>
      </c>
      <c r="AL4" s="135">
        <v>0</v>
      </c>
      <c r="AM4" s="136" t="s">
        <v>191</v>
      </c>
      <c r="AN4" s="137">
        <v>250</v>
      </c>
      <c r="AO4" s="20">
        <v>0.16</v>
      </c>
      <c r="AR4" s="219" t="s">
        <v>117</v>
      </c>
      <c r="AS4" s="219" t="s">
        <v>116</v>
      </c>
      <c r="AT4" s="219" t="s">
        <v>209</v>
      </c>
      <c r="AU4" s="219">
        <v>1E-3</v>
      </c>
      <c r="AV4" s="220" t="s">
        <v>208</v>
      </c>
    </row>
    <row r="5" spans="1:48">
      <c r="A5" s="25">
        <v>3</v>
      </c>
      <c r="B5" s="37">
        <v>4.0000000000000001E-3</v>
      </c>
      <c r="C5" s="37">
        <v>-30</v>
      </c>
      <c r="F5" s="184"/>
      <c r="G5" s="2"/>
      <c r="H5" s="2"/>
      <c r="I5" s="185"/>
      <c r="J5" s="2">
        <v>250</v>
      </c>
      <c r="K5" s="186" t="s">
        <v>191</v>
      </c>
      <c r="L5" s="2">
        <v>400</v>
      </c>
      <c r="M5" s="6">
        <v>0.08</v>
      </c>
      <c r="P5" s="345"/>
      <c r="Q5" s="20">
        <v>-20</v>
      </c>
      <c r="R5" s="91">
        <v>0.02</v>
      </c>
      <c r="T5" s="20">
        <v>75</v>
      </c>
      <c r="U5" s="20">
        <v>0.7</v>
      </c>
      <c r="AD5" s="237">
        <v>25</v>
      </c>
      <c r="AE5" s="237">
        <v>1</v>
      </c>
      <c r="AF5" s="237">
        <v>0.79</v>
      </c>
      <c r="AG5" s="237">
        <v>45</v>
      </c>
      <c r="AH5" s="237">
        <v>2</v>
      </c>
      <c r="AI5" s="237">
        <v>3.4</v>
      </c>
      <c r="AL5" s="135">
        <v>300</v>
      </c>
      <c r="AM5" s="136" t="s">
        <v>191</v>
      </c>
      <c r="AN5" s="137">
        <v>400</v>
      </c>
      <c r="AO5" s="20">
        <v>1.8</v>
      </c>
      <c r="AR5" s="223"/>
      <c r="AS5" s="223"/>
      <c r="AT5" s="223"/>
      <c r="AU5" s="223"/>
      <c r="AV5" s="223"/>
    </row>
    <row r="6" spans="1:48">
      <c r="A6" s="25">
        <v>4</v>
      </c>
      <c r="B6" s="37">
        <v>1.4E-2</v>
      </c>
      <c r="C6" s="37">
        <v>-25</v>
      </c>
      <c r="P6" s="345"/>
      <c r="Q6" s="20">
        <v>-10</v>
      </c>
      <c r="R6" s="91">
        <v>3.0000000000000006E-2</v>
      </c>
      <c r="T6" s="20">
        <v>100</v>
      </c>
      <c r="U6" s="20">
        <v>0.7</v>
      </c>
      <c r="AD6" s="237">
        <v>30</v>
      </c>
      <c r="AE6" s="237">
        <v>0</v>
      </c>
      <c r="AF6" s="237">
        <v>0.79</v>
      </c>
      <c r="AG6" s="237">
        <v>50</v>
      </c>
      <c r="AH6" s="237">
        <v>1</v>
      </c>
      <c r="AI6" s="237">
        <v>3.4</v>
      </c>
    </row>
    <row r="7" spans="1:48">
      <c r="A7" s="25">
        <v>5</v>
      </c>
      <c r="B7" s="37">
        <v>2.1000000000000001E-2</v>
      </c>
      <c r="C7" s="37">
        <v>-20</v>
      </c>
      <c r="P7" s="345"/>
      <c r="Q7" s="20">
        <v>0</v>
      </c>
      <c r="R7" s="91">
        <v>0.02</v>
      </c>
      <c r="T7" s="20">
        <v>150</v>
      </c>
      <c r="U7" s="20">
        <v>1</v>
      </c>
      <c r="AD7" s="237">
        <v>35</v>
      </c>
      <c r="AE7" s="237">
        <v>0</v>
      </c>
      <c r="AF7" s="237">
        <v>0.79</v>
      </c>
      <c r="AG7" s="237">
        <v>55</v>
      </c>
      <c r="AH7" s="237">
        <v>0</v>
      </c>
      <c r="AI7" s="237">
        <v>3.4</v>
      </c>
    </row>
    <row r="8" spans="1:48">
      <c r="A8" s="25">
        <v>6</v>
      </c>
      <c r="B8" s="37">
        <v>2.4E-2</v>
      </c>
      <c r="C8" s="37">
        <v>-15</v>
      </c>
      <c r="P8" s="346"/>
      <c r="Q8" s="20">
        <v>10</v>
      </c>
      <c r="R8" s="91">
        <v>0.04</v>
      </c>
      <c r="T8" s="20">
        <v>200</v>
      </c>
      <c r="U8" s="20">
        <v>1</v>
      </c>
      <c r="AD8" s="237">
        <v>40</v>
      </c>
      <c r="AE8" s="237">
        <v>0</v>
      </c>
      <c r="AF8" s="237">
        <v>0.79</v>
      </c>
      <c r="AG8" s="237">
        <v>60</v>
      </c>
      <c r="AH8" s="237">
        <v>-2</v>
      </c>
      <c r="AI8" s="237">
        <v>3.4</v>
      </c>
    </row>
    <row r="9" spans="1:48">
      <c r="A9" s="25">
        <v>7</v>
      </c>
      <c r="B9" s="37">
        <v>2.1999999999999999E-2</v>
      </c>
      <c r="C9" s="37">
        <v>-10</v>
      </c>
      <c r="P9" s="344" t="s">
        <v>59</v>
      </c>
      <c r="Q9" s="20">
        <v>10</v>
      </c>
      <c r="R9" s="91">
        <v>0.02</v>
      </c>
      <c r="T9" s="20">
        <v>250</v>
      </c>
      <c r="U9" s="20">
        <v>1</v>
      </c>
      <c r="AD9" s="201"/>
      <c r="AE9" s="201"/>
      <c r="AF9" s="201"/>
      <c r="AG9" s="201"/>
      <c r="AH9" s="201"/>
      <c r="AI9" s="201"/>
    </row>
    <row r="10" spans="1:48">
      <c r="A10" s="25">
        <v>8</v>
      </c>
      <c r="B10" s="37">
        <v>1.7000000000000001E-2</v>
      </c>
      <c r="C10" s="37">
        <v>-5</v>
      </c>
      <c r="P10" s="345"/>
      <c r="Q10" s="20">
        <v>25</v>
      </c>
      <c r="R10" s="91">
        <v>0.01</v>
      </c>
      <c r="T10" s="20">
        <v>300</v>
      </c>
      <c r="U10" s="20">
        <v>1</v>
      </c>
      <c r="AD10" s="201"/>
      <c r="AE10" s="201"/>
      <c r="AF10" s="201"/>
      <c r="AG10" s="201"/>
      <c r="AH10" s="201"/>
      <c r="AI10" s="201"/>
    </row>
    <row r="11" spans="1:48">
      <c r="A11" s="25">
        <v>9</v>
      </c>
      <c r="B11" s="37">
        <v>8.0000000000000002E-3</v>
      </c>
      <c r="C11" s="37">
        <v>0</v>
      </c>
      <c r="P11" s="345"/>
      <c r="Q11" s="20">
        <v>50</v>
      </c>
      <c r="R11" s="91">
        <v>0.03</v>
      </c>
      <c r="AD11" s="201"/>
      <c r="AE11" s="201"/>
      <c r="AF11" s="201"/>
      <c r="AG11" s="201"/>
      <c r="AH11" s="201"/>
      <c r="AI11" s="201"/>
    </row>
    <row r="12" spans="1:48">
      <c r="A12" s="25">
        <v>10</v>
      </c>
      <c r="B12" s="37">
        <v>-1.0999999999999999E-2</v>
      </c>
      <c r="C12" s="37">
        <v>20</v>
      </c>
      <c r="P12" s="345"/>
      <c r="Q12" s="20">
        <v>75</v>
      </c>
      <c r="R12" s="91">
        <v>0.04</v>
      </c>
      <c r="AD12" s="201"/>
      <c r="AE12" s="201"/>
      <c r="AF12" s="201"/>
      <c r="AG12" s="201"/>
      <c r="AH12" s="201"/>
      <c r="AI12" s="201"/>
    </row>
    <row r="13" spans="1:48">
      <c r="A13" s="25">
        <v>11</v>
      </c>
      <c r="B13" s="37">
        <v>-2.5000000000000001E-2</v>
      </c>
      <c r="C13" s="37">
        <v>40</v>
      </c>
      <c r="P13" s="346"/>
      <c r="Q13" s="20">
        <v>90</v>
      </c>
      <c r="R13" s="91">
        <v>0.03</v>
      </c>
      <c r="AD13" s="201"/>
      <c r="AE13" s="201"/>
      <c r="AF13" s="201"/>
      <c r="AG13" s="201"/>
      <c r="AH13" s="201"/>
      <c r="AI13" s="201"/>
    </row>
    <row r="14" spans="1:48">
      <c r="A14" s="25">
        <v>12</v>
      </c>
      <c r="B14" s="37">
        <v>-3.5999999999999997E-2</v>
      </c>
      <c r="C14" s="37">
        <v>60</v>
      </c>
      <c r="P14" s="344" t="s">
        <v>60</v>
      </c>
      <c r="Q14" s="20">
        <v>30</v>
      </c>
      <c r="R14" s="91">
        <v>0.05</v>
      </c>
      <c r="AD14" s="201"/>
      <c r="AE14" s="201"/>
      <c r="AF14" s="201"/>
      <c r="AG14" s="201"/>
      <c r="AH14" s="201"/>
      <c r="AI14" s="201"/>
    </row>
    <row r="15" spans="1:48">
      <c r="A15" s="25">
        <v>13</v>
      </c>
      <c r="B15" s="37">
        <v>-4.3999999999999997E-2</v>
      </c>
      <c r="C15" s="37">
        <v>80</v>
      </c>
      <c r="P15" s="345"/>
      <c r="Q15" s="20">
        <v>50</v>
      </c>
      <c r="R15" s="91">
        <v>0.11000000000000001</v>
      </c>
      <c r="AD15" s="201"/>
      <c r="AE15" s="201"/>
      <c r="AF15" s="201"/>
      <c r="AG15" s="201"/>
      <c r="AH15" s="201"/>
      <c r="AI15" s="201"/>
    </row>
    <row r="16" spans="1:48">
      <c r="A16" s="25">
        <v>14</v>
      </c>
      <c r="B16" s="37">
        <v>-4.9000000000000002E-2</v>
      </c>
      <c r="C16" s="37">
        <v>100</v>
      </c>
      <c r="P16" s="345"/>
      <c r="Q16" s="20">
        <v>70</v>
      </c>
      <c r="R16" s="91">
        <v>0.01</v>
      </c>
      <c r="AD16" s="201"/>
      <c r="AE16" s="201"/>
      <c r="AF16" s="201"/>
      <c r="AG16" s="201"/>
      <c r="AH16" s="201"/>
      <c r="AI16" s="201"/>
    </row>
    <row r="17" spans="1:35">
      <c r="A17" s="25">
        <v>15</v>
      </c>
      <c r="B17" s="37">
        <v>-5.1999999999999998E-2</v>
      </c>
      <c r="C17" s="37">
        <v>120</v>
      </c>
      <c r="P17" s="345"/>
      <c r="Q17" s="20">
        <v>100</v>
      </c>
      <c r="R17" s="91">
        <v>0.01</v>
      </c>
      <c r="AD17" s="201"/>
      <c r="AE17" s="201"/>
      <c r="AF17" s="201"/>
      <c r="AG17" s="201"/>
      <c r="AH17" s="201"/>
      <c r="AI17" s="201"/>
    </row>
    <row r="18" spans="1:35">
      <c r="A18" s="25">
        <v>16</v>
      </c>
      <c r="B18" s="37">
        <v>-5.1999999999999998E-2</v>
      </c>
      <c r="C18" s="37">
        <v>140</v>
      </c>
      <c r="P18" s="346"/>
      <c r="Q18" s="20">
        <v>110</v>
      </c>
      <c r="R18" s="91">
        <v>0.02</v>
      </c>
      <c r="AD18" s="201"/>
      <c r="AE18" s="201"/>
      <c r="AF18" s="201"/>
      <c r="AG18" s="201"/>
      <c r="AH18" s="201"/>
      <c r="AI18" s="201"/>
    </row>
    <row r="19" spans="1:35">
      <c r="A19" s="25">
        <v>17</v>
      </c>
      <c r="B19" s="37">
        <v>-5.0999999999999997E-2</v>
      </c>
      <c r="C19" s="37">
        <v>160</v>
      </c>
      <c r="P19" s="344" t="s">
        <v>61</v>
      </c>
      <c r="Q19" s="20">
        <v>100</v>
      </c>
      <c r="R19" s="91">
        <v>3.0000000000000006E-2</v>
      </c>
      <c r="AD19" s="201"/>
      <c r="AE19" s="201"/>
      <c r="AF19" s="201"/>
      <c r="AG19" s="201"/>
      <c r="AH19" s="201"/>
      <c r="AI19" s="201"/>
    </row>
    <row r="20" spans="1:35">
      <c r="A20" s="25">
        <v>18</v>
      </c>
      <c r="B20" s="37">
        <v>-4.9000000000000002E-2</v>
      </c>
      <c r="C20" s="37">
        <v>180</v>
      </c>
      <c r="P20" s="345"/>
      <c r="Q20" s="20">
        <v>150</v>
      </c>
      <c r="R20" s="91">
        <v>0.1</v>
      </c>
      <c r="AD20" s="201"/>
      <c r="AE20" s="201"/>
      <c r="AF20" s="201"/>
      <c r="AG20" s="201"/>
      <c r="AH20" s="201"/>
      <c r="AI20" s="201"/>
    </row>
    <row r="21" spans="1:35">
      <c r="A21" s="25">
        <v>19</v>
      </c>
      <c r="B21" s="37">
        <v>-4.4999999999999998E-2</v>
      </c>
      <c r="C21" s="37">
        <v>200</v>
      </c>
      <c r="P21" s="345"/>
      <c r="Q21" s="20">
        <v>200</v>
      </c>
      <c r="R21" s="91">
        <v>3.0000000000000006E-2</v>
      </c>
      <c r="AD21" s="201"/>
      <c r="AE21" s="201"/>
      <c r="AF21" s="201"/>
      <c r="AG21" s="201"/>
      <c r="AH21" s="201"/>
      <c r="AI21" s="201"/>
    </row>
    <row r="22" spans="1:35">
      <c r="A22" s="25">
        <v>20</v>
      </c>
      <c r="B22" s="37">
        <v>-3.9E-2</v>
      </c>
      <c r="C22" s="37">
        <v>225</v>
      </c>
      <c r="P22" s="345"/>
      <c r="Q22" s="20">
        <v>250</v>
      </c>
      <c r="R22" s="91">
        <v>0.13</v>
      </c>
      <c r="AD22" s="201"/>
      <c r="AE22" s="201"/>
      <c r="AF22" s="201"/>
      <c r="AG22" s="201"/>
      <c r="AH22" s="201"/>
      <c r="AI22" s="201"/>
    </row>
    <row r="23" spans="1:35">
      <c r="A23" s="25">
        <v>21</v>
      </c>
      <c r="B23" s="37">
        <v>-3.2000000000000001E-2</v>
      </c>
      <c r="C23" s="37">
        <v>250</v>
      </c>
      <c r="P23" s="346"/>
      <c r="Q23" s="20">
        <v>260</v>
      </c>
      <c r="R23" s="91">
        <v>0.04</v>
      </c>
      <c r="AD23" s="201"/>
      <c r="AE23" s="201"/>
      <c r="AF23" s="201"/>
      <c r="AG23" s="201"/>
      <c r="AH23" s="201"/>
      <c r="AI23" s="201"/>
    </row>
    <row r="24" spans="1:35">
      <c r="A24" s="25">
        <v>22</v>
      </c>
      <c r="B24" s="37">
        <v>-2.5000000000000001E-2</v>
      </c>
      <c r="C24" s="37">
        <v>275</v>
      </c>
      <c r="AD24" s="201"/>
      <c r="AE24" s="201"/>
      <c r="AF24" s="201"/>
      <c r="AG24" s="201"/>
      <c r="AH24" s="201"/>
      <c r="AI24" s="201"/>
    </row>
    <row r="25" spans="1:35">
      <c r="A25" s="25">
        <v>23</v>
      </c>
      <c r="B25" s="37">
        <v>-1.7999999999999999E-2</v>
      </c>
      <c r="C25" s="37">
        <v>300</v>
      </c>
      <c r="AD25" s="201"/>
      <c r="AE25" s="201"/>
      <c r="AF25" s="201"/>
      <c r="AG25" s="201"/>
      <c r="AH25" s="201"/>
      <c r="AI25" s="201"/>
    </row>
    <row r="26" spans="1:35">
      <c r="A26" s="25">
        <v>24</v>
      </c>
      <c r="B26" s="37">
        <v>-1.2E-2</v>
      </c>
      <c r="C26" s="37">
        <v>325</v>
      </c>
      <c r="AD26" s="201"/>
      <c r="AE26" s="201"/>
      <c r="AF26" s="201"/>
      <c r="AG26" s="201"/>
      <c r="AH26" s="201"/>
      <c r="AI26" s="201"/>
    </row>
    <row r="27" spans="1:35">
      <c r="A27" s="25">
        <v>25</v>
      </c>
      <c r="B27" s="37">
        <v>-8.0000000000000002E-3</v>
      </c>
      <c r="C27" s="37">
        <v>350</v>
      </c>
      <c r="AD27" s="201"/>
      <c r="AE27" s="201"/>
      <c r="AF27" s="201"/>
      <c r="AG27" s="201"/>
      <c r="AH27" s="201"/>
      <c r="AI27" s="201"/>
    </row>
    <row r="28" spans="1:35">
      <c r="A28" s="25">
        <v>26</v>
      </c>
      <c r="B28" s="37">
        <v>-6.0000000000000001E-3</v>
      </c>
      <c r="C28" s="37">
        <v>375</v>
      </c>
      <c r="AD28" s="201"/>
      <c r="AE28" s="201"/>
      <c r="AF28" s="201"/>
      <c r="AG28" s="201"/>
      <c r="AH28" s="201"/>
      <c r="AI28" s="201"/>
    </row>
    <row r="29" spans="1:35">
      <c r="A29" s="25">
        <v>27</v>
      </c>
      <c r="B29" s="37">
        <v>-6.0000000000000001E-3</v>
      </c>
      <c r="C29" s="37">
        <v>400</v>
      </c>
      <c r="AD29" s="201"/>
      <c r="AE29" s="201"/>
      <c r="AF29" s="201"/>
      <c r="AG29" s="201"/>
      <c r="AH29" s="201"/>
      <c r="AI29" s="201"/>
    </row>
    <row r="30" spans="1:35">
      <c r="AD30" s="201"/>
      <c r="AE30" s="201"/>
      <c r="AF30" s="201"/>
      <c r="AG30" s="201"/>
      <c r="AH30" s="201"/>
      <c r="AI30" s="201"/>
    </row>
    <row r="31" spans="1:35">
      <c r="AD31" s="201"/>
      <c r="AE31" s="201"/>
      <c r="AF31" s="201"/>
      <c r="AG31" s="201"/>
      <c r="AH31" s="201"/>
      <c r="AI31" s="201"/>
    </row>
    <row r="32" spans="1:35">
      <c r="AD32" s="201"/>
      <c r="AE32" s="201"/>
      <c r="AF32" s="201"/>
      <c r="AG32" s="201"/>
      <c r="AH32" s="201"/>
      <c r="AI32" s="201"/>
    </row>
    <row r="33" spans="30:35">
      <c r="AD33" s="201"/>
      <c r="AE33" s="201"/>
      <c r="AF33" s="201"/>
      <c r="AG33" s="201"/>
      <c r="AH33" s="201"/>
      <c r="AI33" s="201"/>
    </row>
    <row r="34" spans="30:35">
      <c r="AD34" s="201"/>
      <c r="AE34" s="201"/>
      <c r="AF34" s="201"/>
      <c r="AG34" s="201"/>
      <c r="AH34" s="201"/>
      <c r="AI34" s="201"/>
    </row>
    <row r="35" spans="30:35">
      <c r="AD35" s="201"/>
      <c r="AE35" s="201"/>
      <c r="AF35" s="201"/>
      <c r="AG35" s="201"/>
      <c r="AH35" s="201"/>
      <c r="AI35" s="201"/>
    </row>
    <row r="36" spans="30:35">
      <c r="AD36" s="201"/>
      <c r="AE36" s="201"/>
      <c r="AF36" s="201"/>
      <c r="AG36" s="201"/>
      <c r="AH36" s="201"/>
      <c r="AI36" s="201"/>
    </row>
    <row r="37" spans="30:35">
      <c r="AD37" s="201"/>
      <c r="AE37" s="201"/>
      <c r="AF37" s="201"/>
      <c r="AG37" s="201"/>
      <c r="AH37" s="201"/>
      <c r="AI37" s="201"/>
    </row>
    <row r="38" spans="30:35">
      <c r="AD38" s="201"/>
      <c r="AE38" s="201"/>
      <c r="AF38" s="201"/>
      <c r="AG38" s="201"/>
      <c r="AH38" s="201"/>
      <c r="AI38" s="201"/>
    </row>
    <row r="39" spans="30:35">
      <c r="AD39" s="201"/>
      <c r="AE39" s="201"/>
      <c r="AF39" s="201"/>
      <c r="AG39" s="201"/>
      <c r="AH39" s="201"/>
      <c r="AI39" s="201"/>
    </row>
    <row r="40" spans="30:35">
      <c r="AD40" s="201"/>
      <c r="AE40" s="201"/>
      <c r="AF40" s="201"/>
      <c r="AG40" s="201"/>
      <c r="AH40" s="201"/>
      <c r="AI40" s="201"/>
    </row>
    <row r="41" spans="30:35">
      <c r="AD41" s="201"/>
      <c r="AE41" s="201"/>
      <c r="AF41" s="201"/>
      <c r="AG41" s="201"/>
      <c r="AH41" s="201"/>
      <c r="AI41" s="201"/>
    </row>
    <row r="42" spans="30:35">
      <c r="AD42" s="201"/>
      <c r="AE42" s="201"/>
      <c r="AF42" s="201"/>
      <c r="AG42" s="201"/>
      <c r="AH42" s="201"/>
      <c r="AI42" s="201"/>
    </row>
    <row r="43" spans="30:35">
      <c r="AD43" s="201"/>
      <c r="AE43" s="201"/>
      <c r="AF43" s="201"/>
      <c r="AG43" s="201"/>
      <c r="AH43" s="201"/>
      <c r="AI43" s="201"/>
    </row>
    <row r="44" spans="30:35">
      <c r="AD44" s="201"/>
      <c r="AE44" s="201"/>
      <c r="AF44" s="201"/>
      <c r="AG44" s="201"/>
      <c r="AH44" s="201"/>
      <c r="AI44" s="201"/>
    </row>
    <row r="45" spans="30:35">
      <c r="AD45" s="201"/>
      <c r="AE45" s="202"/>
      <c r="AF45" s="202"/>
      <c r="AG45" s="201"/>
      <c r="AH45" s="201"/>
      <c r="AI45" s="201"/>
    </row>
    <row r="46" spans="30:35">
      <c r="AD46" s="201"/>
      <c r="AE46" s="202"/>
      <c r="AF46" s="202"/>
      <c r="AG46" s="201"/>
      <c r="AH46" s="201"/>
      <c r="AI46" s="201"/>
    </row>
    <row r="47" spans="30:35">
      <c r="AD47" s="201"/>
      <c r="AE47" s="202"/>
      <c r="AF47" s="202"/>
      <c r="AG47" s="201"/>
      <c r="AH47" s="201"/>
      <c r="AI47" s="201"/>
    </row>
    <row r="48" spans="30:35">
      <c r="AD48" s="201"/>
      <c r="AE48" s="202"/>
      <c r="AF48" s="202"/>
      <c r="AG48" s="201"/>
      <c r="AH48" s="201"/>
      <c r="AI48" s="201"/>
    </row>
    <row r="49" spans="30:35">
      <c r="AD49" s="201"/>
      <c r="AE49" s="202"/>
      <c r="AF49" s="202"/>
      <c r="AG49" s="201"/>
      <c r="AH49" s="201"/>
      <c r="AI49" s="201"/>
    </row>
    <row r="50" spans="30:35">
      <c r="AD50" s="201"/>
      <c r="AE50" s="202"/>
      <c r="AF50" s="202"/>
      <c r="AG50" s="201"/>
      <c r="AH50" s="201"/>
      <c r="AI50" s="201"/>
    </row>
    <row r="51" spans="30:35">
      <c r="AD51" s="201"/>
      <c r="AE51" s="202"/>
      <c r="AF51" s="202"/>
      <c r="AG51" s="201"/>
      <c r="AH51" s="201"/>
      <c r="AI51" s="201"/>
    </row>
    <row r="52" spans="30:35">
      <c r="AD52" s="201"/>
      <c r="AE52" s="202"/>
      <c r="AF52" s="202"/>
      <c r="AG52" s="201"/>
      <c r="AH52" s="201"/>
      <c r="AI52" s="201"/>
    </row>
    <row r="53" spans="30:35">
      <c r="AD53" s="201"/>
      <c r="AE53" s="202"/>
      <c r="AF53" s="202"/>
      <c r="AG53" s="201"/>
      <c r="AH53" s="201"/>
      <c r="AI53" s="201"/>
    </row>
    <row r="54" spans="30:35">
      <c r="AD54" s="201"/>
      <c r="AE54" s="202"/>
      <c r="AF54" s="202"/>
      <c r="AG54" s="201"/>
      <c r="AH54" s="201"/>
      <c r="AI54" s="201"/>
    </row>
    <row r="55" spans="30:35">
      <c r="AD55" s="201"/>
      <c r="AE55" s="202"/>
      <c r="AF55" s="202"/>
      <c r="AG55" s="201"/>
      <c r="AH55" s="201"/>
      <c r="AI55" s="201"/>
    </row>
    <row r="56" spans="30:35">
      <c r="AD56" s="201"/>
      <c r="AE56" s="202"/>
      <c r="AF56" s="202"/>
      <c r="AG56" s="201"/>
      <c r="AH56" s="201"/>
      <c r="AI56" s="201"/>
    </row>
    <row r="57" spans="30:35">
      <c r="AD57" s="201"/>
      <c r="AE57" s="202"/>
      <c r="AF57" s="202"/>
      <c r="AG57" s="201"/>
      <c r="AH57" s="201"/>
      <c r="AI57" s="201"/>
    </row>
    <row r="58" spans="30:35">
      <c r="AD58" s="201"/>
      <c r="AE58" s="202"/>
      <c r="AF58" s="202"/>
      <c r="AG58" s="201"/>
      <c r="AH58" s="201"/>
      <c r="AI58" s="201"/>
    </row>
    <row r="59" spans="30:35">
      <c r="AD59" s="201"/>
      <c r="AE59" s="202"/>
      <c r="AF59" s="202"/>
      <c r="AG59" s="201"/>
      <c r="AH59" s="201"/>
      <c r="AI59" s="201"/>
    </row>
    <row r="60" spans="30:35">
      <c r="AD60" s="201"/>
      <c r="AE60" s="202"/>
      <c r="AF60" s="202"/>
      <c r="AG60" s="201"/>
      <c r="AH60" s="201"/>
      <c r="AI60" s="201"/>
    </row>
    <row r="61" spans="30:35">
      <c r="AD61" s="201"/>
      <c r="AE61" s="202"/>
      <c r="AF61" s="202"/>
      <c r="AG61" s="201"/>
      <c r="AH61" s="201"/>
      <c r="AI61" s="201"/>
    </row>
    <row r="62" spans="30:35">
      <c r="AD62" s="201"/>
      <c r="AE62" s="202"/>
      <c r="AF62" s="202"/>
      <c r="AG62" s="201"/>
      <c r="AH62" s="201"/>
      <c r="AI62" s="201"/>
    </row>
    <row r="63" spans="30:35">
      <c r="AD63" s="201"/>
      <c r="AE63" s="202"/>
      <c r="AF63" s="202"/>
      <c r="AG63" s="201"/>
      <c r="AH63" s="201"/>
      <c r="AI63" s="201"/>
    </row>
    <row r="64" spans="30:35">
      <c r="AD64" s="203"/>
      <c r="AE64" s="203"/>
      <c r="AF64" s="203"/>
      <c r="AG64" s="201"/>
      <c r="AH64" s="203"/>
      <c r="AI64" s="201"/>
    </row>
  </sheetData>
  <mergeCells count="22">
    <mergeCell ref="AR1:AV1"/>
    <mergeCell ref="P19:P23"/>
    <mergeCell ref="P2:P3"/>
    <mergeCell ref="P1:R1"/>
    <mergeCell ref="AL1:AO1"/>
    <mergeCell ref="AL2:AN2"/>
    <mergeCell ref="P4:P8"/>
    <mergeCell ref="P9:P13"/>
    <mergeCell ref="W1:AA1"/>
    <mergeCell ref="W2:Y2"/>
    <mergeCell ref="Z2:AA2"/>
    <mergeCell ref="Z3:AA3"/>
    <mergeCell ref="Z4:AA4"/>
    <mergeCell ref="AD1:AH1"/>
    <mergeCell ref="A1:C1"/>
    <mergeCell ref="Q2:Q3"/>
    <mergeCell ref="R2:R3"/>
    <mergeCell ref="T1:U1"/>
    <mergeCell ref="P14:P18"/>
    <mergeCell ref="F1:M1"/>
    <mergeCell ref="F2:I2"/>
    <mergeCell ref="J2:M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25</vt:i4>
      </vt:variant>
    </vt:vector>
  </HeadingPairs>
  <TitlesOfParts>
    <vt:vector size="76" baseType="lpstr">
      <vt:lpstr>DRAFT-SERTIF</vt:lpstr>
      <vt:lpstr>PERHITUNGAN 1</vt:lpstr>
      <vt:lpstr>REGRESI 1</vt:lpstr>
      <vt:lpstr>PERHITUNGAN 2</vt:lpstr>
      <vt:lpstr>REGRESI 2</vt:lpstr>
      <vt:lpstr>PERHITUNGAN 3</vt:lpstr>
      <vt:lpstr>REGRESI 3</vt:lpstr>
      <vt:lpstr>PERHITUNGAN 4</vt:lpstr>
      <vt:lpstr>REGRESI 4</vt:lpstr>
      <vt:lpstr>PERHITUNGAN 5</vt:lpstr>
      <vt:lpstr>REGRESI 5</vt:lpstr>
      <vt:lpstr>PERHITUNGAN 6</vt:lpstr>
      <vt:lpstr>REGRESI 6</vt:lpstr>
      <vt:lpstr>PERHITUNGAN 7</vt:lpstr>
      <vt:lpstr>REGRESI 7</vt:lpstr>
      <vt:lpstr>PERHITUNGAN 8</vt:lpstr>
      <vt:lpstr>REGRESI 8</vt:lpstr>
      <vt:lpstr>PERHITUNGAN 9</vt:lpstr>
      <vt:lpstr>REGRESI 9</vt:lpstr>
      <vt:lpstr>PERHITUNGAN 10</vt:lpstr>
      <vt:lpstr>REGRESI 10</vt:lpstr>
      <vt:lpstr>PERHITUNGAN 11</vt:lpstr>
      <vt:lpstr>REGRESI 11</vt:lpstr>
      <vt:lpstr>PERHITUNGAN 12</vt:lpstr>
      <vt:lpstr>REGRESI 12</vt:lpstr>
      <vt:lpstr>PERHITUNGAN 13</vt:lpstr>
      <vt:lpstr>REGRESI 13</vt:lpstr>
      <vt:lpstr>PERHITUNGAN 14</vt:lpstr>
      <vt:lpstr>REGRESI 14</vt:lpstr>
      <vt:lpstr>PERHITUNGAN 15</vt:lpstr>
      <vt:lpstr>REGRESI 15</vt:lpstr>
      <vt:lpstr>PERHITUNGAN 16</vt:lpstr>
      <vt:lpstr>REGRESI 16</vt:lpstr>
      <vt:lpstr>PERHITUNGAN 17</vt:lpstr>
      <vt:lpstr>REGRESI 17</vt:lpstr>
      <vt:lpstr>PERHITUNGAN 18</vt:lpstr>
      <vt:lpstr>REGRESI 18</vt:lpstr>
      <vt:lpstr>PERHITUNGAN 19</vt:lpstr>
      <vt:lpstr>REGRESI 19</vt:lpstr>
      <vt:lpstr>PERHITUNGAN 20</vt:lpstr>
      <vt:lpstr>REGRESI 20</vt:lpstr>
      <vt:lpstr>PERHITUNGAN 21</vt:lpstr>
      <vt:lpstr>REGRESI 21</vt:lpstr>
      <vt:lpstr>PERHITUNGAN 22</vt:lpstr>
      <vt:lpstr>REGRESI 22</vt:lpstr>
      <vt:lpstr>PERHITUNGAN 23</vt:lpstr>
      <vt:lpstr>REGRESI 23</vt:lpstr>
      <vt:lpstr>PERHITUNGAN 24</vt:lpstr>
      <vt:lpstr>REGRESI 24</vt:lpstr>
      <vt:lpstr>regresi PRT</vt:lpstr>
      <vt:lpstr>Database</vt:lpstr>
      <vt:lpstr>'DRAFT-SERTIF'!Print_Area</vt:lpstr>
      <vt:lpstr>'PERHITUNGAN 1'!Print_Area</vt:lpstr>
      <vt:lpstr>'PERHITUNGAN 10'!Print_Area</vt:lpstr>
      <vt:lpstr>'PERHITUNGAN 11'!Print_Area</vt:lpstr>
      <vt:lpstr>'PERHITUNGAN 12'!Print_Area</vt:lpstr>
      <vt:lpstr>'PERHITUNGAN 13'!Print_Area</vt:lpstr>
      <vt:lpstr>'PERHITUNGAN 14'!Print_Area</vt:lpstr>
      <vt:lpstr>'PERHITUNGAN 15'!Print_Area</vt:lpstr>
      <vt:lpstr>'PERHITUNGAN 16'!Print_Area</vt:lpstr>
      <vt:lpstr>'PERHITUNGAN 17'!Print_Area</vt:lpstr>
      <vt:lpstr>'PERHITUNGAN 18'!Print_Area</vt:lpstr>
      <vt:lpstr>'PERHITUNGAN 19'!Print_Area</vt:lpstr>
      <vt:lpstr>'PERHITUNGAN 2'!Print_Area</vt:lpstr>
      <vt:lpstr>'PERHITUNGAN 20'!Print_Area</vt:lpstr>
      <vt:lpstr>'PERHITUNGAN 21'!Print_Area</vt:lpstr>
      <vt:lpstr>'PERHITUNGAN 22'!Print_Area</vt:lpstr>
      <vt:lpstr>'PERHITUNGAN 23'!Print_Area</vt:lpstr>
      <vt:lpstr>'PERHITUNGAN 24'!Print_Area</vt:lpstr>
      <vt:lpstr>'PERHITUNGAN 3'!Print_Area</vt:lpstr>
      <vt:lpstr>'PERHITUNGAN 4'!Print_Area</vt:lpstr>
      <vt:lpstr>'PERHITUNGAN 5'!Print_Area</vt:lpstr>
      <vt:lpstr>'PERHITUNGAN 6'!Print_Area</vt:lpstr>
      <vt:lpstr>'PERHITUNGAN 7'!Print_Area</vt:lpstr>
      <vt:lpstr>'PERHITUNGAN 8'!Print_Area</vt:lpstr>
      <vt:lpstr>'PERHITUNGAN 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2022-03-31T05:50:34Z</dcterms:created>
  <dcterms:modified xsi:type="dcterms:W3CDTF">2024-06-21T07:48:38Z</dcterms:modified>
</cp:coreProperties>
</file>