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yanpussurmanov/Finance/financial_models/"/>
    </mc:Choice>
  </mc:AlternateContent>
  <xr:revisionPtr revIDLastSave="0" documentId="13_ncr:1_{04F35BA0-0216-8645-8755-29F14F0180DA}" xr6:coauthVersionLast="47" xr6:coauthVersionMax="47" xr10:uidLastSave="{00000000-0000-0000-0000-000000000000}"/>
  <bookViews>
    <workbookView xWindow="640" yWindow="740" windowWidth="13660" windowHeight="17260" activeTab="1" xr2:uid="{DBF0F2D7-224F-4F43-AC71-F2C48BF6EDF2}"/>
  </bookViews>
  <sheets>
    <sheet name="Main" sheetId="1" r:id="rId1"/>
    <sheet name="Model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1" i="2" l="1"/>
  <c r="U21" i="2" s="1"/>
  <c r="V21" i="2" s="1"/>
  <c r="W21" i="2" s="1"/>
  <c r="S21" i="2"/>
  <c r="Q21" i="2"/>
  <c r="Q5" i="2"/>
  <c r="Q7" i="2" s="1"/>
  <c r="Q11" i="2" s="1"/>
  <c r="L6" i="1"/>
  <c r="L5" i="1"/>
  <c r="P6" i="2"/>
  <c r="P7" i="2" s="1"/>
  <c r="P20" i="2" s="1"/>
  <c r="P9" i="2"/>
  <c r="P8" i="2"/>
  <c r="P17" i="2"/>
  <c r="P12" i="2"/>
  <c r="P10" i="2"/>
  <c r="Q10" i="2"/>
  <c r="J17" i="2"/>
  <c r="P19" i="2"/>
  <c r="O16" i="2"/>
  <c r="O15" i="2"/>
  <c r="O14" i="2"/>
  <c r="O22" i="2" s="1"/>
  <c r="O13" i="2"/>
  <c r="O12" i="2"/>
  <c r="O11" i="2"/>
  <c r="O10" i="2"/>
  <c r="O9" i="2"/>
  <c r="O8" i="2"/>
  <c r="O7" i="2"/>
  <c r="O6" i="2"/>
  <c r="J14" i="2"/>
  <c r="J12" i="2"/>
  <c r="J9" i="2"/>
  <c r="J8" i="2"/>
  <c r="J6" i="2"/>
  <c r="J7" i="2" s="1"/>
  <c r="J20" i="2" s="1"/>
  <c r="C20" i="2"/>
  <c r="D20" i="2"/>
  <c r="E20" i="2"/>
  <c r="F20" i="2"/>
  <c r="G20" i="2"/>
  <c r="H20" i="2"/>
  <c r="I20" i="2"/>
  <c r="C21" i="2"/>
  <c r="D21" i="2"/>
  <c r="E21" i="2"/>
  <c r="F21" i="2"/>
  <c r="G21" i="2"/>
  <c r="H21" i="2"/>
  <c r="I21" i="2"/>
  <c r="C22" i="2"/>
  <c r="D22" i="2"/>
  <c r="E22" i="2"/>
  <c r="F22" i="2"/>
  <c r="G22" i="2"/>
  <c r="H22" i="2"/>
  <c r="I22" i="2"/>
  <c r="O5" i="2"/>
  <c r="G19" i="2"/>
  <c r="H19" i="2"/>
  <c r="J19" i="2"/>
  <c r="I19" i="2"/>
  <c r="F14" i="2"/>
  <c r="F12" i="2"/>
  <c r="F9" i="2"/>
  <c r="F10" i="2" s="1"/>
  <c r="F8" i="2"/>
  <c r="F6" i="2"/>
  <c r="F5" i="2"/>
  <c r="K15" i="2"/>
  <c r="K16" i="2"/>
  <c r="K13" i="2"/>
  <c r="C10" i="2"/>
  <c r="C11" i="2" s="1"/>
  <c r="C13" i="2" s="1"/>
  <c r="C15" i="2" s="1"/>
  <c r="C16" i="2" s="1"/>
  <c r="D10" i="2"/>
  <c r="E10" i="2"/>
  <c r="G10" i="2"/>
  <c r="G11" i="2" s="1"/>
  <c r="G13" i="2" s="1"/>
  <c r="G15" i="2" s="1"/>
  <c r="G16" i="2" s="1"/>
  <c r="H10" i="2"/>
  <c r="I10" i="2"/>
  <c r="J10" i="2"/>
  <c r="K10" i="2"/>
  <c r="K11" i="2"/>
  <c r="C7" i="2"/>
  <c r="D7" i="2"/>
  <c r="E7" i="2"/>
  <c r="F7" i="2"/>
  <c r="G7" i="2"/>
  <c r="H7" i="2"/>
  <c r="H11" i="2" s="1"/>
  <c r="H13" i="2" s="1"/>
  <c r="H15" i="2" s="1"/>
  <c r="H16" i="2" s="1"/>
  <c r="I7" i="2"/>
  <c r="K7" i="2"/>
  <c r="O20" i="2"/>
  <c r="L20" i="2"/>
  <c r="N19" i="2"/>
  <c r="M19" i="2"/>
  <c r="M10" i="2"/>
  <c r="M11" i="2" s="1"/>
  <c r="M13" i="2" s="1"/>
  <c r="N10" i="2"/>
  <c r="N11" i="2" s="1"/>
  <c r="N13" i="2" s="1"/>
  <c r="L10" i="2"/>
  <c r="L11" i="2" s="1"/>
  <c r="L13" i="2" s="1"/>
  <c r="M7" i="2"/>
  <c r="M20" i="2" s="1"/>
  <c r="N7" i="2"/>
  <c r="N20" i="2" s="1"/>
  <c r="L7" i="2"/>
  <c r="L4" i="1"/>
  <c r="Q15" i="2" l="1"/>
  <c r="R5" i="2"/>
  <c r="S5" i="2" s="1"/>
  <c r="S15" i="2" s="1"/>
  <c r="L7" i="1"/>
  <c r="P11" i="2"/>
  <c r="P13" i="2" s="1"/>
  <c r="O21" i="2"/>
  <c r="O19" i="2"/>
  <c r="J11" i="2"/>
  <c r="J13" i="2" s="1"/>
  <c r="F11" i="2"/>
  <c r="F13" i="2" s="1"/>
  <c r="F15" i="2" s="1"/>
  <c r="F16" i="2" s="1"/>
  <c r="I11" i="2"/>
  <c r="I13" i="2" s="1"/>
  <c r="I15" i="2" s="1"/>
  <c r="I16" i="2" s="1"/>
  <c r="E11" i="2"/>
  <c r="E13" i="2" s="1"/>
  <c r="E15" i="2" s="1"/>
  <c r="E16" i="2" s="1"/>
  <c r="D11" i="2"/>
  <c r="D13" i="2" s="1"/>
  <c r="D15" i="2" s="1"/>
  <c r="D16" i="2" s="1"/>
  <c r="M22" i="2"/>
  <c r="M15" i="2"/>
  <c r="L22" i="2"/>
  <c r="L15" i="2"/>
  <c r="N15" i="2"/>
  <c r="N22" i="2"/>
  <c r="R7" i="2" l="1"/>
  <c r="T5" i="2"/>
  <c r="U5" i="2" s="1"/>
  <c r="S7" i="2"/>
  <c r="R15" i="2"/>
  <c r="P14" i="2"/>
  <c r="P22" i="2" s="1"/>
  <c r="J15" i="2"/>
  <c r="J22" i="2"/>
  <c r="N21" i="2"/>
  <c r="N16" i="2"/>
  <c r="L21" i="2"/>
  <c r="L16" i="2"/>
  <c r="M21" i="2"/>
  <c r="M16" i="2"/>
  <c r="T15" i="2" l="1"/>
  <c r="V5" i="2"/>
  <c r="U15" i="2"/>
  <c r="P15" i="2"/>
  <c r="P16" i="2" s="1"/>
  <c r="P21" i="2"/>
  <c r="J16" i="2"/>
  <c r="J21" i="2"/>
  <c r="W5" i="2" l="1"/>
  <c r="W15" i="2" s="1"/>
  <c r="X15" i="2" s="1"/>
  <c r="Y15" i="2" s="1"/>
  <c r="Z15" i="2" s="1"/>
  <c r="AA15" i="2" s="1"/>
  <c r="AB15" i="2" s="1"/>
  <c r="AC15" i="2" s="1"/>
  <c r="AD15" i="2" s="1"/>
  <c r="AE15" i="2" s="1"/>
  <c r="AF15" i="2" s="1"/>
  <c r="AG15" i="2" s="1"/>
  <c r="AH15" i="2" s="1"/>
  <c r="AI15" i="2" s="1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AY15" i="2" s="1"/>
  <c r="AZ15" i="2" s="1"/>
  <c r="BA15" i="2" s="1"/>
  <c r="BB15" i="2" s="1"/>
  <c r="BC15" i="2" s="1"/>
  <c r="BD15" i="2" s="1"/>
  <c r="BE15" i="2" s="1"/>
  <c r="BF15" i="2" s="1"/>
  <c r="BG15" i="2" s="1"/>
  <c r="BH15" i="2" s="1"/>
  <c r="BI15" i="2" s="1"/>
  <c r="BJ15" i="2" s="1"/>
  <c r="BK15" i="2" s="1"/>
  <c r="BL15" i="2" s="1"/>
  <c r="BM15" i="2" s="1"/>
  <c r="BN15" i="2" s="1"/>
  <c r="BO15" i="2" s="1"/>
  <c r="BP15" i="2" s="1"/>
  <c r="BQ15" i="2" s="1"/>
  <c r="BR15" i="2" s="1"/>
  <c r="BS15" i="2" s="1"/>
  <c r="BT15" i="2" s="1"/>
  <c r="BU15" i="2" s="1"/>
  <c r="BV15" i="2" s="1"/>
  <c r="BW15" i="2" s="1"/>
  <c r="BX15" i="2" s="1"/>
  <c r="BY15" i="2" s="1"/>
  <c r="BZ15" i="2" s="1"/>
  <c r="CA15" i="2" s="1"/>
  <c r="CB15" i="2" s="1"/>
  <c r="CC15" i="2" s="1"/>
  <c r="CD15" i="2" s="1"/>
  <c r="CE15" i="2" s="1"/>
  <c r="CF15" i="2" s="1"/>
  <c r="CG15" i="2" s="1"/>
  <c r="CH15" i="2" s="1"/>
  <c r="CI15" i="2" s="1"/>
  <c r="CJ15" i="2" s="1"/>
  <c r="CK15" i="2" s="1"/>
  <c r="CL15" i="2" s="1"/>
  <c r="CM15" i="2" s="1"/>
  <c r="CN15" i="2" s="1"/>
  <c r="CO15" i="2" s="1"/>
  <c r="CP15" i="2" s="1"/>
  <c r="CQ15" i="2" s="1"/>
  <c r="CR15" i="2" s="1"/>
  <c r="CS15" i="2" s="1"/>
  <c r="CT15" i="2" s="1"/>
  <c r="CU15" i="2" s="1"/>
  <c r="CV15" i="2" s="1"/>
  <c r="CW15" i="2" s="1"/>
  <c r="CX15" i="2" s="1"/>
  <c r="CY15" i="2" s="1"/>
  <c r="CZ15" i="2" s="1"/>
  <c r="DA15" i="2" s="1"/>
  <c r="DB15" i="2" s="1"/>
  <c r="DC15" i="2" s="1"/>
  <c r="DD15" i="2" s="1"/>
  <c r="DE15" i="2" s="1"/>
  <c r="DF15" i="2" s="1"/>
  <c r="DG15" i="2" s="1"/>
  <c r="DH15" i="2" s="1"/>
  <c r="DI15" i="2" s="1"/>
  <c r="DJ15" i="2" s="1"/>
  <c r="DK15" i="2" s="1"/>
  <c r="DL15" i="2" s="1"/>
  <c r="DM15" i="2" s="1"/>
  <c r="DN15" i="2" s="1"/>
  <c r="DO15" i="2" s="1"/>
  <c r="DP15" i="2" s="1"/>
  <c r="DQ15" i="2" s="1"/>
  <c r="DR15" i="2" s="1"/>
  <c r="DS15" i="2" s="1"/>
  <c r="DT15" i="2" s="1"/>
  <c r="DU15" i="2" s="1"/>
  <c r="DV15" i="2" s="1"/>
  <c r="DW15" i="2" s="1"/>
  <c r="DX15" i="2" s="1"/>
  <c r="DY15" i="2" s="1"/>
  <c r="DZ15" i="2" s="1"/>
  <c r="EA15" i="2" s="1"/>
  <c r="EB15" i="2" s="1"/>
  <c r="EC15" i="2" s="1"/>
  <c r="ED15" i="2" s="1"/>
  <c r="EE15" i="2" s="1"/>
  <c r="EF15" i="2" s="1"/>
  <c r="EG15" i="2" s="1"/>
  <c r="EH15" i="2" s="1"/>
  <c r="EI15" i="2" s="1"/>
  <c r="EJ15" i="2" s="1"/>
  <c r="EK15" i="2" s="1"/>
  <c r="EL15" i="2" s="1"/>
  <c r="EM15" i="2" s="1"/>
  <c r="V15" i="2"/>
  <c r="L12" i="1" l="1"/>
  <c r="L13" i="1" s="1"/>
  <c r="L15" i="1" s="1"/>
</calcChain>
</file>

<file path=xl/sharedStrings.xml><?xml version="1.0" encoding="utf-8"?>
<sst xmlns="http://schemas.openxmlformats.org/spreadsheetml/2006/main" count="51" uniqueCount="47">
  <si>
    <t>Main</t>
  </si>
  <si>
    <t>Price</t>
  </si>
  <si>
    <t>Shares</t>
  </si>
  <si>
    <t>Q324</t>
  </si>
  <si>
    <t>MC</t>
  </si>
  <si>
    <t>Cash</t>
  </si>
  <si>
    <t>Debt</t>
  </si>
  <si>
    <t>EV</t>
  </si>
  <si>
    <t>growth</t>
  </si>
  <si>
    <t>discount</t>
  </si>
  <si>
    <t>NPV</t>
  </si>
  <si>
    <t>price target</t>
  </si>
  <si>
    <t>Revenue</t>
  </si>
  <si>
    <t>COGS</t>
  </si>
  <si>
    <t>Gross profit</t>
  </si>
  <si>
    <t>R&amp;D</t>
  </si>
  <si>
    <t>SG&amp;A</t>
  </si>
  <si>
    <t>OPINC</t>
  </si>
  <si>
    <t>OPEX</t>
  </si>
  <si>
    <t>Pretax</t>
  </si>
  <si>
    <t>Tax</t>
  </si>
  <si>
    <t>Net income</t>
  </si>
  <si>
    <t>EPS</t>
  </si>
  <si>
    <t>other</t>
  </si>
  <si>
    <t>Revenue Growth%</t>
  </si>
  <si>
    <t>Gross margin%</t>
  </si>
  <si>
    <t>Profit margin%</t>
  </si>
  <si>
    <t>Tax%</t>
  </si>
  <si>
    <t>Q424</t>
  </si>
  <si>
    <t>Q323</t>
  </si>
  <si>
    <t>Q423</t>
  </si>
  <si>
    <t>Q124</t>
  </si>
  <si>
    <t>Q224</t>
  </si>
  <si>
    <t>Q123</t>
  </si>
  <si>
    <t>Q223</t>
  </si>
  <si>
    <t>FY2025</t>
  </si>
  <si>
    <t>FY2024</t>
  </si>
  <si>
    <t>FY2022</t>
  </si>
  <si>
    <t>FY2023</t>
  </si>
  <si>
    <t>FY2026</t>
  </si>
  <si>
    <t>FY2027</t>
  </si>
  <si>
    <t>FY2028</t>
  </si>
  <si>
    <t>FY2029</t>
  </si>
  <si>
    <t>FY2030</t>
  </si>
  <si>
    <t>FY2031</t>
  </si>
  <si>
    <t>FY2032</t>
  </si>
  <si>
    <t>FY2033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</si>
</sst>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>
    <font>
      <sz val="12"/>
      <color theme="1"/>
      <name val="ArialMT"/>
      <family val="2"/>
    </font>
    <font>
      <sz val="12"/>
      <color theme="1"/>
      <name val="ArialMT"/>
      <family val="2"/>
    </font>
    <font>
      <u/>
      <sz val="12"/>
      <color theme="10"/>
      <name val="ArialMT"/>
      <family val="2"/>
    </font>
    <font>
      <sz val="12"/>
      <color theme="1"/>
      <name val="Arial"/>
      <family val="2"/>
    </font>
    <font>
      <sz val="8"/>
      <name val="ArialMT"/>
      <family val="2"/>
    </font>
    <font>
      <b/>
      <sz val="12"/>
      <color theme="1"/>
      <name val="ArialM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3"/>
    <xf numFmtId="0" fontId="3" fillId="0" borderId="0" xfId="0" applyFont="1"/>
    <xf numFmtId="4" fontId="3" fillId="0" borderId="0" xfId="0" applyNumberFormat="1" applyFont="1"/>
    <xf numFmtId="3" fontId="3" fillId="0" borderId="0" xfId="0" applyNumberFormat="1" applyFont="1"/>
    <xf numFmtId="10" fontId="3" fillId="0" borderId="0" xfId="0" applyNumberFormat="1" applyFont="1"/>
    <xf numFmtId="9" fontId="3" fillId="0" borderId="0" xfId="0" applyNumberFormat="1" applyFont="1"/>
    <xf numFmtId="4" fontId="3" fillId="0" borderId="0" xfId="1" applyNumberFormat="1" applyFont="1"/>
    <xf numFmtId="4" fontId="0" fillId="0" borderId="0" xfId="0" applyNumberFormat="1"/>
    <xf numFmtId="3" fontId="0" fillId="0" borderId="0" xfId="0" applyNumberFormat="1"/>
    <xf numFmtId="9" fontId="0" fillId="0" borderId="0" xfId="2" applyFont="1"/>
    <xf numFmtId="10" fontId="0" fillId="0" borderId="0" xfId="2" applyNumberFormat="1" applyFont="1"/>
    <xf numFmtId="10" fontId="0" fillId="0" borderId="0" xfId="0" applyNumberFormat="1"/>
    <xf numFmtId="9" fontId="0" fillId="0" borderId="0" xfId="0" applyNumberFormat="1"/>
    <xf numFmtId="0" fontId="5" fillId="0" borderId="0" xfId="0" applyFont="1"/>
    <xf numFmtId="3" fontId="5" fillId="0" borderId="0" xfId="0" applyNumberFormat="1" applyFont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32251-463A-6244-AA60-5FF02613DB68}">
  <dimension ref="K2:M15"/>
  <sheetViews>
    <sheetView topLeftCell="F1" workbookViewId="0">
      <selection activeCell="L10" sqref="L10"/>
    </sheetView>
  </sheetViews>
  <sheetFormatPr baseColWidth="10" defaultRowHeight="16"/>
  <cols>
    <col min="12" max="12" width="11.28515625" bestFit="1" customWidth="1"/>
  </cols>
  <sheetData>
    <row r="2" spans="11:13">
      <c r="K2" s="2" t="s">
        <v>1</v>
      </c>
      <c r="L2" s="3">
        <v>145</v>
      </c>
    </row>
    <row r="3" spans="11:13">
      <c r="K3" s="2" t="s">
        <v>2</v>
      </c>
      <c r="L3" s="4">
        <v>24744</v>
      </c>
      <c r="M3" t="s">
        <v>3</v>
      </c>
    </row>
    <row r="4" spans="11:13">
      <c r="K4" s="2" t="s">
        <v>4</v>
      </c>
      <c r="L4" s="4">
        <f>L2*L3</f>
        <v>3587880</v>
      </c>
    </row>
    <row r="5" spans="11:13">
      <c r="K5" s="2" t="s">
        <v>5</v>
      </c>
      <c r="L5" s="4">
        <f>9107+29380+7654</f>
        <v>46141</v>
      </c>
      <c r="M5" t="s">
        <v>3</v>
      </c>
    </row>
    <row r="6" spans="11:13">
      <c r="K6" s="2" t="s">
        <v>6</v>
      </c>
      <c r="L6" s="4">
        <f>8462</f>
        <v>8462</v>
      </c>
      <c r="M6" t="s">
        <v>3</v>
      </c>
    </row>
    <row r="7" spans="11:13">
      <c r="K7" s="2" t="s">
        <v>7</v>
      </c>
      <c r="L7" s="4">
        <f>L4-L5+L6</f>
        <v>3550201</v>
      </c>
    </row>
    <row r="8" spans="11:13">
      <c r="K8" s="2"/>
      <c r="L8" s="2"/>
    </row>
    <row r="9" spans="11:13">
      <c r="K9" s="2"/>
      <c r="L9" s="2"/>
    </row>
    <row r="10" spans="11:13">
      <c r="K10" s="2" t="s">
        <v>8</v>
      </c>
      <c r="L10" s="5">
        <v>0</v>
      </c>
    </row>
    <row r="11" spans="11:13">
      <c r="K11" s="2" t="s">
        <v>9</v>
      </c>
      <c r="L11" s="6">
        <v>0.08</v>
      </c>
    </row>
    <row r="12" spans="11:13">
      <c r="K12" s="2" t="s">
        <v>10</v>
      </c>
      <c r="L12" s="3">
        <f>NPV(L11,Model!P15:EM15)+L5-L6</f>
        <v>3783128.5651317108</v>
      </c>
    </row>
    <row r="13" spans="11:13">
      <c r="K13" s="2" t="s">
        <v>11</v>
      </c>
      <c r="L13" s="7">
        <f>L12/L3</f>
        <v>152.89074382200576</v>
      </c>
    </row>
    <row r="15" spans="11:13">
      <c r="L15" s="10">
        <f>L13/L2-1</f>
        <v>5.4418922910384637E-2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2E4A2-9F6A-FC45-8126-BDDA495ABCCF}">
  <dimension ref="A1:EM22"/>
  <sheetViews>
    <sheetView tabSelected="1" workbookViewId="0">
      <pane xSplit="2" ySplit="4" topLeftCell="N5" activePane="bottomRight" state="frozen"/>
      <selection pane="topRight" activeCell="C1" sqref="C1"/>
      <selection pane="bottomLeft" activeCell="A5" sqref="A5"/>
      <selection pane="bottomRight" activeCell="Q12" sqref="Q12"/>
    </sheetView>
  </sheetViews>
  <sheetFormatPr baseColWidth="10" defaultRowHeight="16"/>
  <cols>
    <col min="2" max="2" width="15.7109375" bestFit="1" customWidth="1"/>
    <col min="3" max="3" width="11.5703125" customWidth="1"/>
  </cols>
  <sheetData>
    <row r="1" spans="1:143">
      <c r="A1" s="1" t="s">
        <v>0</v>
      </c>
    </row>
    <row r="3" spans="1:143">
      <c r="L3" t="s">
        <v>37</v>
      </c>
      <c r="M3" t="s">
        <v>38</v>
      </c>
      <c r="N3" t="s">
        <v>36</v>
      </c>
      <c r="O3" t="s">
        <v>35</v>
      </c>
      <c r="P3" t="s">
        <v>39</v>
      </c>
      <c r="Q3" t="s">
        <v>40</v>
      </c>
      <c r="R3" t="s">
        <v>41</v>
      </c>
      <c r="S3" t="s">
        <v>42</v>
      </c>
      <c r="T3" t="s">
        <v>43</v>
      </c>
      <c r="U3" t="s">
        <v>44</v>
      </c>
      <c r="V3" t="s">
        <v>45</v>
      </c>
      <c r="W3" t="s">
        <v>46</v>
      </c>
    </row>
    <row r="4" spans="1:143">
      <c r="C4" t="s">
        <v>33</v>
      </c>
      <c r="D4" t="s">
        <v>34</v>
      </c>
      <c r="E4" t="s">
        <v>29</v>
      </c>
      <c r="F4" t="s">
        <v>30</v>
      </c>
      <c r="G4" t="s">
        <v>31</v>
      </c>
      <c r="H4" t="s">
        <v>32</v>
      </c>
      <c r="I4" t="s">
        <v>3</v>
      </c>
      <c r="J4" t="s">
        <v>28</v>
      </c>
      <c r="L4">
        <v>2021</v>
      </c>
      <c r="M4">
        <v>2022</v>
      </c>
      <c r="N4">
        <v>2023</v>
      </c>
      <c r="O4">
        <v>2024</v>
      </c>
      <c r="P4">
        <v>2025</v>
      </c>
      <c r="Q4">
        <v>2026</v>
      </c>
      <c r="R4">
        <v>2027</v>
      </c>
      <c r="S4">
        <v>2028</v>
      </c>
      <c r="T4">
        <v>2029</v>
      </c>
      <c r="U4">
        <v>2030</v>
      </c>
      <c r="V4">
        <v>2031</v>
      </c>
      <c r="W4">
        <v>2032</v>
      </c>
    </row>
    <row r="5" spans="1:143">
      <c r="B5" t="s">
        <v>12</v>
      </c>
      <c r="C5" s="9">
        <v>7192</v>
      </c>
      <c r="D5" s="9">
        <v>13507</v>
      </c>
      <c r="E5" s="9">
        <v>18120</v>
      </c>
      <c r="F5" s="9">
        <f>N5-SUM(C5:E5)</f>
        <v>22103</v>
      </c>
      <c r="G5" s="9">
        <v>26044</v>
      </c>
      <c r="H5" s="9">
        <v>30040</v>
      </c>
      <c r="I5" s="9">
        <v>35082</v>
      </c>
      <c r="J5" s="9">
        <v>38030</v>
      </c>
      <c r="K5" s="9"/>
      <c r="L5" s="9">
        <v>26914</v>
      </c>
      <c r="M5" s="9">
        <v>26974</v>
      </c>
      <c r="N5" s="9">
        <v>60922</v>
      </c>
      <c r="O5" s="9">
        <f>SUM(G5:J5)</f>
        <v>129196</v>
      </c>
      <c r="P5" s="9">
        <v>195000</v>
      </c>
      <c r="Q5" s="9">
        <f>P5*(1+Q19)</f>
        <v>273000</v>
      </c>
      <c r="R5" s="9">
        <f t="shared" ref="R5:W5" si="0">Q5*(1+R19)</f>
        <v>354900</v>
      </c>
      <c r="S5" s="9">
        <f t="shared" si="0"/>
        <v>425880</v>
      </c>
      <c r="T5" s="9">
        <f t="shared" si="0"/>
        <v>468468.00000000006</v>
      </c>
      <c r="U5" s="9">
        <f t="shared" si="0"/>
        <v>491891.40000000008</v>
      </c>
      <c r="V5" s="9">
        <f t="shared" si="0"/>
        <v>516485.97000000009</v>
      </c>
      <c r="W5" s="9">
        <f t="shared" si="0"/>
        <v>526815.68940000015</v>
      </c>
    </row>
    <row r="6" spans="1:143">
      <c r="B6" t="s">
        <v>13</v>
      </c>
      <c r="C6" s="9">
        <v>2544</v>
      </c>
      <c r="D6" s="9">
        <v>4045</v>
      </c>
      <c r="E6" s="9">
        <v>4720</v>
      </c>
      <c r="F6" s="9">
        <f>N6-SUM(C6:E6)</f>
        <v>5312</v>
      </c>
      <c r="G6" s="9">
        <v>5638</v>
      </c>
      <c r="H6" s="9">
        <v>7466</v>
      </c>
      <c r="I6" s="9">
        <v>8926</v>
      </c>
      <c r="J6" s="9">
        <f>(1-I20)*J5</f>
        <v>9676.066928909413</v>
      </c>
      <c r="K6" s="9"/>
      <c r="L6" s="9">
        <v>9439</v>
      </c>
      <c r="M6" s="9">
        <v>11618</v>
      </c>
      <c r="N6" s="9">
        <v>16621</v>
      </c>
      <c r="O6" s="9">
        <f>SUM(G6:J6)</f>
        <v>31706.066928909415</v>
      </c>
      <c r="P6" s="9">
        <f>O6*1.25</f>
        <v>39632.58366113677</v>
      </c>
    </row>
    <row r="7" spans="1:143">
      <c r="B7" t="s">
        <v>14</v>
      </c>
      <c r="C7" s="9">
        <f t="shared" ref="C7:K7" si="1">C5-C6</f>
        <v>4648</v>
      </c>
      <c r="D7" s="9">
        <f t="shared" si="1"/>
        <v>9462</v>
      </c>
      <c r="E7" s="9">
        <f t="shared" si="1"/>
        <v>13400</v>
      </c>
      <c r="F7" s="9">
        <f t="shared" si="1"/>
        <v>16791</v>
      </c>
      <c r="G7" s="9">
        <f t="shared" si="1"/>
        <v>20406</v>
      </c>
      <c r="H7" s="9">
        <f t="shared" si="1"/>
        <v>22574</v>
      </c>
      <c r="I7" s="9">
        <f t="shared" si="1"/>
        <v>26156</v>
      </c>
      <c r="J7" s="9">
        <f t="shared" si="1"/>
        <v>28353.933071090585</v>
      </c>
      <c r="K7" s="9">
        <f t="shared" si="1"/>
        <v>0</v>
      </c>
      <c r="L7" s="9">
        <f>L5-L6</f>
        <v>17475</v>
      </c>
      <c r="M7" s="9">
        <f t="shared" ref="M7:O7" si="2">M5-M6</f>
        <v>15356</v>
      </c>
      <c r="N7" s="9">
        <f t="shared" si="2"/>
        <v>44301</v>
      </c>
      <c r="O7" s="9">
        <f t="shared" si="2"/>
        <v>97489.933071090578</v>
      </c>
      <c r="P7" s="9">
        <f t="shared" ref="P7" si="3">P5-P6</f>
        <v>155367.41633886323</v>
      </c>
      <c r="Q7" s="9">
        <f t="shared" ref="Q7" si="4">Q5-Q6</f>
        <v>273000</v>
      </c>
      <c r="R7" s="9">
        <f t="shared" ref="R7" si="5">R5-R6</f>
        <v>354900</v>
      </c>
      <c r="S7" s="9">
        <f t="shared" ref="S7" si="6">S5-S6</f>
        <v>425880</v>
      </c>
    </row>
    <row r="8" spans="1:143">
      <c r="B8" t="s">
        <v>15</v>
      </c>
      <c r="C8" s="9">
        <v>1875</v>
      </c>
      <c r="D8" s="9">
        <v>2040</v>
      </c>
      <c r="E8" s="9">
        <v>2294</v>
      </c>
      <c r="F8" s="9">
        <f>N8-SUM(C8:E8)</f>
        <v>2466</v>
      </c>
      <c r="G8" s="9">
        <v>2720</v>
      </c>
      <c r="H8" s="9">
        <v>3090</v>
      </c>
      <c r="I8" s="9">
        <v>3390</v>
      </c>
      <c r="J8" s="9">
        <f>I8</f>
        <v>3390</v>
      </c>
      <c r="K8" s="9"/>
      <c r="L8" s="9">
        <v>5268</v>
      </c>
      <c r="M8" s="9">
        <v>7339</v>
      </c>
      <c r="N8" s="9">
        <v>8675</v>
      </c>
      <c r="O8" s="9">
        <f>SUM(G8:J8)</f>
        <v>12590</v>
      </c>
      <c r="P8" s="9">
        <f>O8*1.1</f>
        <v>13849.000000000002</v>
      </c>
    </row>
    <row r="9" spans="1:143">
      <c r="B9" t="s">
        <v>16</v>
      </c>
      <c r="C9" s="9">
        <v>633</v>
      </c>
      <c r="D9" s="9">
        <v>622</v>
      </c>
      <c r="E9" s="9">
        <v>689</v>
      </c>
      <c r="F9" s="9">
        <f>N9-SUM(C9:E9)</f>
        <v>710</v>
      </c>
      <c r="G9" s="9">
        <v>777</v>
      </c>
      <c r="H9" s="9">
        <v>842</v>
      </c>
      <c r="I9" s="9">
        <v>897</v>
      </c>
      <c r="J9" s="9">
        <f>I9</f>
        <v>897</v>
      </c>
      <c r="K9" s="9"/>
      <c r="L9" s="9">
        <v>2166</v>
      </c>
      <c r="M9" s="9">
        <v>2440</v>
      </c>
      <c r="N9" s="9">
        <v>2654</v>
      </c>
      <c r="O9" s="9">
        <f>SUM(G9:J9)</f>
        <v>3413</v>
      </c>
      <c r="P9" s="9">
        <f>O9*1.2</f>
        <v>4095.6</v>
      </c>
    </row>
    <row r="10" spans="1:143">
      <c r="B10" t="s">
        <v>18</v>
      </c>
      <c r="C10" s="9">
        <f t="shared" ref="C10:K10" si="7">SUM(C8:C9)</f>
        <v>2508</v>
      </c>
      <c r="D10" s="9">
        <f t="shared" si="7"/>
        <v>2662</v>
      </c>
      <c r="E10" s="9">
        <f t="shared" si="7"/>
        <v>2983</v>
      </c>
      <c r="F10" s="9">
        <f t="shared" si="7"/>
        <v>3176</v>
      </c>
      <c r="G10" s="9">
        <f t="shared" si="7"/>
        <v>3497</v>
      </c>
      <c r="H10" s="9">
        <f t="shared" si="7"/>
        <v>3932</v>
      </c>
      <c r="I10" s="9">
        <f t="shared" si="7"/>
        <v>4287</v>
      </c>
      <c r="J10" s="9">
        <f t="shared" si="7"/>
        <v>4287</v>
      </c>
      <c r="K10" s="9">
        <f t="shared" si="7"/>
        <v>0</v>
      </c>
      <c r="L10" s="9">
        <f>SUM(L8:L9)</f>
        <v>7434</v>
      </c>
      <c r="M10" s="9">
        <f>SUM(M8:M9)+1353</f>
        <v>11132</v>
      </c>
      <c r="N10" s="9">
        <f t="shared" ref="N10:O10" si="8">SUM(N8:N9)</f>
        <v>11329</v>
      </c>
      <c r="O10" s="9">
        <f t="shared" si="8"/>
        <v>16003</v>
      </c>
      <c r="P10" s="9">
        <f t="shared" ref="P10" si="9">SUM(P8:P9)</f>
        <v>17944.600000000002</v>
      </c>
      <c r="Q10" s="9">
        <f t="shared" ref="Q10" si="10">SUM(Q8:Q9)</f>
        <v>0</v>
      </c>
    </row>
    <row r="11" spans="1:143">
      <c r="B11" t="s">
        <v>17</v>
      </c>
      <c r="C11" s="9">
        <f t="shared" ref="C11:K11" si="11">C7-C10</f>
        <v>2140</v>
      </c>
      <c r="D11" s="9">
        <f t="shared" si="11"/>
        <v>6800</v>
      </c>
      <c r="E11" s="9">
        <f t="shared" si="11"/>
        <v>10417</v>
      </c>
      <c r="F11" s="9">
        <f t="shared" si="11"/>
        <v>13615</v>
      </c>
      <c r="G11" s="9">
        <f t="shared" si="11"/>
        <v>16909</v>
      </c>
      <c r="H11" s="9">
        <f t="shared" si="11"/>
        <v>18642</v>
      </c>
      <c r="I11" s="9">
        <f t="shared" si="11"/>
        <v>21869</v>
      </c>
      <c r="J11" s="9">
        <f t="shared" si="11"/>
        <v>24066.933071090585</v>
      </c>
      <c r="K11" s="9">
        <f t="shared" si="11"/>
        <v>0</v>
      </c>
      <c r="L11" s="9">
        <f>L7-L10</f>
        <v>10041</v>
      </c>
      <c r="M11" s="9">
        <f t="shared" ref="M11:O11" si="12">M7-M10</f>
        <v>4224</v>
      </c>
      <c r="N11" s="9">
        <f t="shared" si="12"/>
        <v>32972</v>
      </c>
      <c r="O11" s="9">
        <f t="shared" si="12"/>
        <v>81486.933071090578</v>
      </c>
      <c r="P11" s="9">
        <f t="shared" ref="P11" si="13">P7-P10</f>
        <v>137422.81633886322</v>
      </c>
      <c r="Q11" s="9">
        <f t="shared" ref="Q11" si="14">Q7-Q10</f>
        <v>273000</v>
      </c>
    </row>
    <row r="12" spans="1:143">
      <c r="B12" t="s">
        <v>23</v>
      </c>
      <c r="C12" s="9">
        <v>69</v>
      </c>
      <c r="D12" s="9">
        <v>181</v>
      </c>
      <c r="E12" s="9">
        <v>105</v>
      </c>
      <c r="F12" s="9">
        <f>N12-SUM(C12:E12)</f>
        <v>491</v>
      </c>
      <c r="G12" s="9">
        <v>370</v>
      </c>
      <c r="H12" s="9">
        <v>572</v>
      </c>
      <c r="I12" s="9">
        <v>447</v>
      </c>
      <c r="J12" s="9">
        <f>I12</f>
        <v>447</v>
      </c>
      <c r="K12" s="9"/>
      <c r="L12" s="9">
        <v>-100</v>
      </c>
      <c r="M12" s="9">
        <v>-43</v>
      </c>
      <c r="N12" s="9">
        <v>846</v>
      </c>
      <c r="O12" s="9">
        <f>SUM(G12:J12)</f>
        <v>1836</v>
      </c>
      <c r="P12" s="9">
        <f>O12</f>
        <v>1836</v>
      </c>
    </row>
    <row r="13" spans="1:143">
      <c r="B13" t="s">
        <v>19</v>
      </c>
      <c r="C13" s="9">
        <f t="shared" ref="C13:K13" si="15">C11+C12</f>
        <v>2209</v>
      </c>
      <c r="D13" s="9">
        <f t="shared" si="15"/>
        <v>6981</v>
      </c>
      <c r="E13" s="9">
        <f t="shared" si="15"/>
        <v>10522</v>
      </c>
      <c r="F13" s="9">
        <f t="shared" si="15"/>
        <v>14106</v>
      </c>
      <c r="G13" s="9">
        <f t="shared" si="15"/>
        <v>17279</v>
      </c>
      <c r="H13" s="9">
        <f t="shared" si="15"/>
        <v>19214</v>
      </c>
      <c r="I13" s="9">
        <f t="shared" si="15"/>
        <v>22316</v>
      </c>
      <c r="J13" s="9">
        <f t="shared" si="15"/>
        <v>24513.933071090585</v>
      </c>
      <c r="K13" s="9">
        <f t="shared" si="15"/>
        <v>0</v>
      </c>
      <c r="L13" s="9">
        <f>L11+L12</f>
        <v>9941</v>
      </c>
      <c r="M13" s="9">
        <f t="shared" ref="M13:P13" si="16">M11+M12</f>
        <v>4181</v>
      </c>
      <c r="N13" s="9">
        <f t="shared" si="16"/>
        <v>33818</v>
      </c>
      <c r="O13" s="9">
        <f t="shared" si="16"/>
        <v>83322.933071090578</v>
      </c>
      <c r="P13" s="9">
        <f t="shared" si="16"/>
        <v>139258.81633886322</v>
      </c>
    </row>
    <row r="14" spans="1:143">
      <c r="B14" t="s">
        <v>20</v>
      </c>
      <c r="C14" s="9">
        <v>166</v>
      </c>
      <c r="D14" s="9">
        <v>793</v>
      </c>
      <c r="E14" s="9">
        <v>1279</v>
      </c>
      <c r="F14" s="9">
        <f>N14-SUM(C14:E14)</f>
        <v>1820</v>
      </c>
      <c r="G14" s="9">
        <v>2398</v>
      </c>
      <c r="H14" s="9">
        <v>2615</v>
      </c>
      <c r="I14" s="9">
        <v>3007</v>
      </c>
      <c r="J14" s="9">
        <f>I14</f>
        <v>3007</v>
      </c>
      <c r="K14" s="9"/>
      <c r="L14" s="9">
        <v>189</v>
      </c>
      <c r="M14" s="9">
        <v>-187</v>
      </c>
      <c r="N14" s="9">
        <v>4058</v>
      </c>
      <c r="O14" s="9">
        <f>SUM(G14:J14)</f>
        <v>11027</v>
      </c>
      <c r="P14" s="9">
        <f>P13*O22</f>
        <v>18429.583683263707</v>
      </c>
    </row>
    <row r="15" spans="1:143" s="14" customFormat="1">
      <c r="B15" s="14" t="s">
        <v>21</v>
      </c>
      <c r="C15" s="15">
        <f t="shared" ref="C15:K15" si="17">C13-C14</f>
        <v>2043</v>
      </c>
      <c r="D15" s="15">
        <f t="shared" si="17"/>
        <v>6188</v>
      </c>
      <c r="E15" s="15">
        <f t="shared" si="17"/>
        <v>9243</v>
      </c>
      <c r="F15" s="15">
        <f t="shared" si="17"/>
        <v>12286</v>
      </c>
      <c r="G15" s="15">
        <f t="shared" si="17"/>
        <v>14881</v>
      </c>
      <c r="H15" s="15">
        <f t="shared" si="17"/>
        <v>16599</v>
      </c>
      <c r="I15" s="15">
        <f t="shared" si="17"/>
        <v>19309</v>
      </c>
      <c r="J15" s="15">
        <f t="shared" si="17"/>
        <v>21506.933071090585</v>
      </c>
      <c r="K15" s="15">
        <f t="shared" si="17"/>
        <v>0</v>
      </c>
      <c r="L15" s="15">
        <f>L13-L14</f>
        <v>9752</v>
      </c>
      <c r="M15" s="15">
        <f t="shared" ref="M15:P15" si="18">M13-M14</f>
        <v>4368</v>
      </c>
      <c r="N15" s="15">
        <f t="shared" si="18"/>
        <v>29760</v>
      </c>
      <c r="O15" s="15">
        <f t="shared" si="18"/>
        <v>72295.933071090578</v>
      </c>
      <c r="P15" s="15">
        <f t="shared" si="18"/>
        <v>120829.23265559951</v>
      </c>
      <c r="Q15" s="15">
        <f>Q5*Q21</f>
        <v>169160.9257178393</v>
      </c>
      <c r="R15" s="15">
        <f t="shared" ref="R15:V15" si="19">R5*R21</f>
        <v>230685</v>
      </c>
      <c r="S15" s="15">
        <f t="shared" si="19"/>
        <v>276822</v>
      </c>
      <c r="T15" s="15">
        <f t="shared" si="19"/>
        <v>304504.20000000007</v>
      </c>
      <c r="U15" s="15">
        <f t="shared" si="19"/>
        <v>319729.41000000009</v>
      </c>
      <c r="V15" s="15">
        <f t="shared" si="19"/>
        <v>335715.88050000009</v>
      </c>
      <c r="W15" s="15">
        <f>W5*W21</f>
        <v>342430.19811000011</v>
      </c>
      <c r="X15" s="15">
        <f>W15*(1+Main!$L$10)</f>
        <v>342430.19811000011</v>
      </c>
      <c r="Y15" s="15">
        <f>X15*(1+Main!$L$10)</f>
        <v>342430.19811000011</v>
      </c>
      <c r="Z15" s="15">
        <f>Y15*(1+Main!$L$10)</f>
        <v>342430.19811000011</v>
      </c>
      <c r="AA15" s="15">
        <f>Z15*(1+Main!$L$10)</f>
        <v>342430.19811000011</v>
      </c>
      <c r="AB15" s="15">
        <f>AA15*(1+Main!$L$10)</f>
        <v>342430.19811000011</v>
      </c>
      <c r="AC15" s="15">
        <f>AB15*(1+Main!$L$10)</f>
        <v>342430.19811000011</v>
      </c>
      <c r="AD15" s="15">
        <f>AC15*(1+Main!$L$10)</f>
        <v>342430.19811000011</v>
      </c>
      <c r="AE15" s="15">
        <f>AD15*(1+Main!$L$10)</f>
        <v>342430.19811000011</v>
      </c>
      <c r="AF15" s="15">
        <f>AE15*(1+Main!$L$10)</f>
        <v>342430.19811000011</v>
      </c>
      <c r="AG15" s="15">
        <f>AF15*(1+Main!$L$10)</f>
        <v>342430.19811000011</v>
      </c>
      <c r="AH15" s="15">
        <f>AG15*(1+Main!$L$10)</f>
        <v>342430.19811000011</v>
      </c>
      <c r="AI15" s="15">
        <f>AH15*(1+Main!$L$10)</f>
        <v>342430.19811000011</v>
      </c>
      <c r="AJ15" s="15">
        <f>AI15*(1+Main!$L$10)</f>
        <v>342430.19811000011</v>
      </c>
      <c r="AK15" s="15">
        <f>AJ15*(1+Main!$L$10)</f>
        <v>342430.19811000011</v>
      </c>
      <c r="AL15" s="15">
        <f>AK15*(1+Main!$L$10)</f>
        <v>342430.19811000011</v>
      </c>
      <c r="AM15" s="15">
        <f>AL15*(1+Main!$L$10)</f>
        <v>342430.19811000011</v>
      </c>
      <c r="AN15" s="15">
        <f>AM15*(1+Main!$L$10)</f>
        <v>342430.19811000011</v>
      </c>
      <c r="AO15" s="15">
        <f>AN15*(1+Main!$L$10)</f>
        <v>342430.19811000011</v>
      </c>
      <c r="AP15" s="15">
        <f>AO15*(1+Main!$L$10)</f>
        <v>342430.19811000011</v>
      </c>
      <c r="AQ15" s="15">
        <f>AP15*(1+Main!$L$10)</f>
        <v>342430.19811000011</v>
      </c>
      <c r="AR15" s="15">
        <f>AQ15*(1+Main!$L$10)</f>
        <v>342430.19811000011</v>
      </c>
      <c r="AS15" s="15">
        <f>AR15*(1+Main!$L$10)</f>
        <v>342430.19811000011</v>
      </c>
      <c r="AT15" s="15">
        <f>AS15*(1+Main!$L$10)</f>
        <v>342430.19811000011</v>
      </c>
      <c r="AU15" s="15">
        <f>AT15*(1+Main!$L$10)</f>
        <v>342430.19811000011</v>
      </c>
      <c r="AV15" s="15">
        <f>AU15*(1+Main!$L$10)</f>
        <v>342430.19811000011</v>
      </c>
      <c r="AW15" s="15">
        <f>AV15*(1+Main!$L$10)</f>
        <v>342430.19811000011</v>
      </c>
      <c r="AX15" s="15">
        <f>AW15*(1+Main!$L$10)</f>
        <v>342430.19811000011</v>
      </c>
      <c r="AY15" s="15">
        <f>AX15*(1+Main!$L$10)</f>
        <v>342430.19811000011</v>
      </c>
      <c r="AZ15" s="15">
        <f>AY15*(1+Main!$L$10)</f>
        <v>342430.19811000011</v>
      </c>
      <c r="BA15" s="15">
        <f>AZ15*(1+Main!$L$10)</f>
        <v>342430.19811000011</v>
      </c>
      <c r="BB15" s="15">
        <f>BA15*(1+Main!$L$10)</f>
        <v>342430.19811000011</v>
      </c>
      <c r="BC15" s="15">
        <f>BB15*(1+Main!$L$10)</f>
        <v>342430.19811000011</v>
      </c>
      <c r="BD15" s="15">
        <f>BC15*(1+Main!$L$10)</f>
        <v>342430.19811000011</v>
      </c>
      <c r="BE15" s="15">
        <f>BD15*(1+Main!$L$10)</f>
        <v>342430.19811000011</v>
      </c>
      <c r="BF15" s="15">
        <f>BE15*(1+Main!$L$10)</f>
        <v>342430.19811000011</v>
      </c>
      <c r="BG15" s="15">
        <f>BF15*(1+Main!$L$10)</f>
        <v>342430.19811000011</v>
      </c>
      <c r="BH15" s="15">
        <f>BG15*(1+Main!$L$10)</f>
        <v>342430.19811000011</v>
      </c>
      <c r="BI15" s="15">
        <f>BH15*(1+Main!$L$10)</f>
        <v>342430.19811000011</v>
      </c>
      <c r="BJ15" s="15">
        <f>BI15*(1+Main!$L$10)</f>
        <v>342430.19811000011</v>
      </c>
      <c r="BK15" s="15">
        <f>BJ15*(1+Main!$L$10)</f>
        <v>342430.19811000011</v>
      </c>
      <c r="BL15" s="15">
        <f>BK15*(1+Main!$L$10)</f>
        <v>342430.19811000011</v>
      </c>
      <c r="BM15" s="15">
        <f>BL15*(1+Main!$L$10)</f>
        <v>342430.19811000011</v>
      </c>
      <c r="BN15" s="15">
        <f>BM15*(1+Main!$L$10)</f>
        <v>342430.19811000011</v>
      </c>
      <c r="BO15" s="15">
        <f>BN15*(1+Main!$L$10)</f>
        <v>342430.19811000011</v>
      </c>
      <c r="BP15" s="15">
        <f>BO15*(1+Main!$L$10)</f>
        <v>342430.19811000011</v>
      </c>
      <c r="BQ15" s="15">
        <f>BP15*(1+Main!$L$10)</f>
        <v>342430.19811000011</v>
      </c>
      <c r="BR15" s="15">
        <f>BQ15*(1+Main!$L$10)</f>
        <v>342430.19811000011</v>
      </c>
      <c r="BS15" s="15">
        <f>BR15*(1+Main!$L$10)</f>
        <v>342430.19811000011</v>
      </c>
      <c r="BT15" s="15">
        <f>BS15*(1+Main!$L$10)</f>
        <v>342430.19811000011</v>
      </c>
      <c r="BU15" s="15">
        <f>BT15*(1+Main!$L$10)</f>
        <v>342430.19811000011</v>
      </c>
      <c r="BV15" s="15">
        <f>BU15*(1+Main!$L$10)</f>
        <v>342430.19811000011</v>
      </c>
      <c r="BW15" s="15">
        <f>BV15*(1+Main!$L$10)</f>
        <v>342430.19811000011</v>
      </c>
      <c r="BX15" s="15">
        <f>BW15*(1+Main!$L$10)</f>
        <v>342430.19811000011</v>
      </c>
      <c r="BY15" s="15">
        <f>BX15*(1+Main!$L$10)</f>
        <v>342430.19811000011</v>
      </c>
      <c r="BZ15" s="15">
        <f>BY15*(1+Main!$L$10)</f>
        <v>342430.19811000011</v>
      </c>
      <c r="CA15" s="15">
        <f>BZ15*(1+Main!$L$10)</f>
        <v>342430.19811000011</v>
      </c>
      <c r="CB15" s="15">
        <f>CA15*(1+Main!$L$10)</f>
        <v>342430.19811000011</v>
      </c>
      <c r="CC15" s="15">
        <f>CB15*(1+Main!$L$10)</f>
        <v>342430.19811000011</v>
      </c>
      <c r="CD15" s="15">
        <f>CC15*(1+Main!$L$10)</f>
        <v>342430.19811000011</v>
      </c>
      <c r="CE15" s="15">
        <f>CD15*(1+Main!$L$10)</f>
        <v>342430.19811000011</v>
      </c>
      <c r="CF15" s="15">
        <f>CE15*(1+Main!$L$10)</f>
        <v>342430.19811000011</v>
      </c>
      <c r="CG15" s="15">
        <f>CF15*(1+Main!$L$10)</f>
        <v>342430.19811000011</v>
      </c>
      <c r="CH15" s="15">
        <f>CG15*(1+Main!$L$10)</f>
        <v>342430.19811000011</v>
      </c>
      <c r="CI15" s="15">
        <f>CH15*(1+Main!$L$10)</f>
        <v>342430.19811000011</v>
      </c>
      <c r="CJ15" s="15">
        <f>CI15*(1+Main!$L$10)</f>
        <v>342430.19811000011</v>
      </c>
      <c r="CK15" s="15">
        <f>CJ15*(1+Main!$L$10)</f>
        <v>342430.19811000011</v>
      </c>
      <c r="CL15" s="15">
        <f>CK15*(1+Main!$L$10)</f>
        <v>342430.19811000011</v>
      </c>
      <c r="CM15" s="15">
        <f>CL15*(1+Main!$L$10)</f>
        <v>342430.19811000011</v>
      </c>
      <c r="CN15" s="15">
        <f>CM15*(1+Main!$L$10)</f>
        <v>342430.19811000011</v>
      </c>
      <c r="CO15" s="15">
        <f>CN15*(1+Main!$L$10)</f>
        <v>342430.19811000011</v>
      </c>
      <c r="CP15" s="15">
        <f>CO15*(1+Main!$L$10)</f>
        <v>342430.19811000011</v>
      </c>
      <c r="CQ15" s="15">
        <f>CP15*(1+Main!$L$10)</f>
        <v>342430.19811000011</v>
      </c>
      <c r="CR15" s="15">
        <f>CQ15*(1+Main!$L$10)</f>
        <v>342430.19811000011</v>
      </c>
      <c r="CS15" s="15">
        <f>CR15*(1+Main!$L$10)</f>
        <v>342430.19811000011</v>
      </c>
      <c r="CT15" s="15">
        <f>CS15*(1+Main!$L$10)</f>
        <v>342430.19811000011</v>
      </c>
      <c r="CU15" s="15">
        <f>CT15*(1+Main!$L$10)</f>
        <v>342430.19811000011</v>
      </c>
      <c r="CV15" s="15">
        <f>CU15*(1+Main!$L$10)</f>
        <v>342430.19811000011</v>
      </c>
      <c r="CW15" s="15">
        <f>CV15*(1+Main!$L$10)</f>
        <v>342430.19811000011</v>
      </c>
      <c r="CX15" s="15">
        <f>CW15*(1+Main!$L$10)</f>
        <v>342430.19811000011</v>
      </c>
      <c r="CY15" s="15">
        <f>CX15*(1+Main!$L$10)</f>
        <v>342430.19811000011</v>
      </c>
      <c r="CZ15" s="15">
        <f>CY15*(1+Main!$L$10)</f>
        <v>342430.19811000011</v>
      </c>
      <c r="DA15" s="15">
        <f>CZ15*(1+Main!$L$10)</f>
        <v>342430.19811000011</v>
      </c>
      <c r="DB15" s="15">
        <f>DA15*(1+Main!$L$10)</f>
        <v>342430.19811000011</v>
      </c>
      <c r="DC15" s="15">
        <f>DB15*(1+Main!$L$10)</f>
        <v>342430.19811000011</v>
      </c>
      <c r="DD15" s="15">
        <f>DC15*(1+Main!$L$10)</f>
        <v>342430.19811000011</v>
      </c>
      <c r="DE15" s="15">
        <f>DD15*(1+Main!$L$10)</f>
        <v>342430.19811000011</v>
      </c>
      <c r="DF15" s="15">
        <f>DE15*(1+Main!$L$10)</f>
        <v>342430.19811000011</v>
      </c>
      <c r="DG15" s="15">
        <f>DF15*(1+Main!$L$10)</f>
        <v>342430.19811000011</v>
      </c>
      <c r="DH15" s="15">
        <f>DG15*(1+Main!$L$10)</f>
        <v>342430.19811000011</v>
      </c>
      <c r="DI15" s="15">
        <f>DH15*(1+Main!$L$10)</f>
        <v>342430.19811000011</v>
      </c>
      <c r="DJ15" s="15">
        <f>DI15*(1+Main!$L$10)</f>
        <v>342430.19811000011</v>
      </c>
      <c r="DK15" s="15">
        <f>DJ15*(1+Main!$L$10)</f>
        <v>342430.19811000011</v>
      </c>
      <c r="DL15" s="15">
        <f>DK15*(1+Main!$L$10)</f>
        <v>342430.19811000011</v>
      </c>
      <c r="DM15" s="15">
        <f>DL15*(1+Main!$L$10)</f>
        <v>342430.19811000011</v>
      </c>
      <c r="DN15" s="15">
        <f>DM15*(1+Main!$L$10)</f>
        <v>342430.19811000011</v>
      </c>
      <c r="DO15" s="15">
        <f>DN15*(1+Main!$L$10)</f>
        <v>342430.19811000011</v>
      </c>
      <c r="DP15" s="15">
        <f>DO15*(1+Main!$L$10)</f>
        <v>342430.19811000011</v>
      </c>
      <c r="DQ15" s="15">
        <f>DP15*(1+Main!$L$10)</f>
        <v>342430.19811000011</v>
      </c>
      <c r="DR15" s="15">
        <f>DQ15*(1+Main!$L$10)</f>
        <v>342430.19811000011</v>
      </c>
      <c r="DS15" s="15">
        <f>DR15*(1+Main!$L$10)</f>
        <v>342430.19811000011</v>
      </c>
      <c r="DT15" s="15">
        <f>DS15*(1+Main!$L$10)</f>
        <v>342430.19811000011</v>
      </c>
      <c r="DU15" s="15">
        <f>DT15*(1+Main!$L$10)</f>
        <v>342430.19811000011</v>
      </c>
      <c r="DV15" s="15">
        <f>DU15*(1+Main!$L$10)</f>
        <v>342430.19811000011</v>
      </c>
      <c r="DW15" s="15">
        <f>DV15*(1+Main!$L$10)</f>
        <v>342430.19811000011</v>
      </c>
      <c r="DX15" s="15">
        <f>DW15*(1+Main!$L$10)</f>
        <v>342430.19811000011</v>
      </c>
      <c r="DY15" s="15">
        <f>DX15*(1+Main!$L$10)</f>
        <v>342430.19811000011</v>
      </c>
      <c r="DZ15" s="15">
        <f>DY15*(1+Main!$L$10)</f>
        <v>342430.19811000011</v>
      </c>
      <c r="EA15" s="15">
        <f>DZ15*(1+Main!$L$10)</f>
        <v>342430.19811000011</v>
      </c>
      <c r="EB15" s="15">
        <f>EA15*(1+Main!$L$10)</f>
        <v>342430.19811000011</v>
      </c>
      <c r="EC15" s="15">
        <f>EB15*(1+Main!$L$10)</f>
        <v>342430.19811000011</v>
      </c>
      <c r="ED15" s="15">
        <f>EC15*(1+Main!$L$10)</f>
        <v>342430.19811000011</v>
      </c>
      <c r="EE15" s="15">
        <f>ED15*(1+Main!$L$10)</f>
        <v>342430.19811000011</v>
      </c>
      <c r="EF15" s="15">
        <f>EE15*(1+Main!$L$10)</f>
        <v>342430.19811000011</v>
      </c>
      <c r="EG15" s="15">
        <f>EF15*(1+Main!$L$10)</f>
        <v>342430.19811000011</v>
      </c>
      <c r="EH15" s="15">
        <f>EG15*(1+Main!$L$10)</f>
        <v>342430.19811000011</v>
      </c>
      <c r="EI15" s="15">
        <f>EH15*(1+Main!$L$10)</f>
        <v>342430.19811000011</v>
      </c>
      <c r="EJ15" s="15">
        <f>EI15*(1+Main!$L$10)</f>
        <v>342430.19811000011</v>
      </c>
      <c r="EK15" s="15">
        <f>EJ15*(1+Main!$L$10)</f>
        <v>342430.19811000011</v>
      </c>
      <c r="EL15" s="15">
        <f>EK15*(1+Main!$L$10)</f>
        <v>342430.19811000011</v>
      </c>
      <c r="EM15" s="15">
        <f>EL15*(1+Main!$L$10)</f>
        <v>342430.19811000011</v>
      </c>
    </row>
    <row r="16" spans="1:143">
      <c r="B16" t="s">
        <v>22</v>
      </c>
      <c r="C16" s="8">
        <f t="shared" ref="C16:K16" si="20">C15/C17</f>
        <v>0.82048192771084338</v>
      </c>
      <c r="D16" s="8">
        <f t="shared" si="20"/>
        <v>0.24757941906057454</v>
      </c>
      <c r="E16" s="8">
        <f t="shared" si="20"/>
        <v>0.37060946271050521</v>
      </c>
      <c r="F16" s="8">
        <f t="shared" si="20"/>
        <v>4.9262229350441062</v>
      </c>
      <c r="G16" s="8">
        <f t="shared" si="20"/>
        <v>5.978706307754118</v>
      </c>
      <c r="H16" s="8">
        <f t="shared" si="20"/>
        <v>0.66802157115260785</v>
      </c>
      <c r="I16" s="8">
        <f t="shared" si="20"/>
        <v>0.77940582869136998</v>
      </c>
      <c r="J16" s="8">
        <f t="shared" si="20"/>
        <v>0.86812517442038373</v>
      </c>
      <c r="K16" s="8" t="e">
        <f t="shared" si="20"/>
        <v>#DIV/0!</v>
      </c>
      <c r="L16" s="8">
        <f>L15/L17</f>
        <v>3.8469428007889546</v>
      </c>
      <c r="M16" s="8">
        <f t="shared" ref="M16:P16" si="21">M15/M17</f>
        <v>1.7423214998005585</v>
      </c>
      <c r="N16" s="8">
        <f t="shared" si="21"/>
        <v>11.932638331996792</v>
      </c>
      <c r="O16" s="8">
        <f t="shared" si="21"/>
        <v>2.8987944294743615</v>
      </c>
      <c r="P16" s="8">
        <f t="shared" si="21"/>
        <v>4.844796818588593</v>
      </c>
    </row>
    <row r="17" spans="2:23">
      <c r="B17" t="s">
        <v>2</v>
      </c>
      <c r="C17" s="9">
        <v>2490</v>
      </c>
      <c r="D17" s="9">
        <v>24994</v>
      </c>
      <c r="E17" s="9">
        <v>24940</v>
      </c>
      <c r="F17" s="9">
        <v>2494</v>
      </c>
      <c r="G17" s="9">
        <v>2489</v>
      </c>
      <c r="H17" s="9">
        <v>24848</v>
      </c>
      <c r="I17" s="9">
        <v>24774</v>
      </c>
      <c r="J17" s="9">
        <f>I17</f>
        <v>24774</v>
      </c>
      <c r="K17" s="9"/>
      <c r="L17" s="9">
        <v>2535</v>
      </c>
      <c r="M17" s="9">
        <v>2507</v>
      </c>
      <c r="N17" s="9">
        <v>2494</v>
      </c>
      <c r="O17" s="9">
        <v>24940</v>
      </c>
      <c r="P17" s="9">
        <f>O17</f>
        <v>24940</v>
      </c>
    </row>
    <row r="19" spans="2:23">
      <c r="B19" t="s">
        <v>24</v>
      </c>
      <c r="G19" s="11">
        <f t="shared" ref="G19:H19" si="22">G5/C5-1</f>
        <v>2.6212458286985538</v>
      </c>
      <c r="H19" s="11">
        <f t="shared" si="22"/>
        <v>1.2240319834160065</v>
      </c>
      <c r="I19" s="11">
        <f>I5/E5-1</f>
        <v>0.93609271523178816</v>
      </c>
      <c r="J19" s="11">
        <f>J5/F5-1</f>
        <v>0.72058091661765378</v>
      </c>
      <c r="M19" s="11">
        <f>M5/L5-1</f>
        <v>2.2293230289069932E-3</v>
      </c>
      <c r="N19" s="11">
        <f t="shared" ref="N19:P19" si="23">N5/M5-1</f>
        <v>1.2585452658115224</v>
      </c>
      <c r="O19" s="11">
        <f t="shared" si="23"/>
        <v>1.1206789008896623</v>
      </c>
      <c r="P19" s="11">
        <f t="shared" si="23"/>
        <v>0.50933465432366321</v>
      </c>
      <c r="Q19" s="12">
        <v>0.4</v>
      </c>
      <c r="R19" s="13">
        <v>0.3</v>
      </c>
      <c r="S19" s="13">
        <v>0.2</v>
      </c>
      <c r="T19" s="13">
        <v>0.1</v>
      </c>
      <c r="U19" s="13">
        <v>0.05</v>
      </c>
      <c r="V19" s="13">
        <v>0.05</v>
      </c>
      <c r="W19" s="13">
        <v>0.02</v>
      </c>
    </row>
    <row r="20" spans="2:23">
      <c r="B20" t="s">
        <v>25</v>
      </c>
      <c r="C20" s="11">
        <f t="shared" ref="C20:I20" si="24">C7/C5</f>
        <v>0.64627363737486099</v>
      </c>
      <c r="D20" s="11">
        <f t="shared" si="24"/>
        <v>0.7005256533649219</v>
      </c>
      <c r="E20" s="11">
        <f t="shared" si="24"/>
        <v>0.73951434878587197</v>
      </c>
      <c r="F20" s="11">
        <f t="shared" si="24"/>
        <v>0.75967063294575399</v>
      </c>
      <c r="G20" s="11">
        <f t="shared" si="24"/>
        <v>0.78352019659038552</v>
      </c>
      <c r="H20" s="11">
        <f t="shared" si="24"/>
        <v>0.75146471371504664</v>
      </c>
      <c r="I20" s="11">
        <f t="shared" si="24"/>
        <v>0.74556752750698363</v>
      </c>
      <c r="J20" s="11">
        <f>J7/J5</f>
        <v>0.74556752750698352</v>
      </c>
      <c r="L20" s="11">
        <f>L7/L5</f>
        <v>0.64929033216913135</v>
      </c>
      <c r="M20" s="11">
        <f t="shared" ref="M20:O20" si="25">M7/M5</f>
        <v>0.56928894490991322</v>
      </c>
      <c r="N20" s="11">
        <f t="shared" si="25"/>
        <v>0.72717573290436954</v>
      </c>
      <c r="O20" s="11">
        <f t="shared" si="25"/>
        <v>0.7545894073430337</v>
      </c>
      <c r="P20" s="11">
        <f t="shared" ref="P20" si="26">P7/P5</f>
        <v>0.79675598122493962</v>
      </c>
    </row>
    <row r="21" spans="2:23">
      <c r="B21" t="s">
        <v>26</v>
      </c>
      <c r="C21" s="11">
        <f t="shared" ref="C21:I21" si="27">C15/C5</f>
        <v>0.28406562847608452</v>
      </c>
      <c r="D21" s="11">
        <f t="shared" si="27"/>
        <v>0.45813282001924927</v>
      </c>
      <c r="E21" s="11">
        <f t="shared" si="27"/>
        <v>0.51009933774834437</v>
      </c>
      <c r="F21" s="11">
        <f t="shared" si="27"/>
        <v>0.55585214676740713</v>
      </c>
      <c r="G21" s="11">
        <f t="shared" si="27"/>
        <v>0.57137920442328372</v>
      </c>
      <c r="H21" s="11">
        <f t="shared" si="27"/>
        <v>0.55256324900133158</v>
      </c>
      <c r="I21" s="11">
        <f t="shared" si="27"/>
        <v>0.55039621458297705</v>
      </c>
      <c r="J21" s="11">
        <f>J15/J5</f>
        <v>0.56552545545860067</v>
      </c>
      <c r="L21" s="11">
        <f>L15/L5</f>
        <v>0.36233930296499961</v>
      </c>
      <c r="M21" s="11">
        <f t="shared" ref="M21:O21" si="28">M15/M5</f>
        <v>0.16193371394676356</v>
      </c>
      <c r="N21" s="11">
        <f t="shared" si="28"/>
        <v>0.4884934834706674</v>
      </c>
      <c r="O21" s="11">
        <f t="shared" si="28"/>
        <v>0.55958337000441638</v>
      </c>
      <c r="P21" s="11">
        <f t="shared" ref="P21" si="29">P15/P5</f>
        <v>0.61963709054153593</v>
      </c>
      <c r="Q21" s="12">
        <f>P21</f>
        <v>0.61963709054153593</v>
      </c>
      <c r="R21" s="13">
        <v>0.65</v>
      </c>
      <c r="S21" s="13">
        <f>R21</f>
        <v>0.65</v>
      </c>
      <c r="T21" s="13">
        <f t="shared" ref="T21:W21" si="30">S21</f>
        <v>0.65</v>
      </c>
      <c r="U21" s="13">
        <f t="shared" si="30"/>
        <v>0.65</v>
      </c>
      <c r="V21" s="13">
        <f t="shared" si="30"/>
        <v>0.65</v>
      </c>
      <c r="W21" s="13">
        <f t="shared" si="30"/>
        <v>0.65</v>
      </c>
    </row>
    <row r="22" spans="2:23">
      <c r="B22" t="s">
        <v>27</v>
      </c>
      <c r="C22" s="11">
        <f t="shared" ref="C22:I22" si="31">C14/C13</f>
        <v>7.5147125396106837E-2</v>
      </c>
      <c r="D22" s="11">
        <f t="shared" si="31"/>
        <v>0.11359404096834265</v>
      </c>
      <c r="E22" s="11">
        <f t="shared" si="31"/>
        <v>0.12155483748336818</v>
      </c>
      <c r="F22" s="11">
        <f t="shared" si="31"/>
        <v>0.12902311073302142</v>
      </c>
      <c r="G22" s="11">
        <f t="shared" si="31"/>
        <v>0.13878117946640431</v>
      </c>
      <c r="H22" s="11">
        <f t="shared" si="31"/>
        <v>0.1360986780472572</v>
      </c>
      <c r="I22" s="11">
        <f t="shared" si="31"/>
        <v>0.13474637031726117</v>
      </c>
      <c r="J22" s="11">
        <f>J14/J13</f>
        <v>0.12266493472425163</v>
      </c>
      <c r="L22" s="11">
        <f>L14/L13</f>
        <v>1.9012171813700834E-2</v>
      </c>
      <c r="M22" s="11">
        <f t="shared" ref="M22:O22" si="32">M14/M13</f>
        <v>-4.4726142071274816E-2</v>
      </c>
      <c r="N22" s="11">
        <f t="shared" si="32"/>
        <v>0.1199952687917677</v>
      </c>
      <c r="O22" s="11">
        <f t="shared" si="32"/>
        <v>0.13234051651292492</v>
      </c>
      <c r="P22" s="11">
        <f t="shared" ref="P22" si="33">P14/P13</f>
        <v>0.13234051651292492</v>
      </c>
    </row>
  </sheetData>
  <phoneticPr fontId="4" type="noConversion"/>
  <hyperlinks>
    <hyperlink ref="A1" location="Main!A1" display="Main" xr:uid="{10B04CBF-0739-3C4D-A01E-5866B552E48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Ayan Pussurmanov</dc:creator>
  <cp:lastModifiedBy>Ayan Pussurmanov</cp:lastModifiedBy>
  <dcterms:created xsi:type="dcterms:W3CDTF">2025-01-05T15:48:32Z</dcterms:created>
  <dcterms:modified xsi:type="dcterms:W3CDTF">2025-01-05T16:42:05Z</dcterms:modified>
</cp:coreProperties>
</file>