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anpussurmanov/Finance/financial_models/"/>
    </mc:Choice>
  </mc:AlternateContent>
  <xr:revisionPtr revIDLastSave="0" documentId="13_ncr:1_{696D8260-61A0-2E42-BFEC-708D0E633129}" xr6:coauthVersionLast="47" xr6:coauthVersionMax="47" xr10:uidLastSave="{00000000-0000-0000-0000-000000000000}"/>
  <bookViews>
    <workbookView xWindow="640" yWindow="740" windowWidth="13660" windowHeight="17260" xr2:uid="{DBF0F2D7-224F-4F43-AC71-F2C48BF6EDF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2" l="1"/>
  <c r="J15" i="2" s="1"/>
  <c r="J11" i="2"/>
  <c r="J10" i="2"/>
  <c r="J12" i="2"/>
  <c r="J13" i="2"/>
  <c r="P5" i="2"/>
  <c r="P14" i="2"/>
  <c r="P13" i="2"/>
  <c r="P11" i="2"/>
  <c r="P7" i="2"/>
  <c r="Q7" i="2" s="1"/>
  <c r="Q9" i="2" s="1"/>
  <c r="P6" i="2"/>
  <c r="P26" i="2" s="1"/>
  <c r="M25" i="2"/>
  <c r="N25" i="2"/>
  <c r="M26" i="2"/>
  <c r="N26" i="2"/>
  <c r="O23" i="2"/>
  <c r="P23" i="2" s="1"/>
  <c r="O20" i="2"/>
  <c r="O14" i="2"/>
  <c r="O13" i="2"/>
  <c r="O10" i="2"/>
  <c r="P10" i="2" s="1"/>
  <c r="O6" i="2"/>
  <c r="O26" i="2" s="1"/>
  <c r="O5" i="2"/>
  <c r="O7" i="2" s="1"/>
  <c r="G25" i="2"/>
  <c r="H25" i="2"/>
  <c r="I25" i="2"/>
  <c r="J25" i="2"/>
  <c r="G26" i="2"/>
  <c r="H26" i="2"/>
  <c r="I26" i="2"/>
  <c r="J26" i="2"/>
  <c r="J7" i="2"/>
  <c r="F20" i="2"/>
  <c r="F19" i="2"/>
  <c r="F17" i="2"/>
  <c r="F14" i="2"/>
  <c r="F13" i="2"/>
  <c r="F12" i="2"/>
  <c r="F11" i="2"/>
  <c r="F10" i="2"/>
  <c r="F8" i="2"/>
  <c r="F6" i="2"/>
  <c r="F5" i="2"/>
  <c r="F23" i="2"/>
  <c r="L15" i="2"/>
  <c r="M15" i="2"/>
  <c r="N15" i="2"/>
  <c r="L7" i="2"/>
  <c r="M7" i="2"/>
  <c r="M16" i="2" s="1"/>
  <c r="M18" i="2" s="1"/>
  <c r="M21" i="2" s="1"/>
  <c r="N7" i="2"/>
  <c r="C15" i="2"/>
  <c r="G15" i="2"/>
  <c r="H15" i="2"/>
  <c r="I15" i="2"/>
  <c r="D15" i="2"/>
  <c r="E15" i="2"/>
  <c r="G7" i="2"/>
  <c r="H7" i="2"/>
  <c r="H9" i="2" s="1"/>
  <c r="H28" i="2" s="1"/>
  <c r="I7" i="2"/>
  <c r="I9" i="2" s="1"/>
  <c r="I28" i="2" s="1"/>
  <c r="C7" i="2"/>
  <c r="C9" i="2" s="1"/>
  <c r="C28" i="2" s="1"/>
  <c r="D7" i="2"/>
  <c r="D9" i="2" s="1"/>
  <c r="D28" i="2" s="1"/>
  <c r="E7" i="2"/>
  <c r="L5" i="1"/>
  <c r="W29" i="2"/>
  <c r="Q15" i="2"/>
  <c r="O19" i="2"/>
  <c r="O17" i="2"/>
  <c r="O11" i="2"/>
  <c r="L4" i="1"/>
  <c r="J9" i="2" l="1"/>
  <c r="J28" i="2" s="1"/>
  <c r="P25" i="2"/>
  <c r="O25" i="2"/>
  <c r="N27" i="2"/>
  <c r="C16" i="2"/>
  <c r="E16" i="2"/>
  <c r="F7" i="2"/>
  <c r="N16" i="2"/>
  <c r="N18" i="2" s="1"/>
  <c r="N21" i="2" s="1"/>
  <c r="I16" i="2"/>
  <c r="I18" i="2" s="1"/>
  <c r="I21" i="2" s="1"/>
  <c r="M9" i="2"/>
  <c r="M28" i="2"/>
  <c r="N9" i="2"/>
  <c r="N28" i="2" s="1"/>
  <c r="L9" i="2"/>
  <c r="L28" i="2" s="1"/>
  <c r="L16" i="2"/>
  <c r="L18" i="2" s="1"/>
  <c r="L21" i="2" s="1"/>
  <c r="J16" i="2"/>
  <c r="J18" i="2" s="1"/>
  <c r="J30" i="2" s="1"/>
  <c r="J27" i="2"/>
  <c r="M27" i="2"/>
  <c r="G16" i="2"/>
  <c r="G18" i="2" s="1"/>
  <c r="G9" i="2"/>
  <c r="G28" i="2" s="1"/>
  <c r="H16" i="2"/>
  <c r="H18" i="2" s="1"/>
  <c r="H21" i="2" s="1"/>
  <c r="F15" i="2"/>
  <c r="D16" i="2"/>
  <c r="I27" i="2"/>
  <c r="G27" i="2"/>
  <c r="O27" i="2"/>
  <c r="O8" i="2"/>
  <c r="H27" i="2"/>
  <c r="L30" i="2"/>
  <c r="E9" i="2"/>
  <c r="E28" i="2" s="1"/>
  <c r="C18" i="2"/>
  <c r="C21" i="2" s="1"/>
  <c r="O12" i="2"/>
  <c r="P12" i="2" s="1"/>
  <c r="Q16" i="2"/>
  <c r="R7" i="2"/>
  <c r="S7" i="2" s="1"/>
  <c r="S21" i="2" s="1"/>
  <c r="L7" i="1"/>
  <c r="P8" i="2" l="1"/>
  <c r="P15" i="2" s="1"/>
  <c r="P16" i="2" s="1"/>
  <c r="P18" i="2" s="1"/>
  <c r="P19" i="2" s="1"/>
  <c r="O15" i="2"/>
  <c r="O16" i="2" s="1"/>
  <c r="F16" i="2"/>
  <c r="D18" i="2"/>
  <c r="D21" i="2" s="1"/>
  <c r="J21" i="2"/>
  <c r="J22" i="2" s="1"/>
  <c r="G21" i="2"/>
  <c r="G22" i="2" s="1"/>
  <c r="P27" i="2"/>
  <c r="G30" i="2"/>
  <c r="N30" i="2"/>
  <c r="L22" i="2"/>
  <c r="E18" i="2"/>
  <c r="E21" i="2" s="1"/>
  <c r="M30" i="2"/>
  <c r="F9" i="2"/>
  <c r="I30" i="2"/>
  <c r="C30" i="2"/>
  <c r="H30" i="2"/>
  <c r="D30" i="2"/>
  <c r="O9" i="2"/>
  <c r="R9" i="2"/>
  <c r="T7" i="2"/>
  <c r="U7" i="2" s="1"/>
  <c r="S9" i="2"/>
  <c r="R21" i="2"/>
  <c r="N29" i="2"/>
  <c r="N22" i="2"/>
  <c r="M29" i="2"/>
  <c r="M22" i="2"/>
  <c r="J29" i="2" l="1"/>
  <c r="P9" i="2"/>
  <c r="P28" i="2" s="1"/>
  <c r="L29" i="2"/>
  <c r="G29" i="2"/>
  <c r="E30" i="2"/>
  <c r="F28" i="2"/>
  <c r="F18" i="2"/>
  <c r="F21" i="2" s="1"/>
  <c r="C22" i="2"/>
  <c r="C29" i="2"/>
  <c r="H22" i="2"/>
  <c r="H29" i="2"/>
  <c r="D22" i="2"/>
  <c r="D29" i="2"/>
  <c r="O18" i="2"/>
  <c r="O28" i="2"/>
  <c r="E22" i="2"/>
  <c r="E29" i="2"/>
  <c r="I22" i="2"/>
  <c r="I29" i="2"/>
  <c r="T21" i="2"/>
  <c r="V7" i="2"/>
  <c r="U21" i="2"/>
  <c r="F30" i="2" l="1"/>
  <c r="O21" i="2"/>
  <c r="O30" i="2"/>
  <c r="W7" i="2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X21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DL21" i="2" s="1"/>
  <c r="DM21" i="2" s="1"/>
  <c r="DN21" i="2" s="1"/>
  <c r="DO21" i="2" s="1"/>
  <c r="DP21" i="2" s="1"/>
  <c r="DQ21" i="2" s="1"/>
  <c r="DR21" i="2" s="1"/>
  <c r="DS21" i="2" s="1"/>
  <c r="DT21" i="2" s="1"/>
  <c r="DU21" i="2" s="1"/>
  <c r="DV21" i="2" s="1"/>
  <c r="DW21" i="2" s="1"/>
  <c r="DX21" i="2" s="1"/>
  <c r="DY21" i="2" s="1"/>
  <c r="DZ21" i="2" s="1"/>
  <c r="EA21" i="2" s="1"/>
  <c r="EB21" i="2" s="1"/>
  <c r="EC21" i="2" s="1"/>
  <c r="ED21" i="2" s="1"/>
  <c r="EE21" i="2" s="1"/>
  <c r="EF21" i="2" s="1"/>
  <c r="EG21" i="2" s="1"/>
  <c r="EH21" i="2" s="1"/>
  <c r="EI21" i="2" s="1"/>
  <c r="EJ21" i="2" s="1"/>
  <c r="EK21" i="2" s="1"/>
  <c r="EL21" i="2" s="1"/>
  <c r="EM21" i="2" s="1"/>
  <c r="V21" i="2"/>
  <c r="F29" i="2" l="1"/>
  <c r="F22" i="2"/>
  <c r="P30" i="2"/>
  <c r="P21" i="2"/>
  <c r="O22" i="2"/>
  <c r="O29" i="2"/>
  <c r="P22" i="2" l="1"/>
  <c r="P29" i="2"/>
  <c r="Q29" i="2" s="1"/>
  <c r="Q21" i="2" s="1"/>
  <c r="L12" i="1" s="1"/>
  <c r="L13" i="1" s="1"/>
  <c r="L15" i="1" s="1"/>
</calcChain>
</file>

<file path=xl/sharedStrings.xml><?xml version="1.0" encoding="utf-8"?>
<sst xmlns="http://schemas.openxmlformats.org/spreadsheetml/2006/main" count="47" uniqueCount="43">
  <si>
    <t>Main</t>
  </si>
  <si>
    <t>Price</t>
  </si>
  <si>
    <t>Shares</t>
  </si>
  <si>
    <t>Q324</t>
  </si>
  <si>
    <t>MC</t>
  </si>
  <si>
    <t>Cash</t>
  </si>
  <si>
    <t>Debt</t>
  </si>
  <si>
    <t>EV</t>
  </si>
  <si>
    <t>growth</t>
  </si>
  <si>
    <t>discount</t>
  </si>
  <si>
    <t>NPV</t>
  </si>
  <si>
    <t>price target</t>
  </si>
  <si>
    <t>Revenue</t>
  </si>
  <si>
    <t>COGS</t>
  </si>
  <si>
    <t>Gross profit</t>
  </si>
  <si>
    <t>OPINC</t>
  </si>
  <si>
    <t>OPEX</t>
  </si>
  <si>
    <t>Pretax</t>
  </si>
  <si>
    <t>Tax</t>
  </si>
  <si>
    <t>Net income</t>
  </si>
  <si>
    <t>EPS</t>
  </si>
  <si>
    <t>other</t>
  </si>
  <si>
    <t>Revenue Growth%</t>
  </si>
  <si>
    <t>Gross margin%</t>
  </si>
  <si>
    <t>Profit margin%</t>
  </si>
  <si>
    <t>Tax%</t>
  </si>
  <si>
    <t>Q424</t>
  </si>
  <si>
    <t>Q323</t>
  </si>
  <si>
    <t>Q423</t>
  </si>
  <si>
    <t>Q124</t>
  </si>
  <si>
    <t>Q224</t>
  </si>
  <si>
    <t>Q123</t>
  </si>
  <si>
    <t>Q223</t>
  </si>
  <si>
    <t>Product revenue</t>
  </si>
  <si>
    <t>Service revenue</t>
  </si>
  <si>
    <t>fulfillment</t>
  </si>
  <si>
    <t>tech&amp;infra</t>
  </si>
  <si>
    <t>S&amp;M</t>
  </si>
  <si>
    <t>G&amp;A</t>
  </si>
  <si>
    <t>other opex</t>
  </si>
  <si>
    <t>equity-method invest</t>
  </si>
  <si>
    <t>Product growth%</t>
  </si>
  <si>
    <t>Service growth%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</si>
</sst>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>
    <font>
      <sz val="12"/>
      <color theme="1"/>
      <name val="ArialMT"/>
      <family val="2"/>
    </font>
    <font>
      <sz val="12"/>
      <color theme="1"/>
      <name val="ArialMT"/>
      <family val="2"/>
    </font>
    <font>
      <u/>
      <sz val="12"/>
      <color theme="10"/>
      <name val="ArialMT"/>
      <family val="2"/>
    </font>
    <font>
      <sz val="12"/>
      <color theme="1"/>
      <name val="Arial"/>
      <family val="2"/>
    </font>
    <font>
      <sz val="8"/>
      <name val="ArialMT"/>
      <family val="2"/>
    </font>
    <font>
      <b/>
      <sz val="12"/>
      <color theme="1"/>
      <name val="ArialMT"/>
    </font>
    <font>
      <i/>
      <sz val="12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3"/>
    <xf numFmtId="0" fontId="3" fillId="0" borderId="0" xfId="0" applyFont="1"/>
    <xf numFmtId="4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9" fontId="3" fillId="0" borderId="0" xfId="0" applyNumberFormat="1" applyFont="1"/>
    <xf numFmtId="4" fontId="3" fillId="0" borderId="0" xfId="1" applyNumberFormat="1" applyFont="1"/>
    <xf numFmtId="4" fontId="0" fillId="0" borderId="0" xfId="0" applyNumberFormat="1"/>
    <xf numFmtId="3" fontId="0" fillId="0" borderId="0" xfId="0" applyNumberFormat="1"/>
    <xf numFmtId="9" fontId="0" fillId="0" borderId="0" xfId="2" applyFont="1"/>
    <xf numFmtId="10" fontId="0" fillId="0" borderId="0" xfId="2" applyNumberFormat="1" applyFont="1"/>
    <xf numFmtId="10" fontId="0" fillId="0" borderId="0" xfId="0" applyNumberFormat="1"/>
    <xf numFmtId="9" fontId="0" fillId="0" borderId="0" xfId="0" applyNumberFormat="1"/>
    <xf numFmtId="0" fontId="5" fillId="0" borderId="0" xfId="0" applyFont="1"/>
    <xf numFmtId="3" fontId="5" fillId="0" borderId="0" xfId="0" applyNumberFormat="1" applyFont="1"/>
    <xf numFmtId="0" fontId="6" fillId="0" borderId="0" xfId="0" applyFont="1"/>
    <xf numFmtId="3" fontId="6" fillId="0" borderId="0" xfId="0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32251-463A-6244-AA60-5FF02613DB68}">
  <dimension ref="K2:M15"/>
  <sheetViews>
    <sheetView tabSelected="1" topLeftCell="F1" workbookViewId="0">
      <selection activeCell="M10" sqref="M10"/>
    </sheetView>
  </sheetViews>
  <sheetFormatPr baseColWidth="10" defaultRowHeight="16"/>
  <cols>
    <col min="12" max="12" width="11.28515625" bestFit="1" customWidth="1"/>
  </cols>
  <sheetData>
    <row r="2" spans="11:13">
      <c r="K2" s="2" t="s">
        <v>1</v>
      </c>
      <c r="L2" s="3">
        <v>224</v>
      </c>
    </row>
    <row r="3" spans="11:13">
      <c r="K3" s="2" t="s">
        <v>2</v>
      </c>
      <c r="L3" s="4">
        <v>10515</v>
      </c>
      <c r="M3" t="s">
        <v>3</v>
      </c>
    </row>
    <row r="4" spans="11:13">
      <c r="K4" s="2" t="s">
        <v>4</v>
      </c>
      <c r="L4" s="4">
        <f>L2*L3</f>
        <v>2355360</v>
      </c>
    </row>
    <row r="5" spans="11:13">
      <c r="K5" s="2" t="s">
        <v>5</v>
      </c>
      <c r="L5" s="4">
        <f>37787+13393+33318</f>
        <v>84498</v>
      </c>
      <c r="M5" t="s">
        <v>3</v>
      </c>
    </row>
    <row r="6" spans="11:13">
      <c r="K6" s="2" t="s">
        <v>6</v>
      </c>
      <c r="L6" s="4">
        <v>58314</v>
      </c>
      <c r="M6" t="s">
        <v>3</v>
      </c>
    </row>
    <row r="7" spans="11:13">
      <c r="K7" s="2" t="s">
        <v>7</v>
      </c>
      <c r="L7" s="4">
        <f>L4-L5+L6</f>
        <v>2329176</v>
      </c>
    </row>
    <row r="8" spans="11:13">
      <c r="K8" s="2"/>
      <c r="L8" s="2"/>
    </row>
    <row r="9" spans="11:13">
      <c r="K9" s="2"/>
      <c r="L9" s="2"/>
    </row>
    <row r="10" spans="11:13">
      <c r="K10" s="2" t="s">
        <v>8</v>
      </c>
      <c r="L10" s="5">
        <v>-0.01</v>
      </c>
    </row>
    <row r="11" spans="11:13">
      <c r="K11" s="2" t="s">
        <v>9</v>
      </c>
      <c r="L11" s="6">
        <v>7.0000000000000007E-2</v>
      </c>
    </row>
    <row r="12" spans="11:13">
      <c r="K12" s="2" t="s">
        <v>10</v>
      </c>
      <c r="L12" s="3">
        <f>NPV(L11,Model!P21:EM21)+L5-L6</f>
        <v>1996348.5567834903</v>
      </c>
    </row>
    <row r="13" spans="11:13">
      <c r="K13" s="2" t="s">
        <v>11</v>
      </c>
      <c r="L13" s="7">
        <f>L12/L3</f>
        <v>189.85720939453071</v>
      </c>
    </row>
    <row r="15" spans="11:13">
      <c r="L15" s="10">
        <f>L13/L2-1</f>
        <v>-0.15242317234584501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2E4A2-9F6A-FC45-8126-BDDA495ABCCF}">
  <dimension ref="A1:EM30"/>
  <sheetViews>
    <sheetView workbookViewId="0">
      <pane xSplit="2" ySplit="4" topLeftCell="F5" activePane="bottomRight" state="frozen"/>
      <selection pane="topRight" activeCell="C1" sqref="C1"/>
      <selection pane="bottomLeft" activeCell="A5" sqref="A5"/>
      <selection pane="bottomRight" activeCell="K20" sqref="K20"/>
    </sheetView>
  </sheetViews>
  <sheetFormatPr baseColWidth="10" defaultRowHeight="16"/>
  <cols>
    <col min="2" max="2" width="15.7109375" bestFit="1" customWidth="1"/>
    <col min="3" max="3" width="11.5703125" customWidth="1"/>
  </cols>
  <sheetData>
    <row r="1" spans="1:23">
      <c r="A1" s="1" t="s">
        <v>0</v>
      </c>
    </row>
    <row r="4" spans="1:23">
      <c r="C4" t="s">
        <v>31</v>
      </c>
      <c r="D4" t="s">
        <v>32</v>
      </c>
      <c r="E4" t="s">
        <v>27</v>
      </c>
      <c r="F4" t="s">
        <v>28</v>
      </c>
      <c r="G4" t="s">
        <v>29</v>
      </c>
      <c r="H4" t="s">
        <v>30</v>
      </c>
      <c r="I4" t="s">
        <v>3</v>
      </c>
      <c r="J4" t="s">
        <v>26</v>
      </c>
      <c r="L4">
        <v>2021</v>
      </c>
      <c r="M4">
        <v>2022</v>
      </c>
      <c r="N4">
        <v>2023</v>
      </c>
      <c r="O4">
        <v>2024</v>
      </c>
      <c r="P4">
        <v>2025</v>
      </c>
      <c r="Q4">
        <v>2026</v>
      </c>
      <c r="R4">
        <v>2027</v>
      </c>
      <c r="S4">
        <v>2028</v>
      </c>
      <c r="T4">
        <v>2029</v>
      </c>
      <c r="U4">
        <v>2030</v>
      </c>
      <c r="V4">
        <v>2031</v>
      </c>
      <c r="W4">
        <v>2032</v>
      </c>
    </row>
    <row r="5" spans="1:23">
      <c r="B5" t="s">
        <v>33</v>
      </c>
      <c r="C5">
        <v>56981</v>
      </c>
      <c r="D5">
        <v>59032</v>
      </c>
      <c r="E5">
        <v>63171</v>
      </c>
      <c r="F5" s="9">
        <f>N5-SUM(C5:E5)</f>
        <v>76703</v>
      </c>
      <c r="G5" s="9">
        <v>60915</v>
      </c>
      <c r="H5" s="9">
        <v>61569</v>
      </c>
      <c r="I5" s="9">
        <v>67601</v>
      </c>
      <c r="J5" s="9">
        <v>80000</v>
      </c>
      <c r="L5" s="9">
        <v>241787</v>
      </c>
      <c r="M5" s="9">
        <v>242901</v>
      </c>
      <c r="N5" s="9">
        <v>255887</v>
      </c>
      <c r="O5" s="9">
        <f>SUM(G5:J5)</f>
        <v>270085</v>
      </c>
      <c r="P5" s="9">
        <f>O5*1.05</f>
        <v>283589.25</v>
      </c>
      <c r="Q5" s="9"/>
      <c r="R5" s="9"/>
      <c r="S5" s="9"/>
      <c r="T5" s="9"/>
      <c r="U5" s="9"/>
    </row>
    <row r="6" spans="1:23">
      <c r="B6" t="s">
        <v>34</v>
      </c>
      <c r="C6">
        <v>70377</v>
      </c>
      <c r="D6">
        <v>75351</v>
      </c>
      <c r="E6">
        <v>79912</v>
      </c>
      <c r="F6" s="9">
        <f>N6-SUM(C6:E6)</f>
        <v>93258</v>
      </c>
      <c r="G6" s="9">
        <v>82398</v>
      </c>
      <c r="H6" s="9">
        <v>86408</v>
      </c>
      <c r="I6" s="9">
        <v>91276</v>
      </c>
      <c r="J6" s="9">
        <v>107000</v>
      </c>
      <c r="L6" s="9">
        <v>228035</v>
      </c>
      <c r="M6" s="9">
        <v>271082</v>
      </c>
      <c r="N6" s="9">
        <v>318898</v>
      </c>
      <c r="O6" s="9">
        <f>SUM(G6:J6)</f>
        <v>367082</v>
      </c>
      <c r="P6" s="9">
        <f>O6*1.15</f>
        <v>422144.3</v>
      </c>
      <c r="Q6" s="9"/>
      <c r="R6" s="9"/>
      <c r="S6" s="9"/>
      <c r="T6" s="9"/>
      <c r="U6" s="9"/>
    </row>
    <row r="7" spans="1:23" s="14" customFormat="1">
      <c r="B7" s="14" t="s">
        <v>12</v>
      </c>
      <c r="C7" s="15">
        <f t="shared" ref="C7:D7" si="0">SUM(C5:C6)</f>
        <v>127358</v>
      </c>
      <c r="D7" s="15">
        <f t="shared" si="0"/>
        <v>134383</v>
      </c>
      <c r="E7" s="15">
        <f>SUM(E5:E6)</f>
        <v>143083</v>
      </c>
      <c r="F7" s="15">
        <f t="shared" ref="F7:J7" si="1">SUM(F5:F6)</f>
        <v>169961</v>
      </c>
      <c r="G7" s="15">
        <f t="shared" si="1"/>
        <v>143313</v>
      </c>
      <c r="H7" s="15">
        <f t="shared" si="1"/>
        <v>147977</v>
      </c>
      <c r="I7" s="15">
        <f t="shared" si="1"/>
        <v>158877</v>
      </c>
      <c r="J7" s="15">
        <f t="shared" si="1"/>
        <v>187000</v>
      </c>
      <c r="K7" s="15"/>
      <c r="L7" s="15">
        <f t="shared" ref="L7" si="2">SUM(L5:L6)</f>
        <v>469822</v>
      </c>
      <c r="M7" s="15">
        <f t="shared" ref="M7" si="3">SUM(M5:M6)</f>
        <v>513983</v>
      </c>
      <c r="N7" s="15">
        <f t="shared" ref="N7:P7" si="4">SUM(N5:N6)</f>
        <v>574785</v>
      </c>
      <c r="O7" s="15">
        <f t="shared" si="4"/>
        <v>637167</v>
      </c>
      <c r="P7" s="15">
        <f t="shared" si="4"/>
        <v>705733.55</v>
      </c>
      <c r="Q7" s="15">
        <f>P7*(1+Q27)</f>
        <v>776306.90500000014</v>
      </c>
      <c r="R7" s="15">
        <f t="shared" ref="R7:W7" si="5">Q7*(1+R27)</f>
        <v>853937.59550000017</v>
      </c>
      <c r="S7" s="15">
        <f t="shared" si="5"/>
        <v>930791.97909500031</v>
      </c>
      <c r="T7" s="15">
        <f t="shared" si="5"/>
        <v>1005255.3374226004</v>
      </c>
      <c r="U7" s="15">
        <f t="shared" si="5"/>
        <v>1075623.2110421825</v>
      </c>
      <c r="V7" s="15">
        <f t="shared" si="5"/>
        <v>1140160.6037047135</v>
      </c>
      <c r="W7" s="15">
        <f t="shared" si="5"/>
        <v>1197168.6338899492</v>
      </c>
    </row>
    <row r="8" spans="1:23">
      <c r="B8" t="s">
        <v>13</v>
      </c>
      <c r="C8" s="9">
        <v>67791</v>
      </c>
      <c r="D8" s="9">
        <v>69373</v>
      </c>
      <c r="E8" s="9">
        <v>75022</v>
      </c>
      <c r="F8" s="9">
        <f>N8-SUM(C8:E8)</f>
        <v>92553</v>
      </c>
      <c r="G8" s="9">
        <v>72633</v>
      </c>
      <c r="H8" s="9">
        <v>73785</v>
      </c>
      <c r="I8" s="9">
        <v>80977</v>
      </c>
      <c r="J8" s="9">
        <f>F8*1.1</f>
        <v>101808.3</v>
      </c>
      <c r="K8" s="9"/>
      <c r="L8" s="9">
        <v>272344</v>
      </c>
      <c r="M8" s="9">
        <v>288831</v>
      </c>
      <c r="N8" s="9">
        <v>304739</v>
      </c>
      <c r="O8" s="9">
        <f>SUM(G8:J8)</f>
        <v>329203.3</v>
      </c>
      <c r="P8" s="9">
        <f>O8*1.1</f>
        <v>362123.63</v>
      </c>
    </row>
    <row r="9" spans="1:23" s="16" customFormat="1">
      <c r="B9" s="16" t="s">
        <v>14</v>
      </c>
      <c r="C9" s="17">
        <f t="shared" ref="C9:N9" si="6">C7-C8</f>
        <v>59567</v>
      </c>
      <c r="D9" s="17">
        <f t="shared" si="6"/>
        <v>65010</v>
      </c>
      <c r="E9" s="17">
        <f t="shared" si="6"/>
        <v>68061</v>
      </c>
      <c r="F9" s="17">
        <f t="shared" si="6"/>
        <v>77408</v>
      </c>
      <c r="G9" s="17">
        <f t="shared" si="6"/>
        <v>70680</v>
      </c>
      <c r="H9" s="17">
        <f t="shared" si="6"/>
        <v>74192</v>
      </c>
      <c r="I9" s="17">
        <f t="shared" si="6"/>
        <v>77900</v>
      </c>
      <c r="J9" s="17">
        <f t="shared" ref="J9" si="7">J7-J8</f>
        <v>85191.7</v>
      </c>
      <c r="K9" s="17"/>
      <c r="L9" s="17">
        <f t="shared" si="6"/>
        <v>197478</v>
      </c>
      <c r="M9" s="17">
        <f t="shared" si="6"/>
        <v>225152</v>
      </c>
      <c r="N9" s="17">
        <f t="shared" si="6"/>
        <v>270046</v>
      </c>
      <c r="O9" s="17">
        <f t="shared" ref="O9" si="8">O7-O8</f>
        <v>307963.7</v>
      </c>
      <c r="P9" s="17">
        <f t="shared" ref="P9" si="9">P7-P8</f>
        <v>343609.92000000004</v>
      </c>
      <c r="Q9" s="17">
        <f t="shared" ref="Q9" si="10">Q7-Q8</f>
        <v>776306.90500000014</v>
      </c>
      <c r="R9" s="17">
        <f t="shared" ref="R9" si="11">R7-R8</f>
        <v>853937.59550000017</v>
      </c>
      <c r="S9" s="17">
        <f t="shared" ref="S9" si="12">S7-S8</f>
        <v>930791.97909500031</v>
      </c>
    </row>
    <row r="10" spans="1:23">
      <c r="B10" t="s">
        <v>35</v>
      </c>
      <c r="C10" s="9">
        <v>20905</v>
      </c>
      <c r="D10" s="9">
        <v>21305</v>
      </c>
      <c r="E10" s="9">
        <v>22314</v>
      </c>
      <c r="F10" s="9">
        <f>N10-SUM(C10:E10)</f>
        <v>26095</v>
      </c>
      <c r="G10" s="9">
        <v>22317</v>
      </c>
      <c r="H10" s="9">
        <v>23566</v>
      </c>
      <c r="I10" s="9">
        <v>24660</v>
      </c>
      <c r="J10" s="9">
        <f>F10*1.1</f>
        <v>28704.500000000004</v>
      </c>
      <c r="K10" s="9"/>
      <c r="L10" s="9">
        <v>75111</v>
      </c>
      <c r="M10" s="9">
        <v>84299</v>
      </c>
      <c r="N10" s="9">
        <v>90619</v>
      </c>
      <c r="O10" s="9">
        <f>SUM(G10:J10)</f>
        <v>99247.5</v>
      </c>
      <c r="P10" s="9">
        <f>O10*1.1</f>
        <v>109172.25000000001</v>
      </c>
      <c r="Q10" s="9"/>
      <c r="R10" s="9"/>
      <c r="S10" s="9"/>
    </row>
    <row r="11" spans="1:23">
      <c r="B11" t="s">
        <v>36</v>
      </c>
      <c r="C11" s="9">
        <v>20450</v>
      </c>
      <c r="D11" s="9">
        <v>21931</v>
      </c>
      <c r="E11" s="9">
        <v>21203</v>
      </c>
      <c r="F11" s="9">
        <f>N11-SUM(C11:E11)</f>
        <v>22038</v>
      </c>
      <c r="G11" s="9">
        <v>20424</v>
      </c>
      <c r="H11" s="9">
        <v>22304</v>
      </c>
      <c r="I11" s="9">
        <v>22245</v>
      </c>
      <c r="J11" s="9">
        <f>F11*1.1</f>
        <v>24241.800000000003</v>
      </c>
      <c r="K11" s="9"/>
      <c r="L11" s="9">
        <v>56052</v>
      </c>
      <c r="M11" s="9">
        <v>73213</v>
      </c>
      <c r="N11" s="9">
        <v>85622</v>
      </c>
      <c r="O11" s="9">
        <f>SUM(G11:J11)</f>
        <v>89214.8</v>
      </c>
      <c r="P11" s="9">
        <f>O11*1.1</f>
        <v>98136.280000000013</v>
      </c>
    </row>
    <row r="12" spans="1:23">
      <c r="B12" t="s">
        <v>37</v>
      </c>
      <c r="C12" s="9">
        <v>10172</v>
      </c>
      <c r="D12" s="9">
        <v>10745</v>
      </c>
      <c r="E12" s="9">
        <v>10551</v>
      </c>
      <c r="F12" s="9">
        <f>N12-SUM(C12:E12)</f>
        <v>12902</v>
      </c>
      <c r="G12" s="9">
        <v>9662</v>
      </c>
      <c r="H12" s="9">
        <v>10512</v>
      </c>
      <c r="I12" s="9">
        <v>10609</v>
      </c>
      <c r="J12" s="9">
        <f>F12*1.1</f>
        <v>14192.2</v>
      </c>
      <c r="K12" s="9"/>
      <c r="L12" s="9">
        <v>32551</v>
      </c>
      <c r="M12" s="9">
        <v>42238</v>
      </c>
      <c r="N12" s="9">
        <v>44370</v>
      </c>
      <c r="O12" s="9">
        <f>SUM(G12:J12)</f>
        <v>44975.199999999997</v>
      </c>
      <c r="P12" s="9">
        <f>O12*1.1</f>
        <v>49472.72</v>
      </c>
    </row>
    <row r="13" spans="1:23">
      <c r="B13" t="s">
        <v>38</v>
      </c>
      <c r="C13" s="9">
        <v>3043</v>
      </c>
      <c r="D13" s="9">
        <v>3202</v>
      </c>
      <c r="E13" s="9">
        <v>2561</v>
      </c>
      <c r="F13" s="9">
        <f>N13-SUM(C13:E13)</f>
        <v>3010</v>
      </c>
      <c r="G13" s="9">
        <v>2742</v>
      </c>
      <c r="H13" s="9">
        <v>3041</v>
      </c>
      <c r="I13" s="9">
        <v>2713</v>
      </c>
      <c r="J13" s="9">
        <f>F13*1.1</f>
        <v>3311.0000000000005</v>
      </c>
      <c r="K13" s="9"/>
      <c r="L13" s="9">
        <v>8823</v>
      </c>
      <c r="M13" s="9">
        <v>11891</v>
      </c>
      <c r="N13" s="9">
        <v>11816</v>
      </c>
      <c r="O13" s="9">
        <f>SUM(G13:J13)</f>
        <v>11807</v>
      </c>
      <c r="P13" s="9">
        <f>O13*1.1</f>
        <v>12987.7</v>
      </c>
    </row>
    <row r="14" spans="1:23">
      <c r="B14" t="s">
        <v>39</v>
      </c>
      <c r="C14" s="9">
        <v>223</v>
      </c>
      <c r="D14" s="9">
        <v>146</v>
      </c>
      <c r="E14" s="9">
        <v>244</v>
      </c>
      <c r="F14" s="9">
        <f>N14-SUM(C14:E14)</f>
        <v>154</v>
      </c>
      <c r="G14" s="9">
        <v>228</v>
      </c>
      <c r="H14" s="9">
        <v>97</v>
      </c>
      <c r="I14" s="9">
        <v>262</v>
      </c>
      <c r="J14" s="9">
        <v>262</v>
      </c>
      <c r="K14" s="9"/>
      <c r="L14" s="9">
        <v>62</v>
      </c>
      <c r="M14" s="9">
        <v>1263</v>
      </c>
      <c r="N14" s="9">
        <v>767</v>
      </c>
      <c r="O14" s="9">
        <f>SUM(G14:J14)</f>
        <v>849</v>
      </c>
      <c r="P14" s="9">
        <f>O14*1.1</f>
        <v>933.90000000000009</v>
      </c>
    </row>
    <row r="15" spans="1:23" s="16" customFormat="1">
      <c r="B15" s="16" t="s">
        <v>16</v>
      </c>
      <c r="C15" s="17">
        <f>SUM(C10:C14)+C8</f>
        <v>122584</v>
      </c>
      <c r="D15" s="17">
        <f>SUM(D10:D14)+D8</f>
        <v>126702</v>
      </c>
      <c r="E15" s="17">
        <f>SUM(E10:E14)+E8</f>
        <v>131895</v>
      </c>
      <c r="F15" s="17">
        <f t="shared" ref="F15:J15" si="13">SUM(F10:F14)+F8</f>
        <v>156752</v>
      </c>
      <c r="G15" s="17">
        <f t="shared" si="13"/>
        <v>128006</v>
      </c>
      <c r="H15" s="17">
        <f t="shared" si="13"/>
        <v>133305</v>
      </c>
      <c r="I15" s="17">
        <f t="shared" si="13"/>
        <v>141466</v>
      </c>
      <c r="J15" s="17">
        <f t="shared" si="13"/>
        <v>172519.8</v>
      </c>
      <c r="K15" s="17"/>
      <c r="L15" s="17">
        <f t="shared" ref="L15" si="14">SUM(L10:L14)+L8</f>
        <v>444943</v>
      </c>
      <c r="M15" s="17">
        <f t="shared" ref="M15" si="15">SUM(M10:M14)+M8</f>
        <v>501735</v>
      </c>
      <c r="N15" s="17">
        <f t="shared" ref="N15:P15" si="16">SUM(N10:N14)+N8</f>
        <v>537933</v>
      </c>
      <c r="O15" s="17">
        <f t="shared" si="16"/>
        <v>575296.80000000005</v>
      </c>
      <c r="P15" s="17">
        <f t="shared" si="16"/>
        <v>632826.48</v>
      </c>
      <c r="Q15" s="17">
        <f t="shared" ref="Q15" si="17">SUM(Q11:Q12)</f>
        <v>0</v>
      </c>
    </row>
    <row r="16" spans="1:23" s="16" customFormat="1">
      <c r="B16" s="16" t="s">
        <v>15</v>
      </c>
      <c r="C16" s="17">
        <f>C7-C15</f>
        <v>4774</v>
      </c>
      <c r="D16" s="17">
        <f>D7-D15</f>
        <v>7681</v>
      </c>
      <c r="E16" s="17">
        <f t="shared" ref="E16:J16" si="18">E7-E15</f>
        <v>11188</v>
      </c>
      <c r="F16" s="17">
        <f t="shared" si="18"/>
        <v>13209</v>
      </c>
      <c r="G16" s="17">
        <f t="shared" si="18"/>
        <v>15307</v>
      </c>
      <c r="H16" s="17">
        <f t="shared" si="18"/>
        <v>14672</v>
      </c>
      <c r="I16" s="17">
        <f t="shared" si="18"/>
        <v>17411</v>
      </c>
      <c r="J16" s="17">
        <f t="shared" si="18"/>
        <v>14480.200000000012</v>
      </c>
      <c r="K16" s="17"/>
      <c r="L16" s="17">
        <f t="shared" ref="L16" si="19">L7-L15</f>
        <v>24879</v>
      </c>
      <c r="M16" s="17">
        <f t="shared" ref="M16" si="20">M7-M15</f>
        <v>12248</v>
      </c>
      <c r="N16" s="17">
        <f t="shared" ref="N16:P16" si="21">N7-N15</f>
        <v>36852</v>
      </c>
      <c r="O16" s="17">
        <f t="shared" si="21"/>
        <v>61870.199999999953</v>
      </c>
      <c r="P16" s="17">
        <f t="shared" si="21"/>
        <v>72907.070000000065</v>
      </c>
      <c r="Q16" s="17">
        <f t="shared" ref="Q16" si="22">Q9-Q15</f>
        <v>776306.90500000014</v>
      </c>
    </row>
    <row r="17" spans="2:143">
      <c r="B17" t="s">
        <v>21</v>
      </c>
      <c r="C17" s="9">
        <v>-655</v>
      </c>
      <c r="D17" s="9">
        <v>-118</v>
      </c>
      <c r="E17" s="9">
        <v>1001</v>
      </c>
      <c r="F17" s="9">
        <f>N17-SUM(C17:E17)</f>
        <v>477</v>
      </c>
      <c r="G17" s="9">
        <v>-2324</v>
      </c>
      <c r="H17" s="9">
        <v>573</v>
      </c>
      <c r="I17" s="9">
        <v>626</v>
      </c>
      <c r="J17" s="9">
        <v>626</v>
      </c>
      <c r="K17" s="9"/>
      <c r="L17" s="9">
        <v>13272</v>
      </c>
      <c r="M17" s="9">
        <v>-18184</v>
      </c>
      <c r="N17" s="9">
        <v>705</v>
      </c>
      <c r="O17" s="9">
        <f>SUM(G17:J17)</f>
        <v>-499</v>
      </c>
      <c r="P17" s="9">
        <v>0</v>
      </c>
    </row>
    <row r="18" spans="2:143" s="16" customFormat="1">
      <c r="B18" s="16" t="s">
        <v>17</v>
      </c>
      <c r="C18" s="17">
        <f t="shared" ref="C18:P18" si="23">C16+C17</f>
        <v>4119</v>
      </c>
      <c r="D18" s="17">
        <f t="shared" si="23"/>
        <v>7563</v>
      </c>
      <c r="E18" s="17">
        <f t="shared" si="23"/>
        <v>12189</v>
      </c>
      <c r="F18" s="17">
        <f t="shared" si="23"/>
        <v>13686</v>
      </c>
      <c r="G18" s="17">
        <f t="shared" si="23"/>
        <v>12983</v>
      </c>
      <c r="H18" s="17">
        <f t="shared" si="23"/>
        <v>15245</v>
      </c>
      <c r="I18" s="17">
        <f t="shared" si="23"/>
        <v>18037</v>
      </c>
      <c r="J18" s="17">
        <f t="shared" ref="J18" si="24">J16+J17</f>
        <v>15106.200000000012</v>
      </c>
      <c r="K18" s="17"/>
      <c r="L18" s="17">
        <f t="shared" si="23"/>
        <v>38151</v>
      </c>
      <c r="M18" s="17">
        <f t="shared" si="23"/>
        <v>-5936</v>
      </c>
      <c r="N18" s="17">
        <f t="shared" si="23"/>
        <v>37557</v>
      </c>
      <c r="O18" s="17">
        <f t="shared" si="23"/>
        <v>61371.199999999953</v>
      </c>
      <c r="P18" s="17">
        <f t="shared" si="23"/>
        <v>72907.070000000065</v>
      </c>
    </row>
    <row r="19" spans="2:143">
      <c r="B19" t="s">
        <v>18</v>
      </c>
      <c r="C19" s="9">
        <v>948</v>
      </c>
      <c r="D19" s="9">
        <v>804</v>
      </c>
      <c r="E19" s="9">
        <v>2306</v>
      </c>
      <c r="F19" s="9">
        <f>N19-SUM(C19:E19)</f>
        <v>3062</v>
      </c>
      <c r="G19" s="9">
        <v>2467</v>
      </c>
      <c r="H19" s="9">
        <v>1767</v>
      </c>
      <c r="I19" s="9">
        <v>2706</v>
      </c>
      <c r="J19" s="9">
        <v>2706</v>
      </c>
      <c r="K19" s="9"/>
      <c r="L19" s="9">
        <v>4791</v>
      </c>
      <c r="M19" s="9">
        <v>-3217</v>
      </c>
      <c r="N19" s="9">
        <v>7120</v>
      </c>
      <c r="O19" s="9">
        <f>SUM(G19:J19)</f>
        <v>9646</v>
      </c>
      <c r="P19" s="9">
        <f>P18*0.15</f>
        <v>10936.060500000009</v>
      </c>
    </row>
    <row r="20" spans="2:143">
      <c r="B20" t="s">
        <v>40</v>
      </c>
      <c r="C20" s="9">
        <v>-1</v>
      </c>
      <c r="D20" s="9">
        <v>9</v>
      </c>
      <c r="E20" s="9">
        <v>4</v>
      </c>
      <c r="F20" s="9">
        <f>N20-SUM(C20:E20)</f>
        <v>0</v>
      </c>
      <c r="G20" s="9">
        <v>85</v>
      </c>
      <c r="H20" s="9">
        <v>-7</v>
      </c>
      <c r="I20" s="9">
        <v>3</v>
      </c>
      <c r="J20" s="9">
        <v>3</v>
      </c>
      <c r="K20" s="9"/>
      <c r="L20" s="9">
        <v>-4</v>
      </c>
      <c r="M20" s="9">
        <v>3</v>
      </c>
      <c r="N20" s="9">
        <v>12</v>
      </c>
      <c r="O20" s="9">
        <f>SUM(G20:J20)</f>
        <v>84</v>
      </c>
      <c r="P20" s="9"/>
    </row>
    <row r="21" spans="2:143" s="14" customFormat="1">
      <c r="B21" s="14" t="s">
        <v>19</v>
      </c>
      <c r="C21" s="15">
        <f t="shared" ref="C21:H21" si="25">C18-C19-C20</f>
        <v>3172</v>
      </c>
      <c r="D21" s="15">
        <f t="shared" si="25"/>
        <v>6750</v>
      </c>
      <c r="E21" s="15">
        <f t="shared" si="25"/>
        <v>9879</v>
      </c>
      <c r="F21" s="15">
        <f t="shared" si="25"/>
        <v>10624</v>
      </c>
      <c r="G21" s="15">
        <f t="shared" si="25"/>
        <v>10431</v>
      </c>
      <c r="H21" s="15">
        <f t="shared" si="25"/>
        <v>13485</v>
      </c>
      <c r="I21" s="15">
        <f>I18-I19-I20</f>
        <v>15328</v>
      </c>
      <c r="J21" s="15">
        <f>J18-J19-J20</f>
        <v>12397.200000000012</v>
      </c>
      <c r="K21" s="15"/>
      <c r="L21" s="15">
        <f t="shared" ref="L21:N21" si="26">L18-L19-L20</f>
        <v>33364</v>
      </c>
      <c r="M21" s="15">
        <f t="shared" si="26"/>
        <v>-2722</v>
      </c>
      <c r="N21" s="15">
        <f t="shared" si="26"/>
        <v>30425</v>
      </c>
      <c r="O21" s="15">
        <f t="shared" ref="O21:P21" si="27">O18-O19</f>
        <v>51725.199999999953</v>
      </c>
      <c r="P21" s="15">
        <f t="shared" si="27"/>
        <v>61971.009500000058</v>
      </c>
      <c r="Q21" s="15">
        <f t="shared" ref="Q21:W21" si="28">Q7*Q29</f>
        <v>68168.110450000066</v>
      </c>
      <c r="R21" s="15">
        <f t="shared" si="28"/>
        <v>85393.759550000017</v>
      </c>
      <c r="S21" s="15">
        <f t="shared" si="28"/>
        <v>111695.03749140003</v>
      </c>
      <c r="T21" s="15">
        <f t="shared" si="28"/>
        <v>130683.19386493805</v>
      </c>
      <c r="U21" s="15">
        <f t="shared" si="28"/>
        <v>150587.24954590556</v>
      </c>
      <c r="V21" s="15">
        <f t="shared" si="28"/>
        <v>171024.09055570702</v>
      </c>
      <c r="W21" s="15">
        <f t="shared" si="28"/>
        <v>179575.29508349238</v>
      </c>
      <c r="X21" s="15">
        <f>W21*(1+Main!$L$10)</f>
        <v>177779.54213265746</v>
      </c>
      <c r="Y21" s="15">
        <f>X21*(1+Main!$L$10)</f>
        <v>176001.7467113309</v>
      </c>
      <c r="Z21" s="15">
        <f>Y21*(1+Main!$L$10)</f>
        <v>174241.7292442176</v>
      </c>
      <c r="AA21" s="15">
        <f>Z21*(1+Main!$L$10)</f>
        <v>172499.31195177542</v>
      </c>
      <c r="AB21" s="15">
        <f>AA21*(1+Main!$L$10)</f>
        <v>170774.31883225768</v>
      </c>
      <c r="AC21" s="15">
        <f>AB21*(1+Main!$L$10)</f>
        <v>169066.5756439351</v>
      </c>
      <c r="AD21" s="15">
        <f>AC21*(1+Main!$L$10)</f>
        <v>167375.90988749574</v>
      </c>
      <c r="AE21" s="15">
        <f>AD21*(1+Main!$L$10)</f>
        <v>165702.15078862078</v>
      </c>
      <c r="AF21" s="15">
        <f>AE21*(1+Main!$L$10)</f>
        <v>164045.12928073457</v>
      </c>
      <c r="AG21" s="15">
        <f>AF21*(1+Main!$L$10)</f>
        <v>162404.67798792722</v>
      </c>
      <c r="AH21" s="15">
        <f>AG21*(1+Main!$L$10)</f>
        <v>160780.63120804794</v>
      </c>
      <c r="AI21" s="15">
        <f>AH21*(1+Main!$L$10)</f>
        <v>159172.82489596747</v>
      </c>
      <c r="AJ21" s="15">
        <f>AI21*(1+Main!$L$10)</f>
        <v>157581.0966470078</v>
      </c>
      <c r="AK21" s="15">
        <f>AJ21*(1+Main!$L$10)</f>
        <v>156005.28568053772</v>
      </c>
      <c r="AL21" s="15">
        <f>AK21*(1+Main!$L$10)</f>
        <v>154445.23282373234</v>
      </c>
      <c r="AM21" s="15">
        <f>AL21*(1+Main!$L$10)</f>
        <v>152900.78049549501</v>
      </c>
      <c r="AN21" s="15">
        <f>AM21*(1+Main!$L$10)</f>
        <v>151371.77269054006</v>
      </c>
      <c r="AO21" s="15">
        <f>AN21*(1+Main!$L$10)</f>
        <v>149858.05496363467</v>
      </c>
      <c r="AP21" s="15">
        <f>AO21*(1+Main!$L$10)</f>
        <v>148359.47441399831</v>
      </c>
      <c r="AQ21" s="15">
        <f>AP21*(1+Main!$L$10)</f>
        <v>146875.87966985832</v>
      </c>
      <c r="AR21" s="15">
        <f>AQ21*(1+Main!$L$10)</f>
        <v>145407.12087315973</v>
      </c>
      <c r="AS21" s="15">
        <f>AR21*(1+Main!$L$10)</f>
        <v>143953.04966442814</v>
      </c>
      <c r="AT21" s="15">
        <f>AS21*(1+Main!$L$10)</f>
        <v>142513.51916778384</v>
      </c>
      <c r="AU21" s="15">
        <f>AT21*(1+Main!$L$10)</f>
        <v>141088.38397610601</v>
      </c>
      <c r="AV21" s="15">
        <f>AU21*(1+Main!$L$10)</f>
        <v>139677.50013634496</v>
      </c>
      <c r="AW21" s="15">
        <f>AV21*(1+Main!$L$10)</f>
        <v>138280.72513498151</v>
      </c>
      <c r="AX21" s="15">
        <f>AW21*(1+Main!$L$10)</f>
        <v>136897.91788363169</v>
      </c>
      <c r="AY21" s="15">
        <f>AX21*(1+Main!$L$10)</f>
        <v>135528.93870479538</v>
      </c>
      <c r="AZ21" s="15">
        <f>AY21*(1+Main!$L$10)</f>
        <v>134173.64931774742</v>
      </c>
      <c r="BA21" s="15">
        <f>AZ21*(1+Main!$L$10)</f>
        <v>132831.91282456994</v>
      </c>
      <c r="BB21" s="15">
        <f>BA21*(1+Main!$L$10)</f>
        <v>131503.59369632424</v>
      </c>
      <c r="BC21" s="15">
        <f>BB21*(1+Main!$L$10)</f>
        <v>130188.55775936099</v>
      </c>
      <c r="BD21" s="15">
        <f>BC21*(1+Main!$L$10)</f>
        <v>128886.67218176738</v>
      </c>
      <c r="BE21" s="15">
        <f>BD21*(1+Main!$L$10)</f>
        <v>127597.80545994971</v>
      </c>
      <c r="BF21" s="15">
        <f>BE21*(1+Main!$L$10)</f>
        <v>126321.82740535021</v>
      </c>
      <c r="BG21" s="15">
        <f>BF21*(1+Main!$L$10)</f>
        <v>125058.6091312967</v>
      </c>
      <c r="BH21" s="15">
        <f>BG21*(1+Main!$L$10)</f>
        <v>123808.02303998373</v>
      </c>
      <c r="BI21" s="15">
        <f>BH21*(1+Main!$L$10)</f>
        <v>122569.9428095839</v>
      </c>
      <c r="BJ21" s="15">
        <f>BI21*(1+Main!$L$10)</f>
        <v>121344.24338148805</v>
      </c>
      <c r="BK21" s="15">
        <f>BJ21*(1+Main!$L$10)</f>
        <v>120130.80094767317</v>
      </c>
      <c r="BL21" s="15">
        <f>BK21*(1+Main!$L$10)</f>
        <v>118929.49293819643</v>
      </c>
      <c r="BM21" s="15">
        <f>BL21*(1+Main!$L$10)</f>
        <v>117740.19800881446</v>
      </c>
      <c r="BN21" s="15">
        <f>BM21*(1+Main!$L$10)</f>
        <v>116562.79602872631</v>
      </c>
      <c r="BO21" s="15">
        <f>BN21*(1+Main!$L$10)</f>
        <v>115397.16806843904</v>
      </c>
      <c r="BP21" s="15">
        <f>BO21*(1+Main!$L$10)</f>
        <v>114243.19638775465</v>
      </c>
      <c r="BQ21" s="15">
        <f>BP21*(1+Main!$L$10)</f>
        <v>113100.7644238771</v>
      </c>
      <c r="BR21" s="15">
        <f>BQ21*(1+Main!$L$10)</f>
        <v>111969.75677963834</v>
      </c>
      <c r="BS21" s="15">
        <f>BR21*(1+Main!$L$10)</f>
        <v>110850.05921184196</v>
      </c>
      <c r="BT21" s="15">
        <f>BS21*(1+Main!$L$10)</f>
        <v>109741.55861972354</v>
      </c>
      <c r="BU21" s="15">
        <f>BT21*(1+Main!$L$10)</f>
        <v>108644.1430335263</v>
      </c>
      <c r="BV21" s="15">
        <f>BU21*(1+Main!$L$10)</f>
        <v>107557.70160319103</v>
      </c>
      <c r="BW21" s="15">
        <f>BV21*(1+Main!$L$10)</f>
        <v>106482.12458715912</v>
      </c>
      <c r="BX21" s="15">
        <f>BW21*(1+Main!$L$10)</f>
        <v>105417.30334128754</v>
      </c>
      <c r="BY21" s="15">
        <f>BX21*(1+Main!$L$10)</f>
        <v>104363.13030787466</v>
      </c>
      <c r="BZ21" s="15">
        <f>BY21*(1+Main!$L$10)</f>
        <v>103319.49900479591</v>
      </c>
      <c r="CA21" s="15">
        <f>BZ21*(1+Main!$L$10)</f>
        <v>102286.30401474795</v>
      </c>
      <c r="CB21" s="15">
        <f>CA21*(1+Main!$L$10)</f>
        <v>101263.44097460047</v>
      </c>
      <c r="CC21" s="15">
        <f>CB21*(1+Main!$L$10)</f>
        <v>100250.80656485446</v>
      </c>
      <c r="CD21" s="15">
        <f>CC21*(1+Main!$L$10)</f>
        <v>99248.298499205906</v>
      </c>
      <c r="CE21" s="15">
        <f>CD21*(1+Main!$L$10)</f>
        <v>98255.815514213842</v>
      </c>
      <c r="CF21" s="15">
        <f>CE21*(1+Main!$L$10)</f>
        <v>97273.257359071707</v>
      </c>
      <c r="CG21" s="15">
        <f>CF21*(1+Main!$L$10)</f>
        <v>96300.524785480986</v>
      </c>
      <c r="CH21" s="15">
        <f>CG21*(1+Main!$L$10)</f>
        <v>95337.519537626169</v>
      </c>
      <c r="CI21" s="15">
        <f>CH21*(1+Main!$L$10)</f>
        <v>94384.1443422499</v>
      </c>
      <c r="CJ21" s="15">
        <f>CI21*(1+Main!$L$10)</f>
        <v>93440.302898827402</v>
      </c>
      <c r="CK21" s="15">
        <f>CJ21*(1+Main!$L$10)</f>
        <v>92505.899869839122</v>
      </c>
      <c r="CL21" s="15">
        <f>CK21*(1+Main!$L$10)</f>
        <v>91580.840871140725</v>
      </c>
      <c r="CM21" s="15">
        <f>CL21*(1+Main!$L$10)</f>
        <v>90665.032462429313</v>
      </c>
      <c r="CN21" s="15">
        <f>CM21*(1+Main!$L$10)</f>
        <v>89758.38213780502</v>
      </c>
      <c r="CO21" s="15">
        <f>CN21*(1+Main!$L$10)</f>
        <v>88860.798316426968</v>
      </c>
      <c r="CP21" s="15">
        <f>CO21*(1+Main!$L$10)</f>
        <v>87972.190333262697</v>
      </c>
      <c r="CQ21" s="15">
        <f>CP21*(1+Main!$L$10)</f>
        <v>87092.468429930072</v>
      </c>
      <c r="CR21" s="15">
        <f>CQ21*(1+Main!$L$10)</f>
        <v>86221.54374563077</v>
      </c>
      <c r="CS21" s="15">
        <f>CR21*(1+Main!$L$10)</f>
        <v>85359.328308174459</v>
      </c>
      <c r="CT21" s="15">
        <f>CS21*(1+Main!$L$10)</f>
        <v>84505.735025092712</v>
      </c>
      <c r="CU21" s="15">
        <f>CT21*(1+Main!$L$10)</f>
        <v>83660.677674841791</v>
      </c>
      <c r="CV21" s="15">
        <f>CU21*(1+Main!$L$10)</f>
        <v>82824.07089809337</v>
      </c>
      <c r="CW21" s="15">
        <f>CV21*(1+Main!$L$10)</f>
        <v>81995.830189112443</v>
      </c>
      <c r="CX21" s="15">
        <f>CW21*(1+Main!$L$10)</f>
        <v>81175.871887221321</v>
      </c>
      <c r="CY21" s="15">
        <f>CX21*(1+Main!$L$10)</f>
        <v>80364.113168349111</v>
      </c>
      <c r="CZ21" s="15">
        <f>CY21*(1+Main!$L$10)</f>
        <v>79560.472036665626</v>
      </c>
      <c r="DA21" s="15">
        <f>CZ21*(1+Main!$L$10)</f>
        <v>78764.867316298973</v>
      </c>
      <c r="DB21" s="15">
        <f>DA21*(1+Main!$L$10)</f>
        <v>77977.218643135988</v>
      </c>
      <c r="DC21" s="15">
        <f>DB21*(1+Main!$L$10)</f>
        <v>77197.446456704623</v>
      </c>
      <c r="DD21" s="15">
        <f>DC21*(1+Main!$L$10)</f>
        <v>76425.47199213758</v>
      </c>
      <c r="DE21" s="15">
        <f>DD21*(1+Main!$L$10)</f>
        <v>75661.217272216207</v>
      </c>
      <c r="DF21" s="15">
        <f>DE21*(1+Main!$L$10)</f>
        <v>74904.605099494045</v>
      </c>
      <c r="DG21" s="15">
        <f>DF21*(1+Main!$L$10)</f>
        <v>74155.559048499097</v>
      </c>
      <c r="DH21" s="15">
        <f>DG21*(1+Main!$L$10)</f>
        <v>73414.003458014107</v>
      </c>
      <c r="DI21" s="15">
        <f>DH21*(1+Main!$L$10)</f>
        <v>72679.86342343397</v>
      </c>
      <c r="DJ21" s="15">
        <f>DI21*(1+Main!$L$10)</f>
        <v>71953.064789199634</v>
      </c>
      <c r="DK21" s="15">
        <f>DJ21*(1+Main!$L$10)</f>
        <v>71233.534141307638</v>
      </c>
      <c r="DL21" s="15">
        <f>DK21*(1+Main!$L$10)</f>
        <v>70521.198799894555</v>
      </c>
      <c r="DM21" s="15">
        <f>DL21*(1+Main!$L$10)</f>
        <v>69815.986811895607</v>
      </c>
      <c r="DN21" s="15">
        <f>DM21*(1+Main!$L$10)</f>
        <v>69117.826943776658</v>
      </c>
      <c r="DO21" s="15">
        <f>DN21*(1+Main!$L$10)</f>
        <v>68426.648674338896</v>
      </c>
      <c r="DP21" s="15">
        <f>DO21*(1+Main!$L$10)</f>
        <v>67742.382187595504</v>
      </c>
      <c r="DQ21" s="15">
        <f>DP21*(1+Main!$L$10)</f>
        <v>67064.958365719547</v>
      </c>
      <c r="DR21" s="15">
        <f>DQ21*(1+Main!$L$10)</f>
        <v>66394.308782062348</v>
      </c>
      <c r="DS21" s="15">
        <f>DR21*(1+Main!$L$10)</f>
        <v>65730.365694241729</v>
      </c>
      <c r="DT21" s="15">
        <f>DS21*(1+Main!$L$10)</f>
        <v>65073.062037299314</v>
      </c>
      <c r="DU21" s="15">
        <f>DT21*(1+Main!$L$10)</f>
        <v>64422.331416926318</v>
      </c>
      <c r="DV21" s="15">
        <f>DU21*(1+Main!$L$10)</f>
        <v>63778.108102757054</v>
      </c>
      <c r="DW21" s="15">
        <f>DV21*(1+Main!$L$10)</f>
        <v>63140.327021729485</v>
      </c>
      <c r="DX21" s="15">
        <f>DW21*(1+Main!$L$10)</f>
        <v>62508.923751512186</v>
      </c>
      <c r="DY21" s="15">
        <f>DX21*(1+Main!$L$10)</f>
        <v>61883.834513997062</v>
      </c>
      <c r="DZ21" s="15">
        <f>DY21*(1+Main!$L$10)</f>
        <v>61264.996168857091</v>
      </c>
      <c r="EA21" s="15">
        <f>DZ21*(1+Main!$L$10)</f>
        <v>60652.346207168521</v>
      </c>
      <c r="EB21" s="15">
        <f>EA21*(1+Main!$L$10)</f>
        <v>60045.822745096833</v>
      </c>
      <c r="EC21" s="15">
        <f>EB21*(1+Main!$L$10)</f>
        <v>59445.364517645867</v>
      </c>
      <c r="ED21" s="15">
        <f>EC21*(1+Main!$L$10)</f>
        <v>58850.910872469409</v>
      </c>
      <c r="EE21" s="15">
        <f>ED21*(1+Main!$L$10)</f>
        <v>58262.401763744718</v>
      </c>
      <c r="EF21" s="15">
        <f>EE21*(1+Main!$L$10)</f>
        <v>57679.777746107269</v>
      </c>
      <c r="EG21" s="15">
        <f>EF21*(1+Main!$L$10)</f>
        <v>57102.979968646199</v>
      </c>
      <c r="EH21" s="15">
        <f>EG21*(1+Main!$L$10)</f>
        <v>56531.950168959738</v>
      </c>
      <c r="EI21" s="15">
        <f>EH21*(1+Main!$L$10)</f>
        <v>55966.630667270139</v>
      </c>
      <c r="EJ21" s="15">
        <f>EI21*(1+Main!$L$10)</f>
        <v>55406.964360597434</v>
      </c>
      <c r="EK21" s="15">
        <f>EJ21*(1+Main!$L$10)</f>
        <v>54852.894716991461</v>
      </c>
      <c r="EL21" s="15">
        <f>EK21*(1+Main!$L$10)</f>
        <v>54304.365769821547</v>
      </c>
      <c r="EM21" s="15">
        <f>EL21*(1+Main!$L$10)</f>
        <v>53761.322112123329</v>
      </c>
    </row>
    <row r="22" spans="2:143">
      <c r="B22" t="s">
        <v>20</v>
      </c>
      <c r="C22" s="8">
        <f t="shared" ref="C22:I22" si="29">C21/C23</f>
        <v>0.3065622885860636</v>
      </c>
      <c r="D22" s="8">
        <f t="shared" si="29"/>
        <v>0.64599483204134367</v>
      </c>
      <c r="E22" s="8">
        <f t="shared" si="29"/>
        <v>0.93568857738207989</v>
      </c>
      <c r="F22" s="8">
        <f t="shared" si="29"/>
        <v>1.0426931004023947</v>
      </c>
      <c r="G22" s="8">
        <f t="shared" si="29"/>
        <v>0.97760074976569822</v>
      </c>
      <c r="H22" s="8">
        <f t="shared" si="29"/>
        <v>1.2593388121031004</v>
      </c>
      <c r="I22" s="8">
        <f t="shared" si="29"/>
        <v>1.4278528178854215</v>
      </c>
      <c r="J22" s="8">
        <f t="shared" ref="J22" si="30">J21/J23</f>
        <v>1.1548393106660468</v>
      </c>
      <c r="K22" s="8"/>
      <c r="L22" s="8">
        <f>L21/L23</f>
        <v>3.2404817404817403</v>
      </c>
      <c r="M22" s="8">
        <f t="shared" ref="M22:P22" si="31">M21/M23</f>
        <v>-0.2671508489547551</v>
      </c>
      <c r="N22" s="8">
        <f t="shared" si="31"/>
        <v>2.8998284407167367</v>
      </c>
      <c r="O22" s="8">
        <f t="shared" si="31"/>
        <v>4.8183698183511829</v>
      </c>
      <c r="P22" s="8">
        <f t="shared" si="31"/>
        <v>5.7728001397298607</v>
      </c>
    </row>
    <row r="23" spans="2:143">
      <c r="B23" t="s">
        <v>2</v>
      </c>
      <c r="C23" s="9">
        <v>10347</v>
      </c>
      <c r="D23" s="9">
        <v>10449</v>
      </c>
      <c r="E23" s="9">
        <v>10558</v>
      </c>
      <c r="F23" s="9">
        <f>M23</f>
        <v>10189</v>
      </c>
      <c r="G23" s="9">
        <v>10670</v>
      </c>
      <c r="H23" s="9">
        <v>10708</v>
      </c>
      <c r="I23" s="9">
        <v>10735</v>
      </c>
      <c r="J23" s="9">
        <v>10735</v>
      </c>
      <c r="K23" s="9"/>
      <c r="L23" s="9">
        <v>10296</v>
      </c>
      <c r="M23" s="9">
        <v>10189</v>
      </c>
      <c r="N23" s="9">
        <v>10492</v>
      </c>
      <c r="O23" s="9">
        <f>J23</f>
        <v>10735</v>
      </c>
      <c r="P23" s="9">
        <f>O23</f>
        <v>10735</v>
      </c>
    </row>
    <row r="25" spans="2:143">
      <c r="B25" t="s">
        <v>41</v>
      </c>
      <c r="G25" s="11">
        <f t="shared" ref="G25:G26" si="32">G5/C5-1</f>
        <v>6.9040557378775347E-2</v>
      </c>
      <c r="H25" s="11">
        <f t="shared" ref="H25:J26" si="33">H5/D5-1</f>
        <v>4.2976690608483636E-2</v>
      </c>
      <c r="I25" s="11">
        <f t="shared" si="33"/>
        <v>7.0127115290243847E-2</v>
      </c>
      <c r="J25" s="11">
        <f t="shared" si="33"/>
        <v>4.2983977158650877E-2</v>
      </c>
      <c r="M25" s="11">
        <f t="shared" ref="M25:M26" si="34">M5/L5-1</f>
        <v>4.6073610243726471E-3</v>
      </c>
      <c r="N25" s="11">
        <f t="shared" ref="N25:N26" si="35">N5/M5-1</f>
        <v>5.3462110077768354E-2</v>
      </c>
      <c r="O25" s="11">
        <f t="shared" ref="O25:O26" si="36">O5/N5-1</f>
        <v>5.5485429115195384E-2</v>
      </c>
      <c r="P25" s="11">
        <f t="shared" ref="P25:P26" si="37">P5/O5-1</f>
        <v>5.0000000000000044E-2</v>
      </c>
    </row>
    <row r="26" spans="2:143">
      <c r="B26" t="s">
        <v>42</v>
      </c>
      <c r="G26" s="11">
        <f t="shared" si="32"/>
        <v>0.17080864486977276</v>
      </c>
      <c r="H26" s="11">
        <f t="shared" si="33"/>
        <v>0.14673992382317413</v>
      </c>
      <c r="I26" s="11">
        <f t="shared" ref="I26:J26" si="38">I6/E6-1</f>
        <v>0.14220642706977671</v>
      </c>
      <c r="J26" s="11">
        <f t="shared" si="38"/>
        <v>0.14735465053936392</v>
      </c>
      <c r="M26" s="11">
        <f t="shared" si="34"/>
        <v>0.18877365316727701</v>
      </c>
      <c r="N26" s="11">
        <f t="shared" si="35"/>
        <v>0.17638943197999124</v>
      </c>
      <c r="O26" s="11">
        <f t="shared" si="36"/>
        <v>0.15109533455838542</v>
      </c>
      <c r="P26" s="11">
        <f t="shared" si="37"/>
        <v>0.14999999999999991</v>
      </c>
    </row>
    <row r="27" spans="2:143">
      <c r="B27" t="s">
        <v>22</v>
      </c>
      <c r="G27" s="11">
        <f t="shared" ref="G27:H27" si="39">G7/C7-1</f>
        <v>0.12527677884388888</v>
      </c>
      <c r="H27" s="11">
        <f t="shared" si="39"/>
        <v>0.10115862869559389</v>
      </c>
      <c r="I27" s="11">
        <f>I7/E7-1</f>
        <v>0.11038348371225104</v>
      </c>
      <c r="J27" s="11">
        <f>J7/F7-1</f>
        <v>0.10025241084719427</v>
      </c>
      <c r="M27" s="11">
        <f>M7/L7-1</f>
        <v>9.399517263985091E-2</v>
      </c>
      <c r="N27" s="11">
        <f t="shared" ref="N27:P27" si="40">N7/M7-1</f>
        <v>0.1182957412988368</v>
      </c>
      <c r="O27" s="11">
        <f t="shared" si="40"/>
        <v>0.10853101594509251</v>
      </c>
      <c r="P27" s="11">
        <f t="shared" si="40"/>
        <v>0.10761158377630986</v>
      </c>
      <c r="Q27" s="12">
        <v>0.1</v>
      </c>
      <c r="R27" s="13">
        <v>0.1</v>
      </c>
      <c r="S27" s="13">
        <v>0.09</v>
      </c>
      <c r="T27" s="13">
        <v>0.08</v>
      </c>
      <c r="U27" s="13">
        <v>7.0000000000000007E-2</v>
      </c>
      <c r="V27" s="13">
        <v>0.06</v>
      </c>
      <c r="W27" s="13">
        <v>0.05</v>
      </c>
    </row>
    <row r="28" spans="2:143">
      <c r="B28" t="s">
        <v>23</v>
      </c>
      <c r="C28" s="11">
        <f t="shared" ref="C28:J28" si="41">C9/C7</f>
        <v>0.46771306082067871</v>
      </c>
      <c r="D28" s="11">
        <f t="shared" si="41"/>
        <v>0.48376654785203488</v>
      </c>
      <c r="E28" s="11">
        <f t="shared" si="41"/>
        <v>0.47567495789157344</v>
      </c>
      <c r="F28" s="11">
        <f t="shared" si="41"/>
        <v>0.45544566106342044</v>
      </c>
      <c r="G28" s="11">
        <f t="shared" si="41"/>
        <v>0.49318624269954575</v>
      </c>
      <c r="H28" s="11">
        <f t="shared" si="41"/>
        <v>0.50137521371564497</v>
      </c>
      <c r="I28" s="11">
        <f t="shared" si="41"/>
        <v>0.49031640829069029</v>
      </c>
      <c r="J28" s="11">
        <f t="shared" si="41"/>
        <v>0.45557058823529412</v>
      </c>
      <c r="L28" s="11">
        <f>L9/L7</f>
        <v>0.42032514441639601</v>
      </c>
      <c r="M28" s="11">
        <f>M9/M7</f>
        <v>0.43805339865326287</v>
      </c>
      <c r="N28" s="11">
        <f>N9/N7</f>
        <v>0.46982088955000567</v>
      </c>
      <c r="O28" s="11">
        <f>O9/O7</f>
        <v>0.48333278402679364</v>
      </c>
      <c r="P28" s="11">
        <f>P9/P7</f>
        <v>0.4868833570403448</v>
      </c>
    </row>
    <row r="29" spans="2:143">
      <c r="B29" t="s">
        <v>24</v>
      </c>
      <c r="C29" s="11">
        <f t="shared" ref="C29:J29" si="42">C21/C7</f>
        <v>2.4906170008951147E-2</v>
      </c>
      <c r="D29" s="11">
        <f t="shared" si="42"/>
        <v>5.0229567728060844E-2</v>
      </c>
      <c r="E29" s="11">
        <f t="shared" si="42"/>
        <v>6.9043841686293975E-2</v>
      </c>
      <c r="F29" s="11">
        <f t="shared" si="42"/>
        <v>6.2508457822676972E-2</v>
      </c>
      <c r="G29" s="11">
        <f t="shared" si="42"/>
        <v>7.2784743882271671E-2</v>
      </c>
      <c r="H29" s="11">
        <f t="shared" si="42"/>
        <v>9.1129026808220201E-2</v>
      </c>
      <c r="I29" s="11">
        <f t="shared" si="42"/>
        <v>9.6477148989469838E-2</v>
      </c>
      <c r="J29" s="11">
        <f t="shared" si="42"/>
        <v>6.6295187165775468E-2</v>
      </c>
      <c r="L29" s="11">
        <f>L21/L7</f>
        <v>7.1014128755145567E-2</v>
      </c>
      <c r="M29" s="11">
        <f>M21/M7</f>
        <v>-5.2958950004183018E-3</v>
      </c>
      <c r="N29" s="11">
        <f>N21/N7</f>
        <v>5.2932835755978319E-2</v>
      </c>
      <c r="O29" s="11">
        <f>O21/O7</f>
        <v>8.117997322522974E-2</v>
      </c>
      <c r="P29" s="11">
        <f>P21/P7</f>
        <v>8.7810774335441544E-2</v>
      </c>
      <c r="Q29" s="12">
        <f>P29</f>
        <v>8.7810774335441544E-2</v>
      </c>
      <c r="R29" s="13">
        <v>0.1</v>
      </c>
      <c r="S29" s="13">
        <v>0.12</v>
      </c>
      <c r="T29" s="13">
        <v>0.13</v>
      </c>
      <c r="U29" s="13">
        <v>0.14000000000000001</v>
      </c>
      <c r="V29" s="13">
        <v>0.15</v>
      </c>
      <c r="W29" s="13">
        <f t="shared" ref="W29" si="43">V29</f>
        <v>0.15</v>
      </c>
    </row>
    <row r="30" spans="2:143">
      <c r="B30" t="s">
        <v>25</v>
      </c>
      <c r="C30" s="11">
        <f t="shared" ref="C30:I30" si="44">C19/C18</f>
        <v>0.23015294974508377</v>
      </c>
      <c r="D30" s="11">
        <f t="shared" si="44"/>
        <v>0.10630702102340341</v>
      </c>
      <c r="E30" s="11">
        <f t="shared" si="44"/>
        <v>0.18918697185987365</v>
      </c>
      <c r="F30" s="11">
        <f t="shared" si="44"/>
        <v>0.22373228116323249</v>
      </c>
      <c r="G30" s="11">
        <f t="shared" si="44"/>
        <v>0.1900177154740815</v>
      </c>
      <c r="H30" s="11">
        <f t="shared" si="44"/>
        <v>0.11590685470646113</v>
      </c>
      <c r="I30" s="11">
        <f t="shared" si="44"/>
        <v>0.15002494871652713</v>
      </c>
      <c r="J30" s="11">
        <f t="shared" ref="J30" si="45">J19/J18</f>
        <v>0.1791317472296142</v>
      </c>
      <c r="L30" s="11">
        <f>L19/L18</f>
        <v>0.12557993237398757</v>
      </c>
      <c r="M30" s="11">
        <f t="shared" ref="M30:O30" si="46">M19/M18</f>
        <v>0.54194743935309975</v>
      </c>
      <c r="N30" s="11">
        <f t="shared" si="46"/>
        <v>0.18957850733551668</v>
      </c>
      <c r="O30" s="11">
        <f t="shared" si="46"/>
        <v>0.15717470083687474</v>
      </c>
      <c r="P30" s="11">
        <f t="shared" ref="P30" si="47">P19/P18</f>
        <v>0.15</v>
      </c>
    </row>
  </sheetData>
  <phoneticPr fontId="4" type="noConversion"/>
  <hyperlinks>
    <hyperlink ref="A1" location="Main!A1" display="Main" xr:uid="{10B04CBF-0739-3C4D-A01E-5866B552E4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 Pussurmanov</dc:creator>
  <cp:lastModifiedBy>Ayan Pussurmanov</cp:lastModifiedBy>
  <dcterms:created xsi:type="dcterms:W3CDTF">2025-01-05T15:48:32Z</dcterms:created>
  <dcterms:modified xsi:type="dcterms:W3CDTF">2025-01-06T09:53:28Z</dcterms:modified>
</cp:coreProperties>
</file>