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D2035AA7-D14D-B344-9049-83D11D11BCD7}" xr6:coauthVersionLast="47" xr6:coauthVersionMax="47" xr10:uidLastSave="{00000000-0000-0000-0000-000000000000}"/>
  <bookViews>
    <workbookView xWindow="640" yWindow="740" windowWidth="13660" windowHeight="17260" activeTab="1" xr2:uid="{DBF0F2D7-224F-4F43-AC71-F2C48BF6EDF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2" l="1"/>
  <c r="R11" i="2"/>
  <c r="R8" i="2"/>
  <c r="F13" i="2"/>
  <c r="F12" i="2"/>
  <c r="F5" i="2"/>
  <c r="F6" i="2"/>
  <c r="F7" i="2"/>
  <c r="F8" i="2"/>
  <c r="L25" i="2"/>
  <c r="M25" i="2"/>
  <c r="L26" i="2"/>
  <c r="M26" i="2"/>
  <c r="L27" i="2"/>
  <c r="M27" i="2"/>
  <c r="M24" i="2"/>
  <c r="N24" i="2"/>
  <c r="L21" i="2"/>
  <c r="M21" i="2"/>
  <c r="L20" i="2"/>
  <c r="M20" i="2"/>
  <c r="N20" i="2"/>
  <c r="L18" i="2"/>
  <c r="M18" i="2"/>
  <c r="N18" i="2"/>
  <c r="L14" i="2"/>
  <c r="M14" i="2"/>
  <c r="N14" i="2"/>
  <c r="L15" i="2"/>
  <c r="M15" i="2"/>
  <c r="N15" i="2"/>
  <c r="L9" i="2"/>
  <c r="M9" i="2"/>
  <c r="L7" i="2"/>
  <c r="M7" i="2"/>
  <c r="P14" i="2"/>
  <c r="Q14" i="2"/>
  <c r="O14" i="2"/>
  <c r="N7" i="2"/>
  <c r="N9" i="2" s="1"/>
  <c r="N25" i="2" s="1"/>
  <c r="P7" i="2"/>
  <c r="P9" i="2" s="1"/>
  <c r="P25" i="2" s="1"/>
  <c r="Q7" i="2"/>
  <c r="R7" i="2"/>
  <c r="S7" i="2" s="1"/>
  <c r="S9" i="2" s="1"/>
  <c r="O7" i="2"/>
  <c r="O9" i="2" s="1"/>
  <c r="O25" i="2" s="1"/>
  <c r="L6" i="1"/>
  <c r="L5" i="1"/>
  <c r="V26" i="2"/>
  <c r="W26" i="2" s="1"/>
  <c r="X26" i="2" s="1"/>
  <c r="Y26" i="2" s="1"/>
  <c r="R22" i="2"/>
  <c r="S14" i="2"/>
  <c r="J22" i="2"/>
  <c r="J19" i="2"/>
  <c r="J17" i="2"/>
  <c r="R17" i="2" s="1"/>
  <c r="J11" i="2"/>
  <c r="J10" i="2"/>
  <c r="G24" i="2"/>
  <c r="H24" i="2"/>
  <c r="I24" i="2"/>
  <c r="F19" i="2"/>
  <c r="F17" i="2"/>
  <c r="F11" i="2"/>
  <c r="F10" i="2"/>
  <c r="C14" i="2"/>
  <c r="D14" i="2"/>
  <c r="E14" i="2"/>
  <c r="G14" i="2"/>
  <c r="H14" i="2"/>
  <c r="I14" i="2"/>
  <c r="K14" i="2"/>
  <c r="C9" i="2"/>
  <c r="C25" i="2" s="1"/>
  <c r="D9" i="2"/>
  <c r="D25" i="2" s="1"/>
  <c r="E9" i="2"/>
  <c r="E25" i="2" s="1"/>
  <c r="G9" i="2"/>
  <c r="G25" i="2" s="1"/>
  <c r="H9" i="2"/>
  <c r="I9" i="2"/>
  <c r="I25" i="2" s="1"/>
  <c r="K9" i="2"/>
  <c r="L4" i="1"/>
  <c r="J24" i="2" l="1"/>
  <c r="P24" i="2"/>
  <c r="O15" i="2"/>
  <c r="O24" i="2"/>
  <c r="K15" i="2"/>
  <c r="K18" i="2" s="1"/>
  <c r="K20" i="2" s="1"/>
  <c r="K21" i="2" s="1"/>
  <c r="G15" i="2"/>
  <c r="G18" i="2" s="1"/>
  <c r="G20" i="2" s="1"/>
  <c r="G21" i="2" s="1"/>
  <c r="P15" i="2"/>
  <c r="F9" i="2"/>
  <c r="F25" i="2" s="1"/>
  <c r="R10" i="2"/>
  <c r="R14" i="2" s="1"/>
  <c r="J9" i="2"/>
  <c r="J25" i="2" s="1"/>
  <c r="R9" i="2"/>
  <c r="R25" i="2" s="1"/>
  <c r="H15" i="2"/>
  <c r="H18" i="2" s="1"/>
  <c r="J14" i="2"/>
  <c r="R24" i="2"/>
  <c r="F14" i="2"/>
  <c r="S15" i="2"/>
  <c r="H25" i="2"/>
  <c r="C15" i="2"/>
  <c r="C18" i="2" s="1"/>
  <c r="T7" i="2"/>
  <c r="U7" i="2" s="1"/>
  <c r="U20" i="2" s="1"/>
  <c r="L7" i="1"/>
  <c r="Q24" i="2"/>
  <c r="I15" i="2"/>
  <c r="I18" i="2" s="1"/>
  <c r="E15" i="2"/>
  <c r="E18" i="2" s="1"/>
  <c r="D15" i="2"/>
  <c r="D18" i="2" s="1"/>
  <c r="P18" i="2" l="1"/>
  <c r="P20" i="2" s="1"/>
  <c r="O18" i="2"/>
  <c r="G26" i="2"/>
  <c r="G27" i="2"/>
  <c r="F15" i="2"/>
  <c r="F18" i="2" s="1"/>
  <c r="F20" i="2" s="1"/>
  <c r="F21" i="2" s="1"/>
  <c r="P27" i="2"/>
  <c r="J15" i="2"/>
  <c r="J18" i="2" s="1"/>
  <c r="J20" i="2" s="1"/>
  <c r="R15" i="2"/>
  <c r="R18" i="2" s="1"/>
  <c r="Q9" i="2"/>
  <c r="Q25" i="2" s="1"/>
  <c r="H20" i="2"/>
  <c r="H27" i="2"/>
  <c r="C20" i="2"/>
  <c r="C27" i="2"/>
  <c r="D20" i="2"/>
  <c r="D27" i="2"/>
  <c r="E20" i="2"/>
  <c r="E27" i="2"/>
  <c r="I20" i="2"/>
  <c r="I27" i="2"/>
  <c r="T9" i="2"/>
  <c r="V7" i="2"/>
  <c r="W7" i="2" s="1"/>
  <c r="U9" i="2"/>
  <c r="T20" i="2"/>
  <c r="O20" i="2" l="1"/>
  <c r="O26" i="2" s="1"/>
  <c r="O27" i="2"/>
  <c r="N27" i="2"/>
  <c r="N21" i="2"/>
  <c r="N26" i="2"/>
  <c r="P26" i="2"/>
  <c r="P21" i="2"/>
  <c r="F27" i="2"/>
  <c r="F26" i="2"/>
  <c r="Q15" i="2"/>
  <c r="Q18" i="2" s="1"/>
  <c r="Q20" i="2" s="1"/>
  <c r="J27" i="2"/>
  <c r="D21" i="2"/>
  <c r="D26" i="2"/>
  <c r="I21" i="2"/>
  <c r="I26" i="2"/>
  <c r="C21" i="2"/>
  <c r="C26" i="2"/>
  <c r="E21" i="2"/>
  <c r="E26" i="2"/>
  <c r="H21" i="2"/>
  <c r="H26" i="2"/>
  <c r="V20" i="2"/>
  <c r="X7" i="2"/>
  <c r="W20" i="2"/>
  <c r="J21" i="2"/>
  <c r="J26" i="2"/>
  <c r="O21" i="2" l="1"/>
  <c r="Q27" i="2"/>
  <c r="R27" i="2" s="1"/>
  <c r="Q21" i="2"/>
  <c r="Q26" i="2"/>
  <c r="Y7" i="2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X20" i="2"/>
  <c r="R20" i="2" l="1"/>
  <c r="R21" i="2" s="1"/>
  <c r="R26" i="2" l="1"/>
  <c r="S20" i="2" s="1"/>
  <c r="L12" i="1" s="1"/>
  <c r="L13" i="1" s="1"/>
  <c r="L15" i="1" s="1"/>
</calcChain>
</file>

<file path=xl/sharedStrings.xml><?xml version="1.0" encoding="utf-8"?>
<sst xmlns="http://schemas.openxmlformats.org/spreadsheetml/2006/main" count="44" uniqueCount="40">
  <si>
    <t>Main</t>
  </si>
  <si>
    <t>Price</t>
  </si>
  <si>
    <t>Shares</t>
  </si>
  <si>
    <t>Q324</t>
  </si>
  <si>
    <t>MC</t>
  </si>
  <si>
    <t>Cash</t>
  </si>
  <si>
    <t>Debt</t>
  </si>
  <si>
    <t>EV</t>
  </si>
  <si>
    <t>growth</t>
  </si>
  <si>
    <t>discount</t>
  </si>
  <si>
    <t>NPV</t>
  </si>
  <si>
    <t>price target</t>
  </si>
  <si>
    <t>Revenue</t>
  </si>
  <si>
    <t>COGS</t>
  </si>
  <si>
    <t>Gross profit</t>
  </si>
  <si>
    <t>R&amp;D</t>
  </si>
  <si>
    <t>SG&amp;A</t>
  </si>
  <si>
    <t>OPINC</t>
  </si>
  <si>
    <t>OPEX</t>
  </si>
  <si>
    <t>Pretax</t>
  </si>
  <si>
    <t>Tax</t>
  </si>
  <si>
    <t>Net income</t>
  </si>
  <si>
    <t>EPS</t>
  </si>
  <si>
    <t>other</t>
  </si>
  <si>
    <t>Revenue Growth%</t>
  </si>
  <si>
    <t>Gross margin%</t>
  </si>
  <si>
    <t>Profit margin%</t>
  </si>
  <si>
    <t>Tax%</t>
  </si>
  <si>
    <t>Q424</t>
  </si>
  <si>
    <t>Q323</t>
  </si>
  <si>
    <t>Q423</t>
  </si>
  <si>
    <t>Q124</t>
  </si>
  <si>
    <t>Q224</t>
  </si>
  <si>
    <t>Q123</t>
  </si>
  <si>
    <t>Q223</t>
  </si>
  <si>
    <t>Products</t>
  </si>
  <si>
    <t>Services</t>
  </si>
  <si>
    <t>Amortization</t>
  </si>
  <si>
    <t>restruct and other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</si>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</sst>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ArialMT"/>
      <family val="2"/>
    </font>
    <font>
      <sz val="12"/>
      <color theme="1"/>
      <name val="ArialMT"/>
      <family val="2"/>
    </font>
    <font>
      <u/>
      <sz val="12"/>
      <color theme="10"/>
      <name val="ArialMT"/>
      <family val="2"/>
    </font>
    <font>
      <sz val="12"/>
      <color theme="1"/>
      <name val="Arial"/>
      <family val="2"/>
    </font>
    <font>
      <sz val="8"/>
      <name val="ArialMT"/>
      <family val="2"/>
    </font>
    <font>
      <b/>
      <sz val="12"/>
      <color theme="1"/>
      <name val="ArialMT"/>
    </font>
    <font>
      <i/>
      <sz val="12"/>
      <color theme="1"/>
      <name val="ArialMT"/>
    </font>
    <font>
      <b/>
      <i/>
      <sz val="12"/>
      <color theme="1"/>
      <name val="ArialMT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3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9" fontId="3" fillId="0" borderId="0" xfId="0" applyNumberFormat="1" applyFont="1"/>
    <xf numFmtId="4" fontId="3" fillId="0" borderId="0" xfId="1" applyNumberFormat="1" applyFont="1"/>
    <xf numFmtId="4" fontId="0" fillId="0" borderId="0" xfId="0" applyNumberFormat="1"/>
    <xf numFmtId="3" fontId="0" fillId="0" borderId="0" xfId="0" applyNumberFormat="1"/>
    <xf numFmtId="9" fontId="0" fillId="0" borderId="0" xfId="2" applyFont="1"/>
    <xf numFmtId="10" fontId="0" fillId="0" borderId="0" xfId="2" applyNumberFormat="1" applyFont="1"/>
    <xf numFmtId="10" fontId="0" fillId="0" borderId="0" xfId="0" applyNumberFormat="1"/>
    <xf numFmtId="9" fontId="0" fillId="0" borderId="0" xfId="0" applyNumberForma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3" fontId="8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2251-463A-6244-AA60-5FF02613DB68}">
  <dimension ref="K2:M15"/>
  <sheetViews>
    <sheetView topLeftCell="F1" workbookViewId="0">
      <selection activeCell="L7" sqref="L7"/>
    </sheetView>
  </sheetViews>
  <sheetFormatPr baseColWidth="10" defaultRowHeight="16"/>
  <cols>
    <col min="12" max="12" width="11.28515625" bestFit="1" customWidth="1"/>
  </cols>
  <sheetData>
    <row r="2" spans="11:13">
      <c r="K2" s="2" t="s">
        <v>1</v>
      </c>
      <c r="L2" s="3">
        <v>227</v>
      </c>
    </row>
    <row r="3" spans="11:13">
      <c r="K3" s="2" t="s">
        <v>2</v>
      </c>
      <c r="L3" s="4">
        <v>4687</v>
      </c>
      <c r="M3" t="s">
        <v>28</v>
      </c>
    </row>
    <row r="4" spans="11:13">
      <c r="K4" s="2" t="s">
        <v>4</v>
      </c>
      <c r="L4" s="4">
        <f>L2*L3</f>
        <v>1063949</v>
      </c>
    </row>
    <row r="5" spans="11:13">
      <c r="K5" s="2" t="s">
        <v>5</v>
      </c>
      <c r="L5" s="4">
        <f>9348+1760</f>
        <v>11108</v>
      </c>
      <c r="M5" t="s">
        <v>28</v>
      </c>
    </row>
    <row r="6" spans="11:13">
      <c r="K6" s="2" t="s">
        <v>6</v>
      </c>
      <c r="L6" s="4">
        <f>1271+66295</f>
        <v>67566</v>
      </c>
      <c r="M6" t="s">
        <v>28</v>
      </c>
    </row>
    <row r="7" spans="11:13">
      <c r="K7" s="2" t="s">
        <v>7</v>
      </c>
      <c r="L7" s="4">
        <f>L4-L5+L6</f>
        <v>1120407</v>
      </c>
    </row>
    <row r="8" spans="11:13">
      <c r="K8" s="2"/>
      <c r="L8" s="2"/>
    </row>
    <row r="9" spans="11:13">
      <c r="K9" s="2"/>
      <c r="L9" s="2"/>
    </row>
    <row r="10" spans="11:13">
      <c r="K10" s="2" t="s">
        <v>8</v>
      </c>
      <c r="L10" s="5">
        <v>0</v>
      </c>
    </row>
    <row r="11" spans="11:13">
      <c r="K11" s="2" t="s">
        <v>9</v>
      </c>
      <c r="L11" s="6">
        <v>0.08</v>
      </c>
    </row>
    <row r="12" spans="11:13">
      <c r="K12" s="2" t="s">
        <v>10</v>
      </c>
      <c r="L12" s="3">
        <f>NPV(L11,Model!R20:EO20)+L5-L6</f>
        <v>406151.50558450882</v>
      </c>
    </row>
    <row r="13" spans="11:13">
      <c r="K13" s="2" t="s">
        <v>11</v>
      </c>
      <c r="L13" s="7">
        <f>L12/L3</f>
        <v>86.654897713784692</v>
      </c>
    </row>
    <row r="15" spans="11:13">
      <c r="L15" s="10">
        <f>L13/L2-1</f>
        <v>-0.61826036249434058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E4A2-9F6A-FC45-8126-BDDA495ABCCF}">
  <dimension ref="A1:EO27"/>
  <sheetViews>
    <sheetView tabSelected="1" workbookViewId="0">
      <pane xSplit="2" ySplit="4" topLeftCell="O5" activePane="bottomRight" state="frozen"/>
      <selection pane="topRight" activeCell="C1" sqref="C1"/>
      <selection pane="bottomLeft" activeCell="A5" sqref="A5"/>
      <selection pane="bottomRight" activeCell="S28" sqref="S28"/>
    </sheetView>
  </sheetViews>
  <sheetFormatPr baseColWidth="10" defaultRowHeight="16"/>
  <cols>
    <col min="2" max="2" width="15.7109375" bestFit="1" customWidth="1"/>
    <col min="3" max="3" width="11.5703125" customWidth="1"/>
  </cols>
  <sheetData>
    <row r="1" spans="1:25">
      <c r="A1" s="1" t="s">
        <v>0</v>
      </c>
    </row>
    <row r="4" spans="1:25">
      <c r="C4" t="s">
        <v>33</v>
      </c>
      <c r="D4" t="s">
        <v>34</v>
      </c>
      <c r="E4" t="s">
        <v>29</v>
      </c>
      <c r="F4" t="s">
        <v>30</v>
      </c>
      <c r="G4" t="s">
        <v>31</v>
      </c>
      <c r="H4" t="s">
        <v>32</v>
      </c>
      <c r="I4" t="s">
        <v>3</v>
      </c>
      <c r="J4" t="s">
        <v>28</v>
      </c>
      <c r="L4">
        <v>2019</v>
      </c>
      <c r="M4">
        <v>2020</v>
      </c>
      <c r="N4">
        <v>2021</v>
      </c>
      <c r="O4">
        <v>2022</v>
      </c>
      <c r="P4">
        <v>2023</v>
      </c>
      <c r="Q4">
        <v>2024</v>
      </c>
      <c r="R4">
        <v>2025</v>
      </c>
      <c r="S4">
        <v>2026</v>
      </c>
      <c r="T4">
        <v>2027</v>
      </c>
      <c r="U4">
        <v>2028</v>
      </c>
      <c r="V4">
        <v>2029</v>
      </c>
      <c r="W4">
        <v>2030</v>
      </c>
      <c r="X4">
        <v>2031</v>
      </c>
      <c r="Y4">
        <v>2032</v>
      </c>
    </row>
    <row r="5" spans="1:25">
      <c r="B5" t="s">
        <v>35</v>
      </c>
      <c r="F5" s="9">
        <f>P5-SUM(C5:E5)</f>
        <v>27891</v>
      </c>
      <c r="L5">
        <v>18117</v>
      </c>
      <c r="M5">
        <v>17435</v>
      </c>
      <c r="N5" s="9">
        <v>20886</v>
      </c>
      <c r="O5" s="9">
        <v>26277</v>
      </c>
      <c r="P5" s="9">
        <v>27891</v>
      </c>
      <c r="Q5" s="9">
        <v>30359</v>
      </c>
      <c r="R5" s="9">
        <v>31000</v>
      </c>
    </row>
    <row r="6" spans="1:25">
      <c r="B6" t="s">
        <v>36</v>
      </c>
      <c r="F6" s="9">
        <f>P6-SUM(C6:E6)</f>
        <v>7928</v>
      </c>
      <c r="L6">
        <v>4480</v>
      </c>
      <c r="M6">
        <v>6453</v>
      </c>
      <c r="N6" s="9">
        <v>6564</v>
      </c>
      <c r="O6" s="9">
        <v>6926</v>
      </c>
      <c r="P6" s="9">
        <v>7928</v>
      </c>
      <c r="Q6" s="9">
        <v>21215</v>
      </c>
      <c r="R6" s="9">
        <v>30600</v>
      </c>
    </row>
    <row r="7" spans="1:25" s="18" customFormat="1">
      <c r="B7" s="18" t="s">
        <v>12</v>
      </c>
      <c r="C7" s="19"/>
      <c r="D7" s="19"/>
      <c r="E7" s="19"/>
      <c r="F7" s="9">
        <f>P7-SUM(C7:E7)</f>
        <v>35819</v>
      </c>
      <c r="G7" s="19"/>
      <c r="H7" s="19"/>
      <c r="I7" s="19"/>
      <c r="J7" s="19"/>
      <c r="K7" s="19"/>
      <c r="L7" s="19">
        <f t="shared" ref="L7:M7" si="0">SUM(L5:L6)</f>
        <v>22597</v>
      </c>
      <c r="M7" s="19">
        <f t="shared" si="0"/>
        <v>23888</v>
      </c>
      <c r="N7" s="19">
        <f>SUM(N5:N6)</f>
        <v>27450</v>
      </c>
      <c r="O7" s="19">
        <f>SUM(O5:O6)</f>
        <v>33203</v>
      </c>
      <c r="P7" s="19">
        <f t="shared" ref="P7:R7" si="1">SUM(P5:P6)</f>
        <v>35819</v>
      </c>
      <c r="Q7" s="19">
        <f t="shared" si="1"/>
        <v>51574</v>
      </c>
      <c r="R7" s="19">
        <f t="shared" si="1"/>
        <v>61600</v>
      </c>
      <c r="S7" s="19">
        <f>R7*(1+S24)</f>
        <v>72072</v>
      </c>
      <c r="T7" s="19">
        <f>S7*(1+T24)</f>
        <v>82882.799999999988</v>
      </c>
      <c r="U7" s="19">
        <f>T7*(1+U24)</f>
        <v>95315.219999999972</v>
      </c>
      <c r="V7" s="19">
        <f>U7*(1+V24)</f>
        <v>104846.74199999998</v>
      </c>
      <c r="W7" s="19">
        <f>V7*(1+W24)</f>
        <v>110089.07909999999</v>
      </c>
      <c r="X7" s="19">
        <f>W7*(1+X24)</f>
        <v>115593.53305499999</v>
      </c>
      <c r="Y7" s="19">
        <f>X7*(1+Y24)</f>
        <v>117905.4037161</v>
      </c>
    </row>
    <row r="8" spans="1:25" s="20" customFormat="1">
      <c r="B8" s="20" t="s">
        <v>13</v>
      </c>
      <c r="C8" s="21"/>
      <c r="D8" s="21"/>
      <c r="E8" s="21"/>
      <c r="F8" s="9">
        <f>P8-SUM(C8:E8)</f>
        <v>11129</v>
      </c>
      <c r="G8" s="21"/>
      <c r="H8" s="21"/>
      <c r="I8" s="21"/>
      <c r="J8" s="21"/>
      <c r="K8" s="21"/>
      <c r="L8" s="21">
        <v>10114</v>
      </c>
      <c r="M8" s="21">
        <v>10372</v>
      </c>
      <c r="N8" s="21">
        <v>10606</v>
      </c>
      <c r="O8" s="21">
        <v>11108</v>
      </c>
      <c r="P8" s="21">
        <v>11129</v>
      </c>
      <c r="Q8" s="21">
        <v>19065</v>
      </c>
      <c r="R8" s="21">
        <f>Q8*1.2</f>
        <v>22878</v>
      </c>
    </row>
    <row r="9" spans="1:25" s="16" customFormat="1">
      <c r="B9" s="16" t="s">
        <v>14</v>
      </c>
      <c r="C9" s="17">
        <f t="shared" ref="C9:M9" si="2">C7-C8</f>
        <v>0</v>
      </c>
      <c r="D9" s="17">
        <f t="shared" si="2"/>
        <v>0</v>
      </c>
      <c r="E9" s="17">
        <f t="shared" si="2"/>
        <v>0</v>
      </c>
      <c r="F9" s="17">
        <f t="shared" si="2"/>
        <v>24690</v>
      </c>
      <c r="G9" s="17">
        <f t="shared" si="2"/>
        <v>0</v>
      </c>
      <c r="H9" s="17">
        <f t="shared" si="2"/>
        <v>0</v>
      </c>
      <c r="I9" s="17">
        <f t="shared" si="2"/>
        <v>0</v>
      </c>
      <c r="J9" s="17">
        <f t="shared" si="2"/>
        <v>0</v>
      </c>
      <c r="K9" s="17">
        <f t="shared" si="2"/>
        <v>0</v>
      </c>
      <c r="L9" s="17">
        <f t="shared" si="2"/>
        <v>12483</v>
      </c>
      <c r="M9" s="17">
        <f t="shared" si="2"/>
        <v>13516</v>
      </c>
      <c r="N9" s="17">
        <f>N7-N8</f>
        <v>16844</v>
      </c>
      <c r="O9" s="17">
        <f t="shared" ref="O9:Q9" si="3">O7-O8</f>
        <v>22095</v>
      </c>
      <c r="P9" s="17">
        <f t="shared" si="3"/>
        <v>24690</v>
      </c>
      <c r="Q9" s="17">
        <f t="shared" si="3"/>
        <v>32509</v>
      </c>
      <c r="R9" s="17">
        <f t="shared" ref="R9" si="4">R7-R8</f>
        <v>38722</v>
      </c>
      <c r="S9" s="17">
        <f t="shared" ref="S9" si="5">S7-S8</f>
        <v>72072</v>
      </c>
      <c r="T9" s="17">
        <f t="shared" ref="T9" si="6">T7-T8</f>
        <v>82882.799999999988</v>
      </c>
      <c r="U9" s="17">
        <f t="shared" ref="U9" si="7">U7-U8</f>
        <v>95315.219999999972</v>
      </c>
    </row>
    <row r="10" spans="1:25">
      <c r="B10" t="s">
        <v>15</v>
      </c>
      <c r="C10" s="9">
        <v>1875</v>
      </c>
      <c r="D10" s="9">
        <v>2040</v>
      </c>
      <c r="E10" s="9">
        <v>2294</v>
      </c>
      <c r="F10" s="9">
        <f>P10-SUM(C10:E10)</f>
        <v>-956</v>
      </c>
      <c r="G10" s="9">
        <v>2720</v>
      </c>
      <c r="H10" s="9">
        <v>3090</v>
      </c>
      <c r="I10" s="9">
        <v>3390</v>
      </c>
      <c r="J10" s="9">
        <f>I10</f>
        <v>3390</v>
      </c>
      <c r="K10" s="9"/>
      <c r="L10" s="9">
        <v>4696</v>
      </c>
      <c r="M10" s="9">
        <v>4968</v>
      </c>
      <c r="N10" s="9">
        <v>4854</v>
      </c>
      <c r="O10" s="9">
        <v>4919</v>
      </c>
      <c r="P10" s="9">
        <v>5253</v>
      </c>
      <c r="Q10" s="9">
        <v>9310</v>
      </c>
      <c r="R10" s="9">
        <f>Q10*1.1</f>
        <v>10241</v>
      </c>
    </row>
    <row r="11" spans="1:25">
      <c r="B11" t="s">
        <v>16</v>
      </c>
      <c r="C11" s="9">
        <v>633</v>
      </c>
      <c r="D11" s="9">
        <v>622</v>
      </c>
      <c r="E11" s="9">
        <v>689</v>
      </c>
      <c r="F11" s="9">
        <f>P11-SUM(C11:E11)</f>
        <v>-352</v>
      </c>
      <c r="G11" s="9">
        <v>777</v>
      </c>
      <c r="H11" s="9">
        <v>842</v>
      </c>
      <c r="I11" s="9">
        <v>897</v>
      </c>
      <c r="J11" s="9">
        <f>I11</f>
        <v>897</v>
      </c>
      <c r="K11" s="9"/>
      <c r="L11" s="9">
        <v>1709</v>
      </c>
      <c r="M11" s="9">
        <v>1935</v>
      </c>
      <c r="N11" s="9">
        <v>1347</v>
      </c>
      <c r="O11" s="9">
        <v>1382</v>
      </c>
      <c r="P11" s="9">
        <v>1592</v>
      </c>
      <c r="Q11" s="9">
        <v>4959</v>
      </c>
      <c r="R11" s="9">
        <f>Q11*0.8</f>
        <v>3967.2000000000003</v>
      </c>
    </row>
    <row r="12" spans="1:25">
      <c r="B12" t="s">
        <v>37</v>
      </c>
      <c r="C12" s="9"/>
      <c r="D12" s="9"/>
      <c r="E12" s="9"/>
      <c r="F12" s="9">
        <f>P12-SUM(C12:E12)</f>
        <v>1394</v>
      </c>
      <c r="G12" s="9"/>
      <c r="H12" s="9"/>
      <c r="I12" s="9"/>
      <c r="J12" s="9"/>
      <c r="K12" s="9"/>
      <c r="L12" s="9">
        <v>1898</v>
      </c>
      <c r="M12" s="9">
        <v>2401</v>
      </c>
      <c r="N12" s="9">
        <v>1976</v>
      </c>
      <c r="O12" s="9">
        <v>1512</v>
      </c>
      <c r="P12" s="9">
        <v>1394</v>
      </c>
      <c r="Q12" s="9">
        <v>3244</v>
      </c>
      <c r="R12" s="9"/>
    </row>
    <row r="13" spans="1:25">
      <c r="B13" t="s">
        <v>38</v>
      </c>
      <c r="C13" s="9"/>
      <c r="D13" s="9"/>
      <c r="E13" s="9"/>
      <c r="F13" s="9">
        <f>P13-SUM(C13:E13)</f>
        <v>244</v>
      </c>
      <c r="G13" s="9"/>
      <c r="H13" s="9"/>
      <c r="I13" s="9"/>
      <c r="J13" s="9"/>
      <c r="K13" s="9"/>
      <c r="L13" s="9">
        <v>736</v>
      </c>
      <c r="M13" s="9">
        <v>198</v>
      </c>
      <c r="N13" s="9">
        <v>148</v>
      </c>
      <c r="O13" s="9">
        <v>57</v>
      </c>
      <c r="P13" s="9">
        <v>244</v>
      </c>
      <c r="Q13" s="9">
        <v>1533</v>
      </c>
      <c r="R13" s="9"/>
    </row>
    <row r="14" spans="1:25" s="16" customFormat="1">
      <c r="B14" s="16" t="s">
        <v>18</v>
      </c>
      <c r="C14" s="17">
        <f t="shared" ref="C14:K14" si="8">SUM(C10:C11)</f>
        <v>2508</v>
      </c>
      <c r="D14" s="17">
        <f t="shared" si="8"/>
        <v>2662</v>
      </c>
      <c r="E14" s="17">
        <f t="shared" si="8"/>
        <v>2983</v>
      </c>
      <c r="F14" s="17">
        <f t="shared" si="8"/>
        <v>-1308</v>
      </c>
      <c r="G14" s="17">
        <f t="shared" si="8"/>
        <v>3497</v>
      </c>
      <c r="H14" s="17">
        <f t="shared" si="8"/>
        <v>3932</v>
      </c>
      <c r="I14" s="17">
        <f t="shared" si="8"/>
        <v>4287</v>
      </c>
      <c r="J14" s="17">
        <f t="shared" si="8"/>
        <v>4287</v>
      </c>
      <c r="K14" s="17">
        <f t="shared" si="8"/>
        <v>0</v>
      </c>
      <c r="L14" s="17">
        <f t="shared" ref="L14:N14" si="9">SUM(L10:L13)</f>
        <v>9039</v>
      </c>
      <c r="M14" s="17">
        <f t="shared" si="9"/>
        <v>9502</v>
      </c>
      <c r="N14" s="17">
        <f t="shared" si="9"/>
        <v>8325</v>
      </c>
      <c r="O14" s="17">
        <f>SUM(O10:O13)</f>
        <v>7870</v>
      </c>
      <c r="P14" s="17">
        <f t="shared" ref="P14:R14" si="10">SUM(P10:P13)</f>
        <v>8483</v>
      </c>
      <c r="Q14" s="17">
        <f t="shared" si="10"/>
        <v>19046</v>
      </c>
      <c r="R14" s="17">
        <f t="shared" si="10"/>
        <v>14208.2</v>
      </c>
      <c r="S14" s="17">
        <f t="shared" ref="S14" si="11">SUM(S10:S11)</f>
        <v>0</v>
      </c>
    </row>
    <row r="15" spans="1:25" s="16" customFormat="1">
      <c r="B15" s="16" t="s">
        <v>17</v>
      </c>
      <c r="C15" s="17">
        <f t="shared" ref="C15:N15" si="12">C9-C14</f>
        <v>-2508</v>
      </c>
      <c r="D15" s="17">
        <f t="shared" si="12"/>
        <v>-2662</v>
      </c>
      <c r="E15" s="17">
        <f t="shared" si="12"/>
        <v>-2983</v>
      </c>
      <c r="F15" s="17">
        <f t="shared" si="12"/>
        <v>25998</v>
      </c>
      <c r="G15" s="17">
        <f t="shared" si="12"/>
        <v>-3497</v>
      </c>
      <c r="H15" s="17">
        <f t="shared" si="12"/>
        <v>-3932</v>
      </c>
      <c r="I15" s="17">
        <f t="shared" si="12"/>
        <v>-4287</v>
      </c>
      <c r="J15" s="17">
        <f t="shared" si="12"/>
        <v>-4287</v>
      </c>
      <c r="K15" s="17">
        <f t="shared" si="12"/>
        <v>0</v>
      </c>
      <c r="L15" s="17">
        <f t="shared" si="12"/>
        <v>3444</v>
      </c>
      <c r="M15" s="17">
        <f t="shared" si="12"/>
        <v>4014</v>
      </c>
      <c r="N15" s="17">
        <f t="shared" si="12"/>
        <v>8519</v>
      </c>
      <c r="O15" s="17">
        <f t="shared" ref="O15:Q15" si="13">O9-O14</f>
        <v>14225</v>
      </c>
      <c r="P15" s="17">
        <f t="shared" si="13"/>
        <v>16207</v>
      </c>
      <c r="Q15" s="17">
        <f t="shared" si="13"/>
        <v>13463</v>
      </c>
      <c r="R15" s="17">
        <f t="shared" ref="R15" si="14">R9-R14</f>
        <v>24513.8</v>
      </c>
      <c r="S15" s="17">
        <f t="shared" ref="S15" si="15">S9-S14</f>
        <v>72072</v>
      </c>
    </row>
    <row r="16" spans="1:25" s="20" customFormat="1">
      <c r="B16" s="20" t="s">
        <v>39</v>
      </c>
      <c r="C16" s="21"/>
      <c r="D16" s="21"/>
      <c r="E16" s="21"/>
      <c r="F16" s="21"/>
      <c r="G16" s="21"/>
      <c r="H16" s="21"/>
      <c r="I16" s="21"/>
      <c r="J16" s="21"/>
      <c r="K16" s="21"/>
      <c r="L16" s="21">
        <v>-1444</v>
      </c>
      <c r="M16" s="21">
        <v>-1777</v>
      </c>
      <c r="N16" s="21">
        <v>-1885</v>
      </c>
      <c r="O16" s="21">
        <v>-1737</v>
      </c>
      <c r="P16" s="21">
        <v>-1622</v>
      </c>
      <c r="Q16" s="21">
        <v>-3953</v>
      </c>
      <c r="R16" s="21"/>
      <c r="S16" s="21"/>
    </row>
    <row r="17" spans="2:145">
      <c r="B17" t="s">
        <v>23</v>
      </c>
      <c r="C17" s="9">
        <v>69</v>
      </c>
      <c r="D17" s="9">
        <v>181</v>
      </c>
      <c r="E17" s="9">
        <v>105</v>
      </c>
      <c r="F17" s="9">
        <f>P17-SUM(C17:E17)</f>
        <v>157</v>
      </c>
      <c r="G17" s="9">
        <v>370</v>
      </c>
      <c r="H17" s="9">
        <v>572</v>
      </c>
      <c r="I17" s="9">
        <v>447</v>
      </c>
      <c r="J17" s="9">
        <f>I17</f>
        <v>447</v>
      </c>
      <c r="K17" s="9"/>
      <c r="L17" s="9">
        <v>226</v>
      </c>
      <c r="M17" s="9">
        <v>206</v>
      </c>
      <c r="N17" s="9">
        <v>131</v>
      </c>
      <c r="O17" s="9">
        <v>-54</v>
      </c>
      <c r="P17" s="9">
        <v>512</v>
      </c>
      <c r="Q17" s="9">
        <v>406</v>
      </c>
      <c r="R17" s="9">
        <f>Q17</f>
        <v>406</v>
      </c>
    </row>
    <row r="18" spans="2:145" s="16" customFormat="1">
      <c r="B18" s="16" t="s">
        <v>19</v>
      </c>
      <c r="C18" s="17">
        <f>C15+C17</f>
        <v>-2439</v>
      </c>
      <c r="D18" s="17">
        <f>D15+D17</f>
        <v>-2481</v>
      </c>
      <c r="E18" s="17">
        <f>E15+E17</f>
        <v>-2878</v>
      </c>
      <c r="F18" s="17">
        <f>F15+F17</f>
        <v>26155</v>
      </c>
      <c r="G18" s="17">
        <f>G15+G17</f>
        <v>-3127</v>
      </c>
      <c r="H18" s="17">
        <f>H15+H17</f>
        <v>-3360</v>
      </c>
      <c r="I18" s="17">
        <f>I15+I17</f>
        <v>-3840</v>
      </c>
      <c r="J18" s="17">
        <f>J15+J17</f>
        <v>-3840</v>
      </c>
      <c r="K18" s="17">
        <f>K15+K17</f>
        <v>0</v>
      </c>
      <c r="L18" s="17">
        <f t="shared" ref="L18:N18" si="16">SUM(L15:L17)</f>
        <v>2226</v>
      </c>
      <c r="M18" s="17">
        <f t="shared" si="16"/>
        <v>2443</v>
      </c>
      <c r="N18" s="17">
        <f t="shared" si="16"/>
        <v>6765</v>
      </c>
      <c r="O18" s="17">
        <f>SUM(O15:O17)</f>
        <v>12434</v>
      </c>
      <c r="P18" s="17">
        <f t="shared" ref="P18:R18" si="17">SUM(P15:P17)</f>
        <v>15097</v>
      </c>
      <c r="Q18" s="17">
        <f t="shared" si="17"/>
        <v>9916</v>
      </c>
      <c r="R18" s="17">
        <f t="shared" si="17"/>
        <v>24919.8</v>
      </c>
    </row>
    <row r="19" spans="2:145">
      <c r="B19" t="s">
        <v>20</v>
      </c>
      <c r="C19" s="9">
        <v>166</v>
      </c>
      <c r="D19" s="9">
        <v>793</v>
      </c>
      <c r="E19" s="9">
        <v>1279</v>
      </c>
      <c r="F19" s="9">
        <f>P19-SUM(C19:E19)</f>
        <v>-1223</v>
      </c>
      <c r="G19" s="9">
        <v>2398</v>
      </c>
      <c r="H19" s="9">
        <v>2615</v>
      </c>
      <c r="I19" s="9">
        <v>3007</v>
      </c>
      <c r="J19" s="9">
        <f>I19</f>
        <v>3007</v>
      </c>
      <c r="K19" s="9"/>
      <c r="L19" s="9">
        <v>-510</v>
      </c>
      <c r="M19" s="9">
        <v>-518</v>
      </c>
      <c r="N19" s="9">
        <v>29</v>
      </c>
      <c r="O19" s="9">
        <v>939</v>
      </c>
      <c r="P19" s="9">
        <v>1015</v>
      </c>
      <c r="Q19" s="9">
        <v>3748</v>
      </c>
      <c r="R19" s="9">
        <f>R18*0.15</f>
        <v>3737.97</v>
      </c>
    </row>
    <row r="20" spans="2:145" s="14" customFormat="1">
      <c r="B20" s="14" t="s">
        <v>21</v>
      </c>
      <c r="C20" s="15">
        <f>C18-C19</f>
        <v>-2605</v>
      </c>
      <c r="D20" s="15">
        <f>D18-D19</f>
        <v>-3274</v>
      </c>
      <c r="E20" s="15">
        <f>E18-E19</f>
        <v>-4157</v>
      </c>
      <c r="F20" s="15">
        <f>F18-F19</f>
        <v>27378</v>
      </c>
      <c r="G20" s="15">
        <f>G18-G19</f>
        <v>-5525</v>
      </c>
      <c r="H20" s="15">
        <f>H18-H19</f>
        <v>-5975</v>
      </c>
      <c r="I20" s="15">
        <f>I18-I19</f>
        <v>-6847</v>
      </c>
      <c r="J20" s="15">
        <f>J18-J19</f>
        <v>-6847</v>
      </c>
      <c r="K20" s="15">
        <f>K18-K19</f>
        <v>0</v>
      </c>
      <c r="L20" s="15">
        <f>L18-L19-29-12</f>
        <v>2695</v>
      </c>
      <c r="M20" s="15">
        <f>M18-M19-297-1</f>
        <v>2663</v>
      </c>
      <c r="N20" s="15">
        <f>N18-N19-299</f>
        <v>6437</v>
      </c>
      <c r="O20" s="15">
        <f>O18-O19-272</f>
        <v>11223</v>
      </c>
      <c r="P20" s="15">
        <f>P18-P19</f>
        <v>14082</v>
      </c>
      <c r="Q20" s="15">
        <f>Q18-Q19-273</f>
        <v>5895</v>
      </c>
      <c r="R20" s="15">
        <f>R18-R19</f>
        <v>21181.829999999998</v>
      </c>
      <c r="S20" s="15">
        <f>S7*S26</f>
        <v>25225.199999999997</v>
      </c>
      <c r="T20" s="15">
        <f>T7*T26</f>
        <v>29008.979999999992</v>
      </c>
      <c r="U20" s="15">
        <f>U7*U26</f>
        <v>33360.32699999999</v>
      </c>
      <c r="V20" s="15">
        <f>V7*V26</f>
        <v>36696.359699999994</v>
      </c>
      <c r="W20" s="15">
        <f>W7*W26</f>
        <v>38531.177684999995</v>
      </c>
      <c r="X20" s="15">
        <f>X7*X26</f>
        <v>40457.736569249995</v>
      </c>
      <c r="Y20" s="15">
        <f>Y7*Y26</f>
        <v>41266.891300634998</v>
      </c>
      <c r="Z20" s="15">
        <f>Y20*(1+Main!$L$10)</f>
        <v>41266.891300634998</v>
      </c>
      <c r="AA20" s="15">
        <f>Z20*(1+Main!$L$10)</f>
        <v>41266.891300634998</v>
      </c>
      <c r="AB20" s="15">
        <f>AA20*(1+Main!$L$10)</f>
        <v>41266.891300634998</v>
      </c>
      <c r="AC20" s="15">
        <f>AB20*(1+Main!$L$10)</f>
        <v>41266.891300634998</v>
      </c>
      <c r="AD20" s="15">
        <f>AC20*(1+Main!$L$10)</f>
        <v>41266.891300634998</v>
      </c>
      <c r="AE20" s="15">
        <f>AD20*(1+Main!$L$10)</f>
        <v>41266.891300634998</v>
      </c>
      <c r="AF20" s="15">
        <f>AE20*(1+Main!$L$10)</f>
        <v>41266.891300634998</v>
      </c>
      <c r="AG20" s="15">
        <f>AF20*(1+Main!$L$10)</f>
        <v>41266.891300634998</v>
      </c>
      <c r="AH20" s="15">
        <f>AG20*(1+Main!$L$10)</f>
        <v>41266.891300634998</v>
      </c>
      <c r="AI20" s="15">
        <f>AH20*(1+Main!$L$10)</f>
        <v>41266.891300634998</v>
      </c>
      <c r="AJ20" s="15">
        <f>AI20*(1+Main!$L$10)</f>
        <v>41266.891300634998</v>
      </c>
      <c r="AK20" s="15">
        <f>AJ20*(1+Main!$L$10)</f>
        <v>41266.891300634998</v>
      </c>
      <c r="AL20" s="15">
        <f>AK20*(1+Main!$L$10)</f>
        <v>41266.891300634998</v>
      </c>
      <c r="AM20" s="15">
        <f>AL20*(1+Main!$L$10)</f>
        <v>41266.891300634998</v>
      </c>
      <c r="AN20" s="15">
        <f>AM20*(1+Main!$L$10)</f>
        <v>41266.891300634998</v>
      </c>
      <c r="AO20" s="15">
        <f>AN20*(1+Main!$L$10)</f>
        <v>41266.891300634998</v>
      </c>
      <c r="AP20" s="15">
        <f>AO20*(1+Main!$L$10)</f>
        <v>41266.891300634998</v>
      </c>
      <c r="AQ20" s="15">
        <f>AP20*(1+Main!$L$10)</f>
        <v>41266.891300634998</v>
      </c>
      <c r="AR20" s="15">
        <f>AQ20*(1+Main!$L$10)</f>
        <v>41266.891300634998</v>
      </c>
      <c r="AS20" s="15">
        <f>AR20*(1+Main!$L$10)</f>
        <v>41266.891300634998</v>
      </c>
      <c r="AT20" s="15">
        <f>AS20*(1+Main!$L$10)</f>
        <v>41266.891300634998</v>
      </c>
      <c r="AU20" s="15">
        <f>AT20*(1+Main!$L$10)</f>
        <v>41266.891300634998</v>
      </c>
      <c r="AV20" s="15">
        <f>AU20*(1+Main!$L$10)</f>
        <v>41266.891300634998</v>
      </c>
      <c r="AW20" s="15">
        <f>AV20*(1+Main!$L$10)</f>
        <v>41266.891300634998</v>
      </c>
      <c r="AX20" s="15">
        <f>AW20*(1+Main!$L$10)</f>
        <v>41266.891300634998</v>
      </c>
      <c r="AY20" s="15">
        <f>AX20*(1+Main!$L$10)</f>
        <v>41266.891300634998</v>
      </c>
      <c r="AZ20" s="15">
        <f>AY20*(1+Main!$L$10)</f>
        <v>41266.891300634998</v>
      </c>
      <c r="BA20" s="15">
        <f>AZ20*(1+Main!$L$10)</f>
        <v>41266.891300634998</v>
      </c>
      <c r="BB20" s="15">
        <f>BA20*(1+Main!$L$10)</f>
        <v>41266.891300634998</v>
      </c>
      <c r="BC20" s="15">
        <f>BB20*(1+Main!$L$10)</f>
        <v>41266.891300634998</v>
      </c>
      <c r="BD20" s="15">
        <f>BC20*(1+Main!$L$10)</f>
        <v>41266.891300634998</v>
      </c>
      <c r="BE20" s="15">
        <f>BD20*(1+Main!$L$10)</f>
        <v>41266.891300634998</v>
      </c>
      <c r="BF20" s="15">
        <f>BE20*(1+Main!$L$10)</f>
        <v>41266.891300634998</v>
      </c>
      <c r="BG20" s="15">
        <f>BF20*(1+Main!$L$10)</f>
        <v>41266.891300634998</v>
      </c>
      <c r="BH20" s="15">
        <f>BG20*(1+Main!$L$10)</f>
        <v>41266.891300634998</v>
      </c>
      <c r="BI20" s="15">
        <f>BH20*(1+Main!$L$10)</f>
        <v>41266.891300634998</v>
      </c>
      <c r="BJ20" s="15">
        <f>BI20*(1+Main!$L$10)</f>
        <v>41266.891300634998</v>
      </c>
      <c r="BK20" s="15">
        <f>BJ20*(1+Main!$L$10)</f>
        <v>41266.891300634998</v>
      </c>
      <c r="BL20" s="15">
        <f>BK20*(1+Main!$L$10)</f>
        <v>41266.891300634998</v>
      </c>
      <c r="BM20" s="15">
        <f>BL20*(1+Main!$L$10)</f>
        <v>41266.891300634998</v>
      </c>
      <c r="BN20" s="15">
        <f>BM20*(1+Main!$L$10)</f>
        <v>41266.891300634998</v>
      </c>
      <c r="BO20" s="15">
        <f>BN20*(1+Main!$L$10)</f>
        <v>41266.891300634998</v>
      </c>
      <c r="BP20" s="15">
        <f>BO20*(1+Main!$L$10)</f>
        <v>41266.891300634998</v>
      </c>
      <c r="BQ20" s="15">
        <f>BP20*(1+Main!$L$10)</f>
        <v>41266.891300634998</v>
      </c>
      <c r="BR20" s="15">
        <f>BQ20*(1+Main!$L$10)</f>
        <v>41266.891300634998</v>
      </c>
      <c r="BS20" s="15">
        <f>BR20*(1+Main!$L$10)</f>
        <v>41266.891300634998</v>
      </c>
      <c r="BT20" s="15">
        <f>BS20*(1+Main!$L$10)</f>
        <v>41266.891300634998</v>
      </c>
      <c r="BU20" s="15">
        <f>BT20*(1+Main!$L$10)</f>
        <v>41266.891300634998</v>
      </c>
      <c r="BV20" s="15">
        <f>BU20*(1+Main!$L$10)</f>
        <v>41266.891300634998</v>
      </c>
      <c r="BW20" s="15">
        <f>BV20*(1+Main!$L$10)</f>
        <v>41266.891300634998</v>
      </c>
      <c r="BX20" s="15">
        <f>BW20*(1+Main!$L$10)</f>
        <v>41266.891300634998</v>
      </c>
      <c r="BY20" s="15">
        <f>BX20*(1+Main!$L$10)</f>
        <v>41266.891300634998</v>
      </c>
      <c r="BZ20" s="15">
        <f>BY20*(1+Main!$L$10)</f>
        <v>41266.891300634998</v>
      </c>
      <c r="CA20" s="15">
        <f>BZ20*(1+Main!$L$10)</f>
        <v>41266.891300634998</v>
      </c>
      <c r="CB20" s="15">
        <f>CA20*(1+Main!$L$10)</f>
        <v>41266.891300634998</v>
      </c>
      <c r="CC20" s="15">
        <f>CB20*(1+Main!$L$10)</f>
        <v>41266.891300634998</v>
      </c>
      <c r="CD20" s="15">
        <f>CC20*(1+Main!$L$10)</f>
        <v>41266.891300634998</v>
      </c>
      <c r="CE20" s="15">
        <f>CD20*(1+Main!$L$10)</f>
        <v>41266.891300634998</v>
      </c>
      <c r="CF20" s="15">
        <f>CE20*(1+Main!$L$10)</f>
        <v>41266.891300634998</v>
      </c>
      <c r="CG20" s="15">
        <f>CF20*(1+Main!$L$10)</f>
        <v>41266.891300634998</v>
      </c>
      <c r="CH20" s="15">
        <f>CG20*(1+Main!$L$10)</f>
        <v>41266.891300634998</v>
      </c>
      <c r="CI20" s="15">
        <f>CH20*(1+Main!$L$10)</f>
        <v>41266.891300634998</v>
      </c>
      <c r="CJ20" s="15">
        <f>CI20*(1+Main!$L$10)</f>
        <v>41266.891300634998</v>
      </c>
      <c r="CK20" s="15">
        <f>CJ20*(1+Main!$L$10)</f>
        <v>41266.891300634998</v>
      </c>
      <c r="CL20" s="15">
        <f>CK20*(1+Main!$L$10)</f>
        <v>41266.891300634998</v>
      </c>
      <c r="CM20" s="15">
        <f>CL20*(1+Main!$L$10)</f>
        <v>41266.891300634998</v>
      </c>
      <c r="CN20" s="15">
        <f>CM20*(1+Main!$L$10)</f>
        <v>41266.891300634998</v>
      </c>
      <c r="CO20" s="15">
        <f>CN20*(1+Main!$L$10)</f>
        <v>41266.891300634998</v>
      </c>
      <c r="CP20" s="15">
        <f>CO20*(1+Main!$L$10)</f>
        <v>41266.891300634998</v>
      </c>
      <c r="CQ20" s="15">
        <f>CP20*(1+Main!$L$10)</f>
        <v>41266.891300634998</v>
      </c>
      <c r="CR20" s="15">
        <f>CQ20*(1+Main!$L$10)</f>
        <v>41266.891300634998</v>
      </c>
      <c r="CS20" s="15">
        <f>CR20*(1+Main!$L$10)</f>
        <v>41266.891300634998</v>
      </c>
      <c r="CT20" s="15">
        <f>CS20*(1+Main!$L$10)</f>
        <v>41266.891300634998</v>
      </c>
      <c r="CU20" s="15">
        <f>CT20*(1+Main!$L$10)</f>
        <v>41266.891300634998</v>
      </c>
      <c r="CV20" s="15">
        <f>CU20*(1+Main!$L$10)</f>
        <v>41266.891300634998</v>
      </c>
      <c r="CW20" s="15">
        <f>CV20*(1+Main!$L$10)</f>
        <v>41266.891300634998</v>
      </c>
      <c r="CX20" s="15">
        <f>CW20*(1+Main!$L$10)</f>
        <v>41266.891300634998</v>
      </c>
      <c r="CY20" s="15">
        <f>CX20*(1+Main!$L$10)</f>
        <v>41266.891300634998</v>
      </c>
      <c r="CZ20" s="15">
        <f>CY20*(1+Main!$L$10)</f>
        <v>41266.891300634998</v>
      </c>
      <c r="DA20" s="15">
        <f>CZ20*(1+Main!$L$10)</f>
        <v>41266.891300634998</v>
      </c>
      <c r="DB20" s="15">
        <f>DA20*(1+Main!$L$10)</f>
        <v>41266.891300634998</v>
      </c>
      <c r="DC20" s="15">
        <f>DB20*(1+Main!$L$10)</f>
        <v>41266.891300634998</v>
      </c>
      <c r="DD20" s="15">
        <f>DC20*(1+Main!$L$10)</f>
        <v>41266.891300634998</v>
      </c>
      <c r="DE20" s="15">
        <f>DD20*(1+Main!$L$10)</f>
        <v>41266.891300634998</v>
      </c>
      <c r="DF20" s="15">
        <f>DE20*(1+Main!$L$10)</f>
        <v>41266.891300634998</v>
      </c>
      <c r="DG20" s="15">
        <f>DF20*(1+Main!$L$10)</f>
        <v>41266.891300634998</v>
      </c>
      <c r="DH20" s="15">
        <f>DG20*(1+Main!$L$10)</f>
        <v>41266.891300634998</v>
      </c>
      <c r="DI20" s="15">
        <f>DH20*(1+Main!$L$10)</f>
        <v>41266.891300634998</v>
      </c>
      <c r="DJ20" s="15">
        <f>DI20*(1+Main!$L$10)</f>
        <v>41266.891300634998</v>
      </c>
      <c r="DK20" s="15">
        <f>DJ20*(1+Main!$L$10)</f>
        <v>41266.891300634998</v>
      </c>
      <c r="DL20" s="15">
        <f>DK20*(1+Main!$L$10)</f>
        <v>41266.891300634998</v>
      </c>
      <c r="DM20" s="15">
        <f>DL20*(1+Main!$L$10)</f>
        <v>41266.891300634998</v>
      </c>
      <c r="DN20" s="15">
        <f>DM20*(1+Main!$L$10)</f>
        <v>41266.891300634998</v>
      </c>
      <c r="DO20" s="15">
        <f>DN20*(1+Main!$L$10)</f>
        <v>41266.891300634998</v>
      </c>
      <c r="DP20" s="15">
        <f>DO20*(1+Main!$L$10)</f>
        <v>41266.891300634998</v>
      </c>
      <c r="DQ20" s="15">
        <f>DP20*(1+Main!$L$10)</f>
        <v>41266.891300634998</v>
      </c>
      <c r="DR20" s="15">
        <f>DQ20*(1+Main!$L$10)</f>
        <v>41266.891300634998</v>
      </c>
      <c r="DS20" s="15">
        <f>DR20*(1+Main!$L$10)</f>
        <v>41266.891300634998</v>
      </c>
      <c r="DT20" s="15">
        <f>DS20*(1+Main!$L$10)</f>
        <v>41266.891300634998</v>
      </c>
      <c r="DU20" s="15">
        <f>DT20*(1+Main!$L$10)</f>
        <v>41266.891300634998</v>
      </c>
      <c r="DV20" s="15">
        <f>DU20*(1+Main!$L$10)</f>
        <v>41266.891300634998</v>
      </c>
      <c r="DW20" s="15">
        <f>DV20*(1+Main!$L$10)</f>
        <v>41266.891300634998</v>
      </c>
      <c r="DX20" s="15">
        <f>DW20*(1+Main!$L$10)</f>
        <v>41266.891300634998</v>
      </c>
      <c r="DY20" s="15">
        <f>DX20*(1+Main!$L$10)</f>
        <v>41266.891300634998</v>
      </c>
      <c r="DZ20" s="15">
        <f>DY20*(1+Main!$L$10)</f>
        <v>41266.891300634998</v>
      </c>
      <c r="EA20" s="15">
        <f>DZ20*(1+Main!$L$10)</f>
        <v>41266.891300634998</v>
      </c>
      <c r="EB20" s="15">
        <f>EA20*(1+Main!$L$10)</f>
        <v>41266.891300634998</v>
      </c>
      <c r="EC20" s="15">
        <f>EB20*(1+Main!$L$10)</f>
        <v>41266.891300634998</v>
      </c>
      <c r="ED20" s="15">
        <f>EC20*(1+Main!$L$10)</f>
        <v>41266.891300634998</v>
      </c>
      <c r="EE20" s="15">
        <f>ED20*(1+Main!$L$10)</f>
        <v>41266.891300634998</v>
      </c>
      <c r="EF20" s="15">
        <f>EE20*(1+Main!$L$10)</f>
        <v>41266.891300634998</v>
      </c>
      <c r="EG20" s="15">
        <f>EF20*(1+Main!$L$10)</f>
        <v>41266.891300634998</v>
      </c>
      <c r="EH20" s="15">
        <f>EG20*(1+Main!$L$10)</f>
        <v>41266.891300634998</v>
      </c>
      <c r="EI20" s="15">
        <f>EH20*(1+Main!$L$10)</f>
        <v>41266.891300634998</v>
      </c>
      <c r="EJ20" s="15">
        <f>EI20*(1+Main!$L$10)</f>
        <v>41266.891300634998</v>
      </c>
      <c r="EK20" s="15">
        <f>EJ20*(1+Main!$L$10)</f>
        <v>41266.891300634998</v>
      </c>
      <c r="EL20" s="15">
        <f>EK20*(1+Main!$L$10)</f>
        <v>41266.891300634998</v>
      </c>
      <c r="EM20" s="15">
        <f>EL20*(1+Main!$L$10)</f>
        <v>41266.891300634998</v>
      </c>
      <c r="EN20" s="15">
        <f>EM20*(1+Main!$L$10)</f>
        <v>41266.891300634998</v>
      </c>
      <c r="EO20" s="15">
        <f>EN20*(1+Main!$L$10)</f>
        <v>41266.891300634998</v>
      </c>
    </row>
    <row r="21" spans="2:145">
      <c r="B21" t="s">
        <v>22</v>
      </c>
      <c r="C21" s="8">
        <f t="shared" ref="C21:M21" si="18">C20/C22</f>
        <v>-1.0461847389558232</v>
      </c>
      <c r="D21" s="8">
        <f t="shared" si="18"/>
        <v>-0.13099143794510681</v>
      </c>
      <c r="E21" s="8">
        <f t="shared" si="18"/>
        <v>-0.16668003207698476</v>
      </c>
      <c r="F21" s="8">
        <f t="shared" si="18"/>
        <v>10.977546110665598</v>
      </c>
      <c r="G21" s="8">
        <f t="shared" si="18"/>
        <v>-2.2197669746886302</v>
      </c>
      <c r="H21" s="8">
        <f t="shared" si="18"/>
        <v>-0.24046200901481005</v>
      </c>
      <c r="I21" s="8">
        <f t="shared" si="18"/>
        <v>-0.27637846129006216</v>
      </c>
      <c r="J21" s="8">
        <f t="shared" si="18"/>
        <v>-0.27637846129006216</v>
      </c>
      <c r="K21" s="8" t="e">
        <f t="shared" si="18"/>
        <v>#DIV/0!</v>
      </c>
      <c r="L21" s="8">
        <f t="shared" si="18"/>
        <v>6.4319809069212415</v>
      </c>
      <c r="M21" s="8">
        <f t="shared" si="18"/>
        <v>6.3254156769596204</v>
      </c>
      <c r="N21" s="8">
        <f>N20/N22</f>
        <v>15.004662004662004</v>
      </c>
      <c r="O21" s="8">
        <f t="shared" ref="O21:R21" si="19">O20/O22</f>
        <v>2.6519376181474481</v>
      </c>
      <c r="P21" s="8">
        <f t="shared" si="19"/>
        <v>3.2963483146067416</v>
      </c>
      <c r="Q21" s="8">
        <f t="shared" si="19"/>
        <v>1.2337798241942235</v>
      </c>
      <c r="R21" s="8">
        <f t="shared" si="19"/>
        <v>4.4332000837170362</v>
      </c>
    </row>
    <row r="22" spans="2:145">
      <c r="B22" t="s">
        <v>2</v>
      </c>
      <c r="C22" s="9">
        <v>2490</v>
      </c>
      <c r="D22" s="9">
        <v>24994</v>
      </c>
      <c r="E22" s="9">
        <v>24940</v>
      </c>
      <c r="F22" s="9">
        <v>2494</v>
      </c>
      <c r="G22" s="9">
        <v>2489</v>
      </c>
      <c r="H22" s="9">
        <v>24848</v>
      </c>
      <c r="I22" s="9">
        <v>24774</v>
      </c>
      <c r="J22" s="9">
        <f>I22</f>
        <v>24774</v>
      </c>
      <c r="K22" s="9"/>
      <c r="L22" s="9">
        <v>419</v>
      </c>
      <c r="M22" s="9">
        <v>421</v>
      </c>
      <c r="N22" s="9">
        <v>429</v>
      </c>
      <c r="O22" s="9">
        <v>4232</v>
      </c>
      <c r="P22" s="9">
        <v>4272</v>
      </c>
      <c r="Q22" s="9">
        <v>4778</v>
      </c>
      <c r="R22" s="9">
        <f>Q22</f>
        <v>4778</v>
      </c>
    </row>
    <row r="24" spans="2:145">
      <c r="B24" t="s">
        <v>24</v>
      </c>
      <c r="G24" s="11" t="e">
        <f>G7/C7-1</f>
        <v>#DIV/0!</v>
      </c>
      <c r="H24" s="11" t="e">
        <f>H7/D7-1</f>
        <v>#DIV/0!</v>
      </c>
      <c r="I24" s="11" t="e">
        <f>I7/E7-1</f>
        <v>#DIV/0!</v>
      </c>
      <c r="J24" s="11">
        <f>J7/F7-1</f>
        <v>-1</v>
      </c>
      <c r="M24" s="11">
        <f t="shared" ref="M24:N24" si="20">M7/L7-1</f>
        <v>5.7131477629773775E-2</v>
      </c>
      <c r="N24" s="11">
        <f t="shared" si="20"/>
        <v>0.14911252511721362</v>
      </c>
      <c r="O24" s="11">
        <f>O7/N7-1</f>
        <v>0.20958105646630232</v>
      </c>
      <c r="P24" s="11">
        <f>P7/O7-1</f>
        <v>7.8788061319760239E-2</v>
      </c>
      <c r="Q24" s="11">
        <f>Q7/P7-1</f>
        <v>0.43985035874815037</v>
      </c>
      <c r="R24" s="11">
        <f>R7/Q7-1</f>
        <v>0.19440027921045488</v>
      </c>
      <c r="S24" s="12">
        <v>0.17</v>
      </c>
      <c r="T24" s="13">
        <v>0.15</v>
      </c>
      <c r="U24" s="13">
        <v>0.15</v>
      </c>
      <c r="V24" s="13">
        <v>0.1</v>
      </c>
      <c r="W24" s="13">
        <v>0.05</v>
      </c>
      <c r="X24" s="13">
        <v>0.05</v>
      </c>
      <c r="Y24" s="13">
        <v>0.02</v>
      </c>
    </row>
    <row r="25" spans="2:145">
      <c r="B25" t="s">
        <v>25</v>
      </c>
      <c r="C25" s="11" t="e">
        <f>C9/C7</f>
        <v>#DIV/0!</v>
      </c>
      <c r="D25" s="11" t="e">
        <f>D9/D7</f>
        <v>#DIV/0!</v>
      </c>
      <c r="E25" s="11" t="e">
        <f>E9/E7</f>
        <v>#DIV/0!</v>
      </c>
      <c r="F25" s="11">
        <f>F9/F7</f>
        <v>0.68929897540411511</v>
      </c>
      <c r="G25" s="11" t="e">
        <f>G9/G7</f>
        <v>#DIV/0!</v>
      </c>
      <c r="H25" s="11" t="e">
        <f>H9/H7</f>
        <v>#DIV/0!</v>
      </c>
      <c r="I25" s="11" t="e">
        <f>I9/I7</f>
        <v>#DIV/0!</v>
      </c>
      <c r="J25" s="11" t="e">
        <f>J9/J7</f>
        <v>#DIV/0!</v>
      </c>
      <c r="L25" s="11">
        <f t="shared" ref="L25:M25" si="21">L9/L7</f>
        <v>0.55241846262778249</v>
      </c>
      <c r="M25" s="11">
        <f t="shared" si="21"/>
        <v>0.5658070997990623</v>
      </c>
      <c r="N25" s="11">
        <f>N9/N7</f>
        <v>0.61362477231329693</v>
      </c>
      <c r="O25" s="11">
        <f>O9/O7</f>
        <v>0.66545191699545225</v>
      </c>
      <c r="P25" s="11">
        <f>P9/P7</f>
        <v>0.68929897540411511</v>
      </c>
      <c r="Q25" s="11">
        <f>Q9/Q7</f>
        <v>0.63033699150734868</v>
      </c>
      <c r="R25" s="11">
        <f>R9/R7</f>
        <v>0.62860389610389611</v>
      </c>
    </row>
    <row r="26" spans="2:145">
      <c r="B26" t="s">
        <v>26</v>
      </c>
      <c r="C26" s="11" t="e">
        <f>C20/C7</f>
        <v>#DIV/0!</v>
      </c>
      <c r="D26" s="11" t="e">
        <f>D20/D7</f>
        <v>#DIV/0!</v>
      </c>
      <c r="E26" s="11" t="e">
        <f>E20/E7</f>
        <v>#DIV/0!</v>
      </c>
      <c r="F26" s="11">
        <f>F20/F7</f>
        <v>0.76434294648091794</v>
      </c>
      <c r="G26" s="11" t="e">
        <f>G20/G7</f>
        <v>#DIV/0!</v>
      </c>
      <c r="H26" s="11" t="e">
        <f>H20/H7</f>
        <v>#DIV/0!</v>
      </c>
      <c r="I26" s="11" t="e">
        <f>I20/I7</f>
        <v>#DIV/0!</v>
      </c>
      <c r="J26" s="11" t="e">
        <f>J20/J7</f>
        <v>#DIV/0!</v>
      </c>
      <c r="L26" s="11">
        <f t="shared" ref="L26:M26" si="22">L20/L7</f>
        <v>0.11926361906447759</v>
      </c>
      <c r="M26" s="11">
        <f t="shared" si="22"/>
        <v>0.11147856664434025</v>
      </c>
      <c r="N26" s="11">
        <f>N20/N7</f>
        <v>0.2344990892531876</v>
      </c>
      <c r="O26" s="11">
        <f>O20/O7</f>
        <v>0.33801162545553115</v>
      </c>
      <c r="P26" s="11">
        <f>P20/P7</f>
        <v>0.39314330383316115</v>
      </c>
      <c r="Q26" s="11">
        <f>Q20/Q7</f>
        <v>0.11430177996664986</v>
      </c>
      <c r="R26" s="11">
        <f>R20/R7</f>
        <v>0.34386087662337661</v>
      </c>
      <c r="S26" s="12">
        <v>0.35</v>
      </c>
      <c r="T26" s="13">
        <v>0.35</v>
      </c>
      <c r="U26" s="13">
        <v>0.35</v>
      </c>
      <c r="V26" s="13">
        <f t="shared" ref="V26:Y26" si="23">U26</f>
        <v>0.35</v>
      </c>
      <c r="W26" s="13">
        <f t="shared" si="23"/>
        <v>0.35</v>
      </c>
      <c r="X26" s="13">
        <f t="shared" si="23"/>
        <v>0.35</v>
      </c>
      <c r="Y26" s="13">
        <f t="shared" si="23"/>
        <v>0.35</v>
      </c>
    </row>
    <row r="27" spans="2:145">
      <c r="B27" t="s">
        <v>27</v>
      </c>
      <c r="C27" s="11">
        <f t="shared" ref="C27:I27" si="24">C19/C18</f>
        <v>-6.8060680606806062E-2</v>
      </c>
      <c r="D27" s="11">
        <f t="shared" si="24"/>
        <v>-0.31962918178153971</v>
      </c>
      <c r="E27" s="11">
        <f t="shared" si="24"/>
        <v>-0.44440583738707434</v>
      </c>
      <c r="F27" s="11">
        <f t="shared" si="24"/>
        <v>-4.675970177786274E-2</v>
      </c>
      <c r="G27" s="11">
        <f t="shared" si="24"/>
        <v>-0.76686920370962586</v>
      </c>
      <c r="H27" s="11">
        <f t="shared" si="24"/>
        <v>-0.77827380952380953</v>
      </c>
      <c r="I27" s="11">
        <f t="shared" si="24"/>
        <v>-0.78307291666666667</v>
      </c>
      <c r="J27" s="11">
        <f>J19/J18</f>
        <v>-0.78307291666666667</v>
      </c>
      <c r="L27" s="11">
        <f t="shared" ref="L27:M27" si="25">L19/L18</f>
        <v>-0.22911051212938005</v>
      </c>
      <c r="M27" s="11">
        <f t="shared" si="25"/>
        <v>-0.21203438395415472</v>
      </c>
      <c r="N27" s="11">
        <f>N19/N18</f>
        <v>4.286770140428677E-3</v>
      </c>
      <c r="O27" s="11">
        <f t="shared" ref="O27:Q27" si="26">O19/O18</f>
        <v>7.5518738941611707E-2</v>
      </c>
      <c r="P27" s="11">
        <f t="shared" si="26"/>
        <v>6.7231900377558454E-2</v>
      </c>
      <c r="Q27" s="11">
        <f t="shared" si="26"/>
        <v>0.37797498991528844</v>
      </c>
      <c r="R27" s="11">
        <f t="shared" ref="R27" si="27">R19/R18</f>
        <v>0.15</v>
      </c>
    </row>
  </sheetData>
  <phoneticPr fontId="4" type="noConversion"/>
  <hyperlinks>
    <hyperlink ref="A1" location="Main!A1" display="Main" xr:uid="{10B04CBF-0739-3C4D-A01E-5866B552E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2025-01-05T15:48:32Z</dcterms:created>
  <dcterms:modified xsi:type="dcterms:W3CDTF">2025-01-08T18:40:17Z</dcterms:modified>
</cp:coreProperties>
</file>