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6CF3FAAB-D9E3-2149-999F-5433A1688AC0}" xr6:coauthVersionLast="47" xr6:coauthVersionMax="47" xr10:uidLastSave="{00000000-0000-0000-0000-000000000000}"/>
  <bookViews>
    <workbookView xWindow="640" yWindow="740" windowWidth="14320" windowHeight="17260" xr2:uid="{119CF632-2845-164B-BDE0-A54D8297134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2" l="1"/>
  <c r="U19" i="2"/>
  <c r="K24" i="2"/>
  <c r="L24" i="2"/>
  <c r="L17" i="2"/>
  <c r="L18" i="2" s="1"/>
  <c r="K17" i="2"/>
  <c r="K18" i="2" s="1"/>
  <c r="L21" i="2"/>
  <c r="L19" i="2"/>
  <c r="K19" i="2"/>
  <c r="L6" i="2"/>
  <c r="K6" i="2"/>
  <c r="K21" i="2" s="1"/>
  <c r="T19" i="2"/>
  <c r="S16" i="2"/>
  <c r="S14" i="2"/>
  <c r="S11" i="2"/>
  <c r="S10" i="2"/>
  <c r="S9" i="2"/>
  <c r="S12" i="2" s="1"/>
  <c r="S7" i="2"/>
  <c r="Q25" i="2"/>
  <c r="R25" i="2"/>
  <c r="P25" i="2"/>
  <c r="S6" i="2"/>
  <c r="S8" i="2" s="1"/>
  <c r="P21" i="2"/>
  <c r="Q21" i="2"/>
  <c r="R21" i="2"/>
  <c r="O21" i="2"/>
  <c r="G21" i="2"/>
  <c r="H21" i="2"/>
  <c r="I21" i="2"/>
  <c r="J12" i="2"/>
  <c r="J8" i="2"/>
  <c r="J22" i="2" s="1"/>
  <c r="P12" i="2"/>
  <c r="Q12" i="2"/>
  <c r="R12" i="2"/>
  <c r="O12" i="2"/>
  <c r="P8" i="2"/>
  <c r="P22" i="2" s="1"/>
  <c r="Q8" i="2"/>
  <c r="Q22" i="2" s="1"/>
  <c r="R8" i="2"/>
  <c r="R22" i="2" s="1"/>
  <c r="O8" i="2"/>
  <c r="D13" i="2"/>
  <c r="D15" i="2" s="1"/>
  <c r="F13" i="2"/>
  <c r="F15" i="2" s="1"/>
  <c r="I13" i="2"/>
  <c r="I15" i="2" s="1"/>
  <c r="C8" i="2"/>
  <c r="C22" i="2" s="1"/>
  <c r="D8" i="2"/>
  <c r="D22" i="2" s="1"/>
  <c r="E8" i="2"/>
  <c r="E22" i="2" s="1"/>
  <c r="F8" i="2"/>
  <c r="F22" i="2" s="1"/>
  <c r="G8" i="2"/>
  <c r="G13" i="2" s="1"/>
  <c r="G15" i="2" s="1"/>
  <c r="H8" i="2"/>
  <c r="H22" i="2" s="1"/>
  <c r="I8" i="2"/>
  <c r="I22" i="2" s="1"/>
  <c r="C12" i="2"/>
  <c r="D12" i="2"/>
  <c r="E12" i="2"/>
  <c r="F12" i="2"/>
  <c r="G12" i="2"/>
  <c r="H12" i="2"/>
  <c r="H13" i="2" s="1"/>
  <c r="H15" i="2" s="1"/>
  <c r="H17" i="2" s="1"/>
  <c r="I12" i="2"/>
  <c r="L3" i="1"/>
  <c r="L4" i="1" s="1"/>
  <c r="L7" i="1" s="1"/>
  <c r="F17" i="2" l="1"/>
  <c r="F18" i="2" s="1"/>
  <c r="F23" i="2"/>
  <c r="G23" i="2"/>
  <c r="G17" i="2"/>
  <c r="G24" i="2" s="1"/>
  <c r="S13" i="2"/>
  <c r="S15" i="2" s="1"/>
  <c r="S17" i="2" s="1"/>
  <c r="S25" i="2"/>
  <c r="G22" i="2"/>
  <c r="C13" i="2"/>
  <c r="C15" i="2" s="1"/>
  <c r="O13" i="2"/>
  <c r="O15" i="2" s="1"/>
  <c r="O17" i="2" s="1"/>
  <c r="P13" i="2"/>
  <c r="P15" i="2" s="1"/>
  <c r="P17" i="2" s="1"/>
  <c r="S21" i="2"/>
  <c r="D23" i="2"/>
  <c r="D17" i="2"/>
  <c r="J13" i="2"/>
  <c r="J15" i="2" s="1"/>
  <c r="O23" i="2"/>
  <c r="H18" i="2"/>
  <c r="H24" i="2"/>
  <c r="C17" i="2"/>
  <c r="C23" i="2"/>
  <c r="I17" i="2"/>
  <c r="I23" i="2"/>
  <c r="P23" i="2"/>
  <c r="E13" i="2"/>
  <c r="E15" i="2" s="1"/>
  <c r="J21" i="2"/>
  <c r="H23" i="2"/>
  <c r="F24" i="2"/>
  <c r="O22" i="2"/>
  <c r="R13" i="2"/>
  <c r="R15" i="2" s="1"/>
  <c r="Q13" i="2"/>
  <c r="Q15" i="2" s="1"/>
  <c r="T6" i="2"/>
  <c r="S18" i="2" l="1"/>
  <c r="S24" i="2"/>
  <c r="G18" i="2"/>
  <c r="R23" i="2"/>
  <c r="R17" i="2"/>
  <c r="C24" i="2"/>
  <c r="C18" i="2"/>
  <c r="E23" i="2"/>
  <c r="E17" i="2"/>
  <c r="Q23" i="2"/>
  <c r="Q17" i="2"/>
  <c r="P24" i="2"/>
  <c r="P18" i="2"/>
  <c r="O18" i="2"/>
  <c r="O24" i="2"/>
  <c r="I18" i="2"/>
  <c r="I24" i="2"/>
  <c r="D18" i="2"/>
  <c r="D24" i="2"/>
  <c r="U6" i="2"/>
  <c r="T17" i="2"/>
  <c r="T18" i="2" s="1"/>
  <c r="T8" i="2"/>
  <c r="T7" i="2" s="1"/>
  <c r="E18" i="2" l="1"/>
  <c r="E24" i="2"/>
  <c r="R24" i="2"/>
  <c r="R18" i="2"/>
  <c r="Q18" i="2"/>
  <c r="Q24" i="2"/>
  <c r="J17" i="2"/>
  <c r="J23" i="2"/>
  <c r="U8" i="2"/>
  <c r="U7" i="2" s="1"/>
  <c r="V6" i="2"/>
  <c r="U17" i="2"/>
  <c r="J18" i="2" l="1"/>
  <c r="J24" i="2"/>
  <c r="V8" i="2"/>
  <c r="V7" i="2"/>
  <c r="V17" i="2"/>
  <c r="W6" i="2"/>
  <c r="W8" i="2" l="1"/>
  <c r="W7" i="2"/>
  <c r="X6" i="2"/>
  <c r="W17" i="2"/>
  <c r="X8" i="2" l="1"/>
  <c r="X7" i="2"/>
  <c r="X17" i="2"/>
  <c r="Y6" i="2"/>
  <c r="Y17" i="2" l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L12" i="1" s="1"/>
  <c r="Y8" i="2"/>
  <c r="Y7" i="2" s="1"/>
  <c r="L13" i="1" l="1"/>
  <c r="L15" i="1" s="1"/>
</calcChain>
</file>

<file path=xl/sharedStrings.xml><?xml version="1.0" encoding="utf-8"?>
<sst xmlns="http://schemas.openxmlformats.org/spreadsheetml/2006/main" count="45" uniqueCount="39">
  <si>
    <t>Main</t>
  </si>
  <si>
    <t>Price</t>
  </si>
  <si>
    <t>Shares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</si>
  <si>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</si>
  <si>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</si>
  <si>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</si>
  <si>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</si>
  <si>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</si>
  <si>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</si>
  <si>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</si>
  <si>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</si>
  <si>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Revenue</t>
  </si>
  <si>
    <t>COGS</t>
  </si>
  <si>
    <t>Gross profit</t>
  </si>
  <si>
    <t>R&amp;D</t>
  </si>
  <si>
    <t>S&amp;M</t>
  </si>
  <si>
    <t>G&amp;A</t>
  </si>
  <si>
    <t>OPEX</t>
  </si>
  <si>
    <t>OPINC</t>
  </si>
  <si>
    <t>Other</t>
  </si>
  <si>
    <t>Pretax</t>
  </si>
  <si>
    <t>Tax</t>
  </si>
  <si>
    <t>Net income</t>
  </si>
  <si>
    <t>EPS</t>
  </si>
  <si>
    <t>Revenue growth %</t>
  </si>
  <si>
    <t>Gross margin %</t>
  </si>
  <si>
    <t>Tax rate %</t>
  </si>
  <si>
    <t>Profit margin</t>
  </si>
  <si>
    <t>R&amp;D growth%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</si>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</sst>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  <font>
      <b/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3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4" fontId="3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0" fontId="5" fillId="0" borderId="0" xfId="0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3" fontId="5" fillId="0" borderId="0" xfId="0" applyNumberFormat="1" applyFont="1"/>
    <xf numFmtId="3" fontId="0" fillId="0" borderId="0" xfId="0" applyNumberFormat="1"/>
    <xf numFmtId="3" fontId="6" fillId="0" borderId="0" xfId="0" applyNumberFormat="1" applyFont="1"/>
    <xf numFmtId="3" fontId="7" fillId="0" borderId="0" xfId="0" applyNumberFormat="1" applyFont="1"/>
    <xf numFmtId="14" fontId="0" fillId="0" borderId="0" xfId="0" applyNumberFormat="1"/>
    <xf numFmtId="3" fontId="8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9DC-42EC-A944-9198-0C4B2C2E5E01}">
  <dimension ref="J1:M20"/>
  <sheetViews>
    <sheetView tabSelected="1" topLeftCell="F1" workbookViewId="0">
      <selection activeCell="M6" sqref="M6"/>
    </sheetView>
  </sheetViews>
  <sheetFormatPr baseColWidth="10" defaultRowHeight="16"/>
  <cols>
    <col min="12" max="12" width="11.28515625" bestFit="1" customWidth="1"/>
  </cols>
  <sheetData>
    <row r="1" spans="11:13">
      <c r="M1" s="17">
        <v>45693</v>
      </c>
    </row>
    <row r="2" spans="11:13">
      <c r="K2" s="2" t="s">
        <v>1</v>
      </c>
      <c r="L2" s="3">
        <v>190</v>
      </c>
    </row>
    <row r="3" spans="11:13">
      <c r="K3" s="2" t="s">
        <v>2</v>
      </c>
      <c r="L3" s="4">
        <f>5843+864+5534</f>
        <v>12241</v>
      </c>
      <c r="M3" t="s">
        <v>36</v>
      </c>
    </row>
    <row r="4" spans="11:13">
      <c r="K4" s="2" t="s">
        <v>3</v>
      </c>
      <c r="L4" s="4">
        <f>L2*L3</f>
        <v>2325790</v>
      </c>
    </row>
    <row r="5" spans="11:13">
      <c r="K5" s="2" t="s">
        <v>4</v>
      </c>
      <c r="L5" s="4">
        <v>95657</v>
      </c>
      <c r="M5" t="s">
        <v>36</v>
      </c>
    </row>
    <row r="6" spans="11:13">
      <c r="K6" s="2" t="s">
        <v>5</v>
      </c>
      <c r="L6" s="4">
        <v>10883</v>
      </c>
      <c r="M6" t="s">
        <v>36</v>
      </c>
    </row>
    <row r="7" spans="11:13">
      <c r="K7" s="2" t="s">
        <v>6</v>
      </c>
      <c r="L7" s="4">
        <f>L4-L5+L6</f>
        <v>2241016</v>
      </c>
    </row>
    <row r="8" spans="11:13">
      <c r="K8" s="2"/>
      <c r="L8" s="2"/>
    </row>
    <row r="9" spans="11:13">
      <c r="K9" s="2"/>
      <c r="L9" s="2"/>
    </row>
    <row r="10" spans="11:13">
      <c r="K10" s="2" t="s">
        <v>7</v>
      </c>
      <c r="L10" s="5">
        <v>0.01</v>
      </c>
    </row>
    <row r="11" spans="11:13">
      <c r="K11" s="2" t="s">
        <v>8</v>
      </c>
      <c r="L11" s="5">
        <v>7.0000000000000007E-2</v>
      </c>
    </row>
    <row r="12" spans="11:13">
      <c r="K12" s="2" t="s">
        <v>9</v>
      </c>
      <c r="L12" s="3">
        <f>NPV(L11,Model!T17:CW17)+L5-L6</f>
        <v>2691474.22215787</v>
      </c>
    </row>
    <row r="13" spans="11:13">
      <c r="K13" s="2" t="s">
        <v>10</v>
      </c>
      <c r="L13" s="6">
        <f>L12/L3</f>
        <v>219.87372127749938</v>
      </c>
    </row>
    <row r="15" spans="11:13">
      <c r="L15" s="7">
        <f>L13/L2-1</f>
        <v>0.15723011198683889</v>
      </c>
    </row>
    <row r="19" spans="10:12">
      <c r="J19" t="s">
        <v>35</v>
      </c>
      <c r="K19" s="17">
        <v>45679</v>
      </c>
      <c r="L19">
        <v>186.96</v>
      </c>
    </row>
    <row r="20" spans="10:12">
      <c r="J20" t="s">
        <v>36</v>
      </c>
      <c r="K20" s="17">
        <v>45693</v>
      </c>
      <c r="L20">
        <v>219.87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EA46-FD5C-F14C-B1E3-C8D30CF2F217}">
  <dimension ref="A1:CW25"/>
  <sheetViews>
    <sheetView topLeftCell="N1" workbookViewId="0">
      <selection activeCell="T19" sqref="T19"/>
    </sheetView>
  </sheetViews>
  <sheetFormatPr baseColWidth="10" defaultRowHeight="16"/>
  <sheetData>
    <row r="1" spans="1:25">
      <c r="A1" s="1" t="s">
        <v>0</v>
      </c>
    </row>
    <row r="5" spans="1:25"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N5">
        <v>2019</v>
      </c>
      <c r="O5">
        <v>2020</v>
      </c>
      <c r="P5">
        <v>2021</v>
      </c>
      <c r="Q5">
        <v>2022</v>
      </c>
      <c r="R5">
        <v>2023</v>
      </c>
      <c r="S5">
        <v>2024</v>
      </c>
      <c r="T5">
        <v>2025</v>
      </c>
      <c r="U5">
        <v>2026</v>
      </c>
      <c r="V5">
        <v>2027</v>
      </c>
      <c r="W5">
        <v>2028</v>
      </c>
      <c r="X5">
        <v>2029</v>
      </c>
      <c r="Y5">
        <v>2030</v>
      </c>
    </row>
    <row r="6" spans="1:25" s="13" customFormat="1">
      <c r="A6" s="9"/>
      <c r="B6" s="9" t="s">
        <v>11</v>
      </c>
      <c r="C6" s="13">
        <v>69787</v>
      </c>
      <c r="D6" s="13">
        <v>74604</v>
      </c>
      <c r="E6" s="13">
        <v>76693</v>
      </c>
      <c r="F6" s="13">
        <v>86310</v>
      </c>
      <c r="G6" s="13">
        <v>80539</v>
      </c>
      <c r="H6" s="13">
        <v>84742</v>
      </c>
      <c r="I6" s="13">
        <v>88268</v>
      </c>
      <c r="J6" s="13">
        <v>96469</v>
      </c>
      <c r="K6" s="13">
        <f>G6*1.105</f>
        <v>88995.595000000001</v>
      </c>
      <c r="L6" s="13">
        <f>H6*1.102</f>
        <v>93385.684000000008</v>
      </c>
      <c r="M6" s="9"/>
      <c r="N6" s="13">
        <v>161857</v>
      </c>
      <c r="O6" s="13">
        <v>182527</v>
      </c>
      <c r="P6" s="13">
        <v>257637</v>
      </c>
      <c r="Q6" s="13">
        <v>282836</v>
      </c>
      <c r="R6" s="13">
        <v>307394</v>
      </c>
      <c r="S6" s="13">
        <f>SUM(G6:J6)</f>
        <v>350018</v>
      </c>
      <c r="T6" s="13">
        <f t="shared" ref="T6:Y6" si="0">S6+S6*T21</f>
        <v>390270.07</v>
      </c>
      <c r="U6" s="13">
        <f t="shared" si="0"/>
        <v>433980.31784000003</v>
      </c>
      <c r="V6" s="13">
        <f t="shared" si="0"/>
        <v>477378.34962400002</v>
      </c>
      <c r="W6" s="13">
        <f t="shared" si="0"/>
        <v>525116.18458640005</v>
      </c>
      <c r="X6" s="13">
        <f t="shared" si="0"/>
        <v>551371.99381572008</v>
      </c>
      <c r="Y6" s="13">
        <f t="shared" si="0"/>
        <v>578940.59350650606</v>
      </c>
    </row>
    <row r="7" spans="1:25" s="14" customFormat="1">
      <c r="A7"/>
      <c r="B7" t="s">
        <v>12</v>
      </c>
      <c r="C7" s="14">
        <v>30612</v>
      </c>
      <c r="D7" s="14">
        <v>31916</v>
      </c>
      <c r="E7" s="14">
        <v>33229</v>
      </c>
      <c r="F7" s="14">
        <v>37575</v>
      </c>
      <c r="G7" s="14">
        <v>33712</v>
      </c>
      <c r="H7" s="14">
        <v>35507</v>
      </c>
      <c r="I7" s="14">
        <v>36474</v>
      </c>
      <c r="J7" s="14">
        <v>40613</v>
      </c>
      <c r="K7"/>
      <c r="L7"/>
      <c r="M7"/>
      <c r="O7" s="14">
        <v>84732</v>
      </c>
      <c r="P7" s="14">
        <v>110939</v>
      </c>
      <c r="Q7" s="14">
        <v>126203</v>
      </c>
      <c r="R7" s="14">
        <v>133332</v>
      </c>
      <c r="S7" s="18">
        <f>SUM(G7:J7)</f>
        <v>146306</v>
      </c>
      <c r="T7" s="14">
        <f t="shared" ref="T7:Y7" si="1">T6-T8</f>
        <v>169260.12935899998</v>
      </c>
      <c r="U7" s="14">
        <f t="shared" si="1"/>
        <v>188217.263847208</v>
      </c>
      <c r="V7" s="14">
        <f t="shared" si="1"/>
        <v>207038.99023192882</v>
      </c>
      <c r="W7" s="14">
        <f t="shared" si="1"/>
        <v>227742.8892551217</v>
      </c>
      <c r="X7" s="14">
        <f t="shared" si="1"/>
        <v>239130.03371787781</v>
      </c>
      <c r="Y7" s="14">
        <f t="shared" si="1"/>
        <v>251086.53540377168</v>
      </c>
    </row>
    <row r="8" spans="1:25" s="15" customFormat="1">
      <c r="A8" s="10"/>
      <c r="B8" s="10" t="s">
        <v>13</v>
      </c>
      <c r="C8" s="15">
        <f t="shared" ref="C8:H8" si="2">C6-C7</f>
        <v>39175</v>
      </c>
      <c r="D8" s="15">
        <f t="shared" si="2"/>
        <v>42688</v>
      </c>
      <c r="E8" s="15">
        <f t="shared" si="2"/>
        <v>43464</v>
      </c>
      <c r="F8" s="15">
        <f t="shared" si="2"/>
        <v>48735</v>
      </c>
      <c r="G8" s="15">
        <f t="shared" si="2"/>
        <v>46827</v>
      </c>
      <c r="H8" s="15">
        <f t="shared" si="2"/>
        <v>49235</v>
      </c>
      <c r="I8" s="15">
        <f>I6-I7</f>
        <v>51794</v>
      </c>
      <c r="J8" s="15">
        <f>J6-J7</f>
        <v>55856</v>
      </c>
      <c r="K8" s="10"/>
      <c r="L8" s="10"/>
      <c r="M8" s="10"/>
      <c r="O8" s="15">
        <f>O6-O7</f>
        <v>97795</v>
      </c>
      <c r="P8" s="15">
        <f t="shared" ref="P8:S8" si="3">P6-P7</f>
        <v>146698</v>
      </c>
      <c r="Q8" s="15">
        <f t="shared" si="3"/>
        <v>156633</v>
      </c>
      <c r="R8" s="15">
        <f t="shared" si="3"/>
        <v>174062</v>
      </c>
      <c r="S8" s="15">
        <f t="shared" si="3"/>
        <v>203712</v>
      </c>
      <c r="T8" s="15">
        <f t="shared" ref="T8:Y8" si="4">T6*T22</f>
        <v>221009.94064100002</v>
      </c>
      <c r="U8" s="15">
        <f t="shared" si="4"/>
        <v>245763.05399279203</v>
      </c>
      <c r="V8" s="15">
        <f t="shared" si="4"/>
        <v>270339.3593920712</v>
      </c>
      <c r="W8" s="15">
        <f t="shared" si="4"/>
        <v>297373.29533127835</v>
      </c>
      <c r="X8" s="15">
        <f t="shared" si="4"/>
        <v>312241.96009784227</v>
      </c>
      <c r="Y8" s="15">
        <f t="shared" si="4"/>
        <v>327854.05810273439</v>
      </c>
    </row>
    <row r="9" spans="1:25" s="14" customFormat="1">
      <c r="A9"/>
      <c r="B9" t="s">
        <v>14</v>
      </c>
      <c r="C9" s="14">
        <v>11468</v>
      </c>
      <c r="D9" s="14">
        <v>10588</v>
      </c>
      <c r="E9" s="14">
        <v>11258</v>
      </c>
      <c r="F9" s="14">
        <v>12113</v>
      </c>
      <c r="G9" s="14">
        <v>11903</v>
      </c>
      <c r="H9" s="14">
        <v>11860</v>
      </c>
      <c r="I9" s="14">
        <v>12447</v>
      </c>
      <c r="J9" s="14">
        <v>13116</v>
      </c>
      <c r="K9"/>
      <c r="L9"/>
      <c r="M9"/>
      <c r="O9" s="14">
        <v>27573</v>
      </c>
      <c r="P9" s="14">
        <v>31562</v>
      </c>
      <c r="Q9" s="14">
        <v>39500</v>
      </c>
      <c r="R9" s="14">
        <v>45427</v>
      </c>
      <c r="S9" s="18">
        <f>SUM(G9:J9)</f>
        <v>49326</v>
      </c>
    </row>
    <row r="10" spans="1:25" s="14" customFormat="1">
      <c r="A10"/>
      <c r="B10" t="s">
        <v>15</v>
      </c>
      <c r="C10" s="14">
        <v>6533</v>
      </c>
      <c r="D10" s="14">
        <v>6781</v>
      </c>
      <c r="E10" s="14">
        <v>6884</v>
      </c>
      <c r="F10" s="14">
        <v>7719</v>
      </c>
      <c r="G10" s="14">
        <v>6426</v>
      </c>
      <c r="H10" s="14">
        <v>6792</v>
      </c>
      <c r="I10" s="14">
        <v>7227</v>
      </c>
      <c r="J10" s="14">
        <v>7363</v>
      </c>
      <c r="K10"/>
      <c r="L10"/>
      <c r="M10"/>
      <c r="O10" s="14">
        <v>17946</v>
      </c>
      <c r="P10" s="14">
        <v>22912</v>
      </c>
      <c r="Q10" s="14">
        <v>26567</v>
      </c>
      <c r="R10" s="14">
        <v>27917</v>
      </c>
      <c r="S10" s="18">
        <f>SUM(G10:J10)</f>
        <v>27808</v>
      </c>
    </row>
    <row r="11" spans="1:25" s="14" customFormat="1">
      <c r="A11"/>
      <c r="B11" t="s">
        <v>16</v>
      </c>
      <c r="C11" s="14">
        <v>3759</v>
      </c>
      <c r="D11" s="14">
        <v>3481</v>
      </c>
      <c r="E11" s="14">
        <v>3979</v>
      </c>
      <c r="F11" s="14">
        <v>5206</v>
      </c>
      <c r="G11" s="14">
        <v>3026</v>
      </c>
      <c r="H11" s="14">
        <v>3158</v>
      </c>
      <c r="I11" s="14">
        <v>3599</v>
      </c>
      <c r="J11" s="14">
        <v>4405</v>
      </c>
      <c r="K11"/>
      <c r="L11"/>
      <c r="M11"/>
      <c r="O11" s="14">
        <v>11052</v>
      </c>
      <c r="P11" s="14">
        <v>13510</v>
      </c>
      <c r="Q11" s="14">
        <v>15724</v>
      </c>
      <c r="R11" s="14">
        <v>16425</v>
      </c>
      <c r="S11" s="18">
        <f>SUM(G11:J11)</f>
        <v>14188</v>
      </c>
    </row>
    <row r="12" spans="1:25" s="15" customFormat="1">
      <c r="A12" s="10"/>
      <c r="B12" s="10" t="s">
        <v>17</v>
      </c>
      <c r="C12" s="15">
        <f t="shared" ref="C12:H12" si="5">SUM(C9:C11)</f>
        <v>21760</v>
      </c>
      <c r="D12" s="15">
        <f t="shared" si="5"/>
        <v>20850</v>
      </c>
      <c r="E12" s="15">
        <f t="shared" si="5"/>
        <v>22121</v>
      </c>
      <c r="F12" s="15">
        <f t="shared" si="5"/>
        <v>25038</v>
      </c>
      <c r="G12" s="15">
        <f t="shared" si="5"/>
        <v>21355</v>
      </c>
      <c r="H12" s="15">
        <f t="shared" si="5"/>
        <v>21810</v>
      </c>
      <c r="I12" s="15">
        <f>SUM(I9:I11)</f>
        <v>23273</v>
      </c>
      <c r="J12" s="15">
        <f>SUM(J9:J11)</f>
        <v>24884</v>
      </c>
      <c r="K12" s="10"/>
      <c r="L12" s="10"/>
      <c r="M12" s="10"/>
      <c r="O12" s="15">
        <f>SUM(O9:O11)</f>
        <v>56571</v>
      </c>
      <c r="P12" s="15">
        <f t="shared" ref="P12:S12" si="6">SUM(P9:P11)</f>
        <v>67984</v>
      </c>
      <c r="Q12" s="15">
        <f t="shared" si="6"/>
        <v>81791</v>
      </c>
      <c r="R12" s="15">
        <f t="shared" si="6"/>
        <v>89769</v>
      </c>
      <c r="S12" s="15">
        <f t="shared" si="6"/>
        <v>91322</v>
      </c>
    </row>
    <row r="13" spans="1:25" s="15" customFormat="1">
      <c r="A13" s="10"/>
      <c r="B13" s="10" t="s">
        <v>18</v>
      </c>
      <c r="C13" s="15">
        <f t="shared" ref="C13:H13" si="7">C8-C12</f>
        <v>17415</v>
      </c>
      <c r="D13" s="15">
        <f t="shared" si="7"/>
        <v>21838</v>
      </c>
      <c r="E13" s="15">
        <f t="shared" si="7"/>
        <v>21343</v>
      </c>
      <c r="F13" s="15">
        <f t="shared" si="7"/>
        <v>23697</v>
      </c>
      <c r="G13" s="15">
        <f t="shared" si="7"/>
        <v>25472</v>
      </c>
      <c r="H13" s="15">
        <f t="shared" si="7"/>
        <v>27425</v>
      </c>
      <c r="I13" s="15">
        <f>I8-I12</f>
        <v>28521</v>
      </c>
      <c r="J13" s="15">
        <f>J8-J12</f>
        <v>30972</v>
      </c>
      <c r="K13" s="10"/>
      <c r="L13" s="10"/>
      <c r="M13" s="10"/>
      <c r="O13" s="15">
        <f>O8-O12</f>
        <v>41224</v>
      </c>
      <c r="P13" s="15">
        <f t="shared" ref="P13:S13" si="8">P8-P12</f>
        <v>78714</v>
      </c>
      <c r="Q13" s="15">
        <f t="shared" si="8"/>
        <v>74842</v>
      </c>
      <c r="R13" s="15">
        <f t="shared" si="8"/>
        <v>84293</v>
      </c>
      <c r="S13" s="15">
        <f t="shared" si="8"/>
        <v>112390</v>
      </c>
    </row>
    <row r="14" spans="1:25" s="14" customFormat="1">
      <c r="A14"/>
      <c r="B14" t="s">
        <v>19</v>
      </c>
      <c r="C14" s="14">
        <v>790</v>
      </c>
      <c r="D14" s="14">
        <v>65</v>
      </c>
      <c r="E14" s="14">
        <v>-146</v>
      </c>
      <c r="F14" s="14">
        <v>715</v>
      </c>
      <c r="G14" s="14">
        <v>2843</v>
      </c>
      <c r="H14" s="14">
        <v>126</v>
      </c>
      <c r="I14" s="14">
        <v>3185</v>
      </c>
      <c r="J14" s="14">
        <v>1271</v>
      </c>
      <c r="K14"/>
      <c r="L14"/>
      <c r="M14"/>
      <c r="O14" s="14">
        <v>6858</v>
      </c>
      <c r="P14" s="14">
        <v>12020</v>
      </c>
      <c r="Q14" s="14">
        <v>-3514</v>
      </c>
      <c r="R14" s="14">
        <v>1424</v>
      </c>
      <c r="S14" s="18">
        <f>SUM(G14:J14)</f>
        <v>7425</v>
      </c>
    </row>
    <row r="15" spans="1:25" s="15" customFormat="1">
      <c r="A15" s="10"/>
      <c r="B15" s="10" t="s">
        <v>20</v>
      </c>
      <c r="C15" s="15">
        <f t="shared" ref="C15:H15" si="9">SUM(C13:C14)</f>
        <v>18205</v>
      </c>
      <c r="D15" s="15">
        <f t="shared" si="9"/>
        <v>21903</v>
      </c>
      <c r="E15" s="15">
        <f t="shared" si="9"/>
        <v>21197</v>
      </c>
      <c r="F15" s="15">
        <f t="shared" si="9"/>
        <v>24412</v>
      </c>
      <c r="G15" s="15">
        <f t="shared" si="9"/>
        <v>28315</v>
      </c>
      <c r="H15" s="15">
        <f t="shared" si="9"/>
        <v>27551</v>
      </c>
      <c r="I15" s="15">
        <f>SUM(I13:I14)</f>
        <v>31706</v>
      </c>
      <c r="J15" s="15">
        <f>SUM(J13:J14)</f>
        <v>32243</v>
      </c>
      <c r="K15" s="10"/>
      <c r="L15" s="10"/>
      <c r="M15" s="10"/>
      <c r="O15" s="15">
        <f>SUM(O13:O14)</f>
        <v>48082</v>
      </c>
      <c r="P15" s="15">
        <f t="shared" ref="P15:S15" si="10">SUM(P13:P14)</f>
        <v>90734</v>
      </c>
      <c r="Q15" s="15">
        <f t="shared" si="10"/>
        <v>71328</v>
      </c>
      <c r="R15" s="15">
        <f t="shared" si="10"/>
        <v>85717</v>
      </c>
      <c r="S15" s="15">
        <f t="shared" si="10"/>
        <v>119815</v>
      </c>
    </row>
    <row r="16" spans="1:25" s="14" customFormat="1">
      <c r="A16"/>
      <c r="B16" t="s">
        <v>21</v>
      </c>
      <c r="C16" s="14">
        <v>3154</v>
      </c>
      <c r="D16" s="14">
        <v>3535</v>
      </c>
      <c r="E16" s="14">
        <v>1508</v>
      </c>
      <c r="F16" s="14">
        <v>3725</v>
      </c>
      <c r="G16" s="14">
        <v>4653</v>
      </c>
      <c r="H16" s="14">
        <v>3932</v>
      </c>
      <c r="I16" s="14">
        <v>5405</v>
      </c>
      <c r="J16" s="14">
        <v>5707</v>
      </c>
      <c r="K16"/>
      <c r="L16"/>
      <c r="M16"/>
      <c r="O16" s="14">
        <v>7813</v>
      </c>
      <c r="P16" s="14">
        <v>14701</v>
      </c>
      <c r="Q16" s="14">
        <v>11356</v>
      </c>
      <c r="R16" s="14">
        <v>11922</v>
      </c>
      <c r="S16" s="18">
        <f>SUM(G16:J16)</f>
        <v>19697</v>
      </c>
    </row>
    <row r="17" spans="1:101" s="16" customFormat="1">
      <c r="A17" s="12"/>
      <c r="B17" s="12" t="s">
        <v>22</v>
      </c>
      <c r="C17" s="16">
        <f t="shared" ref="C17:H17" si="11">C15-C16</f>
        <v>15051</v>
      </c>
      <c r="D17" s="16">
        <f t="shared" si="11"/>
        <v>18368</v>
      </c>
      <c r="E17" s="16">
        <f t="shared" si="11"/>
        <v>19689</v>
      </c>
      <c r="F17" s="16">
        <f t="shared" si="11"/>
        <v>20687</v>
      </c>
      <c r="G17" s="16">
        <f t="shared" si="11"/>
        <v>23662</v>
      </c>
      <c r="H17" s="16">
        <f t="shared" si="11"/>
        <v>23619</v>
      </c>
      <c r="I17" s="16">
        <f>I15-I16</f>
        <v>26301</v>
      </c>
      <c r="J17" s="16">
        <f>J15-J16</f>
        <v>26536</v>
      </c>
      <c r="K17" s="16">
        <f>K6*0.28</f>
        <v>24918.766600000003</v>
      </c>
      <c r="L17" s="16">
        <f>L6*0.29</f>
        <v>27081.84836</v>
      </c>
      <c r="M17" s="12"/>
      <c r="O17" s="16">
        <f>O15-O16</f>
        <v>40269</v>
      </c>
      <c r="P17" s="16">
        <f t="shared" ref="P17:S17" si="12">P15-P16</f>
        <v>76033</v>
      </c>
      <c r="Q17" s="16">
        <f t="shared" si="12"/>
        <v>59972</v>
      </c>
      <c r="R17" s="16">
        <f t="shared" si="12"/>
        <v>73795</v>
      </c>
      <c r="S17" s="16">
        <f t="shared" si="12"/>
        <v>100118</v>
      </c>
      <c r="T17" s="16">
        <f t="shared" ref="T17:Y17" si="13">T6*T24</f>
        <v>109275.61960000001</v>
      </c>
      <c r="U17" s="16">
        <f t="shared" si="13"/>
        <v>125854.2921736</v>
      </c>
      <c r="V17" s="16">
        <f t="shared" si="13"/>
        <v>143213.50488719999</v>
      </c>
      <c r="W17" s="16">
        <f t="shared" si="13"/>
        <v>157534.85537592001</v>
      </c>
      <c r="X17" s="16">
        <f t="shared" si="13"/>
        <v>165411.59814471603</v>
      </c>
      <c r="Y17" s="16">
        <f t="shared" si="13"/>
        <v>173682.17805195181</v>
      </c>
      <c r="Z17" s="16">
        <f>Y17+Y17*Main!$L$10</f>
        <v>175418.99983247134</v>
      </c>
      <c r="AA17" s="16">
        <f>Z17+Z17*Main!$L$10</f>
        <v>177173.18983079607</v>
      </c>
      <c r="AB17" s="16">
        <f>AA17+AA17*Main!$L$10</f>
        <v>178944.92172910404</v>
      </c>
      <c r="AC17" s="16">
        <f>AB17+AB17*Main!$L$10</f>
        <v>180734.37094639509</v>
      </c>
      <c r="AD17" s="16">
        <f>AC17+AC17*Main!$L$10</f>
        <v>182541.71465585905</v>
      </c>
      <c r="AE17" s="16">
        <f>AD17+AD17*Main!$L$10</f>
        <v>184367.13180241763</v>
      </c>
      <c r="AF17" s="16">
        <f>AE17+AE17*Main!$L$10</f>
        <v>186210.80312044179</v>
      </c>
      <c r="AG17" s="16">
        <f>AF17+AF17*Main!$L$10</f>
        <v>188072.9111516462</v>
      </c>
      <c r="AH17" s="16">
        <f>AG17+AG17*Main!$L$10</f>
        <v>189953.64026316267</v>
      </c>
      <c r="AI17" s="16">
        <f>AH17+AH17*Main!$L$10</f>
        <v>191853.17666579431</v>
      </c>
      <c r="AJ17" s="16">
        <f>AI17+AI17*Main!$L$10</f>
        <v>193771.70843245226</v>
      </c>
      <c r="AK17" s="16">
        <f>AJ17+AJ17*Main!$L$10</f>
        <v>195709.42551677677</v>
      </c>
      <c r="AL17" s="16">
        <f>AK17+AK17*Main!$L$10</f>
        <v>197666.51977194453</v>
      </c>
      <c r="AM17" s="16">
        <f>AL17+AL17*Main!$L$10</f>
        <v>199643.18496966397</v>
      </c>
      <c r="AN17" s="16">
        <f>AM17+AM17*Main!$L$10</f>
        <v>201639.61681936061</v>
      </c>
      <c r="AO17" s="16">
        <f>AN17+AN17*Main!$L$10</f>
        <v>203656.01298755422</v>
      </c>
      <c r="AP17" s="16">
        <f>AO17+AO17*Main!$L$10</f>
        <v>205692.57311742977</v>
      </c>
      <c r="AQ17" s="16">
        <f>AP17+AP17*Main!$L$10</f>
        <v>207749.49884860407</v>
      </c>
      <c r="AR17" s="16">
        <f>AQ17+AQ17*Main!$L$10</f>
        <v>209826.99383709012</v>
      </c>
      <c r="AS17" s="16">
        <f>AR17+AR17*Main!$L$10</f>
        <v>211925.26377546103</v>
      </c>
      <c r="AT17" s="16">
        <f>AS17+AS17*Main!$L$10</f>
        <v>214044.51641321564</v>
      </c>
      <c r="AU17" s="16">
        <f>AT17+AT17*Main!$L$10</f>
        <v>216184.9615773478</v>
      </c>
      <c r="AV17" s="16">
        <f>AU17+AU17*Main!$L$10</f>
        <v>218346.81119312128</v>
      </c>
      <c r="AW17" s="16">
        <f>AV17+AV17*Main!$L$10</f>
        <v>220530.27930505248</v>
      </c>
      <c r="AX17" s="16">
        <f>AW17+AW17*Main!$L$10</f>
        <v>222735.58209810301</v>
      </c>
      <c r="AY17" s="16">
        <f>AX17+AX17*Main!$L$10</f>
        <v>224962.93791908404</v>
      </c>
      <c r="AZ17" s="16">
        <f>AY17+AY17*Main!$L$10</f>
        <v>227212.56729827489</v>
      </c>
      <c r="BA17" s="16">
        <f>AZ17+AZ17*Main!$L$10</f>
        <v>229484.69297125764</v>
      </c>
      <c r="BB17" s="16">
        <f>BA17+BA17*Main!$L$10</f>
        <v>231779.53990097021</v>
      </c>
      <c r="BC17" s="16">
        <f>BB17+BB17*Main!$L$10</f>
        <v>234097.33529997992</v>
      </c>
      <c r="BD17" s="16">
        <f>BC17+BC17*Main!$L$10</f>
        <v>236438.30865297973</v>
      </c>
      <c r="BE17" s="16">
        <f>BD17+BD17*Main!$L$10</f>
        <v>238802.69173950952</v>
      </c>
      <c r="BF17" s="16">
        <f>BE17+BE17*Main!$L$10</f>
        <v>241190.71865690462</v>
      </c>
      <c r="BG17" s="16">
        <f>BF17+BF17*Main!$L$10</f>
        <v>243602.62584347365</v>
      </c>
      <c r="BH17" s="16">
        <f>BG17+BG17*Main!$L$10</f>
        <v>246038.6521019084</v>
      </c>
      <c r="BI17" s="16">
        <f>BH17+BH17*Main!$L$10</f>
        <v>248499.03862292747</v>
      </c>
      <c r="BJ17" s="16">
        <f>BI17+BI17*Main!$L$10</f>
        <v>250984.02900915674</v>
      </c>
      <c r="BK17" s="16">
        <f>BJ17+BJ17*Main!$L$10</f>
        <v>253493.8692992483</v>
      </c>
      <c r="BL17" s="16">
        <f>BK17+BK17*Main!$L$10</f>
        <v>256028.80799224079</v>
      </c>
      <c r="BM17" s="16">
        <f>BL17+BL17*Main!$L$10</f>
        <v>258589.0960721632</v>
      </c>
      <c r="BN17" s="16">
        <f>BM17+BM17*Main!$L$10</f>
        <v>261174.98703288482</v>
      </c>
      <c r="BO17" s="16">
        <f>BN17+BN17*Main!$L$10</f>
        <v>263786.73690321366</v>
      </c>
      <c r="BP17" s="16">
        <f>BO17+BO17*Main!$L$10</f>
        <v>266424.60427224578</v>
      </c>
      <c r="BQ17" s="16">
        <f>BP17+BP17*Main!$L$10</f>
        <v>269088.85031496827</v>
      </c>
      <c r="BR17" s="16">
        <f>BQ17+BQ17*Main!$L$10</f>
        <v>271779.73881811794</v>
      </c>
      <c r="BS17" s="16">
        <f>BR17+BR17*Main!$L$10</f>
        <v>274497.53620629915</v>
      </c>
      <c r="BT17" s="16">
        <f>BS17+BS17*Main!$L$10</f>
        <v>277242.51156836213</v>
      </c>
      <c r="BU17" s="16">
        <f>BT17+BT17*Main!$L$10</f>
        <v>280014.93668404577</v>
      </c>
      <c r="BV17" s="16">
        <f>BU17+BU17*Main!$L$10</f>
        <v>282815.0860508862</v>
      </c>
      <c r="BW17" s="16">
        <f>BV17+BV17*Main!$L$10</f>
        <v>285643.23691139504</v>
      </c>
      <c r="BX17" s="16">
        <f>BW17+BW17*Main!$L$10</f>
        <v>288499.669280509</v>
      </c>
      <c r="BY17" s="16">
        <f>BX17+BX17*Main!$L$10</f>
        <v>291384.66597331408</v>
      </c>
      <c r="BZ17" s="16">
        <f>BY17+BY17*Main!$L$10</f>
        <v>294298.51263304724</v>
      </c>
      <c r="CA17" s="16">
        <f>BZ17+BZ17*Main!$L$10</f>
        <v>297241.4977593777</v>
      </c>
      <c r="CB17" s="16">
        <f>CA17+CA17*Main!$L$10</f>
        <v>300213.91273697146</v>
      </c>
      <c r="CC17" s="16">
        <f>CB17+CB17*Main!$L$10</f>
        <v>303216.05186434119</v>
      </c>
      <c r="CD17" s="16">
        <f>CC17+CC17*Main!$L$10</f>
        <v>306248.21238298458</v>
      </c>
      <c r="CE17" s="16">
        <f>CD17+CD17*Main!$L$10</f>
        <v>309310.69450681441</v>
      </c>
      <c r="CF17" s="16">
        <f>CE17+CE17*Main!$L$10</f>
        <v>312403.80145188258</v>
      </c>
      <c r="CG17" s="16">
        <f>CF17+CF17*Main!$L$10</f>
        <v>315527.83946640143</v>
      </c>
      <c r="CH17" s="16">
        <f>CG17+CG17*Main!$L$10</f>
        <v>318683.11786106543</v>
      </c>
      <c r="CI17" s="16">
        <f>CH17+CH17*Main!$L$10</f>
        <v>321869.94903967611</v>
      </c>
      <c r="CJ17" s="16">
        <f>CI17+CI17*Main!$L$10</f>
        <v>325088.64853007288</v>
      </c>
      <c r="CK17" s="16">
        <f>CJ17+CJ17*Main!$L$10</f>
        <v>328339.53501537361</v>
      </c>
      <c r="CL17" s="16">
        <f>CK17+CK17*Main!$L$10</f>
        <v>331622.93036552734</v>
      </c>
      <c r="CM17" s="16">
        <f>CL17+CL17*Main!$L$10</f>
        <v>334939.15966918261</v>
      </c>
      <c r="CN17" s="16">
        <f>CM17+CM17*Main!$L$10</f>
        <v>338288.55126587441</v>
      </c>
      <c r="CO17" s="16">
        <f>CN17+CN17*Main!$L$10</f>
        <v>341671.43677853316</v>
      </c>
      <c r="CP17" s="16">
        <f>CO17+CO17*Main!$L$10</f>
        <v>345088.15114631847</v>
      </c>
      <c r="CQ17" s="16">
        <f>CP17+CP17*Main!$L$10</f>
        <v>348539.03265778167</v>
      </c>
      <c r="CR17" s="16">
        <f>CQ17+CQ17*Main!$L$10</f>
        <v>352024.42298435949</v>
      </c>
      <c r="CS17" s="16">
        <f>CR17+CR17*Main!$L$10</f>
        <v>355544.6672142031</v>
      </c>
      <c r="CT17" s="16">
        <f>CS17+CS17*Main!$L$10</f>
        <v>359100.11388634512</v>
      </c>
      <c r="CU17" s="16">
        <f>CT17+CT17*Main!$L$10</f>
        <v>362691.11502520856</v>
      </c>
      <c r="CV17" s="16">
        <f>CU17+CU17*Main!$L$10</f>
        <v>366318.02617546066</v>
      </c>
      <c r="CW17" s="16">
        <f>CV17+CV17*Main!$L$10</f>
        <v>369981.20643721527</v>
      </c>
    </row>
    <row r="18" spans="1:101" s="10" customFormat="1">
      <c r="B18" s="10" t="s">
        <v>23</v>
      </c>
      <c r="C18" s="11">
        <f t="shared" ref="C18:H18" si="14">C17/C19</f>
        <v>1.1737502924432659</v>
      </c>
      <c r="D18" s="11">
        <f t="shared" si="14"/>
        <v>1.439047320589157</v>
      </c>
      <c r="E18" s="11">
        <f t="shared" si="14"/>
        <v>1.5508034026465027</v>
      </c>
      <c r="F18" s="11">
        <f t="shared" si="14"/>
        <v>1.6260808049048892</v>
      </c>
      <c r="G18" s="11">
        <f t="shared" si="14"/>
        <v>1.8888800191586175</v>
      </c>
      <c r="H18" s="11">
        <f t="shared" si="14"/>
        <v>1.8902761104441776</v>
      </c>
      <c r="I18" s="11">
        <f>I17/I19</f>
        <v>2.1485989706723307</v>
      </c>
      <c r="J18" s="11">
        <f>J17/J19</f>
        <v>2.1490119857466796</v>
      </c>
      <c r="K18" s="11">
        <f t="shared" ref="K18:L18" si="15">K17/K19</f>
        <v>2.0180407029478462</v>
      </c>
      <c r="L18" s="11">
        <f t="shared" si="15"/>
        <v>2.1932173922902494</v>
      </c>
      <c r="O18" s="11">
        <f>O17/O19</f>
        <v>2.9304533109777928</v>
      </c>
      <c r="P18" s="11">
        <f t="shared" ref="P18:U18" si="16">P17/P19</f>
        <v>5.6100494355493247</v>
      </c>
      <c r="Q18" s="11">
        <f t="shared" si="16"/>
        <v>4.5574891709096432</v>
      </c>
      <c r="R18" s="11">
        <f t="shared" si="16"/>
        <v>5.800581669548813</v>
      </c>
      <c r="S18" s="11">
        <f t="shared" si="16"/>
        <v>8.0435446292279256</v>
      </c>
      <c r="T18" s="11">
        <f t="shared" si="16"/>
        <v>8.7792736884389821</v>
      </c>
      <c r="U18" s="11">
        <f t="shared" si="16"/>
        <v>10.111214925170724</v>
      </c>
    </row>
    <row r="19" spans="1:101">
      <c r="B19" t="s">
        <v>2</v>
      </c>
      <c r="C19" s="14">
        <v>12823</v>
      </c>
      <c r="D19" s="14">
        <v>12764</v>
      </c>
      <c r="E19" s="14">
        <v>12696</v>
      </c>
      <c r="F19" s="14">
        <v>12722</v>
      </c>
      <c r="G19" s="14">
        <v>12527</v>
      </c>
      <c r="H19" s="14">
        <v>12495</v>
      </c>
      <c r="I19" s="14">
        <v>12241</v>
      </c>
      <c r="J19" s="14">
        <v>12348</v>
      </c>
      <c r="K19" s="14">
        <f>J19</f>
        <v>12348</v>
      </c>
      <c r="L19" s="14">
        <f>K19</f>
        <v>12348</v>
      </c>
      <c r="M19" s="14"/>
      <c r="N19" s="14"/>
      <c r="O19" s="14">
        <v>13741.56</v>
      </c>
      <c r="P19" s="14">
        <v>13553</v>
      </c>
      <c r="Q19" s="14">
        <v>13159</v>
      </c>
      <c r="R19" s="14">
        <v>12722</v>
      </c>
      <c r="S19" s="14">
        <v>12447</v>
      </c>
      <c r="T19" s="14">
        <f>S19</f>
        <v>12447</v>
      </c>
      <c r="U19" s="14">
        <f>T19</f>
        <v>12447</v>
      </c>
      <c r="V19" s="14"/>
      <c r="W19" s="14"/>
      <c r="X19" s="14"/>
      <c r="Y19" s="14"/>
    </row>
    <row r="21" spans="1:101">
      <c r="B21" t="s">
        <v>24</v>
      </c>
      <c r="G21" s="8">
        <f t="shared" ref="G21:I21" si="17">G6/C6-1</f>
        <v>0.15406880937710454</v>
      </c>
      <c r="H21" s="8">
        <f t="shared" si="17"/>
        <v>0.13589083695244231</v>
      </c>
      <c r="I21" s="8">
        <f t="shared" si="17"/>
        <v>0.15092642092498654</v>
      </c>
      <c r="J21" s="8">
        <f>J6/F6-1</f>
        <v>0.11770362646275045</v>
      </c>
      <c r="K21" s="8">
        <f>K6/G6-1</f>
        <v>0.10499999999999998</v>
      </c>
      <c r="L21" s="8">
        <f>L6/H6-1</f>
        <v>0.10200000000000009</v>
      </c>
      <c r="O21" s="8">
        <f>O6/N6-1</f>
        <v>0.12770532012826141</v>
      </c>
      <c r="P21" s="8">
        <f t="shared" ref="P21:S21" si="18">P6/O6-1</f>
        <v>0.41150076427049154</v>
      </c>
      <c r="Q21" s="8">
        <f t="shared" si="18"/>
        <v>9.7808156437157789E-2</v>
      </c>
      <c r="R21" s="8">
        <f t="shared" si="18"/>
        <v>8.6827702272695095E-2</v>
      </c>
      <c r="S21" s="8">
        <f t="shared" si="18"/>
        <v>0.13866243322901561</v>
      </c>
      <c r="T21" s="8">
        <v>0.115</v>
      </c>
      <c r="U21" s="8">
        <v>0.112</v>
      </c>
      <c r="V21" s="8">
        <v>0.1</v>
      </c>
      <c r="W21" s="8">
        <v>0.1</v>
      </c>
      <c r="X21" s="8">
        <v>0.05</v>
      </c>
      <c r="Y21" s="8">
        <v>0.05</v>
      </c>
    </row>
    <row r="22" spans="1:101">
      <c r="B22" t="s">
        <v>25</v>
      </c>
      <c r="C22" s="8">
        <f t="shared" ref="C22:F22" si="19">C8/C6</f>
        <v>0.56135096794531936</v>
      </c>
      <c r="D22" s="8">
        <f t="shared" si="19"/>
        <v>0.5721945204010509</v>
      </c>
      <c r="E22" s="8">
        <f t="shared" si="19"/>
        <v>0.56672708069836886</v>
      </c>
      <c r="F22" s="8">
        <f t="shared" si="19"/>
        <v>0.56465067778936395</v>
      </c>
      <c r="G22" s="8">
        <f t="shared" ref="G22:I22" si="20">G8/G6</f>
        <v>0.58142018152696207</v>
      </c>
      <c r="H22" s="8">
        <f t="shared" si="20"/>
        <v>0.58099879634655782</v>
      </c>
      <c r="I22" s="8">
        <f t="shared" si="20"/>
        <v>0.58678116644763678</v>
      </c>
      <c r="J22" s="8">
        <f>J8/J6</f>
        <v>0.5790046543449191</v>
      </c>
      <c r="O22" s="8">
        <f>O8/O6</f>
        <v>0.53578374706207854</v>
      </c>
      <c r="P22" s="8">
        <f t="shared" ref="P22:R22" si="21">P8/P6</f>
        <v>0.5693980290098084</v>
      </c>
      <c r="Q22" s="8">
        <f t="shared" si="21"/>
        <v>0.55379442503783116</v>
      </c>
      <c r="R22" s="8">
        <f t="shared" si="21"/>
        <v>0.56625047984020505</v>
      </c>
      <c r="S22" s="8">
        <v>0.56630000000000003</v>
      </c>
      <c r="T22" s="8">
        <v>0.56630000000000003</v>
      </c>
      <c r="U22" s="8">
        <v>0.56630000000000003</v>
      </c>
      <c r="V22" s="8">
        <v>0.56630000000000003</v>
      </c>
      <c r="W22" s="8">
        <v>0.56630000000000003</v>
      </c>
      <c r="X22" s="8">
        <v>0.56630000000000003</v>
      </c>
      <c r="Y22" s="8">
        <v>0.56630000000000003</v>
      </c>
    </row>
    <row r="23" spans="1:101">
      <c r="B23" t="s">
        <v>26</v>
      </c>
      <c r="C23" s="8">
        <f t="shared" ref="C23:F23" si="22">C16/C15</f>
        <v>0.17324910738808019</v>
      </c>
      <c r="D23" s="8">
        <f t="shared" si="22"/>
        <v>0.16139341642697347</v>
      </c>
      <c r="E23" s="8">
        <f t="shared" si="22"/>
        <v>7.1142142756050381E-2</v>
      </c>
      <c r="F23" s="8">
        <f t="shared" si="22"/>
        <v>0.15258889070948714</v>
      </c>
      <c r="G23" s="8">
        <f t="shared" ref="G23:I23" si="23">G16/G15</f>
        <v>0.16432986049796927</v>
      </c>
      <c r="H23" s="8">
        <f t="shared" si="23"/>
        <v>0.14271714275343908</v>
      </c>
      <c r="I23" s="8">
        <f t="shared" si="23"/>
        <v>0.17047246577934777</v>
      </c>
      <c r="J23" s="8">
        <f>J16/J15</f>
        <v>0.17699965884067859</v>
      </c>
      <c r="O23" s="8">
        <f>O16/O15</f>
        <v>0.16249324071378063</v>
      </c>
      <c r="P23" s="8">
        <f t="shared" ref="P23:R23" si="24">P16/P15</f>
        <v>0.16202305640663919</v>
      </c>
      <c r="Q23" s="8">
        <f t="shared" si="24"/>
        <v>0.1592081650964558</v>
      </c>
      <c r="R23" s="8">
        <f t="shared" si="24"/>
        <v>0.13908559562280529</v>
      </c>
      <c r="S23" s="8">
        <v>0.1391</v>
      </c>
      <c r="T23" s="8">
        <v>0.1391</v>
      </c>
      <c r="U23" s="8">
        <v>0.1391</v>
      </c>
      <c r="V23" s="8">
        <v>0.1391</v>
      </c>
      <c r="W23" s="8">
        <v>0.1391</v>
      </c>
      <c r="X23" s="8">
        <v>0.1391</v>
      </c>
      <c r="Y23" s="8">
        <v>0.1391</v>
      </c>
    </row>
    <row r="24" spans="1:101">
      <c r="B24" t="s">
        <v>27</v>
      </c>
      <c r="C24" s="8">
        <f t="shared" ref="C24:F24" si="25">C17/C6</f>
        <v>0.21567054035851949</v>
      </c>
      <c r="D24" s="8">
        <f t="shared" si="25"/>
        <v>0.2462066377137955</v>
      </c>
      <c r="E24" s="8">
        <f t="shared" si="25"/>
        <v>0.25672486406842865</v>
      </c>
      <c r="F24" s="8">
        <f t="shared" si="25"/>
        <v>0.23968253968253969</v>
      </c>
      <c r="G24" s="8">
        <f t="shared" ref="G24:I24" si="26">G17/G6</f>
        <v>0.29379555246526529</v>
      </c>
      <c r="H24" s="8">
        <f t="shared" si="26"/>
        <v>0.27871657501593072</v>
      </c>
      <c r="I24" s="8">
        <f t="shared" si="26"/>
        <v>0.29796755336022113</v>
      </c>
      <c r="J24" s="8">
        <f>J17/J6</f>
        <v>0.27507282132083882</v>
      </c>
      <c r="K24" s="8">
        <f t="shared" ref="K24:L24" si="27">K17/K6</f>
        <v>0.28000000000000003</v>
      </c>
      <c r="L24" s="8">
        <f t="shared" si="27"/>
        <v>0.28999999999999998</v>
      </c>
      <c r="O24" s="8">
        <f>O17/O6</f>
        <v>0.22061941520980458</v>
      </c>
      <c r="P24" s="8">
        <f t="shared" ref="P24:S24" si="28">P17/P6</f>
        <v>0.29511677282377918</v>
      </c>
      <c r="Q24" s="8">
        <f t="shared" si="28"/>
        <v>0.21203807153261961</v>
      </c>
      <c r="R24" s="8">
        <f t="shared" si="28"/>
        <v>0.24006649446638517</v>
      </c>
      <c r="S24" s="8">
        <f t="shared" si="28"/>
        <v>0.28603671811164</v>
      </c>
      <c r="T24" s="8">
        <v>0.28000000000000003</v>
      </c>
      <c r="U24" s="8">
        <v>0.28999999999999998</v>
      </c>
      <c r="V24" s="8">
        <v>0.3</v>
      </c>
      <c r="W24" s="8">
        <v>0.3</v>
      </c>
      <c r="X24" s="8">
        <v>0.3</v>
      </c>
      <c r="Y24" s="8">
        <v>0.3</v>
      </c>
    </row>
    <row r="25" spans="1:101">
      <c r="B25" t="s">
        <v>28</v>
      </c>
      <c r="P25" s="8">
        <f>P9/O9-1</f>
        <v>0.14467051100714468</v>
      </c>
      <c r="Q25" s="8">
        <f t="shared" ref="Q25:S25" si="29">Q9/P9-1</f>
        <v>0.25150497433622721</v>
      </c>
      <c r="R25" s="8">
        <f t="shared" si="29"/>
        <v>0.15005063291139242</v>
      </c>
      <c r="S25" s="8">
        <f t="shared" si="29"/>
        <v>8.583001298787063E-2</v>
      </c>
    </row>
  </sheetData>
  <phoneticPr fontId="4" type="noConversion"/>
  <hyperlinks>
    <hyperlink ref="A1" location="Main!A1" display="Main" xr:uid="{6B28B774-A410-0A4C-A3BC-D9DE6E2F66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2025-01-02T19:24:29Z</dcterms:created>
  <dcterms:modified xsi:type="dcterms:W3CDTF">2025-02-05T15:04:28Z</dcterms:modified>
</cp:coreProperties>
</file>