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C5C851AE-AAF5-1E41-B438-D0EB7E9A4742}" xr6:coauthVersionLast="47" xr6:coauthVersionMax="47" xr10:uidLastSave="{00000000-0000-0000-0000-000000000000}"/>
  <bookViews>
    <workbookView xWindow="0" yWindow="740" windowWidth="14320" windowHeight="18380" xr2:uid="{FFDE8198-0A80-C04D-964E-60CE6D882A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AB27" i="2"/>
  <c r="AA27" i="2"/>
  <c r="Z27" i="2"/>
  <c r="Y27" i="2"/>
  <c r="X27" i="2"/>
  <c r="W27" i="2"/>
  <c r="V27" i="2"/>
  <c r="U27" i="2"/>
  <c r="AB20" i="2"/>
  <c r="AB5" i="2"/>
  <c r="J19" i="2"/>
  <c r="R19" i="2" s="1"/>
  <c r="J18" i="2"/>
  <c r="R18" i="2" s="1"/>
  <c r="M28" i="2"/>
  <c r="L25" i="2"/>
  <c r="L26" i="2"/>
  <c r="L27" i="2"/>
  <c r="M24" i="2"/>
  <c r="L16" i="2"/>
  <c r="N16" i="2"/>
  <c r="L17" i="2"/>
  <c r="L20" i="2" s="1"/>
  <c r="L21" i="2" s="1"/>
  <c r="L12" i="2"/>
  <c r="L13" i="2" s="1"/>
  <c r="L7" i="2"/>
  <c r="R15" i="2"/>
  <c r="J10" i="2"/>
  <c r="J9" i="2"/>
  <c r="J8" i="2"/>
  <c r="R8" i="2" s="1"/>
  <c r="J5" i="2"/>
  <c r="R5" i="2" s="1"/>
  <c r="R24" i="2" s="1"/>
  <c r="F18" i="2"/>
  <c r="F16" i="2"/>
  <c r="F15" i="2"/>
  <c r="F14" i="2"/>
  <c r="F11" i="2"/>
  <c r="F10" i="2"/>
  <c r="F9" i="2"/>
  <c r="F8" i="2"/>
  <c r="F6" i="2"/>
  <c r="F7" i="2" s="1"/>
  <c r="F5" i="2"/>
  <c r="M12" i="2"/>
  <c r="N12" i="2"/>
  <c r="O12" i="2"/>
  <c r="P12" i="2"/>
  <c r="Q12" i="2"/>
  <c r="C7" i="2"/>
  <c r="D7" i="2"/>
  <c r="D25" i="2" s="1"/>
  <c r="E7" i="2"/>
  <c r="E25" i="2" s="1"/>
  <c r="G7" i="2"/>
  <c r="G25" i="2" s="1"/>
  <c r="H7" i="2"/>
  <c r="C12" i="2"/>
  <c r="D12" i="2"/>
  <c r="E12" i="2"/>
  <c r="G12" i="2"/>
  <c r="H12" i="2"/>
  <c r="I12" i="2"/>
  <c r="L5" i="1"/>
  <c r="R16" i="2"/>
  <c r="F22" i="2"/>
  <c r="F19" i="2"/>
  <c r="N28" i="2"/>
  <c r="O28" i="2"/>
  <c r="P28" i="2"/>
  <c r="Q28" i="2"/>
  <c r="N24" i="2"/>
  <c r="O24" i="2"/>
  <c r="P24" i="2"/>
  <c r="Q24" i="2"/>
  <c r="O7" i="2"/>
  <c r="P7" i="2"/>
  <c r="Q7" i="2"/>
  <c r="Q25" i="2" s="1"/>
  <c r="N7" i="2"/>
  <c r="N25" i="2" s="1"/>
  <c r="M7" i="2"/>
  <c r="M25" i="2" s="1"/>
  <c r="R11" i="2"/>
  <c r="R14" i="2"/>
  <c r="R9" i="2"/>
  <c r="R28" i="2" s="1"/>
  <c r="J22" i="2"/>
  <c r="R22" i="2" s="1"/>
  <c r="S22" i="2" s="1"/>
  <c r="G24" i="2"/>
  <c r="H24" i="2"/>
  <c r="I24" i="2"/>
  <c r="I7" i="2"/>
  <c r="I25" i="2" s="1"/>
  <c r="J12" i="2" l="1"/>
  <c r="J6" i="2"/>
  <c r="R6" i="2" s="1"/>
  <c r="J7" i="2"/>
  <c r="J25" i="2" s="1"/>
  <c r="J24" i="2"/>
  <c r="O13" i="2"/>
  <c r="O17" i="2" s="1"/>
  <c r="O20" i="2" s="1"/>
  <c r="E13" i="2"/>
  <c r="E17" i="2" s="1"/>
  <c r="P13" i="2"/>
  <c r="P17" i="2" s="1"/>
  <c r="P26" i="2" s="1"/>
  <c r="J13" i="2"/>
  <c r="J17" i="2" s="1"/>
  <c r="J20" i="2" s="1"/>
  <c r="J27" i="2" s="1"/>
  <c r="C13" i="2"/>
  <c r="C17" i="2" s="1"/>
  <c r="C26" i="2" s="1"/>
  <c r="C25" i="2"/>
  <c r="G13" i="2"/>
  <c r="G17" i="2" s="1"/>
  <c r="F25" i="2"/>
  <c r="D13" i="2"/>
  <c r="D17" i="2" s="1"/>
  <c r="D26" i="2" s="1"/>
  <c r="H13" i="2"/>
  <c r="H17" i="2" s="1"/>
  <c r="H26" i="2" s="1"/>
  <c r="H25" i="2"/>
  <c r="F12" i="2"/>
  <c r="F13" i="2" s="1"/>
  <c r="F17" i="2" s="1"/>
  <c r="M13" i="2"/>
  <c r="M17" i="2" s="1"/>
  <c r="N13" i="2"/>
  <c r="N17" i="2" s="1"/>
  <c r="P25" i="2"/>
  <c r="Q13" i="2"/>
  <c r="Q17" i="2" s="1"/>
  <c r="O25" i="2"/>
  <c r="S5" i="2"/>
  <c r="S20" i="2" s="1"/>
  <c r="S21" i="2" s="1"/>
  <c r="R7" i="2"/>
  <c r="R25" i="2" s="1"/>
  <c r="I13" i="2"/>
  <c r="I17" i="2" s="1"/>
  <c r="R10" i="2"/>
  <c r="R12" i="2" s="1"/>
  <c r="O26" i="2" l="1"/>
  <c r="P20" i="2"/>
  <c r="P21" i="2" s="1"/>
  <c r="E26" i="2"/>
  <c r="E20" i="2"/>
  <c r="P27" i="2"/>
  <c r="C20" i="2"/>
  <c r="C21" i="2" s="1"/>
  <c r="G26" i="2"/>
  <c r="G20" i="2"/>
  <c r="D20" i="2"/>
  <c r="D27" i="2" s="1"/>
  <c r="F26" i="2"/>
  <c r="F20" i="2"/>
  <c r="H20" i="2"/>
  <c r="H27" i="2" s="1"/>
  <c r="T5" i="2"/>
  <c r="U5" i="2" s="1"/>
  <c r="H21" i="2"/>
  <c r="J26" i="2"/>
  <c r="M20" i="2"/>
  <c r="M26" i="2"/>
  <c r="O27" i="2"/>
  <c r="O21" i="2"/>
  <c r="N20" i="2"/>
  <c r="N26" i="2"/>
  <c r="R13" i="2"/>
  <c r="R17" i="2" s="1"/>
  <c r="R20" i="2" s="1"/>
  <c r="Q26" i="2"/>
  <c r="Q20" i="2"/>
  <c r="I26" i="2"/>
  <c r="I20" i="2"/>
  <c r="J21" i="2"/>
  <c r="E27" i="2" l="1"/>
  <c r="E21" i="2"/>
  <c r="C27" i="2"/>
  <c r="T20" i="2"/>
  <c r="G21" i="2"/>
  <c r="G27" i="2"/>
  <c r="D21" i="2"/>
  <c r="F27" i="2"/>
  <c r="F21" i="2"/>
  <c r="N27" i="2"/>
  <c r="N21" i="2"/>
  <c r="Q27" i="2"/>
  <c r="Q21" i="2"/>
  <c r="R26" i="2"/>
  <c r="M27" i="2"/>
  <c r="M21" i="2"/>
  <c r="R21" i="2"/>
  <c r="R27" i="2"/>
  <c r="V5" i="2"/>
  <c r="U20" i="2"/>
  <c r="I27" i="2"/>
  <c r="I21" i="2"/>
  <c r="L4" i="1"/>
  <c r="L7" i="1" s="1"/>
  <c r="W5" i="2" l="1"/>
  <c r="V20" i="2"/>
  <c r="X5" i="2" l="1"/>
  <c r="W20" i="2"/>
  <c r="Y5" i="2" l="1"/>
  <c r="X20" i="2"/>
  <c r="Z5" i="2" l="1"/>
  <c r="Y20" i="2"/>
  <c r="Z20" i="2" l="1"/>
  <c r="AA5" i="2"/>
  <c r="AA20" i="2" s="1"/>
  <c r="AC20" i="2" l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l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L12" i="1" l="1"/>
  <c r="L13" i="1" s="1"/>
  <c r="L15" i="1" s="1"/>
</calcChain>
</file>

<file path=xl/sharedStrings.xml><?xml version="1.0" encoding="utf-8"?>
<sst xmlns="http://schemas.openxmlformats.org/spreadsheetml/2006/main" count="46" uniqueCount="41">
  <si>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</si>
  <si>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</si>
  <si>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</si>
  <si>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</si>
  <si>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</si>
  <si>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</si>
  <si>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</si>
  <si>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</si>
  <si>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</si>
  <si>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</si>
  <si>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</si>
  <si>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</si>
  <si>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</si>
  <si>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Revenue</t>
  </si>
  <si>
    <t>COGS</t>
  </si>
  <si>
    <t>Gross profit</t>
  </si>
  <si>
    <t>R&amp;D</t>
  </si>
  <si>
    <t>Other</t>
  </si>
  <si>
    <t>OPEX</t>
  </si>
  <si>
    <t>OPINC</t>
  </si>
  <si>
    <t>Pretax</t>
  </si>
  <si>
    <t>Tax</t>
  </si>
  <si>
    <t>less net</t>
  </si>
  <si>
    <t>Net income</t>
  </si>
  <si>
    <t>EPS</t>
  </si>
  <si>
    <t>Gross margin %</t>
  </si>
  <si>
    <t>Tax rate %</t>
  </si>
  <si>
    <t>Employees</t>
  </si>
  <si>
    <t>Q324</t>
  </si>
  <si>
    <t>Q424</t>
  </si>
  <si>
    <t>growth</t>
  </si>
  <si>
    <t>discount</t>
  </si>
  <si>
    <t>NPV</t>
  </si>
  <si>
    <t>price target</t>
  </si>
  <si>
    <t>Revenue y/y</t>
  </si>
  <si>
    <t>R&amp;D y/y</t>
  </si>
  <si>
    <t>Profit margin %</t>
  </si>
  <si>
    <t>S&amp;M</t>
  </si>
  <si>
    <t>G&amp;A</t>
  </si>
  <si>
    <t>interest income</t>
  </si>
  <si>
    <t>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</si>
</sst>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3" applyFont="1"/>
    <xf numFmtId="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0" fontId="1" fillId="0" borderId="0" xfId="2" applyNumberFormat="1" applyFont="1"/>
    <xf numFmtId="9" fontId="1" fillId="0" borderId="0" xfId="0" applyNumberFormat="1" applyFont="1"/>
    <xf numFmtId="4" fontId="1" fillId="0" borderId="0" xfId="1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4" fontId="7" fillId="0" borderId="0" xfId="0" applyNumberFormat="1" applyFont="1"/>
    <xf numFmtId="14" fontId="1" fillId="0" borderId="0" xfId="0" applyNumberFormat="1" applyFont="1"/>
    <xf numFmtId="0" fontId="8" fillId="0" borderId="0" xfId="0" applyFont="1"/>
    <xf numFmtId="3" fontId="8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BCAB-95B0-CA45-9960-54718EF86824}">
  <dimension ref="K1:M15"/>
  <sheetViews>
    <sheetView tabSelected="1" topLeftCell="E1" workbookViewId="0">
      <selection activeCell="L11" sqref="L11"/>
    </sheetView>
  </sheetViews>
  <sheetFormatPr baseColWidth="10" defaultRowHeight="16" x14ac:dyDescent="0.2"/>
  <cols>
    <col min="1" max="10" width="10.83203125" style="1"/>
    <col min="11" max="11" width="11.33203125" style="1" bestFit="1" customWidth="1"/>
    <col min="12" max="13" width="11.5" style="1" bestFit="1" customWidth="1"/>
    <col min="14" max="16384" width="10.83203125" style="1"/>
  </cols>
  <sheetData>
    <row r="1" spans="11:13" x14ac:dyDescent="0.2">
      <c r="M1" s="14">
        <v>45677</v>
      </c>
    </row>
    <row r="2" spans="11:13" x14ac:dyDescent="0.2">
      <c r="K2" s="1" t="s">
        <v>0</v>
      </c>
      <c r="L2" s="3">
        <v>72</v>
      </c>
    </row>
    <row r="3" spans="11:13" x14ac:dyDescent="0.2">
      <c r="K3" s="1" t="s">
        <v>1</v>
      </c>
      <c r="L3" s="4">
        <f>2172.44+96.36+1</f>
        <v>2269.8000000000002</v>
      </c>
      <c r="M3" s="1" t="s">
        <v>28</v>
      </c>
    </row>
    <row r="4" spans="11:13" x14ac:dyDescent="0.2">
      <c r="K4" s="1" t="s">
        <v>2</v>
      </c>
      <c r="L4" s="4">
        <f>L2*L3</f>
        <v>163425.60000000001</v>
      </c>
    </row>
    <row r="5" spans="11:13" x14ac:dyDescent="0.2">
      <c r="K5" s="1" t="s">
        <v>3</v>
      </c>
      <c r="L5" s="4">
        <f>768.71+3795.949</f>
        <v>4564.6589999999997</v>
      </c>
      <c r="M5" s="1" t="s">
        <v>28</v>
      </c>
    </row>
    <row r="6" spans="11:13" x14ac:dyDescent="0.2">
      <c r="K6" s="1" t="s">
        <v>4</v>
      </c>
      <c r="L6" s="4">
        <v>0</v>
      </c>
      <c r="M6" s="1" t="s">
        <v>28</v>
      </c>
    </row>
    <row r="7" spans="11:13" x14ac:dyDescent="0.2">
      <c r="K7" s="1" t="s">
        <v>5</v>
      </c>
      <c r="L7" s="4">
        <f>L4-L5+L6</f>
        <v>158860.94099999999</v>
      </c>
    </row>
    <row r="10" spans="11:13" x14ac:dyDescent="0.2">
      <c r="K10" s="1" t="s">
        <v>30</v>
      </c>
      <c r="L10" s="7">
        <v>0</v>
      </c>
    </row>
    <row r="11" spans="11:13" x14ac:dyDescent="0.2">
      <c r="K11" s="1" t="s">
        <v>31</v>
      </c>
      <c r="L11" s="7">
        <v>0.09</v>
      </c>
    </row>
    <row r="12" spans="11:13" x14ac:dyDescent="0.2">
      <c r="K12" s="1" t="s">
        <v>32</v>
      </c>
      <c r="L12" s="3">
        <f>NPV(L11,Model!S20:FB20)+L5-L6</f>
        <v>75256.629400132573</v>
      </c>
    </row>
    <row r="13" spans="11:13" x14ac:dyDescent="0.2">
      <c r="K13" s="1" t="s">
        <v>33</v>
      </c>
      <c r="L13" s="8">
        <f>L12/L3</f>
        <v>33.155621376391124</v>
      </c>
    </row>
    <row r="15" spans="11:13" x14ac:dyDescent="0.2">
      <c r="L15" s="5">
        <f>L13/L2-1</f>
        <v>-0.53950525866123433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83DC-5572-5441-9E7B-FD798376FD96}">
  <dimension ref="A1:FB36"/>
  <sheetViews>
    <sheetView workbookViewId="0">
      <pane xSplit="2" topLeftCell="L1" activePane="topRight" state="frozen"/>
      <selection pane="topRight" activeCell="Q31" sqref="Q31"/>
    </sheetView>
  </sheetViews>
  <sheetFormatPr baseColWidth="10" defaultRowHeight="16" x14ac:dyDescent="0.2"/>
  <cols>
    <col min="1" max="1" width="10.83203125" style="1"/>
    <col min="2" max="2" width="19.83203125" style="1" bestFit="1" customWidth="1"/>
    <col min="3" max="3" width="8.1640625" style="1" bestFit="1" customWidth="1"/>
    <col min="4" max="4" width="8.83203125" style="1" bestFit="1" customWidth="1"/>
    <col min="5" max="6" width="8.1640625" style="1" bestFit="1" customWidth="1"/>
    <col min="7" max="8" width="8.83203125" style="1" bestFit="1" customWidth="1"/>
    <col min="9" max="10" width="8.1640625" style="1" bestFit="1" customWidth="1"/>
    <col min="11" max="11" width="10.83203125" style="1"/>
    <col min="12" max="12" width="10" style="1" bestFit="1" customWidth="1"/>
    <col min="13" max="13" width="8.83203125" style="1" bestFit="1" customWidth="1"/>
    <col min="14" max="14" width="10" style="1" bestFit="1" customWidth="1"/>
    <col min="15" max="16" width="8.83203125" style="1" bestFit="1" customWidth="1"/>
    <col min="17" max="18" width="8.1640625" style="1" bestFit="1" customWidth="1"/>
    <col min="19" max="26" width="10.83203125" style="1"/>
    <col min="27" max="27" width="7.5" style="1" bestFit="1" customWidth="1"/>
    <col min="28" max="16384" width="10.83203125" style="1"/>
  </cols>
  <sheetData>
    <row r="1" spans="1:28" x14ac:dyDescent="0.2">
      <c r="A1" s="2" t="s">
        <v>6</v>
      </c>
    </row>
    <row r="4" spans="1:28" x14ac:dyDescent="0.2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28</v>
      </c>
      <c r="J4" s="1" t="s">
        <v>29</v>
      </c>
      <c r="L4" s="1">
        <v>2018</v>
      </c>
      <c r="M4" s="1">
        <v>2019</v>
      </c>
      <c r="N4" s="1">
        <v>2020</v>
      </c>
      <c r="O4" s="1">
        <v>2021</v>
      </c>
      <c r="P4" s="1">
        <v>2022</v>
      </c>
      <c r="Q4" s="1">
        <v>2023</v>
      </c>
      <c r="R4" s="1">
        <v>2024</v>
      </c>
      <c r="S4" s="1">
        <v>2025</v>
      </c>
      <c r="T4" s="1">
        <v>2026</v>
      </c>
      <c r="U4" s="1">
        <v>2027</v>
      </c>
      <c r="V4" s="1">
        <v>2028</v>
      </c>
      <c r="W4" s="1">
        <v>2029</v>
      </c>
      <c r="X4" s="1">
        <v>2030</v>
      </c>
      <c r="Y4" s="1">
        <v>2031</v>
      </c>
      <c r="Z4" s="1">
        <v>2032</v>
      </c>
      <c r="AA4" s="1">
        <v>2033</v>
      </c>
      <c r="AB4" s="1">
        <v>2024</v>
      </c>
    </row>
    <row r="5" spans="1:28" s="9" customFormat="1" x14ac:dyDescent="0.2">
      <c r="B5" s="9" t="s">
        <v>13</v>
      </c>
      <c r="C5" s="10">
        <v>525.18600000000004</v>
      </c>
      <c r="D5" s="10">
        <v>533.31700000000001</v>
      </c>
      <c r="E5" s="10">
        <v>558.15899999999999</v>
      </c>
      <c r="F5" s="10">
        <f>Q5-SUM(C5:E5)</f>
        <v>608.34999999999991</v>
      </c>
      <c r="G5" s="10">
        <v>634.33799999999997</v>
      </c>
      <c r="H5" s="10">
        <v>678.13400000000001</v>
      </c>
      <c r="I5" s="10">
        <v>725.51599999999996</v>
      </c>
      <c r="J5" s="10">
        <f>F5*1.277</f>
        <v>776.86294999999984</v>
      </c>
      <c r="K5" s="10"/>
      <c r="L5" s="9">
        <v>595.40899999999999</v>
      </c>
      <c r="M5" s="10">
        <v>742.55499999999995</v>
      </c>
      <c r="N5" s="10">
        <v>1092.673</v>
      </c>
      <c r="O5" s="10">
        <v>1541.8889999999999</v>
      </c>
      <c r="P5" s="10">
        <v>1905.8710000000001</v>
      </c>
      <c r="Q5" s="10">
        <v>2225.0120000000002</v>
      </c>
      <c r="R5" s="10">
        <f>SUM(G5:J5)</f>
        <v>2814.8509499999996</v>
      </c>
      <c r="S5" s="10">
        <f>R5+R5*S24</f>
        <v>3511.5265601249994</v>
      </c>
      <c r="T5" s="10">
        <f t="shared" ref="T5:AB5" si="0">S5+S5*T24</f>
        <v>4564.9845281624994</v>
      </c>
      <c r="U5" s="10">
        <f t="shared" si="0"/>
        <v>5843.1801960479988</v>
      </c>
      <c r="V5" s="10">
        <f t="shared" si="0"/>
        <v>7362.4070470204788</v>
      </c>
      <c r="W5" s="10">
        <f t="shared" si="0"/>
        <v>9129.3847383053944</v>
      </c>
      <c r="X5" s="10">
        <f t="shared" si="0"/>
        <v>11137.849380732581</v>
      </c>
      <c r="Y5" s="10">
        <f t="shared" si="0"/>
        <v>13365.419256879097</v>
      </c>
      <c r="Z5" s="10">
        <f t="shared" si="0"/>
        <v>15370.232145410961</v>
      </c>
      <c r="AA5" s="10">
        <f t="shared" si="0"/>
        <v>16907.255359952058</v>
      </c>
      <c r="AB5" s="10">
        <f t="shared" si="0"/>
        <v>17752.61812794966</v>
      </c>
    </row>
    <row r="6" spans="1:28" x14ac:dyDescent="0.2">
      <c r="B6" s="1" t="s">
        <v>14</v>
      </c>
      <c r="C6" s="4">
        <v>107.645</v>
      </c>
      <c r="D6" s="4">
        <v>106.899</v>
      </c>
      <c r="E6" s="4">
        <v>107.922</v>
      </c>
      <c r="F6" s="4">
        <f>Q6-SUM(C6:E6)</f>
        <v>108.63900000000001</v>
      </c>
      <c r="G6" s="4">
        <v>116.256</v>
      </c>
      <c r="H6" s="4">
        <v>128.56200000000001</v>
      </c>
      <c r="I6" s="4">
        <v>146.63900000000001</v>
      </c>
      <c r="J6" s="4">
        <f>F6*1.23</f>
        <v>133.62597000000002</v>
      </c>
      <c r="K6" s="4"/>
      <c r="L6" s="1">
        <v>165.40100000000001</v>
      </c>
      <c r="M6" s="4">
        <v>242.37299999999999</v>
      </c>
      <c r="N6" s="4">
        <v>352.54700000000003</v>
      </c>
      <c r="O6" s="4">
        <v>339.404</v>
      </c>
      <c r="P6" s="4">
        <v>408.54899999999998</v>
      </c>
      <c r="Q6" s="4">
        <v>431.10500000000002</v>
      </c>
      <c r="R6" s="4">
        <f t="shared" ref="R6:R19" si="1">SUM(G6:J6)</f>
        <v>525.08297000000005</v>
      </c>
      <c r="S6" s="4"/>
      <c r="T6" s="4"/>
      <c r="U6" s="4"/>
      <c r="V6" s="4"/>
      <c r="W6" s="4"/>
      <c r="X6" s="4"/>
      <c r="Y6" s="4"/>
      <c r="Z6" s="4"/>
    </row>
    <row r="7" spans="1:28" s="11" customFormat="1" x14ac:dyDescent="0.2">
      <c r="B7" s="11" t="s">
        <v>15</v>
      </c>
      <c r="C7" s="12">
        <f t="shared" ref="C7:H7" si="2">C5-C6</f>
        <v>417.54100000000005</v>
      </c>
      <c r="D7" s="12">
        <f t="shared" si="2"/>
        <v>426.41800000000001</v>
      </c>
      <c r="E7" s="12">
        <f t="shared" si="2"/>
        <v>450.23699999999997</v>
      </c>
      <c r="F7" s="12">
        <f t="shared" si="2"/>
        <v>499.7109999999999</v>
      </c>
      <c r="G7" s="12">
        <f t="shared" si="2"/>
        <v>518.08199999999999</v>
      </c>
      <c r="H7" s="12">
        <f t="shared" si="2"/>
        <v>549.572</v>
      </c>
      <c r="I7" s="12">
        <f>I5-I6</f>
        <v>578.87699999999995</v>
      </c>
      <c r="J7" s="12">
        <f>J5-J6</f>
        <v>643.23697999999979</v>
      </c>
      <c r="K7" s="12"/>
      <c r="L7" s="12">
        <f>L5-L6</f>
        <v>430.00799999999998</v>
      </c>
      <c r="M7" s="12">
        <f>M5-M6</f>
        <v>500.18199999999996</v>
      </c>
      <c r="N7" s="12">
        <f>N5-N6</f>
        <v>740.12599999999998</v>
      </c>
      <c r="O7" s="12">
        <f t="shared" ref="O7:Q7" si="3">O5-O6</f>
        <v>1202.4849999999999</v>
      </c>
      <c r="P7" s="12">
        <f t="shared" si="3"/>
        <v>1497.3220000000001</v>
      </c>
      <c r="Q7" s="12">
        <f t="shared" si="3"/>
        <v>1793.9070000000002</v>
      </c>
      <c r="R7" s="12">
        <f>R5-R6</f>
        <v>2289.7679799999996</v>
      </c>
      <c r="S7" s="12"/>
      <c r="T7" s="12"/>
      <c r="U7" s="12"/>
      <c r="V7" s="12"/>
      <c r="W7" s="12"/>
      <c r="X7" s="12"/>
      <c r="Y7" s="12"/>
      <c r="Z7" s="12"/>
    </row>
    <row r="8" spans="1:28" x14ac:dyDescent="0.2">
      <c r="B8" s="1" t="s">
        <v>37</v>
      </c>
      <c r="C8" s="4">
        <v>187.09299999999999</v>
      </c>
      <c r="D8" s="4">
        <v>184.16300000000001</v>
      </c>
      <c r="E8" s="4">
        <v>176.37299999999999</v>
      </c>
      <c r="F8" s="4">
        <f>Q8-SUM(C8:E8)</f>
        <v>197.36300000000006</v>
      </c>
      <c r="G8" s="4">
        <v>193.17699999999999</v>
      </c>
      <c r="H8" s="4">
        <v>196.809</v>
      </c>
      <c r="I8" s="4">
        <v>209.47399999999999</v>
      </c>
      <c r="J8" s="4">
        <f>I8</f>
        <v>209.47399999999999</v>
      </c>
      <c r="K8" s="4"/>
      <c r="L8" s="1">
        <v>461.762</v>
      </c>
      <c r="M8" s="4">
        <v>450.12</v>
      </c>
      <c r="N8" s="4">
        <v>683.70100000000002</v>
      </c>
      <c r="O8" s="4">
        <v>614.51199999999994</v>
      </c>
      <c r="P8" s="4">
        <v>702.51099999999997</v>
      </c>
      <c r="Q8" s="4">
        <v>744.99199999999996</v>
      </c>
      <c r="R8" s="4">
        <f t="shared" si="1"/>
        <v>808.93399999999997</v>
      </c>
      <c r="S8" s="4"/>
      <c r="T8" s="4"/>
      <c r="U8" s="4"/>
      <c r="V8" s="4"/>
      <c r="W8" s="4"/>
      <c r="X8" s="4"/>
      <c r="Y8" s="4"/>
      <c r="Z8" s="4"/>
    </row>
    <row r="9" spans="1:28" x14ac:dyDescent="0.2">
      <c r="B9" s="1" t="s">
        <v>16</v>
      </c>
      <c r="C9" s="4">
        <v>90.1</v>
      </c>
      <c r="D9" s="4">
        <v>99.533000000000001</v>
      </c>
      <c r="E9" s="4">
        <v>105.708</v>
      </c>
      <c r="F9" s="4">
        <f>Q9-SUM(C9:E9)</f>
        <v>109.28300000000002</v>
      </c>
      <c r="G9" s="4">
        <v>110.04</v>
      </c>
      <c r="H9" s="4">
        <v>108.78100000000001</v>
      </c>
      <c r="I9" s="4">
        <v>117.55500000000001</v>
      </c>
      <c r="J9" s="4">
        <f>I9</f>
        <v>117.55500000000001</v>
      </c>
      <c r="K9" s="4"/>
      <c r="L9" s="1">
        <v>285.45100000000002</v>
      </c>
      <c r="M9" s="4">
        <v>305.56299999999999</v>
      </c>
      <c r="N9" s="4">
        <v>560.66</v>
      </c>
      <c r="O9" s="4">
        <v>387.48700000000002</v>
      </c>
      <c r="P9" s="4">
        <v>359.67899999999997</v>
      </c>
      <c r="Q9" s="4">
        <v>404.62400000000002</v>
      </c>
      <c r="R9" s="4">
        <f t="shared" si="1"/>
        <v>453.93100000000004</v>
      </c>
      <c r="S9" s="4"/>
      <c r="T9" s="4"/>
      <c r="U9" s="4"/>
      <c r="V9" s="4"/>
      <c r="W9" s="4"/>
      <c r="X9" s="4"/>
      <c r="Y9" s="4"/>
      <c r="Z9" s="4"/>
    </row>
    <row r="10" spans="1:28" x14ac:dyDescent="0.2">
      <c r="B10" s="1" t="s">
        <v>38</v>
      </c>
      <c r="C10" s="4">
        <v>136.233</v>
      </c>
      <c r="D10" s="4">
        <v>132.648</v>
      </c>
      <c r="E10" s="4">
        <v>128.173</v>
      </c>
      <c r="F10" s="4">
        <f>Q10-SUM(C10:E10)</f>
        <v>127.27100000000007</v>
      </c>
      <c r="G10" s="4">
        <v>133.98400000000001</v>
      </c>
      <c r="H10" s="4">
        <v>138.643</v>
      </c>
      <c r="I10" s="4">
        <v>138.708</v>
      </c>
      <c r="J10" s="4">
        <f>I10</f>
        <v>138.708</v>
      </c>
      <c r="L10" s="1">
        <v>306.23500000000001</v>
      </c>
      <c r="M10" s="4">
        <v>320.94299999999998</v>
      </c>
      <c r="N10" s="4">
        <v>669.44399999999996</v>
      </c>
      <c r="O10" s="4">
        <v>611.53200000000004</v>
      </c>
      <c r="P10" s="4">
        <v>596.33299999999997</v>
      </c>
      <c r="Q10" s="4">
        <v>524.32500000000005</v>
      </c>
      <c r="R10" s="4">
        <f t="shared" si="1"/>
        <v>550.04300000000001</v>
      </c>
      <c r="S10" s="4"/>
      <c r="T10" s="4"/>
      <c r="U10" s="4"/>
      <c r="V10" s="4"/>
      <c r="W10" s="4"/>
      <c r="X10" s="4"/>
      <c r="Y10" s="4"/>
      <c r="Z10" s="4"/>
    </row>
    <row r="11" spans="1:28" x14ac:dyDescent="0.2">
      <c r="B11" s="1" t="s">
        <v>17</v>
      </c>
      <c r="C11" s="1">
        <v>0</v>
      </c>
      <c r="D11" s="1">
        <v>0</v>
      </c>
      <c r="E11" s="1">
        <v>0</v>
      </c>
      <c r="F11" s="4">
        <f>Q11-SUM(C11:E11)</f>
        <v>0</v>
      </c>
      <c r="G11" s="1">
        <v>0</v>
      </c>
      <c r="H11" s="1">
        <v>0</v>
      </c>
      <c r="I11" s="4">
        <v>0</v>
      </c>
      <c r="J11" s="4">
        <v>0</v>
      </c>
      <c r="K11" s="4"/>
      <c r="L11" s="1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f t="shared" si="1"/>
        <v>0</v>
      </c>
      <c r="S11" s="4"/>
      <c r="T11" s="4"/>
      <c r="U11" s="4"/>
      <c r="V11" s="4"/>
      <c r="W11" s="4"/>
      <c r="X11" s="4"/>
      <c r="Y11" s="4"/>
      <c r="Z11" s="4"/>
    </row>
    <row r="12" spans="1:28" s="11" customFormat="1" x14ac:dyDescent="0.2">
      <c r="B12" s="11" t="s">
        <v>18</v>
      </c>
      <c r="C12" s="12">
        <f t="shared" ref="C12:H12" si="4">SUM(C8:C11)</f>
        <v>413.42599999999999</v>
      </c>
      <c r="D12" s="12">
        <f t="shared" si="4"/>
        <v>416.34400000000005</v>
      </c>
      <c r="E12" s="12">
        <f t="shared" si="4"/>
        <v>410.25400000000002</v>
      </c>
      <c r="F12" s="12">
        <f t="shared" si="4"/>
        <v>433.91700000000014</v>
      </c>
      <c r="G12" s="12">
        <f t="shared" si="4"/>
        <v>437.20100000000002</v>
      </c>
      <c r="H12" s="12">
        <f t="shared" si="4"/>
        <v>444.23300000000006</v>
      </c>
      <c r="I12" s="12">
        <f>SUM(I8:I11)</f>
        <v>465.73699999999997</v>
      </c>
      <c r="J12" s="12">
        <f>SUM(J8:J11)</f>
        <v>465.73699999999997</v>
      </c>
      <c r="K12" s="12"/>
      <c r="L12" s="12">
        <f t="shared" ref="L12:P12" si="5">SUM(L8:L11)</f>
        <v>1053.4479999999999</v>
      </c>
      <c r="M12" s="12">
        <f t="shared" si="5"/>
        <v>1076.626</v>
      </c>
      <c r="N12" s="12">
        <f t="shared" si="5"/>
        <v>1913.8049999999998</v>
      </c>
      <c r="O12" s="12">
        <f t="shared" si="5"/>
        <v>1613.5309999999999</v>
      </c>
      <c r="P12" s="12">
        <f t="shared" si="5"/>
        <v>1658.5230000000001</v>
      </c>
      <c r="Q12" s="12">
        <f>SUM(Q8:Q11)</f>
        <v>1673.941</v>
      </c>
      <c r="R12" s="12">
        <f>SUM(R8:R11)</f>
        <v>1812.9079999999999</v>
      </c>
      <c r="S12" s="12"/>
      <c r="T12" s="12"/>
      <c r="U12" s="12"/>
      <c r="V12" s="12"/>
      <c r="W12" s="12"/>
      <c r="X12" s="12"/>
      <c r="Y12" s="12"/>
      <c r="Z12" s="12"/>
    </row>
    <row r="13" spans="1:28" s="11" customFormat="1" x14ac:dyDescent="0.2">
      <c r="B13" s="11" t="s">
        <v>19</v>
      </c>
      <c r="C13" s="12">
        <f t="shared" ref="C13:H13" si="6">C7-C12</f>
        <v>4.1150000000000659</v>
      </c>
      <c r="D13" s="12">
        <f t="shared" si="6"/>
        <v>10.073999999999955</v>
      </c>
      <c r="E13" s="12">
        <f t="shared" si="6"/>
        <v>39.982999999999947</v>
      </c>
      <c r="F13" s="12">
        <f t="shared" si="6"/>
        <v>65.793999999999755</v>
      </c>
      <c r="G13" s="12">
        <f t="shared" si="6"/>
        <v>80.880999999999972</v>
      </c>
      <c r="H13" s="12">
        <f t="shared" si="6"/>
        <v>105.33899999999994</v>
      </c>
      <c r="I13" s="12">
        <f>I7-I12</f>
        <v>113.13999999999999</v>
      </c>
      <c r="J13" s="12">
        <f>J7-J12</f>
        <v>177.49997999999982</v>
      </c>
      <c r="K13" s="12"/>
      <c r="L13" s="12">
        <f>L7-L12</f>
        <v>-623.43999999999983</v>
      </c>
      <c r="M13" s="12">
        <f>M7-M12</f>
        <v>-576.44399999999996</v>
      </c>
      <c r="N13" s="12">
        <f t="shared" ref="N13:R13" si="7">N7-N12</f>
        <v>-1173.6789999999999</v>
      </c>
      <c r="O13" s="12">
        <f t="shared" si="7"/>
        <v>-411.04600000000005</v>
      </c>
      <c r="P13" s="12">
        <f t="shared" si="7"/>
        <v>-161.20100000000002</v>
      </c>
      <c r="Q13" s="12">
        <f t="shared" si="7"/>
        <v>119.96600000000012</v>
      </c>
      <c r="R13" s="12">
        <f t="shared" si="7"/>
        <v>476.85997999999972</v>
      </c>
      <c r="S13" s="12"/>
      <c r="T13" s="12"/>
      <c r="U13" s="12"/>
      <c r="V13" s="12"/>
      <c r="W13" s="12"/>
      <c r="X13" s="12"/>
      <c r="Y13" s="12"/>
      <c r="Z13" s="12"/>
    </row>
    <row r="14" spans="1:28" x14ac:dyDescent="0.2">
      <c r="B14" s="1" t="s">
        <v>39</v>
      </c>
      <c r="C14" s="1">
        <v>20.853000000000002</v>
      </c>
      <c r="D14" s="1">
        <v>30.31</v>
      </c>
      <c r="E14" s="1">
        <v>36.863999999999997</v>
      </c>
      <c r="F14" s="4">
        <f>Q14-SUM(C14:E14)</f>
        <v>44.545000000000016</v>
      </c>
      <c r="G14" s="1">
        <v>43.351999999999997</v>
      </c>
      <c r="H14" s="1">
        <v>46.593000000000004</v>
      </c>
      <c r="I14" s="4">
        <v>52.12</v>
      </c>
      <c r="J14" s="4">
        <v>60</v>
      </c>
      <c r="K14" s="4"/>
      <c r="L14" s="1">
        <v>10.5</v>
      </c>
      <c r="M14" s="4">
        <v>15.09</v>
      </c>
      <c r="N14" s="4">
        <v>4.68</v>
      </c>
      <c r="O14" s="4">
        <v>1.607</v>
      </c>
      <c r="P14" s="4">
        <v>20.309000000000001</v>
      </c>
      <c r="Q14" s="4">
        <v>132.572</v>
      </c>
      <c r="R14" s="4">
        <f t="shared" si="1"/>
        <v>202.065</v>
      </c>
      <c r="S14" s="4"/>
      <c r="T14" s="4"/>
      <c r="U14" s="4"/>
      <c r="V14" s="4"/>
      <c r="W14" s="4"/>
      <c r="X14" s="4"/>
      <c r="Y14" s="4"/>
      <c r="Z14" s="4"/>
    </row>
    <row r="15" spans="1:28" x14ac:dyDescent="0.2">
      <c r="B15" s="1" t="s">
        <v>40</v>
      </c>
      <c r="F15" s="4">
        <f>Q15-SUM(C15:E15)</f>
        <v>-3.47</v>
      </c>
      <c r="I15" s="4"/>
      <c r="J15" s="4"/>
      <c r="K15" s="4"/>
      <c r="L15" s="1">
        <v>-3.44</v>
      </c>
      <c r="M15" s="4">
        <v>-3.0609999999999999</v>
      </c>
      <c r="N15" s="4">
        <v>-14.138999999999999</v>
      </c>
      <c r="O15" s="4">
        <v>-3.64</v>
      </c>
      <c r="P15" s="4">
        <v>-4.0579999999999998</v>
      </c>
      <c r="Q15" s="4">
        <v>-3.47</v>
      </c>
      <c r="R15" s="4">
        <f t="shared" si="1"/>
        <v>0</v>
      </c>
      <c r="S15" s="4"/>
      <c r="T15" s="4"/>
      <c r="U15" s="4"/>
      <c r="V15" s="4"/>
      <c r="W15" s="4"/>
      <c r="X15" s="4"/>
      <c r="Y15" s="4"/>
      <c r="Z15" s="4"/>
    </row>
    <row r="16" spans="1:28" x14ac:dyDescent="0.2">
      <c r="B16" s="1" t="s">
        <v>17</v>
      </c>
      <c r="C16" s="1">
        <v>-4.1360000000000001</v>
      </c>
      <c r="D16" s="1">
        <v>-10.340999999999999</v>
      </c>
      <c r="E16" s="1">
        <v>3.1219999999999999</v>
      </c>
      <c r="F16" s="4">
        <f>Q16-SUM(C16:E16)</f>
        <v>-0.62199999999999989</v>
      </c>
      <c r="G16" s="1">
        <v>-13.507</v>
      </c>
      <c r="H16" s="1">
        <v>-11.173</v>
      </c>
      <c r="I16" s="4">
        <v>-8.11</v>
      </c>
      <c r="J16" s="4">
        <v>0</v>
      </c>
      <c r="K16" s="4"/>
      <c r="L16" s="1">
        <f>-2.638+48.093</f>
        <v>45.455000000000005</v>
      </c>
      <c r="M16" s="4">
        <v>-2.8559999999999999</v>
      </c>
      <c r="N16" s="4">
        <f>3.3+0.811</f>
        <v>4.1109999999999998</v>
      </c>
      <c r="O16" s="4">
        <v>-75.415000000000006</v>
      </c>
      <c r="P16" s="4">
        <v>-216.077</v>
      </c>
      <c r="Q16" s="4">
        <v>-11.977</v>
      </c>
      <c r="R16" s="4">
        <f t="shared" si="1"/>
        <v>-32.79</v>
      </c>
      <c r="S16" s="4"/>
      <c r="T16" s="4"/>
      <c r="U16" s="4"/>
      <c r="V16" s="4"/>
      <c r="W16" s="4"/>
      <c r="X16" s="4"/>
      <c r="Y16" s="4"/>
      <c r="Z16" s="4"/>
    </row>
    <row r="17" spans="2:158" s="11" customFormat="1" x14ac:dyDescent="0.2">
      <c r="B17" s="11" t="s">
        <v>20</v>
      </c>
      <c r="C17" s="12">
        <f t="shared" ref="C17:J17" si="8">SUM(C13:C16)</f>
        <v>20.832000000000068</v>
      </c>
      <c r="D17" s="12">
        <f t="shared" si="8"/>
        <v>30.042999999999957</v>
      </c>
      <c r="E17" s="12">
        <f t="shared" si="8"/>
        <v>79.968999999999951</v>
      </c>
      <c r="F17" s="12">
        <f t="shared" si="8"/>
        <v>106.24699999999977</v>
      </c>
      <c r="G17" s="12">
        <f t="shared" si="8"/>
        <v>110.72599999999997</v>
      </c>
      <c r="H17" s="12">
        <f t="shared" si="8"/>
        <v>140.75899999999996</v>
      </c>
      <c r="I17" s="12">
        <f t="shared" si="8"/>
        <v>157.14999999999998</v>
      </c>
      <c r="J17" s="12">
        <f t="shared" si="8"/>
        <v>237.49997999999982</v>
      </c>
      <c r="K17" s="12"/>
      <c r="L17" s="12">
        <f t="shared" ref="L17:R17" si="9">SUM(L13:L16)</f>
        <v>-570.92499999999984</v>
      </c>
      <c r="M17" s="12">
        <f t="shared" si="9"/>
        <v>-567.27099999999996</v>
      </c>
      <c r="N17" s="12">
        <f t="shared" si="9"/>
        <v>-1179.0269999999996</v>
      </c>
      <c r="O17" s="12">
        <f t="shared" si="9"/>
        <v>-488.49400000000003</v>
      </c>
      <c r="P17" s="12">
        <f t="shared" si="9"/>
        <v>-361.02700000000004</v>
      </c>
      <c r="Q17" s="12">
        <f t="shared" si="9"/>
        <v>237.09100000000012</v>
      </c>
      <c r="R17" s="12">
        <f t="shared" si="9"/>
        <v>646.13497999999981</v>
      </c>
      <c r="S17" s="12"/>
      <c r="T17" s="12"/>
      <c r="U17" s="12"/>
      <c r="V17" s="12"/>
      <c r="W17" s="12"/>
      <c r="X17" s="12"/>
      <c r="Y17" s="12"/>
      <c r="Z17" s="12"/>
    </row>
    <row r="18" spans="2:158" x14ac:dyDescent="0.2">
      <c r="B18" s="1" t="s">
        <v>21</v>
      </c>
      <c r="C18" s="4">
        <v>1.681</v>
      </c>
      <c r="D18" s="4">
        <v>2.1709999999999998</v>
      </c>
      <c r="E18" s="1">
        <v>6.53</v>
      </c>
      <c r="F18" s="4">
        <f>Q18-SUM(C18:E18)</f>
        <v>9.3340000000000014</v>
      </c>
      <c r="G18" s="1">
        <v>4.6550000000000002</v>
      </c>
      <c r="H18" s="1">
        <v>5.1890000000000001</v>
      </c>
      <c r="I18" s="4">
        <v>7.8090000000000002</v>
      </c>
      <c r="J18" s="4">
        <f>J17*I26</f>
        <v>11.801701201527196</v>
      </c>
      <c r="K18" s="4"/>
      <c r="L18" s="1">
        <v>9.1020000000000003</v>
      </c>
      <c r="M18" s="4">
        <v>12.375</v>
      </c>
      <c r="N18" s="4">
        <v>-12.635999999999999</v>
      </c>
      <c r="O18" s="4">
        <v>31.885000000000002</v>
      </c>
      <c r="P18" s="4">
        <v>10.067</v>
      </c>
      <c r="Q18" s="4">
        <v>19.716000000000001</v>
      </c>
      <c r="R18" s="4">
        <f t="shared" si="1"/>
        <v>29.4547012015272</v>
      </c>
      <c r="S18" s="4"/>
      <c r="T18" s="4"/>
      <c r="U18" s="4"/>
      <c r="V18" s="4"/>
      <c r="W18" s="4"/>
      <c r="X18" s="4"/>
      <c r="Y18" s="4"/>
      <c r="Z18" s="4"/>
    </row>
    <row r="19" spans="2:158" x14ac:dyDescent="0.2">
      <c r="B19" s="1" t="s">
        <v>22</v>
      </c>
      <c r="C19" s="1">
        <v>2.3490000000000002</v>
      </c>
      <c r="D19" s="1">
        <v>-0.255</v>
      </c>
      <c r="E19" s="1">
        <v>1.9339999999999999</v>
      </c>
      <c r="F19" s="4">
        <f>Q19-SUM(C19:E19)</f>
        <v>3.5219999999999994</v>
      </c>
      <c r="G19" s="1">
        <v>0.54100000000000004</v>
      </c>
      <c r="H19" s="1">
        <v>1.444</v>
      </c>
      <c r="I19" s="4">
        <v>5.8159999999999998</v>
      </c>
      <c r="J19" s="4">
        <f>AVERAGE(F19:I19)</f>
        <v>2.8307500000000001</v>
      </c>
      <c r="K19" s="4"/>
      <c r="L19" s="1">
        <v>18.097999999999999</v>
      </c>
      <c r="M19" s="4">
        <v>8.4809999999999999</v>
      </c>
      <c r="N19" s="4">
        <v>0</v>
      </c>
      <c r="O19" s="4">
        <v>0</v>
      </c>
      <c r="P19" s="4">
        <v>2.6110000000000002</v>
      </c>
      <c r="Q19" s="4">
        <v>7.55</v>
      </c>
      <c r="R19" s="4">
        <f t="shared" si="1"/>
        <v>10.63175</v>
      </c>
      <c r="S19" s="4"/>
      <c r="T19" s="4"/>
      <c r="U19" s="4"/>
      <c r="V19" s="4"/>
      <c r="W19" s="4"/>
      <c r="X19" s="4"/>
      <c r="Y19" s="4"/>
      <c r="Z19" s="4"/>
    </row>
    <row r="20" spans="2:158" s="15" customFormat="1" x14ac:dyDescent="0.2">
      <c r="B20" s="15" t="s">
        <v>23</v>
      </c>
      <c r="C20" s="16">
        <f t="shared" ref="C20:H20" si="10">C17-C18-C19</f>
        <v>16.802000000000067</v>
      </c>
      <c r="D20" s="16">
        <f t="shared" si="10"/>
        <v>28.126999999999956</v>
      </c>
      <c r="E20" s="16">
        <f t="shared" si="10"/>
        <v>71.504999999999953</v>
      </c>
      <c r="F20" s="16">
        <f t="shared" si="10"/>
        <v>93.390999999999764</v>
      </c>
      <c r="G20" s="16">
        <f t="shared" si="10"/>
        <v>105.52999999999997</v>
      </c>
      <c r="H20" s="16">
        <f t="shared" si="10"/>
        <v>134.12599999999998</v>
      </c>
      <c r="I20" s="16">
        <f>I17-I18-I19</f>
        <v>143.52499999999998</v>
      </c>
      <c r="J20" s="16">
        <f>J17-J18-J19</f>
        <v>222.86752879847262</v>
      </c>
      <c r="K20" s="16"/>
      <c r="L20" s="16">
        <f>L17-L18-L19</f>
        <v>-598.12499999999977</v>
      </c>
      <c r="M20" s="16">
        <f>M17-M18-M19</f>
        <v>-588.12699999999995</v>
      </c>
      <c r="N20" s="16">
        <f>N17-N18-N19</f>
        <v>-1166.3909999999996</v>
      </c>
      <c r="O20" s="16">
        <f>O17-O18-O19</f>
        <v>-520.37900000000002</v>
      </c>
      <c r="P20" s="16">
        <f t="shared" ref="P20:R20" si="11">P17-P18-P19</f>
        <v>-373.70500000000004</v>
      </c>
      <c r="Q20" s="16">
        <f t="shared" si="11"/>
        <v>209.8250000000001</v>
      </c>
      <c r="R20" s="16">
        <f t="shared" si="11"/>
        <v>606.0485287984726</v>
      </c>
      <c r="S20" s="16">
        <f>S5*S27</f>
        <v>877.88164003124984</v>
      </c>
      <c r="T20" s="16">
        <f t="shared" ref="T20:AB20" si="12">T5*T27</f>
        <v>2282.4922640812497</v>
      </c>
      <c r="U20" s="16">
        <f t="shared" si="12"/>
        <v>2921.5900980239994</v>
      </c>
      <c r="V20" s="16">
        <f t="shared" si="12"/>
        <v>3681.2035235102394</v>
      </c>
      <c r="W20" s="16">
        <f t="shared" si="12"/>
        <v>4564.6923691526972</v>
      </c>
      <c r="X20" s="16">
        <f t="shared" si="12"/>
        <v>5568.9246903662906</v>
      </c>
      <c r="Y20" s="16">
        <f t="shared" si="12"/>
        <v>6682.7096284395484</v>
      </c>
      <c r="Z20" s="16">
        <f t="shared" si="12"/>
        <v>7685.1160727054803</v>
      </c>
      <c r="AA20" s="16">
        <f t="shared" si="12"/>
        <v>8453.627679976029</v>
      </c>
      <c r="AB20" s="16">
        <f t="shared" si="12"/>
        <v>8876.3090639748298</v>
      </c>
      <c r="AC20" s="16">
        <f>AB20*(1+Main!$L$10)</f>
        <v>8876.3090639748298</v>
      </c>
      <c r="AD20" s="16">
        <f>AC20*(1+Main!$L$10)</f>
        <v>8876.3090639748298</v>
      </c>
      <c r="AE20" s="16">
        <f>AD20*(1+Main!$L$10)</f>
        <v>8876.3090639748298</v>
      </c>
      <c r="AF20" s="16">
        <f>AE20*(1+Main!$L$10)</f>
        <v>8876.3090639748298</v>
      </c>
      <c r="AG20" s="16">
        <f>AF20*(1+Main!$L$10)</f>
        <v>8876.3090639748298</v>
      </c>
      <c r="AH20" s="16">
        <f>AG20*(1+Main!$L$10)</f>
        <v>8876.3090639748298</v>
      </c>
      <c r="AI20" s="16">
        <f>AH20*(1+Main!$L$10)</f>
        <v>8876.3090639748298</v>
      </c>
      <c r="AJ20" s="16">
        <f>AI20*(1+Main!$L$10)</f>
        <v>8876.3090639748298</v>
      </c>
      <c r="AK20" s="16">
        <f>AJ20*(1+Main!$L$10)</f>
        <v>8876.3090639748298</v>
      </c>
      <c r="AL20" s="16">
        <f>AK20*(1+Main!$L$10)</f>
        <v>8876.3090639748298</v>
      </c>
      <c r="AM20" s="16">
        <f>AL20*(1+Main!$L$10)</f>
        <v>8876.3090639748298</v>
      </c>
      <c r="AN20" s="16">
        <f>AM20*(1+Main!$L$10)</f>
        <v>8876.3090639748298</v>
      </c>
      <c r="AO20" s="16">
        <f>AN20*(1+Main!$L$10)</f>
        <v>8876.3090639748298</v>
      </c>
      <c r="AP20" s="16">
        <f>AO20*(1+Main!$L$10)</f>
        <v>8876.3090639748298</v>
      </c>
      <c r="AQ20" s="16">
        <f>AP20*(1+Main!$L$10)</f>
        <v>8876.3090639748298</v>
      </c>
      <c r="AR20" s="16">
        <f>AQ20*(1+Main!$L$10)</f>
        <v>8876.3090639748298</v>
      </c>
      <c r="AS20" s="16">
        <f>AR20*(1+Main!$L$10)</f>
        <v>8876.3090639748298</v>
      </c>
      <c r="AT20" s="16">
        <f>AS20*(1+Main!$L$10)</f>
        <v>8876.3090639748298</v>
      </c>
      <c r="AU20" s="16">
        <f>AT20*(1+Main!$L$10)</f>
        <v>8876.3090639748298</v>
      </c>
      <c r="AV20" s="16">
        <f>AU20*(1+Main!$L$10)</f>
        <v>8876.3090639748298</v>
      </c>
      <c r="AW20" s="16">
        <f>AV20*(1+Main!$L$10)</f>
        <v>8876.3090639748298</v>
      </c>
      <c r="AX20" s="16">
        <f>AW20*(1+Main!$L$10)</f>
        <v>8876.3090639748298</v>
      </c>
      <c r="AY20" s="16">
        <f>AX20*(1+Main!$L$10)</f>
        <v>8876.3090639748298</v>
      </c>
      <c r="AZ20" s="16">
        <f>AY20*(1+Main!$L$10)</f>
        <v>8876.3090639748298</v>
      </c>
      <c r="BA20" s="16">
        <f>AZ20*(1+Main!$L$10)</f>
        <v>8876.3090639748298</v>
      </c>
      <c r="BB20" s="16">
        <f>BA20*(1+Main!$L$10)</f>
        <v>8876.3090639748298</v>
      </c>
      <c r="BC20" s="16">
        <f>BB20*(1+Main!$L$10)</f>
        <v>8876.3090639748298</v>
      </c>
      <c r="BD20" s="16">
        <f>BC20*(1+Main!$L$10)</f>
        <v>8876.3090639748298</v>
      </c>
      <c r="BE20" s="16">
        <f>BD20*(1+Main!$L$10)</f>
        <v>8876.3090639748298</v>
      </c>
      <c r="BF20" s="16">
        <f>BE20*(1+Main!$L$10)</f>
        <v>8876.3090639748298</v>
      </c>
      <c r="BG20" s="16">
        <f>BF20*(1+Main!$L$10)</f>
        <v>8876.3090639748298</v>
      </c>
      <c r="BH20" s="16">
        <f>BG20*(1+Main!$L$10)</f>
        <v>8876.3090639748298</v>
      </c>
      <c r="BI20" s="16">
        <f>BH20*(1+Main!$L$10)</f>
        <v>8876.3090639748298</v>
      </c>
      <c r="BJ20" s="16">
        <f>BI20*(1+Main!$L$10)</f>
        <v>8876.3090639748298</v>
      </c>
      <c r="BK20" s="16">
        <f>BJ20*(1+Main!$L$10)</f>
        <v>8876.3090639748298</v>
      </c>
      <c r="BL20" s="16">
        <f>BK20*(1+Main!$L$10)</f>
        <v>8876.3090639748298</v>
      </c>
      <c r="BM20" s="16">
        <f>BL20*(1+Main!$L$10)</f>
        <v>8876.3090639748298</v>
      </c>
      <c r="BN20" s="16">
        <f>BM20*(1+Main!$L$10)</f>
        <v>8876.3090639748298</v>
      </c>
      <c r="BO20" s="16">
        <f>BN20*(1+Main!$L$10)</f>
        <v>8876.3090639748298</v>
      </c>
      <c r="BP20" s="16">
        <f>BO20*(1+Main!$L$10)</f>
        <v>8876.3090639748298</v>
      </c>
      <c r="BQ20" s="16">
        <f>BP20*(1+Main!$L$10)</f>
        <v>8876.3090639748298</v>
      </c>
      <c r="BR20" s="16">
        <f>BQ20*(1+Main!$L$10)</f>
        <v>8876.3090639748298</v>
      </c>
      <c r="BS20" s="16">
        <f>BR20*(1+Main!$L$10)</f>
        <v>8876.3090639748298</v>
      </c>
      <c r="BT20" s="16">
        <f>BS20*(1+Main!$L$10)</f>
        <v>8876.3090639748298</v>
      </c>
      <c r="BU20" s="16">
        <f>BT20*(1+Main!$L$10)</f>
        <v>8876.3090639748298</v>
      </c>
      <c r="BV20" s="16">
        <f>BU20*(1+Main!$L$10)</f>
        <v>8876.3090639748298</v>
      </c>
      <c r="BW20" s="16">
        <f>BV20*(1+Main!$L$10)</f>
        <v>8876.3090639748298</v>
      </c>
      <c r="BX20" s="16">
        <f>BW20*(1+Main!$L$10)</f>
        <v>8876.3090639748298</v>
      </c>
      <c r="BY20" s="16">
        <f>BX20*(1+Main!$L$10)</f>
        <v>8876.3090639748298</v>
      </c>
      <c r="BZ20" s="16">
        <f>BY20*(1+Main!$L$10)</f>
        <v>8876.3090639748298</v>
      </c>
      <c r="CA20" s="16">
        <f>BZ20*(1+Main!$L$10)</f>
        <v>8876.3090639748298</v>
      </c>
      <c r="CB20" s="16">
        <f>CA20*(1+Main!$L$10)</f>
        <v>8876.3090639748298</v>
      </c>
      <c r="CC20" s="16">
        <f>CB20*(1+Main!$L$10)</f>
        <v>8876.3090639748298</v>
      </c>
      <c r="CD20" s="16">
        <f>CC20*(1+Main!$L$10)</f>
        <v>8876.3090639748298</v>
      </c>
      <c r="CE20" s="16">
        <f>CD20*(1+Main!$L$10)</f>
        <v>8876.3090639748298</v>
      </c>
      <c r="CF20" s="16">
        <f>CE20*(1+Main!$L$10)</f>
        <v>8876.3090639748298</v>
      </c>
      <c r="CG20" s="16">
        <f>CF20*(1+Main!$L$10)</f>
        <v>8876.3090639748298</v>
      </c>
      <c r="CH20" s="16">
        <f>CG20*(1+Main!$L$10)</f>
        <v>8876.3090639748298</v>
      </c>
      <c r="CI20" s="16">
        <f>CH20*(1+Main!$L$10)</f>
        <v>8876.3090639748298</v>
      </c>
      <c r="CJ20" s="16">
        <f>CI20*(1+Main!$L$10)</f>
        <v>8876.3090639748298</v>
      </c>
      <c r="CK20" s="16">
        <f>CJ20*(1+Main!$L$10)</f>
        <v>8876.3090639748298</v>
      </c>
      <c r="CL20" s="16">
        <f>CK20*(1+Main!$L$10)</f>
        <v>8876.3090639748298</v>
      </c>
      <c r="CM20" s="16">
        <f>CL20*(1+Main!$L$10)</f>
        <v>8876.3090639748298</v>
      </c>
      <c r="CN20" s="16">
        <f>CM20*(1+Main!$L$10)</f>
        <v>8876.3090639748298</v>
      </c>
      <c r="CO20" s="16">
        <f>CN20*(1+Main!$L$10)</f>
        <v>8876.3090639748298</v>
      </c>
      <c r="CP20" s="16">
        <f>CO20*(1+Main!$L$10)</f>
        <v>8876.3090639748298</v>
      </c>
      <c r="CQ20" s="16">
        <f>CP20*(1+Main!$L$10)</f>
        <v>8876.3090639748298</v>
      </c>
      <c r="CR20" s="16">
        <f>CQ20*(1+Main!$L$10)</f>
        <v>8876.3090639748298</v>
      </c>
      <c r="CS20" s="16">
        <f>CR20*(1+Main!$L$10)</f>
        <v>8876.3090639748298</v>
      </c>
      <c r="CT20" s="16">
        <f>CS20*(1+Main!$L$10)</f>
        <v>8876.3090639748298</v>
      </c>
      <c r="CU20" s="16">
        <f>CT20*(1+Main!$L$10)</f>
        <v>8876.3090639748298</v>
      </c>
      <c r="CV20" s="16">
        <f>CU20*(1+Main!$L$10)</f>
        <v>8876.3090639748298</v>
      </c>
      <c r="CW20" s="16">
        <f>CV20*(1+Main!$L$10)</f>
        <v>8876.3090639748298</v>
      </c>
      <c r="CX20" s="16">
        <f>CW20*(1+Main!$L$10)</f>
        <v>8876.3090639748298</v>
      </c>
      <c r="CY20" s="16">
        <f>CX20*(1+Main!$L$10)</f>
        <v>8876.3090639748298</v>
      </c>
      <c r="CZ20" s="16">
        <f>CY20*(1+Main!$L$10)</f>
        <v>8876.3090639748298</v>
      </c>
      <c r="DA20" s="16">
        <f>CZ20*(1+Main!$L$10)</f>
        <v>8876.3090639748298</v>
      </c>
      <c r="DB20" s="16">
        <f>DA20*(1+Main!$L$10)</f>
        <v>8876.3090639748298</v>
      </c>
      <c r="DC20" s="16">
        <f>DB20*(1+Main!$L$10)</f>
        <v>8876.3090639748298</v>
      </c>
      <c r="DD20" s="16">
        <f>DC20*(1+Main!$L$10)</f>
        <v>8876.3090639748298</v>
      </c>
      <c r="DE20" s="16">
        <f>DD20*(1+Main!$L$10)</f>
        <v>8876.3090639748298</v>
      </c>
      <c r="DF20" s="16">
        <f>DE20*(1+Main!$L$10)</f>
        <v>8876.3090639748298</v>
      </c>
      <c r="DG20" s="16">
        <f>DF20*(1+Main!$L$10)</f>
        <v>8876.3090639748298</v>
      </c>
      <c r="DH20" s="16">
        <f>DG20*(1+Main!$L$10)</f>
        <v>8876.3090639748298</v>
      </c>
      <c r="DI20" s="16">
        <f>DH20*(1+Main!$L$10)</f>
        <v>8876.3090639748298</v>
      </c>
      <c r="DJ20" s="16">
        <f>DI20*(1+Main!$L$10)</f>
        <v>8876.3090639748298</v>
      </c>
      <c r="DK20" s="16">
        <f>DJ20*(1+Main!$L$10)</f>
        <v>8876.3090639748298</v>
      </c>
      <c r="DL20" s="16">
        <f>DK20*(1+Main!$L$10)</f>
        <v>8876.3090639748298</v>
      </c>
      <c r="DM20" s="16">
        <f>DL20*(1+Main!$L$10)</f>
        <v>8876.3090639748298</v>
      </c>
      <c r="DN20" s="16">
        <f>DM20*(1+Main!$L$10)</f>
        <v>8876.3090639748298</v>
      </c>
      <c r="DO20" s="16">
        <f>DN20*(1+Main!$L$10)</f>
        <v>8876.3090639748298</v>
      </c>
      <c r="DP20" s="16">
        <f>DO20*(1+Main!$L$10)</f>
        <v>8876.3090639748298</v>
      </c>
      <c r="DQ20" s="16">
        <f>DP20*(1+Main!$L$10)</f>
        <v>8876.3090639748298</v>
      </c>
      <c r="DR20" s="16">
        <f>DQ20*(1+Main!$L$10)</f>
        <v>8876.3090639748298</v>
      </c>
      <c r="DS20" s="16">
        <f>DR20*(1+Main!$L$10)</f>
        <v>8876.3090639748298</v>
      </c>
      <c r="DT20" s="16">
        <f>DS20*(1+Main!$L$10)</f>
        <v>8876.3090639748298</v>
      </c>
      <c r="DU20" s="16">
        <f>DT20*(1+Main!$L$10)</f>
        <v>8876.3090639748298</v>
      </c>
      <c r="DV20" s="16">
        <f>DU20*(1+Main!$L$10)</f>
        <v>8876.3090639748298</v>
      </c>
      <c r="DW20" s="16">
        <f>DV20*(1+Main!$L$10)</f>
        <v>8876.3090639748298</v>
      </c>
      <c r="DX20" s="16">
        <f>DW20*(1+Main!$L$10)</f>
        <v>8876.3090639748298</v>
      </c>
      <c r="DY20" s="16">
        <f>DX20*(1+Main!$L$10)</f>
        <v>8876.3090639748298</v>
      </c>
      <c r="DZ20" s="16">
        <f>DY20*(1+Main!$L$10)</f>
        <v>8876.3090639748298</v>
      </c>
      <c r="EA20" s="16">
        <f>DZ20*(1+Main!$L$10)</f>
        <v>8876.3090639748298</v>
      </c>
      <c r="EB20" s="16">
        <f>EA20*(1+Main!$L$10)</f>
        <v>8876.3090639748298</v>
      </c>
      <c r="EC20" s="16">
        <f>EB20*(1+Main!$L$10)</f>
        <v>8876.3090639748298</v>
      </c>
      <c r="ED20" s="16">
        <f>EC20*(1+Main!$L$10)</f>
        <v>8876.3090639748298</v>
      </c>
      <c r="EE20" s="16">
        <f>ED20*(1+Main!$L$10)</f>
        <v>8876.3090639748298</v>
      </c>
      <c r="EF20" s="16">
        <f>EE20*(1+Main!$L$10)</f>
        <v>8876.3090639748298</v>
      </c>
      <c r="EG20" s="16">
        <f>EF20*(1+Main!$L$10)</f>
        <v>8876.3090639748298</v>
      </c>
      <c r="EH20" s="16">
        <f>EG20*(1+Main!$L$10)</f>
        <v>8876.3090639748298</v>
      </c>
      <c r="EI20" s="16">
        <f>EH20*(1+Main!$L$10)</f>
        <v>8876.3090639748298</v>
      </c>
      <c r="EJ20" s="16">
        <f>EI20*(1+Main!$L$10)</f>
        <v>8876.3090639748298</v>
      </c>
      <c r="EK20" s="16">
        <f>EJ20*(1+Main!$L$10)</f>
        <v>8876.3090639748298</v>
      </c>
      <c r="EL20" s="16">
        <f>EK20*(1+Main!$L$10)</f>
        <v>8876.3090639748298</v>
      </c>
      <c r="EM20" s="16">
        <f>EL20*(1+Main!$L$10)</f>
        <v>8876.3090639748298</v>
      </c>
      <c r="EN20" s="16">
        <f>EM20*(1+Main!$L$10)</f>
        <v>8876.3090639748298</v>
      </c>
      <c r="EO20" s="16">
        <f>EN20*(1+Main!$L$10)</f>
        <v>8876.3090639748298</v>
      </c>
      <c r="EP20" s="16">
        <f>EO20*(1+Main!$L$10)</f>
        <v>8876.3090639748298</v>
      </c>
      <c r="EQ20" s="16">
        <f>EP20*(1+Main!$L$10)</f>
        <v>8876.3090639748298</v>
      </c>
      <c r="ER20" s="16">
        <f>EQ20*(1+Main!$L$10)</f>
        <v>8876.3090639748298</v>
      </c>
      <c r="ES20" s="16">
        <f>ER20*(1+Main!$L$10)</f>
        <v>8876.3090639748298</v>
      </c>
      <c r="ET20" s="16">
        <f>ES20*(1+Main!$L$10)</f>
        <v>8876.3090639748298</v>
      </c>
      <c r="EU20" s="16">
        <f>ET20*(1+Main!$L$10)</f>
        <v>8876.3090639748298</v>
      </c>
      <c r="EV20" s="16">
        <f>EU20*(1+Main!$L$10)</f>
        <v>8876.3090639748298</v>
      </c>
      <c r="EW20" s="16">
        <f>EV20*(1+Main!$L$10)</f>
        <v>8876.3090639748298</v>
      </c>
      <c r="EX20" s="16">
        <f>EW20*(1+Main!$L$10)</f>
        <v>8876.3090639748298</v>
      </c>
      <c r="EY20" s="16">
        <f>EX20*(1+Main!$L$10)</f>
        <v>8876.3090639748298</v>
      </c>
      <c r="EZ20" s="16">
        <f>EY20*(1+Main!$L$10)</f>
        <v>8876.3090639748298</v>
      </c>
      <c r="FA20" s="16">
        <f>EZ20*(1+Main!$L$10)</f>
        <v>8876.3090639748298</v>
      </c>
      <c r="FB20" s="16">
        <f>FA20*(1+Main!$L$10)</f>
        <v>8876.3090639748298</v>
      </c>
    </row>
    <row r="21" spans="2:158" s="11" customFormat="1" x14ac:dyDescent="0.2">
      <c r="B21" s="11" t="s">
        <v>24</v>
      </c>
      <c r="C21" s="13">
        <f t="shared" ref="C21:H21" si="13">C20/C22</f>
        <v>7.5787099684258312E-3</v>
      </c>
      <c r="D21" s="13">
        <f t="shared" si="13"/>
        <v>1.2347234416154502E-2</v>
      </c>
      <c r="E21" s="13">
        <f t="shared" si="13"/>
        <v>3.07548387096774E-2</v>
      </c>
      <c r="F21" s="13">
        <f t="shared" si="13"/>
        <v>4.0640121845082575E-2</v>
      </c>
      <c r="G21" s="13">
        <f t="shared" si="13"/>
        <v>4.397083333333332E-2</v>
      </c>
      <c r="H21" s="13">
        <f t="shared" si="13"/>
        <v>5.5561723280861633E-2</v>
      </c>
      <c r="I21" s="13">
        <f>I20/I22</f>
        <v>5.8367222448149646E-2</v>
      </c>
      <c r="J21" s="13">
        <f>J20/J22</f>
        <v>9.0633399267373987E-2</v>
      </c>
      <c r="K21" s="13"/>
      <c r="L21" s="13">
        <f>L20/L22</f>
        <v>-1.0994944852941173</v>
      </c>
      <c r="M21" s="13">
        <f>M20/M22</f>
        <v>-1.0192842287694974</v>
      </c>
      <c r="N21" s="13">
        <f t="shared" ref="N21:Q21" si="14">N20/N22</f>
        <v>-1.1914106230847801</v>
      </c>
      <c r="O21" s="13">
        <f t="shared" si="14"/>
        <v>-0.27046725571725572</v>
      </c>
      <c r="P21" s="13">
        <f t="shared" si="14"/>
        <v>-0.18105862403100778</v>
      </c>
      <c r="Q21" s="13">
        <f t="shared" si="14"/>
        <v>9.130765883376854E-2</v>
      </c>
      <c r="R21" s="13">
        <f>R20/R22</f>
        <v>0.24646137812056632</v>
      </c>
      <c r="S21" s="13">
        <f>S20/S22</f>
        <v>0.35700758032991048</v>
      </c>
      <c r="T21" s="12"/>
      <c r="U21" s="12"/>
      <c r="V21" s="12"/>
      <c r="W21" s="12"/>
      <c r="X21" s="12"/>
      <c r="Y21" s="12"/>
      <c r="Z21" s="12"/>
    </row>
    <row r="22" spans="2:158" x14ac:dyDescent="0.2">
      <c r="B22" s="1" t="s">
        <v>1</v>
      </c>
      <c r="C22" s="4">
        <v>2217</v>
      </c>
      <c r="D22" s="4">
        <v>2278</v>
      </c>
      <c r="E22" s="4">
        <v>2325</v>
      </c>
      <c r="F22" s="4">
        <f>Q22</f>
        <v>2298</v>
      </c>
      <c r="G22" s="4">
        <v>2400</v>
      </c>
      <c r="H22" s="4">
        <v>2414</v>
      </c>
      <c r="I22" s="4">
        <v>2459</v>
      </c>
      <c r="J22" s="4">
        <f>I22</f>
        <v>2459</v>
      </c>
      <c r="K22" s="4"/>
      <c r="L22" s="1">
        <v>544</v>
      </c>
      <c r="M22" s="4">
        <v>577</v>
      </c>
      <c r="N22" s="4">
        <v>979</v>
      </c>
      <c r="O22" s="4">
        <v>1924</v>
      </c>
      <c r="P22" s="4">
        <v>2064</v>
      </c>
      <c r="Q22" s="4">
        <v>2298</v>
      </c>
      <c r="R22" s="4">
        <f>J22</f>
        <v>2459</v>
      </c>
      <c r="S22" s="4">
        <f>R22</f>
        <v>2459</v>
      </c>
      <c r="T22" s="4"/>
      <c r="U22" s="4"/>
      <c r="V22" s="4"/>
      <c r="W22" s="4"/>
      <c r="X22" s="4"/>
      <c r="Y22" s="4"/>
      <c r="Z22" s="4"/>
    </row>
    <row r="24" spans="2:158" x14ac:dyDescent="0.2">
      <c r="B24" s="1" t="s">
        <v>34</v>
      </c>
      <c r="G24" s="6">
        <f t="shared" ref="G24:H24" si="15">G5/C5-1</f>
        <v>0.20783493847893864</v>
      </c>
      <c r="H24" s="6">
        <f t="shared" si="15"/>
        <v>0.2715401909183468</v>
      </c>
      <c r="I24" s="6">
        <f>I5/E5-1</f>
        <v>0.2998375015004684</v>
      </c>
      <c r="J24" s="6">
        <f>J5/F5-1</f>
        <v>0.27699999999999991</v>
      </c>
      <c r="K24" s="6"/>
      <c r="M24" s="5">
        <f t="shared" ref="M24:P24" si="16">M5/L5-1</f>
        <v>0.24713432279323944</v>
      </c>
      <c r="N24" s="5">
        <f t="shared" si="16"/>
        <v>0.47150446768252863</v>
      </c>
      <c r="O24" s="5">
        <f t="shared" si="16"/>
        <v>0.41111659206368234</v>
      </c>
      <c r="P24" s="5">
        <f t="shared" si="16"/>
        <v>0.23606238840798532</v>
      </c>
      <c r="Q24" s="5">
        <f>Q5/P5-1</f>
        <v>0.16745152216493153</v>
      </c>
      <c r="R24" s="5">
        <f>R5/Q5-1</f>
        <v>0.26509472757899699</v>
      </c>
      <c r="S24" s="7">
        <v>0.2475</v>
      </c>
      <c r="T24" s="7">
        <v>0.3</v>
      </c>
      <c r="U24" s="7">
        <v>0.28000000000000003</v>
      </c>
      <c r="V24" s="7">
        <v>0.26</v>
      </c>
      <c r="W24" s="7">
        <v>0.24</v>
      </c>
      <c r="X24" s="7">
        <v>0.22</v>
      </c>
      <c r="Y24" s="7">
        <v>0.2</v>
      </c>
      <c r="Z24" s="7">
        <v>0.15</v>
      </c>
      <c r="AA24" s="7">
        <v>0.1</v>
      </c>
      <c r="AB24" s="7">
        <v>0.05</v>
      </c>
    </row>
    <row r="25" spans="2:158" x14ac:dyDescent="0.2">
      <c r="B25" s="1" t="s">
        <v>25</v>
      </c>
      <c r="C25" s="6">
        <f t="shared" ref="C25:F25" si="17">C7/C5</f>
        <v>0.79503452110299977</v>
      </c>
      <c r="D25" s="6">
        <f t="shared" si="17"/>
        <v>0.79955823647099189</v>
      </c>
      <c r="E25" s="6">
        <f t="shared" si="17"/>
        <v>0.80664649320354953</v>
      </c>
      <c r="F25" s="6">
        <f t="shared" si="17"/>
        <v>0.82142023506205308</v>
      </c>
      <c r="G25" s="6">
        <f t="shared" ref="G25:H25" si="18">G7/G5</f>
        <v>0.81672862101907817</v>
      </c>
      <c r="H25" s="6">
        <f t="shared" si="18"/>
        <v>0.81041799998230435</v>
      </c>
      <c r="I25" s="6">
        <f>I7/I5</f>
        <v>0.79788316177727303</v>
      </c>
      <c r="J25" s="6">
        <f>J7/J5</f>
        <v>0.82799286540824213</v>
      </c>
      <c r="K25" s="6"/>
      <c r="L25" s="5">
        <f t="shared" ref="L25" si="19">L7/L5</f>
        <v>0.72220608019025578</v>
      </c>
      <c r="M25" s="5">
        <f t="shared" ref="M25:P25" si="20">M7/M5</f>
        <v>0.67359589525355024</v>
      </c>
      <c r="N25" s="5">
        <f t="shared" si="20"/>
        <v>0.67735360899372454</v>
      </c>
      <c r="O25" s="5">
        <f t="shared" si="20"/>
        <v>0.77987779924495215</v>
      </c>
      <c r="P25" s="5">
        <f t="shared" si="20"/>
        <v>0.78563659345254744</v>
      </c>
      <c r="Q25" s="5">
        <f>Q7/Q5</f>
        <v>0.80624598878567844</v>
      </c>
      <c r="R25" s="5">
        <f>R7/R5</f>
        <v>0.81345976063137548</v>
      </c>
    </row>
    <row r="26" spans="2:158" x14ac:dyDescent="0.2">
      <c r="B26" s="1" t="s">
        <v>26</v>
      </c>
      <c r="C26" s="6">
        <f t="shared" ref="C26:G26" si="21">C18/C17</f>
        <v>8.0693164362518943E-2</v>
      </c>
      <c r="D26" s="6">
        <f t="shared" si="21"/>
        <v>7.226308957161412E-2</v>
      </c>
      <c r="E26" s="6">
        <f t="shared" si="21"/>
        <v>8.1656641948755201E-2</v>
      </c>
      <c r="F26" s="6">
        <f t="shared" si="21"/>
        <v>8.7851892288723643E-2</v>
      </c>
      <c r="G26" s="6">
        <f t="shared" si="21"/>
        <v>4.2040713111644971E-2</v>
      </c>
      <c r="H26" s="6">
        <f>H18/H17</f>
        <v>3.6864427851860282E-2</v>
      </c>
      <c r="I26" s="6">
        <f>I18/I17</f>
        <v>4.9691377664651613E-2</v>
      </c>
      <c r="J26" s="6">
        <f>J18/J17</f>
        <v>4.9691377664651613E-2</v>
      </c>
      <c r="K26" s="6"/>
      <c r="L26" s="5">
        <f t="shared" ref="L26" si="22">L18/L17</f>
        <v>-1.5942549371633759E-2</v>
      </c>
      <c r="M26" s="5">
        <f t="shared" ref="M26:P26" si="23">M18/M17</f>
        <v>-2.1814970269941527E-2</v>
      </c>
      <c r="N26" s="5">
        <f t="shared" si="23"/>
        <v>1.0717311817286631E-2</v>
      </c>
      <c r="O26" s="5">
        <f t="shared" si="23"/>
        <v>-6.527204018882525E-2</v>
      </c>
      <c r="P26" s="5">
        <f t="shared" si="23"/>
        <v>-2.7884341060363905E-2</v>
      </c>
      <c r="Q26" s="5">
        <f>Q18/Q17</f>
        <v>8.3157943574408102E-2</v>
      </c>
      <c r="R26" s="5">
        <f>R18/R17</f>
        <v>4.5585987623711702E-2</v>
      </c>
    </row>
    <row r="27" spans="2:158" x14ac:dyDescent="0.2">
      <c r="B27" s="1" t="s">
        <v>36</v>
      </c>
      <c r="C27" s="6">
        <f t="shared" ref="C27:G27" si="24">C20/C5</f>
        <v>3.1992475046935878E-2</v>
      </c>
      <c r="D27" s="6">
        <f t="shared" si="24"/>
        <v>5.273974015454215E-2</v>
      </c>
      <c r="E27" s="6">
        <f t="shared" si="24"/>
        <v>0.12810865721057971</v>
      </c>
      <c r="F27" s="6">
        <f t="shared" si="24"/>
        <v>0.15351524615763915</v>
      </c>
      <c r="G27" s="6">
        <f t="shared" si="24"/>
        <v>0.16636241246780104</v>
      </c>
      <c r="H27" s="6">
        <f>H20/H5</f>
        <v>0.19778686808211943</v>
      </c>
      <c r="I27" s="6">
        <f>I20/I5</f>
        <v>0.19782472061263981</v>
      </c>
      <c r="J27" s="6">
        <f>J20/J5</f>
        <v>0.28688139754698389</v>
      </c>
      <c r="K27" s="6"/>
      <c r="L27" s="5">
        <f t="shared" ref="L27" si="25">L20/L5</f>
        <v>-1.0045615702819404</v>
      </c>
      <c r="M27" s="5">
        <f t="shared" ref="M27:R27" si="26">M20/M5</f>
        <v>-0.79203156668529606</v>
      </c>
      <c r="N27" s="5">
        <f t="shared" si="26"/>
        <v>-1.0674657468428337</v>
      </c>
      <c r="O27" s="5">
        <f t="shared" si="26"/>
        <v>-0.33749446296069308</v>
      </c>
      <c r="P27" s="5">
        <f t="shared" si="26"/>
        <v>-0.19608095196369535</v>
      </c>
      <c r="Q27" s="5">
        <f>Q20/Q5</f>
        <v>9.4302862186810721E-2</v>
      </c>
      <c r="R27" s="5">
        <f t="shared" si="26"/>
        <v>0.21530395021394391</v>
      </c>
      <c r="S27" s="5">
        <v>0.25</v>
      </c>
      <c r="T27" s="5">
        <v>0.5</v>
      </c>
      <c r="U27" s="5">
        <f>T27</f>
        <v>0.5</v>
      </c>
      <c r="V27" s="5">
        <f>U27</f>
        <v>0.5</v>
      </c>
      <c r="W27" s="5">
        <f>V27</f>
        <v>0.5</v>
      </c>
      <c r="X27" s="5">
        <f>W27</f>
        <v>0.5</v>
      </c>
      <c r="Y27" s="5">
        <f>X27</f>
        <v>0.5</v>
      </c>
      <c r="Z27" s="5">
        <f>Y27</f>
        <v>0.5</v>
      </c>
      <c r="AA27" s="7">
        <f>Z27</f>
        <v>0.5</v>
      </c>
      <c r="AB27" s="7">
        <f>AA27</f>
        <v>0.5</v>
      </c>
    </row>
    <row r="28" spans="2:158" x14ac:dyDescent="0.2">
      <c r="B28" s="1" t="s">
        <v>35</v>
      </c>
      <c r="M28" s="5">
        <f t="shared" ref="M28:R28" si="27">M9/L9-1</f>
        <v>7.0456926057361757E-2</v>
      </c>
      <c r="N28" s="5">
        <f t="shared" si="27"/>
        <v>0.83484256929013001</v>
      </c>
      <c r="O28" s="5">
        <f t="shared" si="27"/>
        <v>-0.30887347055256298</v>
      </c>
      <c r="P28" s="5">
        <f t="shared" si="27"/>
        <v>-7.176498824476707E-2</v>
      </c>
      <c r="Q28" s="5">
        <f>Q9/P9-1</f>
        <v>0.12495864367950316</v>
      </c>
      <c r="R28" s="5">
        <f t="shared" si="27"/>
        <v>0.12185881213175698</v>
      </c>
    </row>
    <row r="30" spans="2:158" x14ac:dyDescent="0.2">
      <c r="B30" s="1" t="s">
        <v>27</v>
      </c>
    </row>
    <row r="32" spans="2:158" x14ac:dyDescent="0.2">
      <c r="AA32" s="3"/>
    </row>
    <row r="35" spans="27:27" x14ac:dyDescent="0.2">
      <c r="AA35" s="3"/>
    </row>
    <row r="36" spans="27:27" x14ac:dyDescent="0.2">
      <c r="AA36" s="3"/>
    </row>
  </sheetData>
  <phoneticPr fontId="5" type="noConversion"/>
  <hyperlinks>
    <hyperlink ref="A1" location="Main!A1" display="Main" xr:uid="{3B84CA85-6C8B-7746-B68E-BC1F1F5EC4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2025-01-02T15:27:02Z</dcterms:created>
  <dcterms:modified xsi:type="dcterms:W3CDTF">2025-01-20T17:38:46Z</dcterms:modified>
</cp:coreProperties>
</file>