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63638256-CC28-F443-B761-4769CDCC31A5}" xr6:coauthVersionLast="47" xr6:coauthVersionMax="47" xr10:uidLastSave="{00000000-0000-0000-0000-000000000000}"/>
  <bookViews>
    <workbookView xWindow="0" yWindow="740" windowWidth="29400" windowHeight="18380" xr2:uid="{FFDE8198-0A80-C04D-964E-60CE6D882A3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2" l="1"/>
  <c r="L12" i="1"/>
  <c r="L13" i="1" s="1"/>
  <c r="BU17" i="2"/>
  <c r="Z17" i="2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S17" i="2"/>
  <c r="T17" i="2"/>
  <c r="U17" i="2"/>
  <c r="V17" i="2"/>
  <c r="W17" i="2"/>
  <c r="X17" i="2"/>
  <c r="Y17" i="2"/>
  <c r="R17" i="2"/>
  <c r="S5" i="2"/>
  <c r="T5" i="2" s="1"/>
  <c r="U5" i="2" s="1"/>
  <c r="V5" i="2" s="1"/>
  <c r="W5" i="2" s="1"/>
  <c r="X5" i="2" s="1"/>
  <c r="Y5" i="2" s="1"/>
  <c r="R5" i="2"/>
  <c r="Q21" i="2"/>
  <c r="Q19" i="2"/>
  <c r="Q9" i="2"/>
  <c r="Q10" i="2"/>
  <c r="Q11" i="2"/>
  <c r="Q12" i="2"/>
  <c r="Q13" i="2"/>
  <c r="Q15" i="2"/>
  <c r="Q16" i="2"/>
  <c r="Q8" i="2"/>
  <c r="Q5" i="2"/>
  <c r="J19" i="2"/>
  <c r="J12" i="2"/>
  <c r="J14" i="2" s="1"/>
  <c r="J11" i="2"/>
  <c r="J9" i="2"/>
  <c r="J8" i="2"/>
  <c r="J6" i="2"/>
  <c r="Q6" i="2" s="1"/>
  <c r="Q7" i="2" s="1"/>
  <c r="C24" i="2"/>
  <c r="D24" i="2"/>
  <c r="E24" i="2"/>
  <c r="F24" i="2"/>
  <c r="G24" i="2"/>
  <c r="H24" i="2"/>
  <c r="I24" i="2"/>
  <c r="C23" i="2"/>
  <c r="D23" i="2"/>
  <c r="E23" i="2"/>
  <c r="F23" i="2"/>
  <c r="G23" i="2"/>
  <c r="H23" i="2"/>
  <c r="I23" i="2"/>
  <c r="C22" i="2"/>
  <c r="D22" i="2"/>
  <c r="E22" i="2"/>
  <c r="F22" i="2"/>
  <c r="G22" i="2"/>
  <c r="H22" i="2"/>
  <c r="I22" i="2"/>
  <c r="G21" i="2"/>
  <c r="H21" i="2"/>
  <c r="I21" i="2"/>
  <c r="I18" i="2"/>
  <c r="I17" i="2"/>
  <c r="I13" i="2"/>
  <c r="I14" i="2"/>
  <c r="I12" i="2"/>
  <c r="I11" i="2"/>
  <c r="I7" i="2"/>
  <c r="Q14" i="2" l="1"/>
  <c r="J17" i="2"/>
  <c r="J18" i="2" l="1"/>
  <c r="Q17" i="2"/>
  <c r="Q18" i="2" s="1"/>
  <c r="L7" i="1" l="1"/>
  <c r="L6" i="1"/>
  <c r="L5" i="1"/>
  <c r="L4" i="1"/>
</calcChain>
</file>

<file path=xl/sharedStrings.xml><?xml version="1.0" encoding="utf-8"?>
<sst xmlns="http://schemas.openxmlformats.org/spreadsheetml/2006/main" count="41" uniqueCount="39">
  <si>
    <t>Price</t>
  </si>
  <si>
    <t>Shares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</si>
  <si>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</si>
  <si>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</si>
  <si>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</si>
  <si>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</si>
  <si>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</si>
  <si>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</si>
  <si>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</si>
  <si>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</si>
  <si>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</si>
  <si>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</si>
  <si>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</si>
  <si>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Revenue</t>
  </si>
  <si>
    <t>COGS</t>
  </si>
  <si>
    <t>Gross profit</t>
  </si>
  <si>
    <t>R&amp;D</t>
  </si>
  <si>
    <t>MG&amp;A</t>
  </si>
  <si>
    <t>Other</t>
  </si>
  <si>
    <t>OPEX</t>
  </si>
  <si>
    <t>OPINC</t>
  </si>
  <si>
    <t>Other (interest, gain)</t>
  </si>
  <si>
    <t>Pretax</t>
  </si>
  <si>
    <t>Tax</t>
  </si>
  <si>
    <t>less net</t>
  </si>
  <si>
    <t>Net income</t>
  </si>
  <si>
    <t>EPS</t>
  </si>
  <si>
    <t>Revenue growth %</t>
  </si>
  <si>
    <t>Gross margin %</t>
  </si>
  <si>
    <t>Tax rate %</t>
  </si>
  <si>
    <t>Profit margin</t>
  </si>
  <si>
    <t>R&amp;D growth%</t>
  </si>
  <si>
    <t>Employees</t>
  </si>
  <si>
    <t>Q324</t>
  </si>
  <si>
    <t>Q424</t>
  </si>
  <si>
    <t>growth</t>
  </si>
  <si>
    <t>discount</t>
  </si>
  <si>
    <t>NPV</t>
  </si>
  <si>
    <t>price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</si>
</sst>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000000"/>
  </numFmts>
  <fonts count="6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theme="10"/>
      <name val="Arial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4" fillId="0" borderId="0" xfId="3" applyFont="1"/>
    <xf numFmtId="4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0" fontId="1" fillId="0" borderId="0" xfId="2" applyNumberFormat="1" applyFont="1"/>
    <xf numFmtId="9" fontId="1" fillId="0" borderId="0" xfId="0" applyNumberFormat="1" applyFont="1"/>
    <xf numFmtId="4" fontId="1" fillId="0" borderId="0" xfId="1" applyNumberFormat="1" applyFont="1"/>
    <xf numFmtId="164" fontId="1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CBCAB-95B0-CA45-9960-54718EF86824}">
  <dimension ref="K2:M15"/>
  <sheetViews>
    <sheetView tabSelected="1" workbookViewId="0">
      <selection activeCell="I10" sqref="I10"/>
    </sheetView>
  </sheetViews>
  <sheetFormatPr baseColWidth="10" defaultRowHeight="16" x14ac:dyDescent="0.2"/>
  <cols>
    <col min="1" max="10" width="10.83203125" style="1"/>
    <col min="11" max="11" width="11.33203125" style="1" bestFit="1" customWidth="1"/>
    <col min="12" max="12" width="11.5" style="1" bestFit="1" customWidth="1"/>
    <col min="13" max="16384" width="10.83203125" style="1"/>
  </cols>
  <sheetData>
    <row r="2" spans="11:13" x14ac:dyDescent="0.2">
      <c r="K2" s="1" t="s">
        <v>0</v>
      </c>
      <c r="L2" s="3">
        <v>20.12</v>
      </c>
    </row>
    <row r="3" spans="11:13" x14ac:dyDescent="0.2">
      <c r="K3" s="1" t="s">
        <v>1</v>
      </c>
      <c r="L3" s="4">
        <v>4313</v>
      </c>
      <c r="M3" s="1" t="s">
        <v>33</v>
      </c>
    </row>
    <row r="4" spans="11:13" x14ac:dyDescent="0.2">
      <c r="K4" s="1" t="s">
        <v>2</v>
      </c>
      <c r="L4" s="4">
        <f>L2*L3</f>
        <v>86777.56</v>
      </c>
    </row>
    <row r="5" spans="11:13" x14ac:dyDescent="0.2">
      <c r="K5" s="1" t="s">
        <v>3</v>
      </c>
      <c r="L5" s="4">
        <f>8785+15301+12062</f>
        <v>36148</v>
      </c>
    </row>
    <row r="6" spans="11:13" x14ac:dyDescent="0.2">
      <c r="K6" s="1" t="s">
        <v>4</v>
      </c>
      <c r="L6" s="4">
        <f>46417+3765</f>
        <v>50182</v>
      </c>
    </row>
    <row r="7" spans="11:13" x14ac:dyDescent="0.2">
      <c r="K7" s="1" t="s">
        <v>5</v>
      </c>
      <c r="L7" s="4">
        <f>L4-L5+L6</f>
        <v>100811.56</v>
      </c>
    </row>
    <row r="10" spans="11:13" x14ac:dyDescent="0.2">
      <c r="K10" s="1" t="s">
        <v>35</v>
      </c>
      <c r="L10" s="7">
        <v>0.02</v>
      </c>
    </row>
    <row r="11" spans="11:13" x14ac:dyDescent="0.2">
      <c r="K11" s="1" t="s">
        <v>36</v>
      </c>
      <c r="L11" s="7">
        <v>0.08</v>
      </c>
    </row>
    <row r="12" spans="11:13" x14ac:dyDescent="0.2">
      <c r="K12" s="1" t="s">
        <v>37</v>
      </c>
      <c r="L12" s="3">
        <f>NPV(L11,Model!R17:BU17)+L5-L6</f>
        <v>188254.81990780434</v>
      </c>
    </row>
    <row r="13" spans="11:13" x14ac:dyDescent="0.2">
      <c r="K13" s="1" t="s">
        <v>38</v>
      </c>
      <c r="L13" s="8">
        <f>L12/L3</f>
        <v>43.648230908371048</v>
      </c>
    </row>
    <row r="15" spans="11:13" x14ac:dyDescent="0.2">
      <c r="L15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83DC-5572-5441-9E7B-FD798376FD96}">
  <dimension ref="A1:BU33"/>
  <sheetViews>
    <sheetView workbookViewId="0">
      <pane xSplit="2" topLeftCell="C1" activePane="topRight" state="frozen"/>
      <selection pane="topRight" activeCell="R25" sqref="R25"/>
    </sheetView>
  </sheetViews>
  <sheetFormatPr baseColWidth="10" defaultRowHeight="16" x14ac:dyDescent="0.2"/>
  <cols>
    <col min="1" max="1" width="10.83203125" style="1"/>
    <col min="2" max="2" width="19.83203125" style="1" bestFit="1" customWidth="1"/>
    <col min="3" max="25" width="10.83203125" style="1"/>
    <col min="26" max="26" width="13" style="1" bestFit="1" customWidth="1"/>
    <col min="27" max="16384" width="10.83203125" style="1"/>
  </cols>
  <sheetData>
    <row r="1" spans="1:25" x14ac:dyDescent="0.2">
      <c r="A1" s="2" t="s">
        <v>6</v>
      </c>
    </row>
    <row r="4" spans="1:25" x14ac:dyDescent="0.2">
      <c r="C4" s="1" t="s">
        <v>7</v>
      </c>
      <c r="D4" s="1" t="s">
        <v>8</v>
      </c>
      <c r="E4" s="1" t="s">
        <v>9</v>
      </c>
      <c r="F4" s="1" t="s">
        <v>10</v>
      </c>
      <c r="G4" s="1" t="s">
        <v>11</v>
      </c>
      <c r="H4" s="1" t="s">
        <v>12</v>
      </c>
      <c r="I4" s="1" t="s">
        <v>33</v>
      </c>
      <c r="J4" s="1" t="s">
        <v>34</v>
      </c>
      <c r="L4" s="1">
        <v>2019</v>
      </c>
      <c r="M4" s="1">
        <v>2020</v>
      </c>
      <c r="N4" s="1">
        <v>2021</v>
      </c>
      <c r="O4" s="1">
        <v>2022</v>
      </c>
      <c r="P4" s="1">
        <v>2023</v>
      </c>
      <c r="Q4" s="1">
        <v>2024</v>
      </c>
      <c r="R4" s="1">
        <v>2025</v>
      </c>
      <c r="S4" s="1">
        <v>2026</v>
      </c>
      <c r="T4" s="1">
        <v>2027</v>
      </c>
      <c r="U4" s="1">
        <v>2028</v>
      </c>
      <c r="V4" s="1">
        <v>2029</v>
      </c>
      <c r="W4" s="1">
        <v>2030</v>
      </c>
      <c r="X4" s="1">
        <v>2031</v>
      </c>
      <c r="Y4" s="1">
        <v>2032</v>
      </c>
    </row>
    <row r="5" spans="1:25" x14ac:dyDescent="0.2">
      <c r="B5" s="1" t="s">
        <v>13</v>
      </c>
      <c r="C5" s="4">
        <v>11715</v>
      </c>
      <c r="D5" s="4">
        <v>12949</v>
      </c>
      <c r="E5" s="4">
        <v>14158</v>
      </c>
      <c r="F5" s="4">
        <v>15406</v>
      </c>
      <c r="G5" s="4">
        <v>12724</v>
      </c>
      <c r="H5" s="4">
        <v>12833</v>
      </c>
      <c r="I5" s="4">
        <v>13284</v>
      </c>
      <c r="J5" s="4">
        <v>13830</v>
      </c>
      <c r="L5" s="4"/>
      <c r="M5" s="4"/>
      <c r="N5" s="4">
        <v>79024</v>
      </c>
      <c r="O5" s="4">
        <v>63054</v>
      </c>
      <c r="P5" s="4">
        <v>54228</v>
      </c>
      <c r="Q5" s="4">
        <f>SUM(G5:J5)</f>
        <v>52671</v>
      </c>
      <c r="R5" s="4">
        <f>Q5+Q5*R21</f>
        <v>55831.26</v>
      </c>
      <c r="S5" s="4">
        <f t="shared" ref="S5:Y5" si="0">R5+R5*S21</f>
        <v>57506.197800000002</v>
      </c>
      <c r="T5" s="4">
        <f t="shared" si="0"/>
        <v>59231.383734000003</v>
      </c>
      <c r="U5" s="4">
        <f t="shared" si="0"/>
        <v>61008.325246020002</v>
      </c>
      <c r="V5" s="4">
        <f t="shared" si="0"/>
        <v>62838.575003400605</v>
      </c>
      <c r="W5" s="4">
        <f t="shared" si="0"/>
        <v>64723.732253502625</v>
      </c>
      <c r="X5" s="4">
        <f t="shared" si="0"/>
        <v>66665.444221107697</v>
      </c>
      <c r="Y5" s="4">
        <f t="shared" si="0"/>
        <v>68665.407547740921</v>
      </c>
    </row>
    <row r="6" spans="1:25" x14ac:dyDescent="0.2">
      <c r="B6" s="1" t="s">
        <v>14</v>
      </c>
      <c r="C6" s="4">
        <v>7707</v>
      </c>
      <c r="D6" s="4">
        <v>8311</v>
      </c>
      <c r="E6" s="4">
        <v>8140</v>
      </c>
      <c r="F6" s="4">
        <v>8359</v>
      </c>
      <c r="G6" s="4">
        <v>7507</v>
      </c>
      <c r="H6" s="4">
        <v>8286</v>
      </c>
      <c r="I6" s="4">
        <v>11287</v>
      </c>
      <c r="J6" s="4">
        <f>J5-J7</f>
        <v>11755.5</v>
      </c>
      <c r="L6" s="4"/>
      <c r="M6" s="4"/>
      <c r="N6" s="4">
        <v>35209</v>
      </c>
      <c r="O6" s="4">
        <v>36188</v>
      </c>
      <c r="P6" s="4">
        <v>32517</v>
      </c>
      <c r="Q6" s="4">
        <f t="shared" ref="Q6:Q16" si="1">SUM(G6:J6)</f>
        <v>38835.5</v>
      </c>
      <c r="R6" s="4"/>
      <c r="S6" s="4"/>
      <c r="T6" s="4"/>
      <c r="U6" s="4"/>
      <c r="V6" s="4"/>
      <c r="W6" s="4"/>
      <c r="X6" s="4"/>
      <c r="Y6" s="4"/>
    </row>
    <row r="7" spans="1:25" x14ac:dyDescent="0.2">
      <c r="B7" s="1" t="s">
        <v>15</v>
      </c>
      <c r="C7" s="4">
        <v>4008</v>
      </c>
      <c r="D7" s="4">
        <v>4638</v>
      </c>
      <c r="E7" s="4">
        <v>6018</v>
      </c>
      <c r="F7" s="4">
        <v>7047</v>
      </c>
      <c r="G7" s="4">
        <v>5217</v>
      </c>
      <c r="H7" s="4">
        <v>4547</v>
      </c>
      <c r="I7" s="4">
        <f>I5-I6</f>
        <v>1997</v>
      </c>
      <c r="J7" s="4">
        <f>J5*0.15</f>
        <v>2074.5</v>
      </c>
      <c r="L7" s="4"/>
      <c r="M7" s="4">
        <v>0</v>
      </c>
      <c r="N7" s="4">
        <v>43815</v>
      </c>
      <c r="O7" s="4">
        <v>26866</v>
      </c>
      <c r="P7" s="4">
        <v>21711</v>
      </c>
      <c r="Q7" s="4">
        <f>Q5-Q6</f>
        <v>13835.5</v>
      </c>
      <c r="R7" s="4"/>
      <c r="S7" s="4"/>
      <c r="T7" s="4"/>
      <c r="U7" s="4"/>
      <c r="V7" s="4"/>
      <c r="W7" s="4"/>
      <c r="X7" s="4"/>
      <c r="Y7" s="4"/>
    </row>
    <row r="8" spans="1:25" x14ac:dyDescent="0.2">
      <c r="B8" s="1" t="s">
        <v>16</v>
      </c>
      <c r="C8" s="4">
        <v>4109</v>
      </c>
      <c r="D8" s="4">
        <v>4080</v>
      </c>
      <c r="E8" s="4">
        <v>3870</v>
      </c>
      <c r="F8" s="4">
        <v>3987</v>
      </c>
      <c r="G8" s="4">
        <v>4382</v>
      </c>
      <c r="H8" s="4">
        <v>4239</v>
      </c>
      <c r="I8" s="4">
        <v>4049</v>
      </c>
      <c r="J8" s="4">
        <f>I8</f>
        <v>4049</v>
      </c>
      <c r="L8" s="4"/>
      <c r="M8" s="4"/>
      <c r="N8" s="4">
        <v>15190</v>
      </c>
      <c r="O8" s="4">
        <v>17528</v>
      </c>
      <c r="P8" s="4">
        <v>16046</v>
      </c>
      <c r="Q8" s="4">
        <f t="shared" si="1"/>
        <v>16719</v>
      </c>
      <c r="R8" s="4"/>
      <c r="S8" s="4"/>
      <c r="T8" s="4"/>
      <c r="U8" s="4"/>
      <c r="V8" s="4"/>
      <c r="W8" s="4"/>
      <c r="X8" s="4"/>
      <c r="Y8" s="4"/>
    </row>
    <row r="9" spans="1:25" x14ac:dyDescent="0.2">
      <c r="B9" s="1" t="s">
        <v>17</v>
      </c>
      <c r="C9" s="4">
        <v>1303</v>
      </c>
      <c r="D9" s="4">
        <v>1374</v>
      </c>
      <c r="E9" s="4">
        <v>1340</v>
      </c>
      <c r="F9" s="4">
        <v>1617</v>
      </c>
      <c r="G9" s="4">
        <v>1556</v>
      </c>
      <c r="H9" s="4">
        <v>1329</v>
      </c>
      <c r="I9" s="4">
        <v>1383</v>
      </c>
      <c r="J9" s="4">
        <f>I9</f>
        <v>1383</v>
      </c>
      <c r="L9" s="4"/>
      <c r="M9" s="4"/>
      <c r="N9" s="4">
        <v>6543</v>
      </c>
      <c r="O9" s="4">
        <v>7002</v>
      </c>
      <c r="P9" s="4">
        <v>5634</v>
      </c>
      <c r="Q9" s="4">
        <f t="shared" si="1"/>
        <v>5651</v>
      </c>
      <c r="R9" s="4"/>
      <c r="S9" s="4"/>
      <c r="T9" s="4"/>
      <c r="U9" s="4"/>
      <c r="V9" s="4"/>
      <c r="W9" s="4"/>
      <c r="X9" s="4"/>
      <c r="Y9" s="4"/>
    </row>
    <row r="10" spans="1:25" x14ac:dyDescent="0.2">
      <c r="B10" s="1" t="s">
        <v>18</v>
      </c>
      <c r="C10" s="1">
        <v>64</v>
      </c>
      <c r="D10" s="1">
        <v>200</v>
      </c>
      <c r="E10" s="1">
        <v>816</v>
      </c>
      <c r="F10" s="4">
        <v>-1142</v>
      </c>
      <c r="G10" s="1">
        <v>348</v>
      </c>
      <c r="H10" s="1">
        <v>943</v>
      </c>
      <c r="I10" s="4">
        <v>5622</v>
      </c>
      <c r="J10" s="4"/>
      <c r="L10" s="4"/>
      <c r="M10" s="4"/>
      <c r="N10" s="4">
        <v>2626</v>
      </c>
      <c r="O10" s="4">
        <v>2</v>
      </c>
      <c r="P10" s="4">
        <v>-62</v>
      </c>
      <c r="Q10" s="4">
        <f t="shared" si="1"/>
        <v>6913</v>
      </c>
      <c r="R10" s="4"/>
      <c r="S10" s="4"/>
      <c r="T10" s="4"/>
      <c r="U10" s="4"/>
      <c r="V10" s="4"/>
      <c r="W10" s="4"/>
      <c r="X10" s="4"/>
      <c r="Y10" s="4"/>
    </row>
    <row r="11" spans="1:25" x14ac:dyDescent="0.2">
      <c r="B11" s="1" t="s">
        <v>19</v>
      </c>
      <c r="C11" s="4">
        <v>5476</v>
      </c>
      <c r="D11" s="4">
        <v>5654</v>
      </c>
      <c r="E11" s="4">
        <v>6026</v>
      </c>
      <c r="F11" s="4">
        <v>4462</v>
      </c>
      <c r="G11" s="4">
        <v>6286</v>
      </c>
      <c r="H11" s="4">
        <v>6511</v>
      </c>
      <c r="I11" s="4">
        <f>SUM(I8:I10)</f>
        <v>11054</v>
      </c>
      <c r="J11" s="4">
        <f>SUM(J8:J10)</f>
        <v>5432</v>
      </c>
      <c r="L11" s="4"/>
      <c r="M11" s="4">
        <v>0</v>
      </c>
      <c r="N11" s="4">
        <v>24359</v>
      </c>
      <c r="O11" s="4">
        <v>24532</v>
      </c>
      <c r="P11" s="4">
        <v>21618</v>
      </c>
      <c r="Q11" s="4">
        <f t="shared" si="1"/>
        <v>29283</v>
      </c>
      <c r="R11" s="4"/>
      <c r="S11" s="4"/>
      <c r="T11" s="4"/>
      <c r="U11" s="4"/>
      <c r="V11" s="4"/>
      <c r="W11" s="4"/>
      <c r="X11" s="4"/>
      <c r="Y11" s="4"/>
    </row>
    <row r="12" spans="1:25" x14ac:dyDescent="0.2">
      <c r="B12" s="1" t="s">
        <v>20</v>
      </c>
      <c r="C12" s="4">
        <v>-1468</v>
      </c>
      <c r="D12" s="4">
        <v>-1016</v>
      </c>
      <c r="E12" s="1">
        <v>-8</v>
      </c>
      <c r="F12" s="4">
        <v>2585</v>
      </c>
      <c r="G12" s="4">
        <v>-1069</v>
      </c>
      <c r="H12" s="4">
        <v>-1964</v>
      </c>
      <c r="I12" s="4">
        <f>I7-I11</f>
        <v>-9057</v>
      </c>
      <c r="J12" s="4">
        <f>J7-J11</f>
        <v>-3357.5</v>
      </c>
      <c r="L12" s="4"/>
      <c r="M12" s="4">
        <v>0</v>
      </c>
      <c r="N12" s="4">
        <v>19456</v>
      </c>
      <c r="O12" s="4">
        <v>2334</v>
      </c>
      <c r="P12" s="4">
        <v>93</v>
      </c>
      <c r="Q12" s="4">
        <f t="shared" si="1"/>
        <v>-15447.5</v>
      </c>
      <c r="R12" s="4"/>
      <c r="S12" s="4"/>
      <c r="T12" s="4"/>
      <c r="U12" s="4"/>
      <c r="V12" s="4"/>
      <c r="W12" s="4"/>
      <c r="X12" s="4"/>
      <c r="Y12" s="4"/>
    </row>
    <row r="13" spans="1:25" x14ac:dyDescent="0.2">
      <c r="B13" s="1" t="s">
        <v>21</v>
      </c>
      <c r="C13" s="1">
        <v>310</v>
      </c>
      <c r="D13" s="1">
        <v>200</v>
      </c>
      <c r="E13" s="1">
        <v>-44</v>
      </c>
      <c r="F13" s="1">
        <v>203</v>
      </c>
      <c r="G13" s="1">
        <v>350</v>
      </c>
      <c r="H13" s="1">
        <v>-40</v>
      </c>
      <c r="I13" s="4">
        <f>-159+130</f>
        <v>-29</v>
      </c>
      <c r="J13" s="4"/>
      <c r="L13" s="4"/>
      <c r="M13" s="4"/>
      <c r="N13" s="4">
        <v>2247</v>
      </c>
      <c r="O13" s="4">
        <v>5434</v>
      </c>
      <c r="P13" s="4">
        <v>669</v>
      </c>
      <c r="Q13" s="4">
        <f t="shared" si="1"/>
        <v>281</v>
      </c>
      <c r="R13" s="4"/>
      <c r="S13" s="4"/>
      <c r="T13" s="4"/>
      <c r="U13" s="4"/>
      <c r="V13" s="4"/>
      <c r="W13" s="4"/>
      <c r="X13" s="4"/>
      <c r="Y13" s="4"/>
    </row>
    <row r="14" spans="1:25" x14ac:dyDescent="0.2">
      <c r="B14" s="1" t="s">
        <v>22</v>
      </c>
      <c r="C14" s="4">
        <v>-1158</v>
      </c>
      <c r="D14" s="1">
        <v>-816</v>
      </c>
      <c r="E14" s="1">
        <v>-52</v>
      </c>
      <c r="F14" s="4">
        <v>2788</v>
      </c>
      <c r="G14" s="1">
        <v>-719</v>
      </c>
      <c r="H14" s="4">
        <v>-2004</v>
      </c>
      <c r="I14" s="4">
        <f>I12+I13</f>
        <v>-9086</v>
      </c>
      <c r="J14" s="4">
        <f>J12+J13</f>
        <v>-3357.5</v>
      </c>
      <c r="L14" s="4"/>
      <c r="M14" s="4">
        <v>0</v>
      </c>
      <c r="N14" s="4">
        <v>21703</v>
      </c>
      <c r="O14" s="4">
        <v>7768</v>
      </c>
      <c r="P14" s="4">
        <v>762</v>
      </c>
      <c r="Q14" s="4">
        <f t="shared" si="1"/>
        <v>-15166.5</v>
      </c>
      <c r="R14" s="4"/>
      <c r="S14" s="4"/>
      <c r="T14" s="4"/>
      <c r="U14" s="4"/>
      <c r="V14" s="4"/>
      <c r="W14" s="4"/>
      <c r="X14" s="4"/>
      <c r="Y14" s="4"/>
    </row>
    <row r="15" spans="1:25" x14ac:dyDescent="0.2">
      <c r="B15" s="1" t="s">
        <v>23</v>
      </c>
      <c r="C15" s="4">
        <v>1610</v>
      </c>
      <c r="D15" s="4">
        <v>-2289</v>
      </c>
      <c r="E15" s="1">
        <v>-362</v>
      </c>
      <c r="F15" s="1">
        <v>128</v>
      </c>
      <c r="G15" s="1">
        <v>-282</v>
      </c>
      <c r="H15" s="1">
        <v>-350</v>
      </c>
      <c r="I15" s="4">
        <v>7903</v>
      </c>
      <c r="J15" s="4"/>
      <c r="L15" s="4"/>
      <c r="M15" s="4"/>
      <c r="N15" s="4">
        <v>1835</v>
      </c>
      <c r="O15" s="4">
        <v>-249</v>
      </c>
      <c r="P15" s="4">
        <v>-913</v>
      </c>
      <c r="Q15" s="4">
        <f t="shared" si="1"/>
        <v>7271</v>
      </c>
      <c r="R15" s="4"/>
      <c r="S15" s="4"/>
      <c r="T15" s="4"/>
      <c r="U15" s="4"/>
      <c r="V15" s="4"/>
      <c r="W15" s="4"/>
      <c r="X15" s="4"/>
      <c r="Y15" s="4"/>
    </row>
    <row r="16" spans="1:25" x14ac:dyDescent="0.2">
      <c r="B16" s="1" t="s">
        <v>24</v>
      </c>
      <c r="C16" s="1">
        <v>-10</v>
      </c>
      <c r="D16" s="1">
        <v>-8</v>
      </c>
      <c r="E16" s="1">
        <v>13</v>
      </c>
      <c r="F16" s="1">
        <v>-9</v>
      </c>
      <c r="G16" s="1">
        <v>-56</v>
      </c>
      <c r="H16" s="1">
        <v>-44</v>
      </c>
      <c r="I16" s="4">
        <v>-350</v>
      </c>
      <c r="J16" s="4"/>
      <c r="L16" s="4"/>
      <c r="M16" s="4"/>
      <c r="N16" s="4">
        <v>0</v>
      </c>
      <c r="O16" s="4">
        <v>3</v>
      </c>
      <c r="P16" s="4">
        <v>-14</v>
      </c>
      <c r="Q16" s="4">
        <f t="shared" si="1"/>
        <v>-450</v>
      </c>
      <c r="R16" s="4"/>
      <c r="S16" s="4"/>
      <c r="T16" s="4"/>
      <c r="U16" s="4"/>
      <c r="V16" s="4"/>
      <c r="W16" s="4"/>
      <c r="X16" s="4"/>
      <c r="Y16" s="4"/>
    </row>
    <row r="17" spans="2:73" x14ac:dyDescent="0.2">
      <c r="B17" s="1" t="s">
        <v>25</v>
      </c>
      <c r="C17" s="4">
        <v>-2758</v>
      </c>
      <c r="D17" s="4">
        <v>1481</v>
      </c>
      <c r="E17" s="1">
        <v>297</v>
      </c>
      <c r="F17" s="4">
        <v>2669</v>
      </c>
      <c r="G17" s="1">
        <v>-381</v>
      </c>
      <c r="H17" s="4">
        <v>-1610</v>
      </c>
      <c r="I17" s="4">
        <f>I14-I15-I16</f>
        <v>-16639</v>
      </c>
      <c r="J17" s="4">
        <f>J14-J15-J16</f>
        <v>-3357.5</v>
      </c>
      <c r="L17" s="4"/>
      <c r="M17" s="4">
        <v>0</v>
      </c>
      <c r="N17" s="4">
        <v>19868</v>
      </c>
      <c r="O17" s="4">
        <v>8014</v>
      </c>
      <c r="P17" s="4">
        <v>1689</v>
      </c>
      <c r="Q17" s="4">
        <f>SUM(G17:J17)</f>
        <v>-21987.5</v>
      </c>
      <c r="R17" s="4">
        <f>R5*R24</f>
        <v>0</v>
      </c>
      <c r="S17" s="4">
        <f t="shared" ref="S17:Y17" si="2">S5*S24</f>
        <v>4025.4338460000004</v>
      </c>
      <c r="T17" s="4">
        <f t="shared" si="2"/>
        <v>5923.138373400001</v>
      </c>
      <c r="U17" s="4">
        <f t="shared" si="2"/>
        <v>9151.2487869029992</v>
      </c>
      <c r="V17" s="4">
        <f t="shared" si="2"/>
        <v>15709.643750850151</v>
      </c>
      <c r="W17" s="4">
        <f t="shared" si="2"/>
        <v>16180.933063375656</v>
      </c>
      <c r="X17" s="4">
        <f t="shared" si="2"/>
        <v>16666.361055276924</v>
      </c>
      <c r="Y17" s="4">
        <f t="shared" si="2"/>
        <v>17166.35188693523</v>
      </c>
      <c r="Z17" s="4">
        <f>Y17*(1+Main!$L$10)</f>
        <v>17509.678924673935</v>
      </c>
      <c r="AA17" s="4">
        <f>Z17*(1+Main!$L$10)</f>
        <v>17859.872503167415</v>
      </c>
      <c r="AB17" s="4">
        <f>AA17*(1+Main!$L$10)</f>
        <v>18217.069953230763</v>
      </c>
      <c r="AC17" s="4">
        <f>AB17*(1+Main!$L$10)</f>
        <v>18581.411352295378</v>
      </c>
      <c r="AD17" s="4">
        <f>AC17*(1+Main!$L$10)</f>
        <v>18953.039579341286</v>
      </c>
      <c r="AE17" s="4">
        <f>AD17*(1+Main!$L$10)</f>
        <v>19332.100370928114</v>
      </c>
      <c r="AF17" s="4">
        <f>AE17*(1+Main!$L$10)</f>
        <v>19718.742378346677</v>
      </c>
      <c r="AG17" s="4">
        <f>AF17*(1+Main!$L$10)</f>
        <v>20113.117225913611</v>
      </c>
      <c r="AH17" s="4">
        <f>AG17*(1+Main!$L$10)</f>
        <v>20515.379570431884</v>
      </c>
      <c r="AI17" s="4">
        <f>AH17*(1+Main!$L$10)</f>
        <v>20925.68716184052</v>
      </c>
      <c r="AJ17" s="4">
        <f>AI17*(1+Main!$L$10)</f>
        <v>21344.20090507733</v>
      </c>
      <c r="AK17" s="4">
        <f>AJ17*(1+Main!$L$10)</f>
        <v>21771.084923178878</v>
      </c>
      <c r="AL17" s="4">
        <f>AK17*(1+Main!$L$10)</f>
        <v>22206.506621642457</v>
      </c>
      <c r="AM17" s="4">
        <f>AL17*(1+Main!$L$10)</f>
        <v>22650.636754075305</v>
      </c>
      <c r="AN17" s="4">
        <f>AM17*(1+Main!$L$10)</f>
        <v>23103.649489156811</v>
      </c>
      <c r="AO17" s="4">
        <f>AN17*(1+Main!$L$10)</f>
        <v>23565.722478939948</v>
      </c>
      <c r="AP17" s="4">
        <f>AO17*(1+Main!$L$10)</f>
        <v>24037.036928518748</v>
      </c>
      <c r="AQ17" s="4">
        <f>AP17*(1+Main!$L$10)</f>
        <v>24517.777667089122</v>
      </c>
      <c r="AR17" s="4">
        <f>AQ17*(1+Main!$L$10)</f>
        <v>25008.133220430904</v>
      </c>
      <c r="AS17" s="4">
        <f>AR17*(1+Main!$L$10)</f>
        <v>25508.295884839521</v>
      </c>
      <c r="AT17" s="4">
        <f>AS17*(1+Main!$L$10)</f>
        <v>26018.461802536312</v>
      </c>
      <c r="AU17" s="4">
        <f>AT17*(1+Main!$L$10)</f>
        <v>26538.831038587039</v>
      </c>
      <c r="AV17" s="4">
        <f>AU17*(1+Main!$L$10)</f>
        <v>27069.607659358779</v>
      </c>
      <c r="AW17" s="4">
        <f>AV17*(1+Main!$L$10)</f>
        <v>27610.999812545953</v>
      </c>
      <c r="AX17" s="4">
        <f>AW17*(1+Main!$L$10)</f>
        <v>28163.219808796872</v>
      </c>
      <c r="AY17" s="4">
        <f>AX17*(1+Main!$L$10)</f>
        <v>28726.48420497281</v>
      </c>
      <c r="AZ17" s="4">
        <f>AY17*(1+Main!$L$10)</f>
        <v>29301.013889072266</v>
      </c>
      <c r="BA17" s="4">
        <f>AZ17*(1+Main!$L$10)</f>
        <v>29887.034166853711</v>
      </c>
      <c r="BB17" s="4">
        <f>BA17*(1+Main!$L$10)</f>
        <v>30484.774850190784</v>
      </c>
      <c r="BC17" s="4">
        <f>BB17*(1+Main!$L$10)</f>
        <v>31094.470347194601</v>
      </c>
      <c r="BD17" s="4">
        <f>BC17*(1+Main!$L$10)</f>
        <v>31716.359754138495</v>
      </c>
      <c r="BE17" s="4">
        <f>BD17*(1+Main!$L$10)</f>
        <v>32350.686949221265</v>
      </c>
      <c r="BF17" s="4">
        <f>BE17*(1+Main!$L$10)</f>
        <v>32997.700688205688</v>
      </c>
      <c r="BG17" s="4">
        <f>BF17*(1+Main!$L$10)</f>
        <v>33657.654701969805</v>
      </c>
      <c r="BH17" s="4">
        <f>BG17*(1+Main!$L$10)</f>
        <v>34330.807796009198</v>
      </c>
      <c r="BI17" s="4">
        <f>BH17*(1+Main!$L$10)</f>
        <v>35017.423951929384</v>
      </c>
      <c r="BJ17" s="4">
        <f>BI17*(1+Main!$L$10)</f>
        <v>35717.772430967976</v>
      </c>
      <c r="BK17" s="4">
        <f>BJ17*(1+Main!$L$10)</f>
        <v>36432.127879587337</v>
      </c>
      <c r="BL17" s="4">
        <f>BK17*(1+Main!$L$10)</f>
        <v>37160.770437179082</v>
      </c>
      <c r="BM17" s="4">
        <f>BL17*(1+Main!$L$10)</f>
        <v>37903.985845922667</v>
      </c>
      <c r="BN17" s="4">
        <f>BM17*(1+Main!$L$10)</f>
        <v>38662.065562841119</v>
      </c>
      <c r="BO17" s="4">
        <f>BN17*(1+Main!$L$10)</f>
        <v>39435.306874097943</v>
      </c>
      <c r="BP17" s="4">
        <f>BO17*(1+Main!$L$10)</f>
        <v>40224.013011579904</v>
      </c>
      <c r="BQ17" s="4">
        <f>BP17*(1+Main!$L$10)</f>
        <v>41028.493271811501</v>
      </c>
      <c r="BR17" s="4">
        <f>BQ17*(1+Main!$L$10)</f>
        <v>41849.063137247729</v>
      </c>
      <c r="BS17" s="4">
        <f>BR17*(1+Main!$L$10)</f>
        <v>42686.044399992687</v>
      </c>
      <c r="BT17" s="4">
        <f>BS17*(1+Main!$L$10)</f>
        <v>43539.765287992544</v>
      </c>
      <c r="BU17" s="4">
        <f>BT17*(1+Main!$L$10)</f>
        <v>44410.560593752394</v>
      </c>
    </row>
    <row r="18" spans="2:73" x14ac:dyDescent="0.2">
      <c r="B18" s="1" t="s">
        <v>26</v>
      </c>
      <c r="C18" s="1">
        <v>-0.66</v>
      </c>
      <c r="D18" s="1">
        <v>0.35</v>
      </c>
      <c r="E18" s="1">
        <v>7.0000000000000007E-2</v>
      </c>
      <c r="F18" s="1">
        <v>0.63</v>
      </c>
      <c r="G18" s="1">
        <v>-0.09</v>
      </c>
      <c r="H18" s="1">
        <v>-0.38</v>
      </c>
      <c r="I18" s="3">
        <f>I17/I19</f>
        <v>-3.8767474370922645</v>
      </c>
      <c r="J18" s="3">
        <f>J17/J19</f>
        <v>-0.78226933830382106</v>
      </c>
      <c r="L18" s="3"/>
      <c r="M18" s="3" t="e">
        <v>#DIV/0!</v>
      </c>
      <c r="N18" s="3">
        <v>4.8600000000000003</v>
      </c>
      <c r="O18" s="3">
        <v>1.94</v>
      </c>
      <c r="P18" s="3">
        <v>0.4</v>
      </c>
      <c r="Q18" s="3">
        <f>Q17/Q19</f>
        <v>-5.1229030754892824</v>
      </c>
      <c r="R18" s="4"/>
      <c r="S18" s="4"/>
      <c r="T18" s="4"/>
      <c r="U18" s="4"/>
      <c r="V18" s="4"/>
      <c r="W18" s="4"/>
      <c r="X18" s="4"/>
      <c r="Y18" s="4"/>
    </row>
    <row r="19" spans="2:73" x14ac:dyDescent="0.2">
      <c r="B19" s="1" t="s">
        <v>1</v>
      </c>
      <c r="C19" s="4">
        <v>4154</v>
      </c>
      <c r="D19" s="4">
        <v>4196</v>
      </c>
      <c r="E19" s="4">
        <v>4229</v>
      </c>
      <c r="F19" s="4">
        <v>4212</v>
      </c>
      <c r="G19" s="4">
        <v>4242</v>
      </c>
      <c r="H19" s="4">
        <v>4267</v>
      </c>
      <c r="I19" s="4">
        <v>4292</v>
      </c>
      <c r="J19" s="4">
        <f>I19</f>
        <v>4292</v>
      </c>
      <c r="L19" s="4"/>
      <c r="M19" s="4"/>
      <c r="N19" s="4">
        <v>4090</v>
      </c>
      <c r="O19" s="4">
        <v>4123</v>
      </c>
      <c r="P19" s="4">
        <v>4212</v>
      </c>
      <c r="Q19" s="4">
        <f>J19</f>
        <v>4292</v>
      </c>
      <c r="R19" s="4"/>
      <c r="S19" s="4"/>
      <c r="T19" s="4"/>
      <c r="U19" s="4"/>
      <c r="V19" s="4"/>
      <c r="W19" s="4"/>
      <c r="X19" s="4"/>
      <c r="Y19" s="4"/>
    </row>
    <row r="21" spans="2:73" x14ac:dyDescent="0.2">
      <c r="B21" s="1" t="s">
        <v>27</v>
      </c>
      <c r="G21" s="6">
        <f t="shared" ref="G21:H21" si="3">G5/C5-1</f>
        <v>8.6128894579598825E-2</v>
      </c>
      <c r="H21" s="6">
        <f t="shared" si="3"/>
        <v>-8.9582207120241231E-3</v>
      </c>
      <c r="I21" s="6">
        <f>I5/E5-1</f>
        <v>-6.1731883034326862E-2</v>
      </c>
      <c r="M21" s="1" t="e">
        <v>#DIV/0!</v>
      </c>
      <c r="N21" s="1" t="e">
        <v>#DIV/0!</v>
      </c>
      <c r="O21" s="5">
        <v>-0.2021</v>
      </c>
      <c r="P21" s="5">
        <v>-0.14000000000000001</v>
      </c>
      <c r="Q21" s="6">
        <f>Q5/P5-1</f>
        <v>-2.8712104447886744E-2</v>
      </c>
      <c r="R21" s="7">
        <v>0.06</v>
      </c>
      <c r="S21" s="7">
        <v>0.03</v>
      </c>
      <c r="T21" s="7">
        <v>0.03</v>
      </c>
      <c r="U21" s="7">
        <v>0.03</v>
      </c>
      <c r="V21" s="7">
        <v>0.03</v>
      </c>
      <c r="W21" s="7">
        <v>0.03</v>
      </c>
      <c r="X21" s="7">
        <v>0.03</v>
      </c>
      <c r="Y21" s="7">
        <v>0.03</v>
      </c>
    </row>
    <row r="22" spans="2:73" x14ac:dyDescent="0.2">
      <c r="B22" s="1" t="s">
        <v>28</v>
      </c>
      <c r="C22" s="6">
        <f t="shared" ref="C22:F22" si="4">C7/C5</f>
        <v>0.34212548015364919</v>
      </c>
      <c r="D22" s="6">
        <f t="shared" si="4"/>
        <v>0.35817437639972199</v>
      </c>
      <c r="E22" s="6">
        <f t="shared" si="4"/>
        <v>0.42506003672835146</v>
      </c>
      <c r="F22" s="6">
        <f t="shared" si="4"/>
        <v>0.45741918732961184</v>
      </c>
      <c r="G22" s="6">
        <f t="shared" ref="G22:H22" si="5">G7/G5</f>
        <v>0.41001257466205598</v>
      </c>
      <c r="H22" s="6">
        <f t="shared" si="5"/>
        <v>0.35432089145172602</v>
      </c>
      <c r="I22" s="6">
        <f>I7/I5</f>
        <v>0.15033122553447756</v>
      </c>
      <c r="M22" s="1" t="e">
        <v>#DIV/0!</v>
      </c>
      <c r="N22" s="5">
        <v>0.55449999999999999</v>
      </c>
      <c r="O22" s="5">
        <v>0.42609999999999998</v>
      </c>
      <c r="P22" s="5">
        <v>0.40039999999999998</v>
      </c>
    </row>
    <row r="23" spans="2:73" x14ac:dyDescent="0.2">
      <c r="B23" s="1" t="s">
        <v>29</v>
      </c>
      <c r="C23" s="6">
        <f t="shared" ref="C23:G23" si="6">C15/C14</f>
        <v>-1.390328151986183</v>
      </c>
      <c r="D23" s="6">
        <f t="shared" si="6"/>
        <v>2.8051470588235294</v>
      </c>
      <c r="E23" s="6">
        <f t="shared" si="6"/>
        <v>6.9615384615384617</v>
      </c>
      <c r="F23" s="6">
        <f t="shared" si="6"/>
        <v>4.5911047345767578E-2</v>
      </c>
      <c r="G23" s="6">
        <f t="shared" si="6"/>
        <v>0.39221140472878996</v>
      </c>
      <c r="H23" s="6">
        <f>H15/H14</f>
        <v>0.17465069860279442</v>
      </c>
      <c r="I23" s="6">
        <f>I15/I14</f>
        <v>-0.86979969183359018</v>
      </c>
      <c r="M23" s="1" t="e">
        <v>#DIV/0!</v>
      </c>
      <c r="N23" s="5">
        <v>8.4599999999999995E-2</v>
      </c>
      <c r="O23" s="5">
        <v>-3.2099999999999997E-2</v>
      </c>
      <c r="P23" s="5">
        <v>-1.1981999999999999</v>
      </c>
    </row>
    <row r="24" spans="2:73" x14ac:dyDescent="0.2">
      <c r="B24" s="1" t="s">
        <v>30</v>
      </c>
      <c r="C24" s="6">
        <f t="shared" ref="C24:G24" si="7">C17/C5</f>
        <v>-0.23542466922748612</v>
      </c>
      <c r="D24" s="6">
        <f t="shared" si="7"/>
        <v>0.114371766159549</v>
      </c>
      <c r="E24" s="6">
        <f t="shared" si="7"/>
        <v>2.097753920045204E-2</v>
      </c>
      <c r="F24" s="6">
        <f t="shared" si="7"/>
        <v>0.1732441905751006</v>
      </c>
      <c r="G24" s="6">
        <f t="shared" si="7"/>
        <v>-2.9943414020748193E-2</v>
      </c>
      <c r="H24" s="6">
        <f>H17/H5</f>
        <v>-0.12545780409880777</v>
      </c>
      <c r="I24" s="6">
        <f>I17/I5</f>
        <v>-1.2525594700391449</v>
      </c>
      <c r="M24" s="1" t="e">
        <v>#DIV/0!</v>
      </c>
      <c r="N24" s="5">
        <v>0.25140000000000001</v>
      </c>
      <c r="O24" s="5">
        <v>0.12709999999999999</v>
      </c>
      <c r="P24" s="5">
        <v>3.1099999999999999E-2</v>
      </c>
      <c r="R24" s="5">
        <v>0</v>
      </c>
      <c r="S24" s="5">
        <v>7.0000000000000007E-2</v>
      </c>
      <c r="T24" s="5">
        <v>0.1</v>
      </c>
      <c r="U24" s="5">
        <v>0.15</v>
      </c>
      <c r="V24" s="5">
        <v>0.25</v>
      </c>
      <c r="W24" s="5">
        <v>0.25</v>
      </c>
      <c r="X24" s="5">
        <v>0.25</v>
      </c>
      <c r="Y24" s="5">
        <v>0.25</v>
      </c>
    </row>
    <row r="25" spans="2:73" x14ac:dyDescent="0.2">
      <c r="B25" s="1" t="s">
        <v>31</v>
      </c>
      <c r="M25" s="1" t="e">
        <v>#DIV/0!</v>
      </c>
      <c r="N25" s="1" t="e">
        <v>#DIV/0!</v>
      </c>
      <c r="O25" s="5">
        <v>0.15390000000000001</v>
      </c>
      <c r="P25" s="5">
        <v>-8.4599999999999995E-2</v>
      </c>
    </row>
    <row r="27" spans="2:73" x14ac:dyDescent="0.2">
      <c r="B27" s="1" t="s">
        <v>32</v>
      </c>
    </row>
    <row r="29" spans="2:73" x14ac:dyDescent="0.2">
      <c r="Z29" s="3"/>
    </row>
    <row r="32" spans="2:73" x14ac:dyDescent="0.2">
      <c r="Z32" s="3"/>
    </row>
    <row r="33" spans="26:26" x14ac:dyDescent="0.2">
      <c r="Z33" s="3"/>
    </row>
  </sheetData>
  <phoneticPr fontId="5" type="noConversion"/>
  <hyperlinks>
    <hyperlink ref="A1" location="Main!A1" display="Main" xr:uid="{3B84CA85-6C8B-7746-B68E-BC1F1F5EC42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2025-01-02T15:27:02Z</dcterms:created>
  <dcterms:modified xsi:type="dcterms:W3CDTF">2025-01-02T19:14:02Z</dcterms:modified>
</cp:coreProperties>
</file>