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51D831E-6B18-634D-A681-D201996C1B5C}" xr6:coauthVersionLast="47" xr6:coauthVersionMax="47" xr10:uidLastSave="{00000000-0000-0000-0000-000000000000}"/>
  <bookViews>
    <workbookView xWindow="0" yWindow="740" windowWidth="14320" windowHeight="18380" activeTab="1" xr2:uid="{FFDE8198-0A80-C04D-964E-60CE6D882A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F20" i="2"/>
  <c r="F17" i="2"/>
  <c r="F16" i="2"/>
  <c r="F6" i="2"/>
  <c r="F8" i="2"/>
  <c r="F9" i="2"/>
  <c r="F10" i="2"/>
  <c r="F13" i="2"/>
  <c r="F14" i="2"/>
  <c r="J7" i="2"/>
  <c r="C15" i="2"/>
  <c r="C24" i="2" s="1"/>
  <c r="D15" i="2"/>
  <c r="D24" i="2" s="1"/>
  <c r="E15" i="2"/>
  <c r="E24" i="2" s="1"/>
  <c r="G15" i="2"/>
  <c r="G24" i="2" s="1"/>
  <c r="H15" i="2"/>
  <c r="H24" i="2" s="1"/>
  <c r="I15" i="2"/>
  <c r="J15" i="2"/>
  <c r="J23" i="2"/>
  <c r="J22" i="2"/>
  <c r="P15" i="2"/>
  <c r="O15" i="2"/>
  <c r="O24" i="2" s="1"/>
  <c r="M26" i="2"/>
  <c r="N26" i="2"/>
  <c r="O26" i="2"/>
  <c r="P26" i="2"/>
  <c r="L25" i="2"/>
  <c r="M25" i="2"/>
  <c r="N25" i="2"/>
  <c r="O25" i="2"/>
  <c r="P25" i="2"/>
  <c r="L24" i="2"/>
  <c r="M24" i="2"/>
  <c r="N24" i="2"/>
  <c r="P24" i="2"/>
  <c r="L23" i="2"/>
  <c r="M23" i="2"/>
  <c r="N23" i="2"/>
  <c r="O23" i="2"/>
  <c r="P23" i="2"/>
  <c r="M22" i="2"/>
  <c r="N22" i="2"/>
  <c r="O22" i="2"/>
  <c r="Q22" i="2"/>
  <c r="P22" i="2"/>
  <c r="M19" i="2"/>
  <c r="N19" i="2"/>
  <c r="O19" i="2"/>
  <c r="P19" i="2"/>
  <c r="L19" i="2"/>
  <c r="N18" i="2"/>
  <c r="M18" i="2"/>
  <c r="L18" i="2"/>
  <c r="N15" i="2"/>
  <c r="M15" i="2"/>
  <c r="L15" i="2"/>
  <c r="O11" i="2"/>
  <c r="P11" i="2"/>
  <c r="M11" i="2"/>
  <c r="N11" i="2"/>
  <c r="L11" i="2"/>
  <c r="N7" i="2"/>
  <c r="N12" i="2" s="1"/>
  <c r="O7" i="2"/>
  <c r="O12" i="2" s="1"/>
  <c r="P7" i="2"/>
  <c r="P12" i="2" s="1"/>
  <c r="M7" i="2"/>
  <c r="M12" i="2" s="1"/>
  <c r="L7" i="2"/>
  <c r="L12" i="2" s="1"/>
  <c r="R5" i="2"/>
  <c r="R18" i="2" s="1"/>
  <c r="R19" i="2" s="1"/>
  <c r="Q10" i="2"/>
  <c r="Q13" i="2"/>
  <c r="Q16" i="2"/>
  <c r="Q17" i="2"/>
  <c r="Q8" i="2"/>
  <c r="Q26" i="2" s="1"/>
  <c r="Q5" i="2"/>
  <c r="J20" i="2"/>
  <c r="Q20" i="2" s="1"/>
  <c r="J11" i="2"/>
  <c r="J12" i="2" s="1"/>
  <c r="Q6" i="2"/>
  <c r="Q7" i="2" s="1"/>
  <c r="Q23" i="2" s="1"/>
  <c r="C25" i="2"/>
  <c r="D25" i="2"/>
  <c r="E25" i="2"/>
  <c r="F25" i="2"/>
  <c r="G25" i="2"/>
  <c r="H25" i="2"/>
  <c r="C23" i="2"/>
  <c r="D23" i="2"/>
  <c r="E23" i="2"/>
  <c r="F23" i="2"/>
  <c r="G23" i="2"/>
  <c r="H23" i="2"/>
  <c r="G22" i="2"/>
  <c r="H22" i="2"/>
  <c r="I22" i="2"/>
  <c r="I11" i="2"/>
  <c r="I7" i="2"/>
  <c r="I23" i="2" s="1"/>
  <c r="F15" i="2" l="1"/>
  <c r="F24" i="2" s="1"/>
  <c r="J24" i="2"/>
  <c r="S5" i="2"/>
  <c r="I12" i="2"/>
  <c r="Q9" i="2"/>
  <c r="Q11" i="2" s="1"/>
  <c r="Q12" i="2" s="1"/>
  <c r="Q15" i="2"/>
  <c r="Q24" i="2" s="1"/>
  <c r="J18" i="2"/>
  <c r="J25" i="2" s="1"/>
  <c r="I24" i="2" l="1"/>
  <c r="I18" i="2"/>
  <c r="Q18" i="2" s="1"/>
  <c r="T5" i="2"/>
  <c r="S18" i="2"/>
  <c r="J19" i="2"/>
  <c r="Q19" i="2" l="1"/>
  <c r="Q25" i="2"/>
  <c r="U5" i="2"/>
  <c r="T18" i="2"/>
  <c r="I25" i="2"/>
  <c r="I19" i="2"/>
  <c r="L7" i="1"/>
  <c r="L6" i="1"/>
  <c r="L5" i="1"/>
  <c r="L4" i="1"/>
  <c r="V5" i="2" l="1"/>
  <c r="U18" i="2"/>
  <c r="W5" i="2" l="1"/>
  <c r="V18" i="2"/>
  <c r="X5" i="2" l="1"/>
  <c r="W18" i="2"/>
  <c r="Y5" i="2" l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L12" i="1" s="1"/>
  <c r="L13" i="1" s="1"/>
  <c r="L15" i="1" s="1"/>
  <c r="X18" i="2"/>
</calcChain>
</file>

<file path=xl/sharedStrings.xml><?xml version="1.0" encoding="utf-8"?>
<sst xmlns="http://schemas.openxmlformats.org/spreadsheetml/2006/main" count="44" uniqueCount="39">
  <si>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</si>
  <si>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</si>
  <si>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</si>
  <si>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</si>
  <si>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</si>
  <si>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</si>
  <si>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</si>
  <si>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</si>
  <si>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</si>
  <si>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</si>
  <si>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</si>
  <si>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</si>
  <si>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</si>
  <si>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</si>
  <si>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</si>
  <si>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</si>
  <si>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R&amp;D</t>
  </si>
  <si>
    <t>MG&amp;A</t>
  </si>
  <si>
    <t>Other</t>
  </si>
  <si>
    <t>OPEX</t>
  </si>
  <si>
    <t>OPINC</t>
  </si>
  <si>
    <t>Pretax</t>
  </si>
  <si>
    <t>Tax</t>
  </si>
  <si>
    <t>less net</t>
  </si>
  <si>
    <t>Net income</t>
  </si>
  <si>
    <t>EPS</t>
  </si>
  <si>
    <t>Gross margin %</t>
  </si>
  <si>
    <t>Tax rate %</t>
  </si>
  <si>
    <t>Employees</t>
  </si>
  <si>
    <t>Q324</t>
  </si>
  <si>
    <t>Q424</t>
  </si>
  <si>
    <t>growth</t>
  </si>
  <si>
    <t>discount</t>
  </si>
  <si>
    <t>NPV</t>
  </si>
  <si>
    <t>price target</t>
  </si>
  <si>
    <t>Gain on investment</t>
  </si>
  <si>
    <t>Revenue y/y</t>
  </si>
  <si>
    <t>R&amp;D y/y</t>
  </si>
  <si>
    <t>Profit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</si>
</sst>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3" applyFont="1"/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1" fillId="0" borderId="0" xfId="2" applyNumberFormat="1" applyFont="1"/>
    <xf numFmtId="9" fontId="1" fillId="0" borderId="0" xfId="0" applyNumberFormat="1" applyFont="1"/>
    <xf numFmtId="4" fontId="1" fillId="0" borderId="0" xfId="1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14" fontId="1" fillId="0" borderId="0" xfId="0" applyNumberFormat="1" applyFont="1"/>
    <xf numFmtId="0" fontId="8" fillId="0" borderId="0" xfId="0" applyFon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CAB-95B0-CA45-9960-54718EF86824}">
  <dimension ref="K1:M15"/>
  <sheetViews>
    <sheetView topLeftCell="G1" workbookViewId="0">
      <selection activeCell="L12" sqref="L12"/>
    </sheetView>
  </sheetViews>
  <sheetFormatPr baseColWidth="10" defaultRowHeight="16" x14ac:dyDescent="0.2"/>
  <cols>
    <col min="1" max="10" width="10.83203125" style="1"/>
    <col min="11" max="11" width="11.33203125" style="1" bestFit="1" customWidth="1"/>
    <col min="12" max="13" width="11.5" style="1" bestFit="1" customWidth="1"/>
    <col min="14" max="16384" width="10.83203125" style="1"/>
  </cols>
  <sheetData>
    <row r="1" spans="11:13" x14ac:dyDescent="0.2">
      <c r="M1" s="14">
        <v>45676</v>
      </c>
    </row>
    <row r="2" spans="11:13" x14ac:dyDescent="0.2">
      <c r="K2" s="1" t="s">
        <v>0</v>
      </c>
      <c r="L2" s="3">
        <v>20.12</v>
      </c>
    </row>
    <row r="3" spans="11:13" x14ac:dyDescent="0.2">
      <c r="K3" s="1" t="s">
        <v>1</v>
      </c>
      <c r="L3" s="4">
        <v>4313</v>
      </c>
      <c r="M3" s="1" t="s">
        <v>29</v>
      </c>
    </row>
    <row r="4" spans="11:13" x14ac:dyDescent="0.2">
      <c r="K4" s="1" t="s">
        <v>2</v>
      </c>
      <c r="L4" s="4">
        <f>L2*L3</f>
        <v>86777.56</v>
      </c>
    </row>
    <row r="5" spans="11:13" x14ac:dyDescent="0.2">
      <c r="K5" s="1" t="s">
        <v>3</v>
      </c>
      <c r="L5" s="4">
        <f>8785+15301+12062</f>
        <v>36148</v>
      </c>
      <c r="M5" s="1" t="s">
        <v>29</v>
      </c>
    </row>
    <row r="6" spans="11:13" x14ac:dyDescent="0.2">
      <c r="K6" s="1" t="s">
        <v>4</v>
      </c>
      <c r="L6" s="4">
        <f>46417+3765</f>
        <v>50182</v>
      </c>
      <c r="M6" s="1" t="s">
        <v>29</v>
      </c>
    </row>
    <row r="7" spans="11:13" x14ac:dyDescent="0.2">
      <c r="K7" s="1" t="s">
        <v>5</v>
      </c>
      <c r="L7" s="4">
        <f>L4-L5+L6</f>
        <v>100811.56</v>
      </c>
    </row>
    <row r="10" spans="11:13" x14ac:dyDescent="0.2">
      <c r="K10" s="1" t="s">
        <v>31</v>
      </c>
      <c r="L10" s="7">
        <v>0.02</v>
      </c>
    </row>
    <row r="11" spans="11:13" x14ac:dyDescent="0.2">
      <c r="K11" s="1" t="s">
        <v>32</v>
      </c>
      <c r="L11" s="7">
        <v>0.09</v>
      </c>
    </row>
    <row r="12" spans="11:13" x14ac:dyDescent="0.2">
      <c r="K12" s="1" t="s">
        <v>33</v>
      </c>
      <c r="L12" s="3">
        <f>NPV(L11,Model!R18:BU18)+L5-L6</f>
        <v>164735.87379865421</v>
      </c>
    </row>
    <row r="13" spans="11:13" x14ac:dyDescent="0.2">
      <c r="K13" s="1" t="s">
        <v>34</v>
      </c>
      <c r="L13" s="8">
        <f>L12/L3</f>
        <v>38.195194481487178</v>
      </c>
    </row>
    <row r="15" spans="11:13" x14ac:dyDescent="0.2">
      <c r="L15" s="5">
        <f>L13/L2-1</f>
        <v>0.89836950703216578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3DC-5572-5441-9E7B-FD798376FD96}">
  <dimension ref="A1:BU34"/>
  <sheetViews>
    <sheetView tabSelected="1" workbookViewId="0">
      <pane xSplit="2" topLeftCell="L1" activePane="topRight" state="frozen"/>
      <selection pane="topRight" activeCell="R6" sqref="R6"/>
    </sheetView>
  </sheetViews>
  <sheetFormatPr baseColWidth="10" defaultRowHeight="16" x14ac:dyDescent="0.2"/>
  <cols>
    <col min="1" max="1" width="10.83203125" style="1"/>
    <col min="2" max="2" width="19.83203125" style="1" bestFit="1" customWidth="1"/>
    <col min="3" max="25" width="10.83203125" style="1"/>
    <col min="26" max="26" width="13" style="1" bestFit="1" customWidth="1"/>
    <col min="27" max="16384" width="10.83203125" style="1"/>
  </cols>
  <sheetData>
    <row r="1" spans="1:25" x14ac:dyDescent="0.2">
      <c r="A1" s="2" t="s">
        <v>6</v>
      </c>
    </row>
    <row r="4" spans="1:25" x14ac:dyDescent="0.2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29</v>
      </c>
      <c r="J4" s="1" t="s">
        <v>30</v>
      </c>
      <c r="L4" s="1">
        <v>2019</v>
      </c>
      <c r="M4" s="1">
        <v>2020</v>
      </c>
      <c r="N4" s="1">
        <v>2021</v>
      </c>
      <c r="O4" s="1">
        <v>2022</v>
      </c>
      <c r="P4" s="1">
        <v>2023</v>
      </c>
      <c r="Q4" s="1">
        <v>2024</v>
      </c>
      <c r="R4" s="1">
        <v>2025</v>
      </c>
      <c r="S4" s="1">
        <v>2026</v>
      </c>
      <c r="T4" s="1">
        <v>2027</v>
      </c>
      <c r="U4" s="1">
        <v>2028</v>
      </c>
      <c r="V4" s="1">
        <v>2029</v>
      </c>
      <c r="W4" s="1">
        <v>2030</v>
      </c>
      <c r="X4" s="1">
        <v>2031</v>
      </c>
      <c r="Y4" s="1">
        <v>2032</v>
      </c>
    </row>
    <row r="5" spans="1:25" s="9" customFormat="1" x14ac:dyDescent="0.2">
      <c r="B5" s="9" t="s">
        <v>13</v>
      </c>
      <c r="C5" s="10">
        <v>11715</v>
      </c>
      <c r="D5" s="10">
        <v>12949</v>
      </c>
      <c r="E5" s="10">
        <v>14158</v>
      </c>
      <c r="F5" s="10">
        <v>15406</v>
      </c>
      <c r="G5" s="10">
        <v>12724</v>
      </c>
      <c r="H5" s="10">
        <v>12833</v>
      </c>
      <c r="I5" s="10">
        <v>13284</v>
      </c>
      <c r="J5" s="10">
        <v>13830</v>
      </c>
      <c r="L5" s="10">
        <v>71965</v>
      </c>
      <c r="M5" s="10">
        <v>77867</v>
      </c>
      <c r="N5" s="10">
        <v>79024</v>
      </c>
      <c r="O5" s="10">
        <v>63054</v>
      </c>
      <c r="P5" s="10">
        <v>54228</v>
      </c>
      <c r="Q5" s="10">
        <f>SUM(G5:J5)</f>
        <v>52671</v>
      </c>
      <c r="R5" s="10">
        <f>Q5+Q5*R22</f>
        <v>55831.26</v>
      </c>
      <c r="S5" s="10">
        <f t="shared" ref="S5:Y5" si="0">R5+R5*S22</f>
        <v>58622.823000000004</v>
      </c>
      <c r="T5" s="10">
        <f t="shared" si="0"/>
        <v>60381.507690000006</v>
      </c>
      <c r="U5" s="10">
        <f t="shared" si="0"/>
        <v>62192.952920700009</v>
      </c>
      <c r="V5" s="10">
        <f t="shared" si="0"/>
        <v>64058.741508321007</v>
      </c>
      <c r="W5" s="10">
        <f t="shared" si="0"/>
        <v>65980.503753570636</v>
      </c>
      <c r="X5" s="10">
        <f t="shared" si="0"/>
        <v>67959.918866177759</v>
      </c>
      <c r="Y5" s="10">
        <f t="shared" si="0"/>
        <v>69998.716432163084</v>
      </c>
    </row>
    <row r="6" spans="1:25" x14ac:dyDescent="0.2">
      <c r="B6" s="1" t="s">
        <v>14</v>
      </c>
      <c r="C6" s="4">
        <v>7707</v>
      </c>
      <c r="D6" s="4">
        <v>8311</v>
      </c>
      <c r="E6" s="4">
        <v>8140</v>
      </c>
      <c r="F6" s="4">
        <f>P6-SUM(C6:E6)</f>
        <v>8359</v>
      </c>
      <c r="G6" s="4">
        <v>7507</v>
      </c>
      <c r="H6" s="4">
        <v>8286</v>
      </c>
      <c r="I6" s="4">
        <v>11287</v>
      </c>
      <c r="J6" s="4">
        <v>10000</v>
      </c>
      <c r="L6" s="4">
        <v>29825</v>
      </c>
      <c r="M6" s="4">
        <v>34255</v>
      </c>
      <c r="N6" s="4">
        <v>35209</v>
      </c>
      <c r="O6" s="4">
        <v>36188</v>
      </c>
      <c r="P6" s="4">
        <v>32517</v>
      </c>
      <c r="Q6" s="4">
        <f t="shared" ref="Q6:Q17" si="1">SUM(G6:J6)</f>
        <v>37080</v>
      </c>
      <c r="R6" s="4"/>
      <c r="S6" s="4"/>
      <c r="T6" s="4"/>
      <c r="U6" s="4"/>
      <c r="V6" s="4"/>
      <c r="W6" s="4"/>
      <c r="X6" s="4"/>
      <c r="Y6" s="4"/>
    </row>
    <row r="7" spans="1:25" s="11" customFormat="1" x14ac:dyDescent="0.2">
      <c r="B7" s="11" t="s">
        <v>15</v>
      </c>
      <c r="C7" s="12">
        <v>4008</v>
      </c>
      <c r="D7" s="12">
        <v>4638</v>
      </c>
      <c r="E7" s="12">
        <v>6018</v>
      </c>
      <c r="F7" s="12">
        <v>7047</v>
      </c>
      <c r="G7" s="12">
        <v>5217</v>
      </c>
      <c r="H7" s="12">
        <v>4547</v>
      </c>
      <c r="I7" s="12">
        <f>I5-I6</f>
        <v>1997</v>
      </c>
      <c r="J7" s="12">
        <f>J5-J6</f>
        <v>3830</v>
      </c>
      <c r="L7" s="12">
        <f>L5-L6</f>
        <v>42140</v>
      </c>
      <c r="M7" s="12">
        <f>M5-M6</f>
        <v>43612</v>
      </c>
      <c r="N7" s="12">
        <f t="shared" ref="N7:P7" si="2">N5-N6</f>
        <v>43815</v>
      </c>
      <c r="O7" s="12">
        <f t="shared" si="2"/>
        <v>26866</v>
      </c>
      <c r="P7" s="12">
        <f t="shared" si="2"/>
        <v>21711</v>
      </c>
      <c r="Q7" s="12">
        <f>Q5-Q6</f>
        <v>15591</v>
      </c>
      <c r="R7" s="12"/>
      <c r="S7" s="12"/>
      <c r="T7" s="12"/>
      <c r="U7" s="12"/>
      <c r="V7" s="12"/>
      <c r="W7" s="12"/>
      <c r="X7" s="12"/>
      <c r="Y7" s="12"/>
    </row>
    <row r="8" spans="1:25" x14ac:dyDescent="0.2">
      <c r="B8" s="1" t="s">
        <v>16</v>
      </c>
      <c r="C8" s="4">
        <v>4109</v>
      </c>
      <c r="D8" s="4">
        <v>4080</v>
      </c>
      <c r="E8" s="4">
        <v>3870</v>
      </c>
      <c r="F8" s="4">
        <f>P8-SUM(C8:E8)</f>
        <v>3987</v>
      </c>
      <c r="G8" s="4">
        <v>4382</v>
      </c>
      <c r="H8" s="4">
        <v>4239</v>
      </c>
      <c r="I8" s="4">
        <v>4049</v>
      </c>
      <c r="J8" s="4">
        <v>3800</v>
      </c>
      <c r="L8" s="4">
        <v>13362</v>
      </c>
      <c r="M8" s="4">
        <v>13556</v>
      </c>
      <c r="N8" s="4">
        <v>15190</v>
      </c>
      <c r="O8" s="4">
        <v>17528</v>
      </c>
      <c r="P8" s="4">
        <v>16046</v>
      </c>
      <c r="Q8" s="4">
        <f t="shared" si="1"/>
        <v>16470</v>
      </c>
      <c r="R8" s="4"/>
      <c r="S8" s="4"/>
      <c r="T8" s="4"/>
      <c r="U8" s="4"/>
      <c r="V8" s="4"/>
      <c r="W8" s="4"/>
      <c r="X8" s="4"/>
      <c r="Y8" s="4"/>
    </row>
    <row r="9" spans="1:25" x14ac:dyDescent="0.2">
      <c r="B9" s="1" t="s">
        <v>17</v>
      </c>
      <c r="C9" s="4">
        <v>1303</v>
      </c>
      <c r="D9" s="4">
        <v>1374</v>
      </c>
      <c r="E9" s="4">
        <v>1340</v>
      </c>
      <c r="F9" s="4">
        <f>P9-SUM(C9:E9)</f>
        <v>1617</v>
      </c>
      <c r="G9" s="4">
        <v>1556</v>
      </c>
      <c r="H9" s="4">
        <v>1329</v>
      </c>
      <c r="I9" s="4">
        <v>1383</v>
      </c>
      <c r="J9" s="4">
        <v>1200</v>
      </c>
      <c r="L9" s="4">
        <v>6350</v>
      </c>
      <c r="M9" s="4">
        <v>6180</v>
      </c>
      <c r="N9" s="4">
        <v>6543</v>
      </c>
      <c r="O9" s="4">
        <v>7002</v>
      </c>
      <c r="P9" s="4">
        <v>5634</v>
      </c>
      <c r="Q9" s="4">
        <f t="shared" si="1"/>
        <v>5468</v>
      </c>
      <c r="R9" s="4"/>
      <c r="S9" s="4"/>
      <c r="T9" s="4"/>
      <c r="U9" s="4"/>
      <c r="V9" s="4"/>
      <c r="W9" s="4"/>
      <c r="X9" s="4"/>
      <c r="Y9" s="4"/>
    </row>
    <row r="10" spans="1:25" x14ac:dyDescent="0.2">
      <c r="B10" s="1" t="s">
        <v>18</v>
      </c>
      <c r="C10" s="1">
        <v>64</v>
      </c>
      <c r="D10" s="1">
        <v>200</v>
      </c>
      <c r="E10" s="1">
        <v>816</v>
      </c>
      <c r="F10" s="4">
        <f>P10-SUM(C10:E10)</f>
        <v>-1142</v>
      </c>
      <c r="G10" s="1">
        <v>348</v>
      </c>
      <c r="H10" s="1">
        <v>943</v>
      </c>
      <c r="I10" s="4">
        <v>5622</v>
      </c>
      <c r="J10" s="4">
        <v>0</v>
      </c>
      <c r="L10" s="4">
        <v>393</v>
      </c>
      <c r="M10" s="4">
        <v>198</v>
      </c>
      <c r="N10" s="4">
        <v>2626</v>
      </c>
      <c r="O10" s="4">
        <v>2</v>
      </c>
      <c r="P10" s="4">
        <v>-62</v>
      </c>
      <c r="Q10" s="4">
        <f t="shared" si="1"/>
        <v>6913</v>
      </c>
      <c r="R10" s="4"/>
      <c r="S10" s="4"/>
      <c r="T10" s="4"/>
      <c r="U10" s="4"/>
      <c r="V10" s="4"/>
      <c r="W10" s="4"/>
      <c r="X10" s="4"/>
      <c r="Y10" s="4"/>
    </row>
    <row r="11" spans="1:25" s="11" customFormat="1" x14ac:dyDescent="0.2">
      <c r="B11" s="11" t="s">
        <v>19</v>
      </c>
      <c r="C11" s="12">
        <v>5476</v>
      </c>
      <c r="D11" s="12">
        <v>5654</v>
      </c>
      <c r="E11" s="12">
        <v>6026</v>
      </c>
      <c r="F11" s="12">
        <v>4462</v>
      </c>
      <c r="G11" s="12">
        <v>6286</v>
      </c>
      <c r="H11" s="12">
        <v>6511</v>
      </c>
      <c r="I11" s="12">
        <f>SUM(I8:I10)</f>
        <v>11054</v>
      </c>
      <c r="J11" s="12">
        <f>SUM(J8:J10)</f>
        <v>5000</v>
      </c>
      <c r="L11" s="12">
        <f>SUM(L8:L10)</f>
        <v>20105</v>
      </c>
      <c r="M11" s="12">
        <f t="shared" ref="M11:N11" si="3">SUM(M8:M10)</f>
        <v>19934</v>
      </c>
      <c r="N11" s="12">
        <f t="shared" si="3"/>
        <v>24359</v>
      </c>
      <c r="O11" s="12">
        <f>SUM(O8:O10)</f>
        <v>24532</v>
      </c>
      <c r="P11" s="12">
        <f t="shared" ref="P11" si="4">SUM(P8:P10)</f>
        <v>21618</v>
      </c>
      <c r="Q11" s="12">
        <f t="shared" ref="Q11" si="5">SUM(Q8:Q10)</f>
        <v>28851</v>
      </c>
      <c r="R11" s="12"/>
      <c r="S11" s="12"/>
      <c r="T11" s="12"/>
      <c r="U11" s="12"/>
      <c r="V11" s="12"/>
      <c r="W11" s="12"/>
      <c r="X11" s="12"/>
      <c r="Y11" s="12"/>
    </row>
    <row r="12" spans="1:25" s="11" customFormat="1" x14ac:dyDescent="0.2">
      <c r="B12" s="11" t="s">
        <v>20</v>
      </c>
      <c r="C12" s="12">
        <v>-1468</v>
      </c>
      <c r="D12" s="12">
        <v>-1016</v>
      </c>
      <c r="E12" s="11">
        <v>-8</v>
      </c>
      <c r="F12" s="12">
        <v>2585</v>
      </c>
      <c r="G12" s="12">
        <v>-1069</v>
      </c>
      <c r="H12" s="12">
        <v>-1964</v>
      </c>
      <c r="I12" s="12">
        <f>I7-I11</f>
        <v>-9057</v>
      </c>
      <c r="J12" s="12">
        <f>J7-J11</f>
        <v>-1170</v>
      </c>
      <c r="L12" s="12">
        <f>L7-L11</f>
        <v>22035</v>
      </c>
      <c r="M12" s="12">
        <f t="shared" ref="M12:Q12" si="6">M7-M11</f>
        <v>23678</v>
      </c>
      <c r="N12" s="12">
        <f t="shared" si="6"/>
        <v>19456</v>
      </c>
      <c r="O12" s="12">
        <f t="shared" si="6"/>
        <v>2334</v>
      </c>
      <c r="P12" s="12">
        <f t="shared" si="6"/>
        <v>93</v>
      </c>
      <c r="Q12" s="12">
        <f t="shared" si="6"/>
        <v>-13260</v>
      </c>
      <c r="R12" s="12"/>
      <c r="S12" s="12"/>
      <c r="T12" s="12"/>
      <c r="U12" s="12"/>
      <c r="V12" s="12"/>
      <c r="W12" s="12"/>
      <c r="X12" s="12"/>
      <c r="Y12" s="12"/>
    </row>
    <row r="13" spans="1:25" x14ac:dyDescent="0.2">
      <c r="B13" s="1" t="s">
        <v>35</v>
      </c>
      <c r="C13" s="1">
        <v>169</v>
      </c>
      <c r="D13" s="1">
        <v>-24</v>
      </c>
      <c r="E13" s="1">
        <v>-191</v>
      </c>
      <c r="F13" s="4">
        <f>P13-SUM(C13:E13)</f>
        <v>86</v>
      </c>
      <c r="G13" s="1">
        <v>205</v>
      </c>
      <c r="H13" s="1">
        <v>-120</v>
      </c>
      <c r="I13" s="4">
        <v>-159</v>
      </c>
      <c r="J13" s="4">
        <v>0</v>
      </c>
      <c r="L13" s="4">
        <v>1539</v>
      </c>
      <c r="M13" s="4">
        <v>1904</v>
      </c>
      <c r="N13" s="4">
        <v>2729</v>
      </c>
      <c r="O13" s="4">
        <v>4268</v>
      </c>
      <c r="P13" s="4">
        <v>40</v>
      </c>
      <c r="Q13" s="4">
        <f t="shared" si="1"/>
        <v>-74</v>
      </c>
      <c r="R13" s="4"/>
      <c r="S13" s="4"/>
      <c r="T13" s="4"/>
      <c r="U13" s="4"/>
      <c r="V13" s="4"/>
      <c r="W13" s="4"/>
      <c r="X13" s="4"/>
      <c r="Y13" s="4"/>
    </row>
    <row r="14" spans="1:25" x14ac:dyDescent="0.2">
      <c r="B14" s="1" t="s">
        <v>18</v>
      </c>
      <c r="C14" s="1">
        <v>141</v>
      </c>
      <c r="D14" s="1">
        <v>224</v>
      </c>
      <c r="E14" s="1">
        <v>147</v>
      </c>
      <c r="F14" s="4">
        <f>P14-SUM(C14:E14)</f>
        <v>117</v>
      </c>
      <c r="G14" s="1">
        <v>145</v>
      </c>
      <c r="H14" s="1">
        <v>80</v>
      </c>
      <c r="I14" s="4">
        <v>130</v>
      </c>
      <c r="J14" s="4">
        <v>0</v>
      </c>
      <c r="L14" s="4">
        <v>484</v>
      </c>
      <c r="M14" s="4">
        <v>-504</v>
      </c>
      <c r="N14" s="4">
        <v>-482</v>
      </c>
      <c r="O14" s="4">
        <v>1166</v>
      </c>
      <c r="P14" s="4">
        <v>629</v>
      </c>
      <c r="Q14" s="4"/>
      <c r="R14" s="4"/>
      <c r="S14" s="4"/>
      <c r="T14" s="4"/>
      <c r="U14" s="4"/>
      <c r="V14" s="4"/>
      <c r="W14" s="4"/>
      <c r="X14" s="4"/>
      <c r="Y14" s="4"/>
    </row>
    <row r="15" spans="1:25" s="11" customFormat="1" x14ac:dyDescent="0.2">
      <c r="B15" s="11" t="s">
        <v>21</v>
      </c>
      <c r="C15" s="12">
        <f t="shared" ref="C15:K15" si="7">SUM(C12:C14)</f>
        <v>-1158</v>
      </c>
      <c r="D15" s="12">
        <f t="shared" si="7"/>
        <v>-816</v>
      </c>
      <c r="E15" s="12">
        <f t="shared" si="7"/>
        <v>-52</v>
      </c>
      <c r="F15" s="12">
        <f t="shared" si="7"/>
        <v>2788</v>
      </c>
      <c r="G15" s="12">
        <f t="shared" si="7"/>
        <v>-719</v>
      </c>
      <c r="H15" s="12">
        <f t="shared" si="7"/>
        <v>-2004</v>
      </c>
      <c r="I15" s="12">
        <f t="shared" si="7"/>
        <v>-9086</v>
      </c>
      <c r="J15" s="12">
        <f t="shared" si="7"/>
        <v>-1170</v>
      </c>
      <c r="K15" s="12"/>
      <c r="L15" s="12">
        <f>SUM(L12:L14)</f>
        <v>24058</v>
      </c>
      <c r="M15" s="12">
        <f>SUM(M12:M14)</f>
        <v>25078</v>
      </c>
      <c r="N15" s="12">
        <f>SUM(N12:N14)</f>
        <v>21703</v>
      </c>
      <c r="O15" s="12">
        <f>SUM(O12:O14)</f>
        <v>7768</v>
      </c>
      <c r="P15" s="12">
        <f>SUM(P12:P14)</f>
        <v>762</v>
      </c>
      <c r="Q15" s="12">
        <f t="shared" si="1"/>
        <v>-12979</v>
      </c>
      <c r="R15" s="12"/>
      <c r="S15" s="12"/>
      <c r="T15" s="12"/>
      <c r="U15" s="12"/>
      <c r="V15" s="12"/>
      <c r="W15" s="12"/>
      <c r="X15" s="12"/>
      <c r="Y15" s="12"/>
    </row>
    <row r="16" spans="1:25" x14ac:dyDescent="0.2">
      <c r="B16" s="1" t="s">
        <v>22</v>
      </c>
      <c r="C16" s="4">
        <v>1610</v>
      </c>
      <c r="D16" s="4">
        <v>-2289</v>
      </c>
      <c r="E16" s="1">
        <v>-362</v>
      </c>
      <c r="F16" s="4">
        <f>P16-SUM(C16:E16)</f>
        <v>128</v>
      </c>
      <c r="G16" s="1">
        <v>-282</v>
      </c>
      <c r="H16" s="1">
        <v>-350</v>
      </c>
      <c r="I16" s="4">
        <v>7903</v>
      </c>
      <c r="J16" s="4">
        <v>-1700</v>
      </c>
      <c r="L16" s="4">
        <v>3010</v>
      </c>
      <c r="M16" s="4">
        <v>4179</v>
      </c>
      <c r="N16" s="4">
        <v>1835</v>
      </c>
      <c r="O16" s="4">
        <v>-249</v>
      </c>
      <c r="P16" s="4">
        <v>-913</v>
      </c>
      <c r="Q16" s="4">
        <f t="shared" si="1"/>
        <v>5571</v>
      </c>
      <c r="R16" s="4"/>
      <c r="S16" s="4"/>
      <c r="T16" s="4"/>
      <c r="U16" s="4"/>
      <c r="V16" s="4"/>
      <c r="W16" s="4"/>
      <c r="X16" s="4"/>
      <c r="Y16" s="4"/>
    </row>
    <row r="17" spans="2:73" x14ac:dyDescent="0.2">
      <c r="B17" s="1" t="s">
        <v>23</v>
      </c>
      <c r="C17" s="1">
        <v>-10</v>
      </c>
      <c r="D17" s="1">
        <v>-8</v>
      </c>
      <c r="E17" s="1">
        <v>13</v>
      </c>
      <c r="F17" s="4">
        <f>P17-SUM(C17:E17)</f>
        <v>-9</v>
      </c>
      <c r="G17" s="1">
        <v>-56</v>
      </c>
      <c r="H17" s="1">
        <v>-44</v>
      </c>
      <c r="I17" s="4">
        <v>-350</v>
      </c>
      <c r="J17" s="4"/>
      <c r="L17" s="4">
        <v>0</v>
      </c>
      <c r="M17" s="4">
        <v>0</v>
      </c>
      <c r="N17" s="4">
        <v>0</v>
      </c>
      <c r="O17" s="4">
        <v>3</v>
      </c>
      <c r="P17" s="4">
        <v>-14</v>
      </c>
      <c r="Q17" s="4">
        <f t="shared" si="1"/>
        <v>-450</v>
      </c>
      <c r="R17" s="4"/>
      <c r="S17" s="4"/>
      <c r="T17" s="4"/>
      <c r="U17" s="4"/>
      <c r="V17" s="4"/>
      <c r="W17" s="4"/>
      <c r="X17" s="4"/>
      <c r="Y17" s="4"/>
    </row>
    <row r="18" spans="2:73" s="15" customFormat="1" x14ac:dyDescent="0.2">
      <c r="B18" s="15" t="s">
        <v>24</v>
      </c>
      <c r="C18" s="16">
        <v>-2758</v>
      </c>
      <c r="D18" s="16">
        <v>1481</v>
      </c>
      <c r="E18" s="15">
        <v>297</v>
      </c>
      <c r="F18" s="16">
        <v>2669</v>
      </c>
      <c r="G18" s="15">
        <v>-381</v>
      </c>
      <c r="H18" s="16">
        <v>-1610</v>
      </c>
      <c r="I18" s="16">
        <f>I15-I16-I17</f>
        <v>-16639</v>
      </c>
      <c r="J18" s="16">
        <f>J15-J16-J17</f>
        <v>530</v>
      </c>
      <c r="L18" s="16">
        <f>L15-L16-L17</f>
        <v>21048</v>
      </c>
      <c r="M18" s="16">
        <f>M15-M16-M17</f>
        <v>20899</v>
      </c>
      <c r="N18" s="16">
        <f>N15-N16-N17</f>
        <v>19868</v>
      </c>
      <c r="O18" s="16">
        <v>8014</v>
      </c>
      <c r="P18" s="16">
        <v>1689</v>
      </c>
      <c r="Q18" s="16">
        <f>SUM(G18:J18)</f>
        <v>-18100</v>
      </c>
      <c r="R18" s="16">
        <f>R5*R25</f>
        <v>5583.1260000000002</v>
      </c>
      <c r="S18" s="16">
        <f t="shared" ref="S18:Y18" si="8">S5*S25</f>
        <v>4103.5976100000007</v>
      </c>
      <c r="T18" s="16">
        <f t="shared" si="8"/>
        <v>6038.1507690000008</v>
      </c>
      <c r="U18" s="16">
        <f t="shared" si="8"/>
        <v>9328.9429381050013</v>
      </c>
      <c r="V18" s="16">
        <f t="shared" si="8"/>
        <v>12811.748301664202</v>
      </c>
      <c r="W18" s="16">
        <f t="shared" si="8"/>
        <v>16495.125938392659</v>
      </c>
      <c r="X18" s="16">
        <f t="shared" si="8"/>
        <v>16989.97971654444</v>
      </c>
      <c r="Y18" s="16">
        <f t="shared" si="8"/>
        <v>17499.679108040771</v>
      </c>
      <c r="Z18" s="16">
        <f>Y18*(1+Main!$L$10)</f>
        <v>17849.672690201587</v>
      </c>
      <c r="AA18" s="16">
        <f>Z18*(1+Main!$L$10)</f>
        <v>18206.66614400562</v>
      </c>
      <c r="AB18" s="16">
        <f>AA18*(1+Main!$L$10)</f>
        <v>18570.799466885732</v>
      </c>
      <c r="AC18" s="16">
        <f>AB18*(1+Main!$L$10)</f>
        <v>18942.215456223446</v>
      </c>
      <c r="AD18" s="16">
        <f>AC18*(1+Main!$L$10)</f>
        <v>19321.059765347916</v>
      </c>
      <c r="AE18" s="16">
        <f>AD18*(1+Main!$L$10)</f>
        <v>19707.480960654873</v>
      </c>
      <c r="AF18" s="16">
        <f>AE18*(1+Main!$L$10)</f>
        <v>20101.630579867971</v>
      </c>
      <c r="AG18" s="16">
        <f>AF18*(1+Main!$L$10)</f>
        <v>20503.66319146533</v>
      </c>
      <c r="AH18" s="16">
        <f>AG18*(1+Main!$L$10)</f>
        <v>20913.736455294638</v>
      </c>
      <c r="AI18" s="16">
        <f>AH18*(1+Main!$L$10)</f>
        <v>21332.011184400533</v>
      </c>
      <c r="AJ18" s="16">
        <f>AI18*(1+Main!$L$10)</f>
        <v>21758.651408088543</v>
      </c>
      <c r="AK18" s="16">
        <f>AJ18*(1+Main!$L$10)</f>
        <v>22193.824436250314</v>
      </c>
      <c r="AL18" s="16">
        <f>AK18*(1+Main!$L$10)</f>
        <v>22637.700924975321</v>
      </c>
      <c r="AM18" s="16">
        <f>AL18*(1+Main!$L$10)</f>
        <v>23090.454943474826</v>
      </c>
      <c r="AN18" s="16">
        <f>AM18*(1+Main!$L$10)</f>
        <v>23552.264042344323</v>
      </c>
      <c r="AO18" s="16">
        <f>AN18*(1+Main!$L$10)</f>
        <v>24023.30932319121</v>
      </c>
      <c r="AP18" s="16">
        <f>AO18*(1+Main!$L$10)</f>
        <v>24503.775509655035</v>
      </c>
      <c r="AQ18" s="16">
        <f>AP18*(1+Main!$L$10)</f>
        <v>24993.851019848138</v>
      </c>
      <c r="AR18" s="16">
        <f>AQ18*(1+Main!$L$10)</f>
        <v>25493.7280402451</v>
      </c>
      <c r="AS18" s="16">
        <f>AR18*(1+Main!$L$10)</f>
        <v>26003.602601050003</v>
      </c>
      <c r="AT18" s="16">
        <f>AS18*(1+Main!$L$10)</f>
        <v>26523.674653071004</v>
      </c>
      <c r="AU18" s="16">
        <f>AT18*(1+Main!$L$10)</f>
        <v>27054.148146132426</v>
      </c>
      <c r="AV18" s="16">
        <f>AU18*(1+Main!$L$10)</f>
        <v>27595.231109055076</v>
      </c>
      <c r="AW18" s="16">
        <f>AV18*(1+Main!$L$10)</f>
        <v>28147.135731236176</v>
      </c>
      <c r="AX18" s="16">
        <f>AW18*(1+Main!$L$10)</f>
        <v>28710.078445860901</v>
      </c>
      <c r="AY18" s="16">
        <f>AX18*(1+Main!$L$10)</f>
        <v>29284.28001477812</v>
      </c>
      <c r="AZ18" s="16">
        <f>AY18*(1+Main!$L$10)</f>
        <v>29869.965615073685</v>
      </c>
      <c r="BA18" s="16">
        <f>AZ18*(1+Main!$L$10)</f>
        <v>30467.364927375158</v>
      </c>
      <c r="BB18" s="16">
        <f>BA18*(1+Main!$L$10)</f>
        <v>31076.712225922663</v>
      </c>
      <c r="BC18" s="16">
        <f>BB18*(1+Main!$L$10)</f>
        <v>31698.246470441118</v>
      </c>
      <c r="BD18" s="16">
        <f>BC18*(1+Main!$L$10)</f>
        <v>32332.211399849941</v>
      </c>
      <c r="BE18" s="16">
        <f>BD18*(1+Main!$L$10)</f>
        <v>32978.85562784694</v>
      </c>
      <c r="BF18" s="16">
        <f>BE18*(1+Main!$L$10)</f>
        <v>33638.432740403878</v>
      </c>
      <c r="BG18" s="16">
        <f>BF18*(1+Main!$L$10)</f>
        <v>34311.201395211952</v>
      </c>
      <c r="BH18" s="16">
        <f>BG18*(1+Main!$L$10)</f>
        <v>34997.42542311619</v>
      </c>
      <c r="BI18" s="16">
        <f>BH18*(1+Main!$L$10)</f>
        <v>35697.373931578513</v>
      </c>
      <c r="BJ18" s="16">
        <f>BI18*(1+Main!$L$10)</f>
        <v>36411.321410210083</v>
      </c>
      <c r="BK18" s="16">
        <f>BJ18*(1+Main!$L$10)</f>
        <v>37139.547838414284</v>
      </c>
      <c r="BL18" s="16">
        <f>BK18*(1+Main!$L$10)</f>
        <v>37882.338795182572</v>
      </c>
      <c r="BM18" s="16">
        <f>BL18*(1+Main!$L$10)</f>
        <v>38639.985571086225</v>
      </c>
      <c r="BN18" s="16">
        <f>BM18*(1+Main!$L$10)</f>
        <v>39412.785282507954</v>
      </c>
      <c r="BO18" s="16">
        <f>BN18*(1+Main!$L$10)</f>
        <v>40201.040988158114</v>
      </c>
      <c r="BP18" s="16">
        <f>BO18*(1+Main!$L$10)</f>
        <v>41005.06180792128</v>
      </c>
      <c r="BQ18" s="16">
        <f>BP18*(1+Main!$L$10)</f>
        <v>41825.163044079709</v>
      </c>
      <c r="BR18" s="16">
        <f>BQ18*(1+Main!$L$10)</f>
        <v>42661.666304961305</v>
      </c>
      <c r="BS18" s="16">
        <f>BR18*(1+Main!$L$10)</f>
        <v>43514.899631060529</v>
      </c>
      <c r="BT18" s="16">
        <f>BS18*(1+Main!$L$10)</f>
        <v>44385.197623681743</v>
      </c>
      <c r="BU18" s="16">
        <f>BT18*(1+Main!$L$10)</f>
        <v>45272.901576155382</v>
      </c>
    </row>
    <row r="19" spans="2:73" s="11" customFormat="1" x14ac:dyDescent="0.2">
      <c r="B19" s="11" t="s">
        <v>25</v>
      </c>
      <c r="C19" s="11">
        <v>-0.66</v>
      </c>
      <c r="D19" s="11">
        <v>0.35</v>
      </c>
      <c r="E19" s="11">
        <v>7.0000000000000007E-2</v>
      </c>
      <c r="F19" s="11">
        <v>0.63</v>
      </c>
      <c r="G19" s="11">
        <v>-0.09</v>
      </c>
      <c r="H19" s="11">
        <v>-0.38</v>
      </c>
      <c r="I19" s="13">
        <f>I18/I20</f>
        <v>-3.8767474370922645</v>
      </c>
      <c r="J19" s="13">
        <f>J18/J20</f>
        <v>0.12348555452003727</v>
      </c>
      <c r="L19" s="13">
        <f>L18/L20</f>
        <v>4.7055667337357479</v>
      </c>
      <c r="M19" s="13">
        <f t="shared" ref="M19:P19" si="9">M18/M20</f>
        <v>4.9383270321361055</v>
      </c>
      <c r="N19" s="13">
        <f t="shared" si="9"/>
        <v>4.8577017114914423</v>
      </c>
      <c r="O19" s="13">
        <f t="shared" si="9"/>
        <v>1.9437302934756246</v>
      </c>
      <c r="P19" s="13">
        <f t="shared" si="9"/>
        <v>0.400997150997151</v>
      </c>
      <c r="Q19" s="13">
        <f>Q18/Q20</f>
        <v>-4.217148182665424</v>
      </c>
      <c r="R19" s="13">
        <f>R18/R20</f>
        <v>1.3008215284249767</v>
      </c>
      <c r="S19" s="12"/>
      <c r="T19" s="12"/>
      <c r="U19" s="12"/>
      <c r="V19" s="12"/>
      <c r="W19" s="12"/>
      <c r="X19" s="12"/>
      <c r="Y19" s="12"/>
    </row>
    <row r="20" spans="2:73" x14ac:dyDescent="0.2">
      <c r="B20" s="1" t="s">
        <v>1</v>
      </c>
      <c r="C20" s="4">
        <v>4154</v>
      </c>
      <c r="D20" s="4">
        <v>4196</v>
      </c>
      <c r="E20" s="4">
        <v>4229</v>
      </c>
      <c r="F20" s="4">
        <f>P20</f>
        <v>4212</v>
      </c>
      <c r="G20" s="4">
        <v>4242</v>
      </c>
      <c r="H20" s="4">
        <v>4267</v>
      </c>
      <c r="I20" s="4">
        <v>4292</v>
      </c>
      <c r="J20" s="4">
        <f>I20</f>
        <v>4292</v>
      </c>
      <c r="L20" s="4">
        <v>4473</v>
      </c>
      <c r="M20" s="4">
        <v>4232</v>
      </c>
      <c r="N20" s="4">
        <v>4090</v>
      </c>
      <c r="O20" s="4">
        <v>4123</v>
      </c>
      <c r="P20" s="4">
        <v>4212</v>
      </c>
      <c r="Q20" s="4">
        <f>J20</f>
        <v>4292</v>
      </c>
      <c r="R20" s="4">
        <f>Q20</f>
        <v>4292</v>
      </c>
      <c r="S20" s="4"/>
      <c r="T20" s="4"/>
      <c r="U20" s="4"/>
      <c r="V20" s="4"/>
      <c r="W20" s="4"/>
      <c r="X20" s="4"/>
      <c r="Y20" s="4"/>
    </row>
    <row r="22" spans="2:73" x14ac:dyDescent="0.2">
      <c r="B22" s="1" t="s">
        <v>36</v>
      </c>
      <c r="G22" s="6">
        <f t="shared" ref="G22:H22" si="10">G5/C5-1</f>
        <v>8.6128894579598825E-2</v>
      </c>
      <c r="H22" s="6">
        <f t="shared" si="10"/>
        <v>-8.9582207120241231E-3</v>
      </c>
      <c r="I22" s="6">
        <f>I5/E5-1</f>
        <v>-6.1731883034326862E-2</v>
      </c>
      <c r="J22" s="6">
        <f>J5/F5-1</f>
        <v>-0.10229780604959104</v>
      </c>
      <c r="M22" s="5">
        <f t="shared" ref="M22:O22" si="11">M5/L5-1</f>
        <v>8.2012089210032668E-2</v>
      </c>
      <c r="N22" s="5">
        <f t="shared" si="11"/>
        <v>1.4858669269395275E-2</v>
      </c>
      <c r="O22" s="5">
        <f t="shared" si="11"/>
        <v>-0.20209050415063778</v>
      </c>
      <c r="P22" s="5">
        <f>P5/O5-1</f>
        <v>-0.13997525930155108</v>
      </c>
      <c r="Q22" s="5">
        <f>Q5/P5-1</f>
        <v>-2.8712104447886744E-2</v>
      </c>
      <c r="R22" s="7">
        <v>0.06</v>
      </c>
      <c r="S22" s="7">
        <v>0.05</v>
      </c>
      <c r="T22" s="7">
        <v>0.03</v>
      </c>
      <c r="U22" s="7">
        <v>0.03</v>
      </c>
      <c r="V22" s="7">
        <v>0.03</v>
      </c>
      <c r="W22" s="7">
        <v>0.03</v>
      </c>
      <c r="X22" s="7">
        <v>0.03</v>
      </c>
      <c r="Y22" s="7">
        <v>0.03</v>
      </c>
    </row>
    <row r="23" spans="2:73" x14ac:dyDescent="0.2">
      <c r="B23" s="1" t="s">
        <v>26</v>
      </c>
      <c r="C23" s="6">
        <f t="shared" ref="C23:F23" si="12">C7/C5</f>
        <v>0.34212548015364919</v>
      </c>
      <c r="D23" s="6">
        <f t="shared" si="12"/>
        <v>0.35817437639972199</v>
      </c>
      <c r="E23" s="6">
        <f t="shared" si="12"/>
        <v>0.42506003672835146</v>
      </c>
      <c r="F23" s="6">
        <f t="shared" si="12"/>
        <v>0.45741918732961184</v>
      </c>
      <c r="G23" s="6">
        <f t="shared" ref="G23:H23" si="13">G7/G5</f>
        <v>0.41001257466205598</v>
      </c>
      <c r="H23" s="6">
        <f t="shared" si="13"/>
        <v>0.35432089145172602</v>
      </c>
      <c r="I23" s="6">
        <f>I7/I5</f>
        <v>0.15033122553447756</v>
      </c>
      <c r="J23" s="6">
        <f>J7/J5</f>
        <v>0.2769342010122921</v>
      </c>
      <c r="L23" s="5">
        <f t="shared" ref="L23:O23" si="14">L7/L5</f>
        <v>0.5855624261793928</v>
      </c>
      <c r="M23" s="5">
        <f t="shared" si="14"/>
        <v>0.5600832188218372</v>
      </c>
      <c r="N23" s="5">
        <f t="shared" si="14"/>
        <v>0.5544518121077141</v>
      </c>
      <c r="O23" s="5">
        <f t="shared" si="14"/>
        <v>0.42607923367272499</v>
      </c>
      <c r="P23" s="5">
        <f>P7/P5</f>
        <v>0.40036512502766097</v>
      </c>
      <c r="Q23" s="5">
        <f>Q7/Q5</f>
        <v>0.29600729053938601</v>
      </c>
    </row>
    <row r="24" spans="2:73" x14ac:dyDescent="0.2">
      <c r="B24" s="1" t="s">
        <v>27</v>
      </c>
      <c r="C24" s="6">
        <f t="shared" ref="C24:G24" si="15">C16/C15</f>
        <v>-1.390328151986183</v>
      </c>
      <c r="D24" s="6">
        <f t="shared" si="15"/>
        <v>2.8051470588235294</v>
      </c>
      <c r="E24" s="6">
        <f t="shared" si="15"/>
        <v>6.9615384615384617</v>
      </c>
      <c r="F24" s="6">
        <f t="shared" si="15"/>
        <v>4.5911047345767578E-2</v>
      </c>
      <c r="G24" s="6">
        <f t="shared" si="15"/>
        <v>0.39221140472878996</v>
      </c>
      <c r="H24" s="6">
        <f>H16/H15</f>
        <v>0.17465069860279442</v>
      </c>
      <c r="I24" s="6">
        <f>I16/I15</f>
        <v>-0.86979969183359018</v>
      </c>
      <c r="J24" s="6">
        <f>J16/J15</f>
        <v>1.4529914529914529</v>
      </c>
      <c r="L24" s="5">
        <f t="shared" ref="L24:O24" si="16">L16/L15</f>
        <v>0.12511430709119628</v>
      </c>
      <c r="M24" s="5">
        <f t="shared" si="16"/>
        <v>0.16664008294122337</v>
      </c>
      <c r="N24" s="5">
        <f t="shared" si="16"/>
        <v>8.4550522969174771E-2</v>
      </c>
      <c r="O24" s="5">
        <f t="shared" si="16"/>
        <v>-3.2054582904222452E-2</v>
      </c>
      <c r="P24" s="5">
        <f>P16/P15</f>
        <v>-1.1981627296587927</v>
      </c>
      <c r="Q24" s="5">
        <f>Q16/Q15</f>
        <v>-0.42923183604283843</v>
      </c>
    </row>
    <row r="25" spans="2:73" x14ac:dyDescent="0.2">
      <c r="B25" s="1" t="s">
        <v>38</v>
      </c>
      <c r="C25" s="6">
        <f t="shared" ref="C25:G25" si="17">C18/C5</f>
        <v>-0.23542466922748612</v>
      </c>
      <c r="D25" s="6">
        <f t="shared" si="17"/>
        <v>0.114371766159549</v>
      </c>
      <c r="E25" s="6">
        <f t="shared" si="17"/>
        <v>2.097753920045204E-2</v>
      </c>
      <c r="F25" s="6">
        <f t="shared" si="17"/>
        <v>0.1732441905751006</v>
      </c>
      <c r="G25" s="6">
        <f t="shared" si="17"/>
        <v>-2.9943414020748193E-2</v>
      </c>
      <c r="H25" s="6">
        <f>H18/H5</f>
        <v>-0.12545780409880777</v>
      </c>
      <c r="I25" s="6">
        <f>I18/I5</f>
        <v>-1.2525594700391449</v>
      </c>
      <c r="J25" s="6">
        <f>J18/J5</f>
        <v>3.8322487346348515E-2</v>
      </c>
      <c r="L25" s="5">
        <f t="shared" ref="L25:Q25" si="18">L18/L5</f>
        <v>0.2924755089279511</v>
      </c>
      <c r="M25" s="5">
        <f t="shared" si="18"/>
        <v>0.26839354283586114</v>
      </c>
      <c r="N25" s="5">
        <f t="shared" si="18"/>
        <v>0.25141729094958493</v>
      </c>
      <c r="O25" s="5">
        <f t="shared" si="18"/>
        <v>0.1270974085704317</v>
      </c>
      <c r="P25" s="5">
        <f>P18/P5</f>
        <v>3.1146271298959947E-2</v>
      </c>
      <c r="Q25" s="5">
        <f t="shared" si="18"/>
        <v>-0.3436426116838488</v>
      </c>
      <c r="R25" s="5">
        <v>0.1</v>
      </c>
      <c r="S25" s="5">
        <v>7.0000000000000007E-2</v>
      </c>
      <c r="T25" s="5">
        <v>0.1</v>
      </c>
      <c r="U25" s="5">
        <v>0.15</v>
      </c>
      <c r="V25" s="5">
        <v>0.2</v>
      </c>
      <c r="W25" s="5">
        <v>0.25</v>
      </c>
      <c r="X25" s="5">
        <v>0.25</v>
      </c>
      <c r="Y25" s="5">
        <v>0.25</v>
      </c>
    </row>
    <row r="26" spans="2:73" x14ac:dyDescent="0.2">
      <c r="B26" s="1" t="s">
        <v>37</v>
      </c>
      <c r="M26" s="5">
        <f t="shared" ref="M26:Q26" si="19">M8/L8-1</f>
        <v>1.451878461308187E-2</v>
      </c>
      <c r="N26" s="5">
        <f t="shared" si="19"/>
        <v>0.12053703157273521</v>
      </c>
      <c r="O26" s="5">
        <f t="shared" si="19"/>
        <v>0.15391705069124417</v>
      </c>
      <c r="P26" s="5">
        <f>P8/O8-1</f>
        <v>-8.4550433591967122E-2</v>
      </c>
      <c r="Q26" s="5">
        <f t="shared" si="19"/>
        <v>2.6424030911130547E-2</v>
      </c>
    </row>
    <row r="28" spans="2:73" x14ac:dyDescent="0.2">
      <c r="B28" s="1" t="s">
        <v>28</v>
      </c>
    </row>
    <row r="30" spans="2:73" x14ac:dyDescent="0.2">
      <c r="Z30" s="3"/>
    </row>
    <row r="33" spans="26:26" x14ac:dyDescent="0.2">
      <c r="Z33" s="3"/>
    </row>
    <row r="34" spans="26:26" x14ac:dyDescent="0.2">
      <c r="Z34" s="3"/>
    </row>
  </sheetData>
  <phoneticPr fontId="5" type="noConversion"/>
  <hyperlinks>
    <hyperlink ref="A1" location="Main!A1" display="Main" xr:uid="{3B84CA85-6C8B-7746-B68E-BC1F1F5EC4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2025-01-02T15:27:02Z</dcterms:created>
  <dcterms:modified xsi:type="dcterms:W3CDTF">2025-01-19T04:59:29Z</dcterms:modified>
</cp:coreProperties>
</file>