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5A4A4825-5E0A-394F-9B2E-5DC7EACD7CAA}" xr6:coauthVersionLast="47" xr6:coauthVersionMax="47" xr10:uidLastSave="{00000000-0000-0000-0000-000000000000}"/>
  <bookViews>
    <workbookView xWindow="480" yWindow="920" windowWidth="13640" windowHeight="17260" xr2:uid="{3BDED087-3407-8241-8728-00B8A6385B6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2" l="1"/>
  <c r="AA6" i="2"/>
  <c r="AA10" i="2"/>
  <c r="AA9" i="2"/>
  <c r="AA11" i="2"/>
  <c r="AA7" i="2"/>
  <c r="AA18" i="2"/>
  <c r="AA16" i="2"/>
  <c r="AA15" i="2"/>
  <c r="AA14" i="2"/>
  <c r="U24" i="2"/>
  <c r="V24" i="2"/>
  <c r="W24" i="2"/>
  <c r="X24" i="2"/>
  <c r="Y24" i="2"/>
  <c r="Z24" i="2"/>
  <c r="L6" i="1"/>
  <c r="L5" i="1"/>
  <c r="Q11" i="2"/>
  <c r="Q9" i="2"/>
  <c r="Q16" i="2"/>
  <c r="R16" i="2" s="1"/>
  <c r="Q28" i="2"/>
  <c r="R28" i="2" s="1"/>
  <c r="Q15" i="2"/>
  <c r="Q14" i="2"/>
  <c r="R23" i="2"/>
  <c r="Q18" i="2"/>
  <c r="Q17" i="2"/>
  <c r="R17" i="2" s="1"/>
  <c r="Q6" i="2"/>
  <c r="Q7" i="2"/>
  <c r="Q5" i="2"/>
  <c r="Q8" i="2" s="1"/>
  <c r="S32" i="2"/>
  <c r="S19" i="2"/>
  <c r="S20" i="2" s="1"/>
  <c r="T19" i="2"/>
  <c r="U19" i="2"/>
  <c r="V19" i="2"/>
  <c r="W19" i="2"/>
  <c r="X19" i="2"/>
  <c r="Y19" i="2"/>
  <c r="Z19" i="2"/>
  <c r="AB19" i="2"/>
  <c r="AB20" i="2" s="1"/>
  <c r="AB24" i="2" s="1"/>
  <c r="AC19" i="2"/>
  <c r="AC20" i="2" s="1"/>
  <c r="AC24" i="2" s="1"/>
  <c r="AD19" i="2"/>
  <c r="AD20" i="2" s="1"/>
  <c r="AD24" i="2" s="1"/>
  <c r="AE19" i="2"/>
  <c r="AE20" i="2" s="1"/>
  <c r="AE24" i="2" s="1"/>
  <c r="AF19" i="2"/>
  <c r="AF20" i="2" s="1"/>
  <c r="AF24" i="2" s="1"/>
  <c r="AG19" i="2"/>
  <c r="AG20" i="2" s="1"/>
  <c r="AG24" i="2" s="1"/>
  <c r="AH19" i="2"/>
  <c r="AI19" i="2"/>
  <c r="AJ19" i="2"/>
  <c r="AJ20" i="2" s="1"/>
  <c r="AJ24" i="2" s="1"/>
  <c r="AK19" i="2"/>
  <c r="AK20" i="2" s="1"/>
  <c r="AK24" i="2" s="1"/>
  <c r="AL19" i="2"/>
  <c r="AL20" i="2" s="1"/>
  <c r="AM19" i="2"/>
  <c r="AM20" i="2" s="1"/>
  <c r="AN19" i="2"/>
  <c r="AN20" i="2" s="1"/>
  <c r="AO19" i="2"/>
  <c r="AO20" i="2" s="1"/>
  <c r="AH20" i="2"/>
  <c r="AI20" i="2"/>
  <c r="AI24" i="2" s="1"/>
  <c r="N28" i="2"/>
  <c r="N23" i="2"/>
  <c r="N21" i="2"/>
  <c r="N18" i="2"/>
  <c r="N17" i="2"/>
  <c r="N16" i="2"/>
  <c r="N15" i="2"/>
  <c r="R15" i="2" s="1"/>
  <c r="N14" i="2"/>
  <c r="R14" i="2" s="1"/>
  <c r="N11" i="2"/>
  <c r="R11" i="2" s="1"/>
  <c r="N10" i="2"/>
  <c r="R10" i="2" s="1"/>
  <c r="N9" i="2"/>
  <c r="N7" i="2"/>
  <c r="R7" i="2" s="1"/>
  <c r="N6" i="2"/>
  <c r="R6" i="2" s="1"/>
  <c r="N5" i="2"/>
  <c r="R5" i="2" s="1"/>
  <c r="M19" i="2"/>
  <c r="M12" i="2"/>
  <c r="M8" i="2"/>
  <c r="M13" i="2" s="1"/>
  <c r="I19" i="2"/>
  <c r="I12" i="2"/>
  <c r="I8" i="2"/>
  <c r="I13" i="2" s="1"/>
  <c r="L12" i="2"/>
  <c r="O12" i="2"/>
  <c r="S12" i="2"/>
  <c r="T12" i="2"/>
  <c r="U12" i="2"/>
  <c r="V12" i="2"/>
  <c r="W12" i="2"/>
  <c r="X12" i="2"/>
  <c r="Y12" i="2"/>
  <c r="Z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K12" i="2"/>
  <c r="K19" i="2"/>
  <c r="L19" i="2"/>
  <c r="O19" i="2"/>
  <c r="P19" i="2"/>
  <c r="P12" i="2"/>
  <c r="K8" i="2"/>
  <c r="L8" i="2"/>
  <c r="O8" i="2"/>
  <c r="V8" i="2"/>
  <c r="W8" i="2"/>
  <c r="X8" i="2"/>
  <c r="Y8" i="2"/>
  <c r="Z8" i="2"/>
  <c r="T8" i="2"/>
  <c r="T13" i="2" s="1"/>
  <c r="U8" i="2"/>
  <c r="U30" i="2" s="1"/>
  <c r="P8" i="2"/>
  <c r="R21" i="2"/>
  <c r="C19" i="2"/>
  <c r="D19" i="2"/>
  <c r="E19" i="2"/>
  <c r="G19" i="2"/>
  <c r="H19" i="2"/>
  <c r="C12" i="2"/>
  <c r="D12" i="2"/>
  <c r="E12" i="2"/>
  <c r="F12" i="2"/>
  <c r="G12" i="2"/>
  <c r="H12" i="2"/>
  <c r="J12" i="2"/>
  <c r="C8" i="2"/>
  <c r="D8" i="2"/>
  <c r="E8" i="2"/>
  <c r="F8" i="2"/>
  <c r="G8" i="2"/>
  <c r="H8" i="2"/>
  <c r="J8" i="2"/>
  <c r="J28" i="2"/>
  <c r="J25" i="2"/>
  <c r="J21" i="2"/>
  <c r="J16" i="2"/>
  <c r="J14" i="2"/>
  <c r="F28" i="2"/>
  <c r="F25" i="2"/>
  <c r="F21" i="2"/>
  <c r="F16" i="2"/>
  <c r="F14" i="2"/>
  <c r="AH24" i="2"/>
  <c r="AP19" i="2"/>
  <c r="AP20" i="2" s="1"/>
  <c r="AQ19" i="2"/>
  <c r="AQ20" i="2" s="1"/>
  <c r="AR19" i="2"/>
  <c r="AR20" i="2" s="1"/>
  <c r="AS19" i="2"/>
  <c r="AS20" i="2" s="1"/>
  <c r="L4" i="1"/>
  <c r="M20" i="2" l="1"/>
  <c r="M24" i="2" s="1"/>
  <c r="M26" i="2" s="1"/>
  <c r="M27" i="2" s="1"/>
  <c r="Z13" i="2"/>
  <c r="Z20" i="2" s="1"/>
  <c r="AA8" i="2"/>
  <c r="R8" i="2"/>
  <c r="Z30" i="2"/>
  <c r="M32" i="2"/>
  <c r="Q19" i="2"/>
  <c r="O13" i="2"/>
  <c r="T20" i="2"/>
  <c r="R9" i="2"/>
  <c r="R12" i="2" s="1"/>
  <c r="Y13" i="2"/>
  <c r="Y20" i="2" s="1"/>
  <c r="I20" i="2"/>
  <c r="I24" i="2" s="1"/>
  <c r="I26" i="2" s="1"/>
  <c r="I27" i="2" s="1"/>
  <c r="X13" i="2"/>
  <c r="X20" i="2" s="1"/>
  <c r="AA19" i="2"/>
  <c r="V13" i="2"/>
  <c r="V20" i="2" s="1"/>
  <c r="U13" i="2"/>
  <c r="U20" i="2" s="1"/>
  <c r="W13" i="2"/>
  <c r="W20" i="2" s="1"/>
  <c r="R19" i="2"/>
  <c r="Q12" i="2"/>
  <c r="Q13" i="2" s="1"/>
  <c r="N12" i="2"/>
  <c r="N8" i="2"/>
  <c r="T31" i="2"/>
  <c r="N19" i="2"/>
  <c r="Q30" i="2"/>
  <c r="T24" i="2"/>
  <c r="AB28" i="2"/>
  <c r="AC28" i="2" s="1"/>
  <c r="AD28" i="2" s="1"/>
  <c r="AE28" i="2" s="1"/>
  <c r="AF28" i="2" s="1"/>
  <c r="AG28" i="2" s="1"/>
  <c r="AH28" i="2" s="1"/>
  <c r="J19" i="2"/>
  <c r="F19" i="2"/>
  <c r="O30" i="2"/>
  <c r="J13" i="2"/>
  <c r="C13" i="2"/>
  <c r="C20" i="2" s="1"/>
  <c r="P30" i="2"/>
  <c r="E13" i="2"/>
  <c r="E20" i="2" s="1"/>
  <c r="E24" i="2" s="1"/>
  <c r="F13" i="2"/>
  <c r="D13" i="2"/>
  <c r="D20" i="2" s="1"/>
  <c r="H13" i="2"/>
  <c r="H20" i="2" s="1"/>
  <c r="H24" i="2" s="1"/>
  <c r="G13" i="2"/>
  <c r="G20" i="2" s="1"/>
  <c r="G24" i="2" s="1"/>
  <c r="K13" i="2"/>
  <c r="L13" i="2"/>
  <c r="L31" i="2" s="1"/>
  <c r="P13" i="2"/>
  <c r="V30" i="2"/>
  <c r="W30" i="2"/>
  <c r="X30" i="2"/>
  <c r="Y30" i="2"/>
  <c r="L7" i="1"/>
  <c r="R13" i="2" l="1"/>
  <c r="AA12" i="2"/>
  <c r="R30" i="2"/>
  <c r="U26" i="2"/>
  <c r="Y31" i="2"/>
  <c r="N13" i="2"/>
  <c r="N31" i="2" s="1"/>
  <c r="T26" i="2"/>
  <c r="T33" i="2"/>
  <c r="Y26" i="2"/>
  <c r="J20" i="2"/>
  <c r="J24" i="2" s="1"/>
  <c r="J26" i="2" s="1"/>
  <c r="J27" i="2" s="1"/>
  <c r="E26" i="2"/>
  <c r="E27" i="2" s="1"/>
  <c r="C24" i="2"/>
  <c r="C26" i="2" s="1"/>
  <c r="C27" i="2" s="1"/>
  <c r="G26" i="2"/>
  <c r="G27" i="2" s="1"/>
  <c r="H26" i="2"/>
  <c r="H27" i="2" s="1"/>
  <c r="D24" i="2"/>
  <c r="D26" i="2" s="1"/>
  <c r="D27" i="2" s="1"/>
  <c r="R31" i="2"/>
  <c r="O20" i="2"/>
  <c r="O24" i="2" s="1"/>
  <c r="O31" i="2"/>
  <c r="K20" i="2"/>
  <c r="K24" i="2" s="1"/>
  <c r="K31" i="2"/>
  <c r="M31" i="2"/>
  <c r="F20" i="2"/>
  <c r="F24" i="2" s="1"/>
  <c r="Q20" i="2"/>
  <c r="Q24" i="2" s="1"/>
  <c r="Q31" i="2"/>
  <c r="P20" i="2"/>
  <c r="P24" i="2" s="1"/>
  <c r="P31" i="2"/>
  <c r="X31" i="2"/>
  <c r="V26" i="2"/>
  <c r="W26" i="2"/>
  <c r="U31" i="2"/>
  <c r="X26" i="2"/>
  <c r="L20" i="2"/>
  <c r="L24" i="2" s="1"/>
  <c r="W31" i="2"/>
  <c r="V31" i="2"/>
  <c r="Y27" i="2" l="1"/>
  <c r="Y32" i="2"/>
  <c r="X27" i="2"/>
  <c r="X32" i="2"/>
  <c r="T27" i="2"/>
  <c r="T32" i="2"/>
  <c r="U27" i="2"/>
  <c r="U32" i="2"/>
  <c r="V27" i="2"/>
  <c r="V32" i="2"/>
  <c r="W27" i="2"/>
  <c r="W32" i="2"/>
  <c r="R20" i="2"/>
  <c r="R24" i="2" s="1"/>
  <c r="F26" i="2"/>
  <c r="F27" i="2" s="1"/>
  <c r="N20" i="2"/>
  <c r="N24" i="2" s="1"/>
  <c r="P26" i="2"/>
  <c r="P33" i="2"/>
  <c r="Q25" i="2" s="1"/>
  <c r="L26" i="2"/>
  <c r="L33" i="2"/>
  <c r="M33" i="2"/>
  <c r="K26" i="2"/>
  <c r="K33" i="2"/>
  <c r="O26" i="2"/>
  <c r="O33" i="2"/>
  <c r="U33" i="2"/>
  <c r="Y33" i="2"/>
  <c r="V33" i="2"/>
  <c r="X33" i="2"/>
  <c r="W33" i="2"/>
  <c r="Q26" i="2" l="1"/>
  <c r="Q33" i="2"/>
  <c r="K27" i="2"/>
  <c r="K32" i="2"/>
  <c r="L27" i="2"/>
  <c r="L32" i="2"/>
  <c r="O27" i="2"/>
  <c r="O32" i="2"/>
  <c r="P27" i="2"/>
  <c r="P32" i="2"/>
  <c r="Q27" i="2"/>
  <c r="Q32" i="2"/>
  <c r="Z31" i="2"/>
  <c r="R25" i="2"/>
  <c r="R33" i="2" l="1"/>
  <c r="R26" i="2"/>
  <c r="R32" i="2" s="1"/>
  <c r="N25" i="2"/>
  <c r="N26" i="2" s="1"/>
  <c r="N27" i="2" l="1"/>
  <c r="N32" i="2"/>
  <c r="N33" i="2"/>
  <c r="R27" i="2"/>
  <c r="Z26" i="2"/>
  <c r="Z33" i="2"/>
  <c r="AB8" i="2"/>
  <c r="AB26" i="2" s="1"/>
  <c r="AB27" i="2" s="1"/>
  <c r="AA30" i="2"/>
  <c r="AA13" i="2"/>
  <c r="Z27" i="2" l="1"/>
  <c r="Z32" i="2"/>
  <c r="AA20" i="2"/>
  <c r="AA31" i="2"/>
  <c r="AC8" i="2"/>
  <c r="AA24" i="2" l="1"/>
  <c r="AC26" i="2"/>
  <c r="AC27" i="2" s="1"/>
  <c r="AD8" i="2"/>
  <c r="AA25" i="2" l="1"/>
  <c r="AA33" i="2" s="1"/>
  <c r="AE8" i="2"/>
  <c r="AD26" i="2"/>
  <c r="AA26" i="2" l="1"/>
  <c r="AE26" i="2"/>
  <c r="AE27" i="2" s="1"/>
  <c r="AF8" i="2"/>
  <c r="AD27" i="2"/>
  <c r="AA27" i="2" l="1"/>
  <c r="L12" i="1"/>
  <c r="AF26" i="2"/>
  <c r="AG8" i="2"/>
  <c r="AG26" i="2" l="1"/>
  <c r="AG27" i="2" s="1"/>
  <c r="AH8" i="2"/>
  <c r="AH26" i="2" s="1"/>
  <c r="AF27" i="2"/>
  <c r="AI26" i="2" l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AH27" i="2"/>
  <c r="L13" i="1" l="1"/>
  <c r="L15" i="1" s="1"/>
</calcChain>
</file>

<file path=xl/sharedStrings.xml><?xml version="1.0" encoding="utf-8"?>
<sst xmlns="http://schemas.openxmlformats.org/spreadsheetml/2006/main" count="58" uniqueCount="51">
  <si>
    <t>Price</t>
  </si>
  <si>
    <t>Shares</t>
  </si>
  <si>
    <t>Q424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</si>
  <si>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</si>
  <si>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</si>
  <si>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</si>
  <si>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</si>
  <si>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</si>
  <si>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</si>
  <si>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</si>
  <si>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</si>
  <si>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</si>
  <si>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</si>
  <si>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</si>
  <si>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</si>
  <si>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</si>
  <si>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</si>
  <si>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</si>
  <si>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</si>
  <si>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</si>
  <si>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</si>
  <si>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</si>
  <si>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</si>
  <si>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</si>
  <si>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COGS</t>
  </si>
  <si>
    <t>Gross profit</t>
  </si>
  <si>
    <t>OPEX</t>
  </si>
  <si>
    <t>OPINC</t>
  </si>
  <si>
    <t>interest expense</t>
  </si>
  <si>
    <t>Pretax</t>
  </si>
  <si>
    <t>tax</t>
  </si>
  <si>
    <t>Net income</t>
  </si>
  <si>
    <t>EPS</t>
  </si>
  <si>
    <t>Revenue y/y</t>
  </si>
  <si>
    <t>gross margin%</t>
  </si>
  <si>
    <t>profit margin%</t>
  </si>
  <si>
    <t>tax%</t>
  </si>
  <si>
    <t>other</t>
  </si>
  <si>
    <t>Service</t>
  </si>
  <si>
    <t>G&amp;A</t>
  </si>
  <si>
    <t>R&amp;D</t>
  </si>
  <si>
    <t>Amortization</t>
  </si>
  <si>
    <t>Acquisition</t>
  </si>
  <si>
    <t>Q125</t>
  </si>
  <si>
    <t>Q225</t>
  </si>
  <si>
    <t>Q325</t>
  </si>
  <si>
    <t>Q425</t>
  </si>
  <si>
    <t>Subscription</t>
  </si>
  <si>
    <t>Product</t>
  </si>
  <si>
    <t>S%M</t>
  </si>
  <si>
    <t>investment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</si>
</sst>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2"/>
      <color theme="1"/>
      <name val="ArialMT"/>
      <family val="2"/>
    </font>
    <font>
      <sz val="12"/>
      <color theme="1"/>
      <name val="ArialMT"/>
      <family val="2"/>
    </font>
    <font>
      <sz val="12"/>
      <color theme="1"/>
      <name val="Arial"/>
      <family val="2"/>
    </font>
    <font>
      <u/>
      <sz val="12"/>
      <color theme="10"/>
      <name val="ArialMT"/>
      <family val="2"/>
    </font>
    <font>
      <sz val="8"/>
      <name val="ArialMT"/>
      <family val="2"/>
    </font>
    <font>
      <i/>
      <sz val="12"/>
      <color theme="1"/>
      <name val="ArialMT"/>
    </font>
    <font>
      <b/>
      <i/>
      <sz val="12"/>
      <color theme="1"/>
      <name val="ArialMT"/>
    </font>
    <font>
      <sz val="12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4" fontId="2" fillId="0" borderId="0" xfId="1" applyNumberFormat="1" applyFont="1"/>
    <xf numFmtId="9" fontId="0" fillId="0" borderId="0" xfId="2" applyFont="1"/>
    <xf numFmtId="0" fontId="3" fillId="0" borderId="0" xfId="3"/>
    <xf numFmtId="3" fontId="0" fillId="0" borderId="0" xfId="0" applyNumberFormat="1"/>
    <xf numFmtId="0" fontId="5" fillId="0" borderId="0" xfId="0" applyFont="1"/>
    <xf numFmtId="3" fontId="5" fillId="0" borderId="0" xfId="0" applyNumberFormat="1" applyFont="1"/>
    <xf numFmtId="4" fontId="5" fillId="0" borderId="0" xfId="0" applyNumberFormat="1" applyFont="1"/>
    <xf numFmtId="10" fontId="0" fillId="0" borderId="0" xfId="2" applyNumberFormat="1" applyFont="1"/>
    <xf numFmtId="0" fontId="6" fillId="0" borderId="0" xfId="0" applyFont="1"/>
    <xf numFmtId="3" fontId="6" fillId="0" borderId="0" xfId="0" applyNumberFormat="1" applyFont="1"/>
    <xf numFmtId="20" fontId="0" fillId="0" borderId="0" xfId="0" applyNumberFormat="1" applyAlignment="1">
      <alignment horizontal="left"/>
    </xf>
    <xf numFmtId="14" fontId="0" fillId="0" borderId="0" xfId="0" applyNumberFormat="1"/>
    <xf numFmtId="3" fontId="7" fillId="0" borderId="0" xfId="0" applyNumberFormat="1" applyFont="1"/>
    <xf numFmtId="0" fontId="0" fillId="2" borderId="0" xfId="0" applyFill="1"/>
    <xf numFmtId="3" fontId="0" fillId="2" borderId="0" xfId="0" applyNumberFormat="1" applyFill="1"/>
    <xf numFmtId="3" fontId="6" fillId="2" borderId="0" xfId="0" applyNumberFormat="1" applyFont="1" applyFill="1"/>
    <xf numFmtId="3" fontId="7" fillId="2" borderId="0" xfId="0" applyNumberFormat="1" applyFont="1" applyFill="1"/>
    <xf numFmtId="3" fontId="5" fillId="2" borderId="0" xfId="0" applyNumberFormat="1" applyFont="1" applyFill="1"/>
    <xf numFmtId="10" fontId="0" fillId="2" borderId="0" xfId="2" applyNumberFormat="1" applyFont="1" applyFill="1"/>
    <xf numFmtId="0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5623-B6AF-424A-9429-F5411A9FAD84}">
  <dimension ref="G1:M15"/>
  <sheetViews>
    <sheetView tabSelected="1" topLeftCell="F1" workbookViewId="0">
      <selection activeCell="L8" sqref="L8"/>
    </sheetView>
  </sheetViews>
  <sheetFormatPr baseColWidth="10" defaultRowHeight="16"/>
  <sheetData>
    <row r="1" spans="7:13">
      <c r="M1" s="17">
        <v>45671</v>
      </c>
    </row>
    <row r="2" spans="7:13">
      <c r="K2" s="1" t="s">
        <v>0</v>
      </c>
      <c r="L2" s="2">
        <v>406</v>
      </c>
    </row>
    <row r="3" spans="7:13">
      <c r="K3" s="1" t="s">
        <v>1</v>
      </c>
      <c r="L3" s="3">
        <v>435.3</v>
      </c>
      <c r="M3" t="s">
        <v>2</v>
      </c>
    </row>
    <row r="4" spans="7:13">
      <c r="K4" s="1" t="s">
        <v>3</v>
      </c>
      <c r="L4" s="3">
        <f>L2*L3</f>
        <v>176731.80000000002</v>
      </c>
    </row>
    <row r="5" spans="7:13">
      <c r="K5" s="1" t="s">
        <v>4</v>
      </c>
      <c r="L5" s="3">
        <f>7613+273</f>
        <v>7886</v>
      </c>
      <c r="M5" t="s">
        <v>2</v>
      </c>
    </row>
    <row r="6" spans="7:13">
      <c r="K6" s="1" t="s">
        <v>5</v>
      </c>
      <c r="L6" s="3">
        <f>1499+4129</f>
        <v>5628</v>
      </c>
      <c r="M6" t="s">
        <v>2</v>
      </c>
    </row>
    <row r="7" spans="7:13">
      <c r="K7" s="1" t="s">
        <v>6</v>
      </c>
      <c r="L7" s="3">
        <f>L4-L5+L6</f>
        <v>174473.80000000002</v>
      </c>
    </row>
    <row r="8" spans="7:13">
      <c r="K8" s="1"/>
      <c r="L8" s="1"/>
    </row>
    <row r="9" spans="7:13">
      <c r="K9" s="1"/>
      <c r="L9" s="1"/>
    </row>
    <row r="10" spans="7:13">
      <c r="K10" s="1" t="s">
        <v>7</v>
      </c>
      <c r="L10" s="4">
        <v>0</v>
      </c>
    </row>
    <row r="11" spans="7:13">
      <c r="G11" s="16"/>
      <c r="K11" s="1" t="s">
        <v>8</v>
      </c>
      <c r="L11" s="5">
        <v>0.08</v>
      </c>
    </row>
    <row r="12" spans="7:13">
      <c r="K12" s="1" t="s">
        <v>9</v>
      </c>
      <c r="L12" s="2">
        <f>NPV(L11,Model!AA26:FD26)+L5-L6</f>
        <v>189734.18632234089</v>
      </c>
    </row>
    <row r="13" spans="7:13">
      <c r="K13" s="1" t="s">
        <v>10</v>
      </c>
      <c r="L13" s="6">
        <f>L12/L3</f>
        <v>435.86994330884653</v>
      </c>
    </row>
    <row r="15" spans="7:13">
      <c r="L15" s="7">
        <f>L13/L2-1</f>
        <v>7.3571288938045543E-2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727C-CA7F-E746-8E42-955BCD0EE802}">
  <dimension ref="A1:FD38"/>
  <sheetViews>
    <sheetView workbookViewId="0">
      <pane xSplit="2" ySplit="4" topLeftCell="W5" activePane="bottomRight" state="frozen"/>
      <selection pane="topRight" activeCell="C1" sqref="C1"/>
      <selection pane="bottomLeft" activeCell="A5" sqref="A5"/>
      <selection pane="bottomRight" activeCell="AA24" sqref="AA24"/>
    </sheetView>
  </sheetViews>
  <sheetFormatPr baseColWidth="10" defaultRowHeight="16"/>
  <cols>
    <col min="1" max="1" width="4.85546875" bestFit="1" customWidth="1"/>
    <col min="2" max="2" width="24.42578125" bestFit="1" customWidth="1"/>
    <col min="3" max="10" width="10.7109375" style="19"/>
  </cols>
  <sheetData>
    <row r="1" spans="1:41">
      <c r="A1" s="8" t="s">
        <v>11</v>
      </c>
    </row>
    <row r="4" spans="1:41" s="25" customFormat="1">
      <c r="C4" s="25" t="s">
        <v>13</v>
      </c>
      <c r="D4" s="25" t="s">
        <v>14</v>
      </c>
      <c r="E4" s="25" t="s">
        <v>15</v>
      </c>
      <c r="F4" s="25" t="s">
        <v>16</v>
      </c>
      <c r="G4" s="25" t="s">
        <v>17</v>
      </c>
      <c r="H4" s="25" t="s">
        <v>18</v>
      </c>
      <c r="I4" s="25" t="s">
        <v>19</v>
      </c>
      <c r="J4" s="25" t="s">
        <v>20</v>
      </c>
      <c r="K4" s="25" t="s">
        <v>21</v>
      </c>
      <c r="L4" s="25" t="s">
        <v>22</v>
      </c>
      <c r="M4" s="25" t="s">
        <v>23</v>
      </c>
      <c r="N4" s="25" t="s">
        <v>2</v>
      </c>
      <c r="O4" s="25" t="s">
        <v>43</v>
      </c>
      <c r="P4" s="25" t="s">
        <v>44</v>
      </c>
      <c r="Q4" s="25" t="s">
        <v>45</v>
      </c>
      <c r="R4" s="25" t="s">
        <v>46</v>
      </c>
      <c r="T4" s="25">
        <v>2018</v>
      </c>
      <c r="U4" s="25">
        <v>2019</v>
      </c>
      <c r="V4" s="25">
        <v>2020</v>
      </c>
      <c r="W4" s="25">
        <v>2021</v>
      </c>
      <c r="X4" s="25">
        <v>2022</v>
      </c>
      <c r="Y4" s="25">
        <v>2023</v>
      </c>
      <c r="Z4" s="25">
        <v>2024</v>
      </c>
      <c r="AA4" s="25">
        <v>2025</v>
      </c>
      <c r="AB4" s="25">
        <v>2026</v>
      </c>
      <c r="AC4" s="25">
        <v>2027</v>
      </c>
      <c r="AD4" s="25">
        <v>2028</v>
      </c>
      <c r="AE4" s="25">
        <v>2029</v>
      </c>
      <c r="AF4" s="25">
        <v>2030</v>
      </c>
      <c r="AG4" s="25">
        <v>2031</v>
      </c>
      <c r="AH4" s="25">
        <v>2032</v>
      </c>
    </row>
    <row r="5" spans="1:41" s="9" customFormat="1">
      <c r="B5" s="9" t="s">
        <v>47</v>
      </c>
      <c r="C5" s="20"/>
      <c r="D5" s="20"/>
      <c r="E5" s="20"/>
      <c r="F5" s="20"/>
      <c r="G5" s="20"/>
      <c r="H5" s="20"/>
      <c r="I5" s="9">
        <v>8923</v>
      </c>
      <c r="J5" s="20"/>
      <c r="K5" s="9">
        <v>9547</v>
      </c>
      <c r="L5" s="9">
        <v>9639</v>
      </c>
      <c r="M5" s="9">
        <v>9963</v>
      </c>
      <c r="N5" s="9">
        <f>Z5-SUM(K5:M5)</f>
        <v>-8628</v>
      </c>
      <c r="O5" s="9">
        <v>10519</v>
      </c>
      <c r="P5" s="9">
        <v>10806</v>
      </c>
      <c r="Q5" s="9">
        <f>M5*1.0835</f>
        <v>10794.9105</v>
      </c>
      <c r="R5" s="9">
        <f>N5*1.1153</f>
        <v>-9622.8083999999999</v>
      </c>
      <c r="U5" s="9">
        <v>9634</v>
      </c>
      <c r="V5" s="9">
        <v>11626</v>
      </c>
      <c r="W5" s="9">
        <v>14573</v>
      </c>
      <c r="X5" s="9">
        <v>16388</v>
      </c>
      <c r="Y5" s="9">
        <v>18284</v>
      </c>
      <c r="Z5" s="9">
        <v>20521</v>
      </c>
      <c r="AA5" s="9">
        <f>Z5*1.1</f>
        <v>22573.100000000002</v>
      </c>
    </row>
    <row r="6" spans="1:41" s="9" customFormat="1">
      <c r="B6" s="9" t="s">
        <v>48</v>
      </c>
      <c r="C6" s="20"/>
      <c r="D6" s="20"/>
      <c r="E6" s="20"/>
      <c r="F6" s="20"/>
      <c r="G6" s="20"/>
      <c r="H6" s="20"/>
      <c r="I6" s="9">
        <v>1288</v>
      </c>
      <c r="J6" s="20"/>
      <c r="K6" s="9">
        <v>809</v>
      </c>
      <c r="L6" s="9">
        <v>1178</v>
      </c>
      <c r="M6" s="9">
        <v>1256</v>
      </c>
      <c r="N6" s="9">
        <f>Z6-SUM(K6:M6)</f>
        <v>-2857</v>
      </c>
      <c r="O6" s="9">
        <v>870</v>
      </c>
      <c r="P6" s="9">
        <v>1195</v>
      </c>
      <c r="Q6" s="9">
        <f t="shared" ref="Q6:Q7" si="0">M6*1.0835</f>
        <v>1360.876</v>
      </c>
      <c r="R6" s="9">
        <f>N6*1.1153</f>
        <v>-3186.4121</v>
      </c>
      <c r="U6" s="9">
        <v>648</v>
      </c>
      <c r="V6" s="9">
        <v>507</v>
      </c>
      <c r="W6" s="9">
        <v>555</v>
      </c>
      <c r="X6" s="9">
        <v>532</v>
      </c>
      <c r="Y6" s="9">
        <v>460</v>
      </c>
      <c r="Z6" s="9">
        <v>386</v>
      </c>
      <c r="AA6" s="9">
        <f>Z6*0.9</f>
        <v>347.40000000000003</v>
      </c>
    </row>
    <row r="7" spans="1:41" s="9" customFormat="1">
      <c r="B7" s="9" t="s">
        <v>38</v>
      </c>
      <c r="C7" s="20"/>
      <c r="D7" s="20"/>
      <c r="E7" s="20"/>
      <c r="F7" s="20"/>
      <c r="G7" s="20"/>
      <c r="H7" s="20"/>
      <c r="I7" s="9">
        <v>1376</v>
      </c>
      <c r="J7" s="20"/>
      <c r="K7" s="9">
        <v>1383</v>
      </c>
      <c r="L7" s="9">
        <v>1368</v>
      </c>
      <c r="M7" s="9">
        <v>1307</v>
      </c>
      <c r="N7" s="9">
        <f>Z7-SUM(K7:M7)</f>
        <v>-3460</v>
      </c>
      <c r="O7" s="9">
        <v>1263</v>
      </c>
      <c r="P7" s="9">
        <v>1330</v>
      </c>
      <c r="Q7" s="9">
        <f t="shared" si="0"/>
        <v>1416.1344999999999</v>
      </c>
      <c r="R7" s="9">
        <f>N7*1.1153</f>
        <v>-3858.9379999999996</v>
      </c>
      <c r="U7" s="9">
        <v>889</v>
      </c>
      <c r="V7" s="9">
        <v>735</v>
      </c>
      <c r="W7" s="9">
        <v>657</v>
      </c>
      <c r="X7" s="9">
        <v>686</v>
      </c>
      <c r="Y7" s="9">
        <v>665</v>
      </c>
      <c r="Z7" s="9">
        <v>598</v>
      </c>
      <c r="AA7" s="9">
        <f>Z7*1.0942</f>
        <v>654.33159999999998</v>
      </c>
    </row>
    <row r="8" spans="1:41" s="15" customFormat="1">
      <c r="B8" s="15" t="s">
        <v>12</v>
      </c>
      <c r="C8" s="21" t="e">
        <f>#REF!+#REF!</f>
        <v>#REF!</v>
      </c>
      <c r="D8" s="21" t="e">
        <f>#REF!+#REF!</f>
        <v>#REF!</v>
      </c>
      <c r="E8" s="21" t="e">
        <f>#REF!+#REF!</f>
        <v>#REF!</v>
      </c>
      <c r="F8" s="21" t="e">
        <f>#REF!+#REF!</f>
        <v>#REF!</v>
      </c>
      <c r="G8" s="21" t="e">
        <f>#REF!+#REF!</f>
        <v>#REF!</v>
      </c>
      <c r="H8" s="21" t="e">
        <f>#REF!+#REF!</f>
        <v>#REF!</v>
      </c>
      <c r="I8" s="15">
        <f>SUM(I5:I7)</f>
        <v>11587</v>
      </c>
      <c r="J8" s="21" t="e">
        <f>#REF!+#REF!</f>
        <v>#REF!</v>
      </c>
      <c r="K8" s="15">
        <f>SUM(K5:K7)</f>
        <v>11739</v>
      </c>
      <c r="L8" s="15">
        <f>SUM(L5:L7)</f>
        <v>12185</v>
      </c>
      <c r="M8" s="15">
        <f>SUM(M5:M7)</f>
        <v>12526</v>
      </c>
      <c r="N8" s="15">
        <f>SUM(N5:N7)</f>
        <v>-14945</v>
      </c>
      <c r="O8" s="15">
        <f>SUM(O5:O7)</f>
        <v>12652</v>
      </c>
      <c r="P8" s="15">
        <f>SUM(P5:P7)</f>
        <v>13331</v>
      </c>
      <c r="Q8" s="15">
        <f>SUM(Q5:Q7)</f>
        <v>13571.921</v>
      </c>
      <c r="R8" s="15">
        <f>SUM(R5:R7)</f>
        <v>-16668.158499999998</v>
      </c>
      <c r="T8" s="15">
        <f>SUM(T5:T7)</f>
        <v>0</v>
      </c>
      <c r="U8" s="15">
        <f>SUM(U5:U7)</f>
        <v>11171</v>
      </c>
      <c r="V8" s="15">
        <f>SUM(V5:V7)</f>
        <v>12868</v>
      </c>
      <c r="W8" s="15">
        <f>SUM(W5:W7)</f>
        <v>15785</v>
      </c>
      <c r="X8" s="15">
        <f>SUM(X5:X7)</f>
        <v>17606</v>
      </c>
      <c r="Y8" s="15">
        <f>SUM(Y5:Y7)</f>
        <v>19409</v>
      </c>
      <c r="Z8" s="15">
        <f>SUM(Z5:Z7)</f>
        <v>21505</v>
      </c>
      <c r="AA8" s="15">
        <f>SUM(AA5:AA7)</f>
        <v>23574.831600000005</v>
      </c>
      <c r="AB8" s="15">
        <f>AA8*(1+AB30)</f>
        <v>25981.821906360008</v>
      </c>
      <c r="AC8" s="15">
        <f>AB8*(1+AC30)</f>
        <v>28580.00409699601</v>
      </c>
      <c r="AD8" s="15">
        <f>AC8*(1+AD30)</f>
        <v>31438.004506695612</v>
      </c>
      <c r="AE8" s="15">
        <f>AD8*(1+AE30)</f>
        <v>34581.804957365173</v>
      </c>
      <c r="AF8" s="15">
        <f>AE8*(1+AF30)</f>
        <v>37694.167403528045</v>
      </c>
      <c r="AG8" s="15">
        <f>AF8*(1+AG30)</f>
        <v>40709.700795810291</v>
      </c>
      <c r="AH8" s="15">
        <f>AG8*(1+AH30)</f>
        <v>43559.379851517013</v>
      </c>
    </row>
    <row r="9" spans="1:41" s="18" customFormat="1">
      <c r="B9" s="9" t="s">
        <v>47</v>
      </c>
      <c r="C9" s="22"/>
      <c r="D9" s="22"/>
      <c r="E9" s="22"/>
      <c r="F9" s="22"/>
      <c r="G9" s="22"/>
      <c r="H9" s="22"/>
      <c r="I9" s="18">
        <v>1980</v>
      </c>
      <c r="J9" s="22"/>
      <c r="K9" s="18">
        <v>2179</v>
      </c>
      <c r="L9" s="18">
        <v>2274</v>
      </c>
      <c r="M9" s="18">
        <v>2452</v>
      </c>
      <c r="N9" s="9">
        <f>Z9-SUM(K9:M9)</f>
        <v>-5106</v>
      </c>
      <c r="O9" s="18">
        <v>2597</v>
      </c>
      <c r="P9" s="18">
        <v>2746</v>
      </c>
      <c r="Q9" s="9">
        <f>P9</f>
        <v>2746</v>
      </c>
      <c r="R9" s="9">
        <f>Q9</f>
        <v>2746</v>
      </c>
      <c r="U9" s="18">
        <v>926</v>
      </c>
      <c r="V9" s="18">
        <v>1108</v>
      </c>
      <c r="W9" s="18">
        <v>1374</v>
      </c>
      <c r="X9" s="18">
        <v>1646</v>
      </c>
      <c r="Y9" s="18">
        <v>1822</v>
      </c>
      <c r="Z9" s="18">
        <v>1799</v>
      </c>
      <c r="AA9" s="9">
        <f>Z9</f>
        <v>1799</v>
      </c>
    </row>
    <row r="10" spans="1:41" s="18" customFormat="1">
      <c r="B10" s="9" t="s">
        <v>48</v>
      </c>
      <c r="C10" s="22"/>
      <c r="D10" s="22"/>
      <c r="E10" s="22"/>
      <c r="F10" s="22"/>
      <c r="G10" s="22"/>
      <c r="H10" s="22"/>
      <c r="I10" s="18">
        <v>244</v>
      </c>
      <c r="J10" s="22"/>
      <c r="K10" s="18">
        <v>219</v>
      </c>
      <c r="L10" s="18">
        <v>213</v>
      </c>
      <c r="M10" s="18">
        <v>217</v>
      </c>
      <c r="N10" s="9">
        <f>Z10-SUM(K10:M10)</f>
        <v>-624</v>
      </c>
      <c r="O10" s="18">
        <v>162</v>
      </c>
      <c r="P10" s="18">
        <v>172</v>
      </c>
      <c r="Q10" s="9">
        <v>150</v>
      </c>
      <c r="R10" s="9">
        <f>N10*1.1153</f>
        <v>-695.94719999999995</v>
      </c>
      <c r="U10" s="18">
        <v>40</v>
      </c>
      <c r="V10" s="18">
        <v>36</v>
      </c>
      <c r="W10" s="18">
        <v>41</v>
      </c>
      <c r="X10" s="18">
        <v>35</v>
      </c>
      <c r="Y10" s="18">
        <v>29</v>
      </c>
      <c r="Z10" s="18">
        <v>25</v>
      </c>
      <c r="AA10" s="9">
        <f>Z10</f>
        <v>25</v>
      </c>
    </row>
    <row r="11" spans="1:41" s="18" customFormat="1">
      <c r="B11" s="9" t="s">
        <v>38</v>
      </c>
      <c r="C11" s="22"/>
      <c r="D11" s="22"/>
      <c r="E11" s="22"/>
      <c r="F11" s="22"/>
      <c r="G11" s="22"/>
      <c r="H11" s="22"/>
      <c r="I11" s="18">
        <v>1215</v>
      </c>
      <c r="J11" s="22"/>
      <c r="K11" s="18">
        <v>1212</v>
      </c>
      <c r="L11" s="18">
        <v>1253</v>
      </c>
      <c r="M11" s="18">
        <v>1200</v>
      </c>
      <c r="N11" s="9">
        <f>Z11-SUM(K11:M11)</f>
        <v>-3131</v>
      </c>
      <c r="O11" s="18">
        <v>1147</v>
      </c>
      <c r="P11" s="18">
        <v>1167</v>
      </c>
      <c r="Q11" s="9">
        <f>P11</f>
        <v>1167</v>
      </c>
      <c r="R11" s="9">
        <f>N11*1.1153</f>
        <v>-3492.0043000000001</v>
      </c>
      <c r="U11" s="18">
        <v>707</v>
      </c>
      <c r="V11" s="18">
        <v>578</v>
      </c>
      <c r="W11" s="18">
        <v>450</v>
      </c>
      <c r="X11" s="18">
        <v>484</v>
      </c>
      <c r="Y11" s="18">
        <v>503</v>
      </c>
      <c r="Z11" s="18">
        <v>534</v>
      </c>
      <c r="AA11" s="9">
        <f>Z11*1.0942</f>
        <v>584.30280000000005</v>
      </c>
    </row>
    <row r="12" spans="1:41" s="11" customFormat="1">
      <c r="B12" s="11" t="s">
        <v>24</v>
      </c>
      <c r="C12" s="23" t="e">
        <f>SUM(#REF!)</f>
        <v>#REF!</v>
      </c>
      <c r="D12" s="23" t="e">
        <f>SUM(#REF!)</f>
        <v>#REF!</v>
      </c>
      <c r="E12" s="23" t="e">
        <f>SUM(#REF!)</f>
        <v>#REF!</v>
      </c>
      <c r="F12" s="23" t="e">
        <f>SUM(#REF!)</f>
        <v>#REF!</v>
      </c>
      <c r="G12" s="23" t="e">
        <f>SUM(#REF!)</f>
        <v>#REF!</v>
      </c>
      <c r="H12" s="23" t="e">
        <f>SUM(#REF!)</f>
        <v>#REF!</v>
      </c>
      <c r="I12" s="11">
        <f t="shared" ref="I12" si="1">SUM(I9:I11)</f>
        <v>3439</v>
      </c>
      <c r="J12" s="23" t="e">
        <f>SUM(#REF!)</f>
        <v>#REF!</v>
      </c>
      <c r="K12" s="11">
        <f t="shared" ref="K12:O12" si="2">SUM(K9:K11)</f>
        <v>3610</v>
      </c>
      <c r="L12" s="11">
        <f t="shared" ref="L12:M12" si="3">SUM(L9:L11)</f>
        <v>3740</v>
      </c>
      <c r="M12" s="11">
        <f t="shared" si="3"/>
        <v>3869</v>
      </c>
      <c r="N12" s="11">
        <f t="shared" ref="N12" si="4">SUM(N9:N11)</f>
        <v>-8861</v>
      </c>
      <c r="O12" s="11">
        <f t="shared" si="2"/>
        <v>3906</v>
      </c>
      <c r="P12" s="11">
        <f>SUM(P9:P11)</f>
        <v>4085</v>
      </c>
      <c r="Q12" s="11">
        <f t="shared" ref="Q12:R12" si="5">SUM(Q9:Q11)</f>
        <v>4063</v>
      </c>
      <c r="R12" s="11">
        <f t="shared" si="5"/>
        <v>-1441.9515000000001</v>
      </c>
      <c r="S12" s="11">
        <f t="shared" ref="S12" si="6">SUM(S9:S11)</f>
        <v>0</v>
      </c>
      <c r="T12" s="11">
        <f t="shared" ref="T12" si="7">SUM(T9:T11)</f>
        <v>0</v>
      </c>
      <c r="U12" s="11">
        <f t="shared" ref="U12" si="8">SUM(U9:U11)</f>
        <v>1673</v>
      </c>
      <c r="V12" s="11">
        <f t="shared" ref="V12" si="9">SUM(V9:V11)</f>
        <v>1722</v>
      </c>
      <c r="W12" s="11">
        <f t="shared" ref="W12" si="10">SUM(W9:W11)</f>
        <v>1865</v>
      </c>
      <c r="X12" s="11">
        <f t="shared" ref="X12" si="11">SUM(X9:X11)</f>
        <v>2165</v>
      </c>
      <c r="Y12" s="11">
        <f t="shared" ref="Y12" si="12">SUM(Y9:Y11)</f>
        <v>2354</v>
      </c>
      <c r="Z12" s="11">
        <f t="shared" ref="Z12:AA12" si="13">SUM(Z9:Z11)</f>
        <v>2358</v>
      </c>
      <c r="AA12" s="11">
        <f t="shared" si="13"/>
        <v>2408.3027999999999</v>
      </c>
      <c r="AB12" s="11">
        <f t="shared" ref="AB12" si="14">SUM(AB9:AB11)</f>
        <v>0</v>
      </c>
      <c r="AC12" s="11">
        <f t="shared" ref="AC12" si="15">SUM(AC9:AC11)</f>
        <v>0</v>
      </c>
      <c r="AD12" s="11">
        <f t="shared" ref="AD12" si="16">SUM(AD9:AD11)</f>
        <v>0</v>
      </c>
      <c r="AE12" s="11">
        <f t="shared" ref="AE12" si="17">SUM(AE9:AE11)</f>
        <v>0</v>
      </c>
      <c r="AF12" s="11">
        <f t="shared" ref="AF12" si="18">SUM(AF9:AF11)</f>
        <v>0</v>
      </c>
      <c r="AG12" s="11">
        <f t="shared" ref="AG12" si="19">SUM(AG9:AG11)</f>
        <v>0</v>
      </c>
      <c r="AH12" s="11">
        <f t="shared" ref="AH12" si="20">SUM(AH9:AH11)</f>
        <v>0</v>
      </c>
      <c r="AI12" s="11">
        <f t="shared" ref="AI12" si="21">SUM(AI9:AI11)</f>
        <v>0</v>
      </c>
      <c r="AJ12" s="11">
        <f t="shared" ref="AJ12" si="22">SUM(AJ9:AJ11)</f>
        <v>0</v>
      </c>
      <c r="AK12" s="11">
        <f t="shared" ref="AK12" si="23">SUM(AK9:AK11)</f>
        <v>0</v>
      </c>
      <c r="AL12" s="11">
        <f t="shared" ref="AL12" si="24">SUM(AL9:AL11)</f>
        <v>0</v>
      </c>
      <c r="AM12" s="11">
        <f t="shared" ref="AM12" si="25">SUM(AM9:AM11)</f>
        <v>0</v>
      </c>
      <c r="AN12" s="11">
        <f t="shared" ref="AN12" si="26">SUM(AN9:AN11)</f>
        <v>0</v>
      </c>
      <c r="AO12" s="11">
        <f t="shared" ref="AO12" si="27">SUM(AO9:AO11)</f>
        <v>0</v>
      </c>
    </row>
    <row r="13" spans="1:41" s="11" customFormat="1">
      <c r="B13" s="11" t="s">
        <v>25</v>
      </c>
      <c r="C13" s="23" t="e">
        <f t="shared" ref="C13:L13" si="28">C8-C12</f>
        <v>#REF!</v>
      </c>
      <c r="D13" s="23" t="e">
        <f t="shared" si="28"/>
        <v>#REF!</v>
      </c>
      <c r="E13" s="23" t="e">
        <f t="shared" si="28"/>
        <v>#REF!</v>
      </c>
      <c r="F13" s="23" t="e">
        <f t="shared" si="28"/>
        <v>#REF!</v>
      </c>
      <c r="G13" s="23" t="e">
        <f t="shared" si="28"/>
        <v>#REF!</v>
      </c>
      <c r="H13" s="23" t="e">
        <f t="shared" si="28"/>
        <v>#REF!</v>
      </c>
      <c r="I13" s="11">
        <f t="shared" si="28"/>
        <v>8148</v>
      </c>
      <c r="J13" s="23" t="e">
        <f t="shared" si="28"/>
        <v>#REF!</v>
      </c>
      <c r="K13" s="11">
        <f t="shared" si="28"/>
        <v>8129</v>
      </c>
      <c r="L13" s="11">
        <f t="shared" si="28"/>
        <v>8445</v>
      </c>
      <c r="M13" s="11">
        <f>M8-M12</f>
        <v>8657</v>
      </c>
      <c r="N13" s="11">
        <f>Y13-SUM(K13:M13)</f>
        <v>-8176</v>
      </c>
      <c r="O13" s="11">
        <f>O8-O12</f>
        <v>8746</v>
      </c>
      <c r="P13" s="11">
        <f>P8-P12</f>
        <v>9246</v>
      </c>
      <c r="Q13" s="11">
        <f>Q8-Q12</f>
        <v>9508.9210000000003</v>
      </c>
      <c r="R13" s="11">
        <f>R8-R12</f>
        <v>-15226.206999999999</v>
      </c>
      <c r="T13" s="11">
        <f t="shared" ref="T13:Y13" si="29">T8-T12</f>
        <v>0</v>
      </c>
      <c r="U13" s="11">
        <f t="shared" si="29"/>
        <v>9498</v>
      </c>
      <c r="V13" s="11">
        <f t="shared" si="29"/>
        <v>11146</v>
      </c>
      <c r="W13" s="11">
        <f t="shared" si="29"/>
        <v>13920</v>
      </c>
      <c r="X13" s="11">
        <f t="shared" si="29"/>
        <v>15441</v>
      </c>
      <c r="Y13" s="11">
        <f t="shared" si="29"/>
        <v>17055</v>
      </c>
      <c r="Z13" s="11">
        <f>Z8-Z12</f>
        <v>19147</v>
      </c>
      <c r="AA13" s="11">
        <f>AA8-AA12</f>
        <v>21166.528800000004</v>
      </c>
    </row>
    <row r="14" spans="1:41" s="9" customFormat="1">
      <c r="B14" s="9" t="s">
        <v>40</v>
      </c>
      <c r="C14" s="20">
        <v>319</v>
      </c>
      <c r="D14" s="20">
        <v>341</v>
      </c>
      <c r="E14" s="20">
        <v>376</v>
      </c>
      <c r="F14" s="20">
        <f>W14-SUM(C14:E14)</f>
        <v>1504</v>
      </c>
      <c r="G14" s="20">
        <v>597</v>
      </c>
      <c r="H14" s="20">
        <v>592</v>
      </c>
      <c r="I14" s="9">
        <v>2150</v>
      </c>
      <c r="J14" s="20">
        <f>X14-SUM(G14:I14)</f>
        <v>-352</v>
      </c>
      <c r="K14" s="9">
        <v>2026</v>
      </c>
      <c r="L14" s="9">
        <v>2093</v>
      </c>
      <c r="M14" s="9">
        <v>2042</v>
      </c>
      <c r="N14" s="9">
        <f t="shared" ref="N14:N18" si="30">Z14-SUM(K14:M14)</f>
        <v>-2217</v>
      </c>
      <c r="O14" s="9">
        <v>2036</v>
      </c>
      <c r="P14" s="9">
        <v>2190</v>
      </c>
      <c r="Q14" s="9">
        <f>P14</f>
        <v>2190</v>
      </c>
      <c r="R14" s="9">
        <f>N14*1.1153</f>
        <v>-2472.6201000000001</v>
      </c>
      <c r="U14" s="9">
        <v>1930</v>
      </c>
      <c r="V14" s="9">
        <v>2188</v>
      </c>
      <c r="W14" s="9">
        <v>2540</v>
      </c>
      <c r="X14" s="9">
        <v>2987</v>
      </c>
      <c r="Y14" s="9">
        <v>3473</v>
      </c>
      <c r="Z14" s="9">
        <v>3944</v>
      </c>
      <c r="AA14" s="9">
        <f>Z14</f>
        <v>3944</v>
      </c>
    </row>
    <row r="15" spans="1:41" s="9" customFormat="1">
      <c r="B15" s="9" t="s">
        <v>49</v>
      </c>
      <c r="C15" s="20"/>
      <c r="D15" s="20"/>
      <c r="E15" s="20"/>
      <c r="F15" s="20"/>
      <c r="G15" s="20"/>
      <c r="H15" s="20"/>
      <c r="I15" s="9">
        <v>2146</v>
      </c>
      <c r="J15" s="20"/>
      <c r="K15" s="9">
        <v>2216</v>
      </c>
      <c r="L15" s="9">
        <v>2226</v>
      </c>
      <c r="M15" s="9">
        <v>2248</v>
      </c>
      <c r="N15" s="9">
        <f t="shared" si="30"/>
        <v>-926</v>
      </c>
      <c r="O15" s="9">
        <v>2306</v>
      </c>
      <c r="P15" s="9">
        <v>2471</v>
      </c>
      <c r="Q15" s="9">
        <f>P15</f>
        <v>2471</v>
      </c>
      <c r="R15" s="9">
        <f>N15*1.1153</f>
        <v>-1032.7677999999999</v>
      </c>
      <c r="U15" s="9">
        <v>3244</v>
      </c>
      <c r="V15" s="9">
        <v>3591</v>
      </c>
      <c r="W15" s="9">
        <v>4321</v>
      </c>
      <c r="X15" s="9">
        <v>4968</v>
      </c>
      <c r="Y15" s="9">
        <v>5351</v>
      </c>
      <c r="Z15" s="9">
        <v>5764</v>
      </c>
      <c r="AA15" s="9">
        <f>Z15</f>
        <v>5764</v>
      </c>
    </row>
    <row r="16" spans="1:41" s="9" customFormat="1">
      <c r="B16" s="9" t="s">
        <v>39</v>
      </c>
      <c r="C16" s="20">
        <v>0</v>
      </c>
      <c r="D16" s="20">
        <v>0</v>
      </c>
      <c r="E16" s="20">
        <v>0</v>
      </c>
      <c r="F16" s="20">
        <f>W16-SUM(C16:E16)</f>
        <v>1085</v>
      </c>
      <c r="G16" s="20">
        <v>293</v>
      </c>
      <c r="H16" s="20">
        <v>616</v>
      </c>
      <c r="I16" s="9">
        <v>402</v>
      </c>
      <c r="J16" s="20">
        <f>X16-SUM(G16:I16)</f>
        <v>-92</v>
      </c>
      <c r="K16" s="9">
        <v>393</v>
      </c>
      <c r="L16" s="9">
        <v>375</v>
      </c>
      <c r="M16" s="9">
        <v>377</v>
      </c>
      <c r="N16" s="9">
        <f t="shared" si="30"/>
        <v>384</v>
      </c>
      <c r="O16" s="9">
        <v>358</v>
      </c>
      <c r="P16" s="9">
        <v>387</v>
      </c>
      <c r="Q16" s="9">
        <f>O16</f>
        <v>358</v>
      </c>
      <c r="R16" s="9">
        <f>Q16</f>
        <v>358</v>
      </c>
      <c r="U16" s="9">
        <v>881</v>
      </c>
      <c r="V16" s="9">
        <v>968</v>
      </c>
      <c r="W16" s="9">
        <v>1085</v>
      </c>
      <c r="X16" s="9">
        <v>1219</v>
      </c>
      <c r="Y16" s="9">
        <v>1413</v>
      </c>
      <c r="Z16" s="9">
        <v>1529</v>
      </c>
      <c r="AA16" s="9">
        <f>Z16</f>
        <v>1529</v>
      </c>
    </row>
    <row r="17" spans="2:160" s="9" customFormat="1">
      <c r="B17" s="9" t="s">
        <v>42</v>
      </c>
      <c r="C17" s="20"/>
      <c r="D17" s="20"/>
      <c r="E17" s="20"/>
      <c r="F17" s="20"/>
      <c r="G17" s="20"/>
      <c r="H17" s="20"/>
      <c r="I17" s="9">
        <v>886</v>
      </c>
      <c r="J17" s="20"/>
      <c r="K17" s="9">
        <v>763</v>
      </c>
      <c r="L17" s="9">
        <v>755</v>
      </c>
      <c r="M17" s="9">
        <v>749</v>
      </c>
      <c r="N17" s="9">
        <f t="shared" si="30"/>
        <v>-1267</v>
      </c>
      <c r="O17" s="9">
        <v>624</v>
      </c>
      <c r="P17" s="9">
        <v>591</v>
      </c>
      <c r="Q17" s="9">
        <f>P17</f>
        <v>591</v>
      </c>
      <c r="R17" s="9">
        <f>Q17</f>
        <v>591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1000</v>
      </c>
      <c r="AA17" s="9">
        <v>0</v>
      </c>
    </row>
    <row r="18" spans="2:160" s="9" customFormat="1">
      <c r="B18" s="9" t="s">
        <v>41</v>
      </c>
      <c r="C18" s="20"/>
      <c r="D18" s="20"/>
      <c r="E18" s="20"/>
      <c r="F18" s="20"/>
      <c r="G18" s="20"/>
      <c r="H18" s="20"/>
      <c r="I18" s="9">
        <v>37</v>
      </c>
      <c r="J18" s="20"/>
      <c r="K18" s="9">
        <v>11</v>
      </c>
      <c r="L18" s="9">
        <v>47</v>
      </c>
      <c r="M18" s="9">
        <v>155</v>
      </c>
      <c r="N18" s="9">
        <f t="shared" si="30"/>
        <v>-44</v>
      </c>
      <c r="O18" s="9">
        <v>13</v>
      </c>
      <c r="P18" s="9">
        <v>31</v>
      </c>
      <c r="Q18" s="9">
        <f>P18</f>
        <v>31</v>
      </c>
      <c r="U18" s="9">
        <v>175</v>
      </c>
      <c r="V18" s="9">
        <v>162</v>
      </c>
      <c r="W18" s="9">
        <v>172</v>
      </c>
      <c r="X18" s="9">
        <v>169</v>
      </c>
      <c r="Y18" s="9">
        <v>168</v>
      </c>
      <c r="Z18" s="9">
        <v>169</v>
      </c>
      <c r="AA18" s="9">
        <f>Z18</f>
        <v>169</v>
      </c>
    </row>
    <row r="19" spans="2:160" s="11" customFormat="1">
      <c r="B19" s="11" t="s">
        <v>26</v>
      </c>
      <c r="C19" s="11">
        <f>C14+C16</f>
        <v>319</v>
      </c>
      <c r="D19" s="11">
        <f>D14+D16</f>
        <v>341</v>
      </c>
      <c r="E19" s="11">
        <f>E14+E16</f>
        <v>376</v>
      </c>
      <c r="F19" s="11">
        <f>F14+F16</f>
        <v>2589</v>
      </c>
      <c r="G19" s="11">
        <f>G14+G16</f>
        <v>890</v>
      </c>
      <c r="H19" s="11">
        <f>H14+H16</f>
        <v>1208</v>
      </c>
      <c r="I19" s="11">
        <f>SUM(I14:I18)</f>
        <v>5621</v>
      </c>
      <c r="J19" s="11">
        <f>J14+J16</f>
        <v>-444</v>
      </c>
      <c r="K19" s="11">
        <f>SUM(K14:K18)</f>
        <v>5409</v>
      </c>
      <c r="L19" s="11">
        <f>SUM(L14:L18)</f>
        <v>5496</v>
      </c>
      <c r="M19" s="11">
        <f>SUM(M14:M18)</f>
        <v>5571</v>
      </c>
      <c r="N19" s="11">
        <f>SUM(N14:N18)</f>
        <v>-4070</v>
      </c>
      <c r="O19" s="11">
        <f>SUM(O14:O18)</f>
        <v>5337</v>
      </c>
      <c r="P19" s="11">
        <f>SUM(P14:P18)</f>
        <v>5670</v>
      </c>
      <c r="Q19" s="11">
        <f>SUM(Q14:Q18)</f>
        <v>5641</v>
      </c>
      <c r="R19" s="11">
        <f>SUM(R14:R18)</f>
        <v>-2556.3878999999997</v>
      </c>
      <c r="S19" s="11">
        <f>SUM(S14:S18)</f>
        <v>0</v>
      </c>
      <c r="T19" s="11">
        <f>SUM(T14:T18)</f>
        <v>0</v>
      </c>
      <c r="U19" s="11">
        <f>SUM(U14:U18)</f>
        <v>6230</v>
      </c>
      <c r="V19" s="11">
        <f>SUM(V14:V18)</f>
        <v>6909</v>
      </c>
      <c r="W19" s="11">
        <f>SUM(W14:W18)</f>
        <v>8118</v>
      </c>
      <c r="X19" s="11">
        <f>SUM(X14:X18)</f>
        <v>9343</v>
      </c>
      <c r="Y19" s="11">
        <f>SUM(Y14:Y18)</f>
        <v>10405</v>
      </c>
      <c r="Z19" s="11">
        <f>SUM(Z14:Z18)</f>
        <v>12406</v>
      </c>
      <c r="AA19" s="11">
        <f>SUM(AA14:AA18)</f>
        <v>11406</v>
      </c>
      <c r="AB19" s="11">
        <f>SUM(AB14:AB18)</f>
        <v>0</v>
      </c>
      <c r="AC19" s="11">
        <f>SUM(AC14:AC18)</f>
        <v>0</v>
      </c>
      <c r="AD19" s="11">
        <f>SUM(AD14:AD18)</f>
        <v>0</v>
      </c>
      <c r="AE19" s="11">
        <f>SUM(AE14:AE18)</f>
        <v>0</v>
      </c>
      <c r="AF19" s="11">
        <f>SUM(AF14:AF18)</f>
        <v>0</v>
      </c>
      <c r="AG19" s="11">
        <f>SUM(AG14:AG18)</f>
        <v>0</v>
      </c>
      <c r="AH19" s="11">
        <f>SUM(AH14:AH18)</f>
        <v>0</v>
      </c>
      <c r="AI19" s="11">
        <f>SUM(AI14:AI18)</f>
        <v>0</v>
      </c>
      <c r="AJ19" s="11">
        <f>SUM(AJ14:AJ18)</f>
        <v>0</v>
      </c>
      <c r="AK19" s="11">
        <f>SUM(AK14:AK18)</f>
        <v>0</v>
      </c>
      <c r="AL19" s="11">
        <f>SUM(AL14:AL18)</f>
        <v>0</v>
      </c>
      <c r="AM19" s="11">
        <f>SUM(AM14:AM18)</f>
        <v>0</v>
      </c>
      <c r="AN19" s="11">
        <f>SUM(AN14:AN18)</f>
        <v>0</v>
      </c>
      <c r="AO19" s="11">
        <f>SUM(AO14:AO18)</f>
        <v>0</v>
      </c>
      <c r="AP19" s="11">
        <f>SUM(AP14:AP16)</f>
        <v>0</v>
      </c>
      <c r="AQ19" s="11">
        <f>SUM(AQ14:AQ16)</f>
        <v>0</v>
      </c>
      <c r="AR19" s="11">
        <f>SUM(AR14:AR16)</f>
        <v>0</v>
      </c>
      <c r="AS19" s="11">
        <f>SUM(AS14:AS16)</f>
        <v>0</v>
      </c>
    </row>
    <row r="20" spans="2:160" s="11" customFormat="1">
      <c r="B20" s="11" t="s">
        <v>27</v>
      </c>
      <c r="C20" s="23" t="e">
        <f>C13-C19</f>
        <v>#REF!</v>
      </c>
      <c r="D20" s="23" t="e">
        <f>D13-D19</f>
        <v>#REF!</v>
      </c>
      <c r="E20" s="23" t="e">
        <f>E13-E19</f>
        <v>#REF!</v>
      </c>
      <c r="F20" s="23" t="e">
        <f>F13-F19</f>
        <v>#REF!</v>
      </c>
      <c r="G20" s="23" t="e">
        <f>G13-G19</f>
        <v>#REF!</v>
      </c>
      <c r="H20" s="23" t="e">
        <f>H13-H19</f>
        <v>#REF!</v>
      </c>
      <c r="I20" s="11">
        <f>I13-I19</f>
        <v>2527</v>
      </c>
      <c r="J20" s="23" t="e">
        <f>J13-J19</f>
        <v>#REF!</v>
      </c>
      <c r="K20" s="11">
        <f>K13-K19</f>
        <v>2720</v>
      </c>
      <c r="L20" s="11">
        <f>L13-L19</f>
        <v>2949</v>
      </c>
      <c r="M20" s="11">
        <f>M13-M19</f>
        <v>3086</v>
      </c>
      <c r="N20" s="11">
        <f>N13-N19</f>
        <v>-4106</v>
      </c>
      <c r="O20" s="11">
        <f>O13-O19</f>
        <v>3409</v>
      </c>
      <c r="P20" s="11">
        <f>P13-P19</f>
        <v>3576</v>
      </c>
      <c r="Q20" s="11">
        <f>Q13-Q19</f>
        <v>3867.9210000000003</v>
      </c>
      <c r="R20" s="11">
        <f>R13-R19</f>
        <v>-12669.819099999999</v>
      </c>
      <c r="S20" s="11">
        <f>S13-S19</f>
        <v>0</v>
      </c>
      <c r="T20" s="11">
        <f>T13-T19</f>
        <v>0</v>
      </c>
      <c r="U20" s="11">
        <f>U13-U19</f>
        <v>3268</v>
      </c>
      <c r="V20" s="11">
        <f>V13-V19</f>
        <v>4237</v>
      </c>
      <c r="W20" s="11">
        <f>W13-W19</f>
        <v>5802</v>
      </c>
      <c r="X20" s="11">
        <f>X13-X19</f>
        <v>6098</v>
      </c>
      <c r="Y20" s="11">
        <f>Y13-Y19</f>
        <v>6650</v>
      </c>
      <c r="Z20" s="11">
        <f>Z13-Z19</f>
        <v>6741</v>
      </c>
      <c r="AA20" s="11">
        <f>AA13-AA19</f>
        <v>9760.5288000000037</v>
      </c>
      <c r="AB20" s="11">
        <f>AB13-AB19</f>
        <v>0</v>
      </c>
      <c r="AC20" s="11">
        <f>AC13-AC19</f>
        <v>0</v>
      </c>
      <c r="AD20" s="11">
        <f>AD13-AD19</f>
        <v>0</v>
      </c>
      <c r="AE20" s="11">
        <f>AE13-AE19</f>
        <v>0</v>
      </c>
      <c r="AF20" s="11">
        <f>AF13-AF19</f>
        <v>0</v>
      </c>
      <c r="AG20" s="11">
        <f>AG13-AG19</f>
        <v>0</v>
      </c>
      <c r="AH20" s="11">
        <f>AH13-AH19</f>
        <v>0</v>
      </c>
      <c r="AI20" s="11">
        <f>AI13-AI19</f>
        <v>0</v>
      </c>
      <c r="AJ20" s="11">
        <f>AJ13-AJ19</f>
        <v>0</v>
      </c>
      <c r="AK20" s="11">
        <f>AK13-AK19</f>
        <v>0</v>
      </c>
      <c r="AL20" s="11">
        <f>AL13-AL19</f>
        <v>0</v>
      </c>
      <c r="AM20" s="11">
        <f>AM13-AM19</f>
        <v>0</v>
      </c>
      <c r="AN20" s="11">
        <f>AN13-AN19</f>
        <v>0</v>
      </c>
      <c r="AO20" s="11">
        <f>AO13-AO19</f>
        <v>0</v>
      </c>
      <c r="AP20" s="11">
        <f>AP13-AP19</f>
        <v>0</v>
      </c>
      <c r="AQ20" s="11">
        <f>AQ13-AQ19</f>
        <v>0</v>
      </c>
      <c r="AR20" s="11">
        <f>AR13-AR19</f>
        <v>0</v>
      </c>
      <c r="AS20" s="11">
        <f>AS13-AS19</f>
        <v>0</v>
      </c>
    </row>
    <row r="21" spans="2:160" s="9" customFormat="1">
      <c r="B21" s="9" t="s">
        <v>28</v>
      </c>
      <c r="C21" s="20">
        <v>-11</v>
      </c>
      <c r="D21" s="20">
        <v>0</v>
      </c>
      <c r="E21" s="20">
        <v>62</v>
      </c>
      <c r="F21" s="20">
        <f>W21-SUM(C21:E21)</f>
        <v>-164</v>
      </c>
      <c r="G21" s="20">
        <v>-42</v>
      </c>
      <c r="H21" s="20">
        <v>-4</v>
      </c>
      <c r="I21" s="9">
        <v>-908</v>
      </c>
      <c r="J21" s="20">
        <f>X21-SUM(G21:I21)</f>
        <v>842</v>
      </c>
      <c r="K21" s="9">
        <v>-872</v>
      </c>
      <c r="L21" s="9">
        <v>-888</v>
      </c>
      <c r="M21" s="9">
        <v>-876</v>
      </c>
      <c r="N21" s="9">
        <f>Z21-SUM(K21:M21)</f>
        <v>2467</v>
      </c>
      <c r="O21" s="9">
        <v>-842</v>
      </c>
      <c r="P21" s="9">
        <v>-866</v>
      </c>
      <c r="Q21" s="9">
        <v>-700</v>
      </c>
      <c r="R21" s="9">
        <f>Q21</f>
        <v>-700</v>
      </c>
      <c r="U21" s="9">
        <v>-157</v>
      </c>
      <c r="V21" s="9">
        <v>-116</v>
      </c>
      <c r="W21" s="9">
        <v>-113</v>
      </c>
      <c r="X21" s="9">
        <v>-112</v>
      </c>
      <c r="Y21" s="9">
        <v>-113</v>
      </c>
      <c r="Z21" s="11">
        <v>-169</v>
      </c>
      <c r="AA21" s="9">
        <v>-130</v>
      </c>
    </row>
    <row r="22" spans="2:160" s="9" customFormat="1">
      <c r="B22" s="9" t="s">
        <v>50</v>
      </c>
      <c r="C22" s="20"/>
      <c r="D22" s="20"/>
      <c r="E22" s="20"/>
      <c r="F22" s="20"/>
      <c r="G22" s="20"/>
      <c r="H22" s="20"/>
      <c r="J22" s="20"/>
      <c r="U22" s="9">
        <v>52</v>
      </c>
      <c r="V22" s="9">
        <v>13</v>
      </c>
      <c r="W22" s="9">
        <v>16</v>
      </c>
      <c r="X22" s="9">
        <v>-19</v>
      </c>
      <c r="Y22" s="9">
        <v>16</v>
      </c>
      <c r="Z22" s="11">
        <v>48</v>
      </c>
      <c r="AA22" s="9">
        <v>60</v>
      </c>
    </row>
    <row r="23" spans="2:160" s="9" customFormat="1">
      <c r="B23" s="9" t="s">
        <v>37</v>
      </c>
      <c r="C23" s="20"/>
      <c r="D23" s="20"/>
      <c r="E23" s="20"/>
      <c r="F23" s="20"/>
      <c r="G23" s="20"/>
      <c r="H23" s="20"/>
      <c r="I23" s="9">
        <v>-134</v>
      </c>
      <c r="J23" s="20"/>
      <c r="K23" s="9">
        <v>-49</v>
      </c>
      <c r="L23" s="9">
        <v>-14</v>
      </c>
      <c r="M23" s="9">
        <v>-9</v>
      </c>
      <c r="N23" s="9">
        <f>Z23-SUM(K23:M23)</f>
        <v>383</v>
      </c>
      <c r="O23" s="9">
        <v>20</v>
      </c>
      <c r="P23" s="9">
        <v>36</v>
      </c>
      <c r="Q23" s="9">
        <v>500</v>
      </c>
      <c r="R23" s="9">
        <f>Q23*1.5</f>
        <v>750</v>
      </c>
      <c r="U23" s="9">
        <v>42</v>
      </c>
      <c r="V23" s="9">
        <v>42</v>
      </c>
      <c r="W23" s="9">
        <v>0</v>
      </c>
      <c r="X23" s="9">
        <v>41</v>
      </c>
      <c r="Y23" s="9">
        <v>246</v>
      </c>
      <c r="Z23" s="11">
        <v>311</v>
      </c>
      <c r="AA23" s="9">
        <v>1000</v>
      </c>
    </row>
    <row r="24" spans="2:160" s="11" customFormat="1">
      <c r="B24" s="11" t="s">
        <v>29</v>
      </c>
      <c r="C24" s="11" t="e">
        <f>C20+#REF!-C21+#REF!+C23</f>
        <v>#REF!</v>
      </c>
      <c r="D24" s="11" t="e">
        <f>D20+#REF!-D21+#REF!+D23</f>
        <v>#REF!</v>
      </c>
      <c r="E24" s="11" t="e">
        <f t="shared" ref="E24:O24" si="31">E20+E21+E23</f>
        <v>#REF!</v>
      </c>
      <c r="F24" s="11" t="e">
        <f t="shared" si="31"/>
        <v>#REF!</v>
      </c>
      <c r="G24" s="11" t="e">
        <f t="shared" si="31"/>
        <v>#REF!</v>
      </c>
      <c r="H24" s="11" t="e">
        <f t="shared" si="31"/>
        <v>#REF!</v>
      </c>
      <c r="I24" s="11">
        <f t="shared" si="31"/>
        <v>1485</v>
      </c>
      <c r="J24" s="11" t="e">
        <f t="shared" si="31"/>
        <v>#REF!</v>
      </c>
      <c r="K24" s="11">
        <f t="shared" si="31"/>
        <v>1799</v>
      </c>
      <c r="L24" s="11">
        <f t="shared" si="31"/>
        <v>2047</v>
      </c>
      <c r="M24" s="11">
        <f t="shared" si="31"/>
        <v>2201</v>
      </c>
      <c r="N24" s="11">
        <f t="shared" si="31"/>
        <v>-1256</v>
      </c>
      <c r="O24" s="11">
        <f t="shared" si="31"/>
        <v>2587</v>
      </c>
      <c r="P24" s="11">
        <f>P20+P21+P23</f>
        <v>2746</v>
      </c>
      <c r="Q24" s="11">
        <f t="shared" ref="Q24:R24" si="32">Q20+Q21+Q23</f>
        <v>3667.9210000000003</v>
      </c>
      <c r="R24" s="11">
        <f t="shared" si="32"/>
        <v>-12619.819099999999</v>
      </c>
      <c r="T24" s="11">
        <f t="shared" ref="T24:Y24" si="33">T20+T21+T23</f>
        <v>0</v>
      </c>
      <c r="U24" s="11">
        <f t="shared" ref="U24" si="34">U20+SUM(U21:U23)</f>
        <v>3205</v>
      </c>
      <c r="V24" s="11">
        <f t="shared" ref="V24" si="35">V20+SUM(V21:V23)</f>
        <v>4176</v>
      </c>
      <c r="W24" s="11">
        <f t="shared" ref="W24" si="36">W20+SUM(W21:W23)</f>
        <v>5705</v>
      </c>
      <c r="X24" s="11">
        <f t="shared" ref="U24:Y24" si="37">X20+SUM(X21:X23)</f>
        <v>6008</v>
      </c>
      <c r="Y24" s="11">
        <f t="shared" si="37"/>
        <v>6799</v>
      </c>
      <c r="Z24" s="11">
        <f>Z20+SUM(Z21:Z23)</f>
        <v>6931</v>
      </c>
      <c r="AA24" s="11">
        <f>AA20+SUM(AA21:AA23)</f>
        <v>10690.528800000004</v>
      </c>
      <c r="AB24" s="11">
        <f t="shared" ref="AB24" si="38">AB20+AB21+AB23</f>
        <v>0</v>
      </c>
      <c r="AC24" s="11">
        <f t="shared" ref="AC24" si="39">AC20+AC21+AC23</f>
        <v>0</v>
      </c>
      <c r="AD24" s="11">
        <f t="shared" ref="AD24" si="40">AD20+AD21+AD23</f>
        <v>0</v>
      </c>
      <c r="AE24" s="11">
        <f t="shared" ref="AE24" si="41">AE20+AE21+AE23</f>
        <v>0</v>
      </c>
      <c r="AF24" s="11">
        <f t="shared" ref="AF24" si="42">AF20+AF21+AF23</f>
        <v>0</v>
      </c>
      <c r="AG24" s="11">
        <f t="shared" ref="AG24" si="43">AG20+AG21+AG23</f>
        <v>0</v>
      </c>
      <c r="AH24" s="11">
        <f t="shared" ref="AH24" si="44">AH20+AH21+AH23</f>
        <v>0</v>
      </c>
      <c r="AI24" s="11">
        <f t="shared" ref="AI24" si="45">AI20+AI21+AI23</f>
        <v>0</v>
      </c>
      <c r="AJ24" s="11">
        <f t="shared" ref="AJ24" si="46">AJ20+AJ21+AJ23</f>
        <v>0</v>
      </c>
      <c r="AK24" s="11">
        <f t="shared" ref="AK24" si="47">AK20+AK21+AK23</f>
        <v>0</v>
      </c>
    </row>
    <row r="25" spans="2:160" s="9" customFormat="1">
      <c r="B25" s="9" t="s">
        <v>30</v>
      </c>
      <c r="C25" s="20">
        <v>89</v>
      </c>
      <c r="D25" s="20">
        <v>113</v>
      </c>
      <c r="E25" s="20">
        <v>82</v>
      </c>
      <c r="F25" s="20">
        <f>W25-SUM(C25:E25)</f>
        <v>599</v>
      </c>
      <c r="G25" s="20">
        <v>113</v>
      </c>
      <c r="H25" s="20">
        <v>54</v>
      </c>
      <c r="I25" s="9">
        <v>322</v>
      </c>
      <c r="J25" s="20">
        <f>X25-SUM(G25:I25)</f>
        <v>763</v>
      </c>
      <c r="K25" s="9">
        <v>-45</v>
      </c>
      <c r="L25" s="9">
        <v>217</v>
      </c>
      <c r="M25" s="9">
        <v>464</v>
      </c>
      <c r="N25" s="9">
        <f>Z25-SUM(K25:M25)</f>
        <v>735</v>
      </c>
      <c r="O25" s="9">
        <v>240</v>
      </c>
      <c r="P25" s="9">
        <v>239</v>
      </c>
      <c r="Q25" s="9">
        <f>Q24*P33</f>
        <v>319.24002876911874</v>
      </c>
      <c r="R25" s="9">
        <f>R24*Q33</f>
        <v>-1098.3746412600144</v>
      </c>
      <c r="U25" s="9">
        <v>254</v>
      </c>
      <c r="V25" s="9">
        <v>-1084</v>
      </c>
      <c r="W25" s="9">
        <v>883</v>
      </c>
      <c r="X25" s="9">
        <v>1252</v>
      </c>
      <c r="Y25" s="9">
        <v>1371</v>
      </c>
      <c r="Z25" s="9">
        <v>1371</v>
      </c>
      <c r="AA25" s="9">
        <f>AA24*Z33</f>
        <v>2114.660941393739</v>
      </c>
    </row>
    <row r="26" spans="2:160" s="14" customFormat="1">
      <c r="B26" s="14" t="s">
        <v>31</v>
      </c>
      <c r="C26" s="21" t="e">
        <f t="shared" ref="C26:P26" si="48">C24-C25</f>
        <v>#REF!</v>
      </c>
      <c r="D26" s="21" t="e">
        <f t="shared" si="48"/>
        <v>#REF!</v>
      </c>
      <c r="E26" s="21" t="e">
        <f t="shared" si="48"/>
        <v>#REF!</v>
      </c>
      <c r="F26" s="21" t="e">
        <f t="shared" si="48"/>
        <v>#REF!</v>
      </c>
      <c r="G26" s="21" t="e">
        <f t="shared" si="48"/>
        <v>#REF!</v>
      </c>
      <c r="H26" s="21" t="e">
        <f t="shared" si="48"/>
        <v>#REF!</v>
      </c>
      <c r="I26" s="15">
        <f t="shared" ref="I26" si="49">I24-I25</f>
        <v>1163</v>
      </c>
      <c r="J26" s="21" t="e">
        <f t="shared" si="48"/>
        <v>#REF!</v>
      </c>
      <c r="K26" s="15">
        <f t="shared" si="48"/>
        <v>1844</v>
      </c>
      <c r="L26" s="15">
        <f t="shared" si="48"/>
        <v>1830</v>
      </c>
      <c r="M26" s="15">
        <f>M24-M25</f>
        <v>1737</v>
      </c>
      <c r="N26" s="15">
        <f t="shared" si="48"/>
        <v>-1991</v>
      </c>
      <c r="O26" s="15">
        <f t="shared" si="48"/>
        <v>2347</v>
      </c>
      <c r="P26" s="15">
        <f t="shared" si="48"/>
        <v>2507</v>
      </c>
      <c r="Q26" s="15">
        <f>Q24-Q25</f>
        <v>3348.6809712308814</v>
      </c>
      <c r="R26" s="15">
        <f>R24-R25</f>
        <v>-11521.444458739985</v>
      </c>
      <c r="S26" s="15"/>
      <c r="T26" s="15">
        <f t="shared" ref="T26:AA26" si="50">T24-T25</f>
        <v>0</v>
      </c>
      <c r="U26" s="15">
        <f t="shared" si="50"/>
        <v>2951</v>
      </c>
      <c r="V26" s="15">
        <f t="shared" si="50"/>
        <v>5260</v>
      </c>
      <c r="W26" s="15">
        <f t="shared" si="50"/>
        <v>4822</v>
      </c>
      <c r="X26" s="15">
        <f t="shared" si="50"/>
        <v>4756</v>
      </c>
      <c r="Y26" s="15">
        <f t="shared" si="50"/>
        <v>5428</v>
      </c>
      <c r="Z26" s="15">
        <f t="shared" si="50"/>
        <v>5560</v>
      </c>
      <c r="AA26" s="15">
        <f t="shared" si="50"/>
        <v>8575.8678586062651</v>
      </c>
      <c r="AB26" s="15">
        <f>AB8*AB32</f>
        <v>9093.637667226003</v>
      </c>
      <c r="AC26" s="15">
        <f>AC8*AC32</f>
        <v>10288.801474918564</v>
      </c>
      <c r="AD26" s="15">
        <f>AD8*AD32</f>
        <v>11632.061667477376</v>
      </c>
      <c r="AE26" s="15">
        <f>AE8*AE32</f>
        <v>13141.085883798765</v>
      </c>
      <c r="AF26" s="15">
        <f>AF8*AF32</f>
        <v>15077.666961411218</v>
      </c>
      <c r="AG26" s="15">
        <f>AG8*AG32</f>
        <v>16283.880318324118</v>
      </c>
      <c r="AH26" s="15">
        <f>AH8*AH32</f>
        <v>17423.751940606806</v>
      </c>
      <c r="AI26" s="15">
        <f>AH26*(1+Main!$L$10)</f>
        <v>17423.751940606806</v>
      </c>
      <c r="AJ26" s="15">
        <f>AI26*(1+Main!$L$10)</f>
        <v>17423.751940606806</v>
      </c>
      <c r="AK26" s="15">
        <f>AJ26*(1+Main!$L$10)</f>
        <v>17423.751940606806</v>
      </c>
      <c r="AL26" s="15">
        <f>AK26*(1+Main!$L$10)</f>
        <v>17423.751940606806</v>
      </c>
      <c r="AM26" s="15">
        <f>AL26*(1+Main!$L$10)</f>
        <v>17423.751940606806</v>
      </c>
      <c r="AN26" s="15">
        <f>AM26*(1+Main!$L$10)</f>
        <v>17423.751940606806</v>
      </c>
      <c r="AO26" s="15">
        <f>AN26*(1+Main!$L$10)</f>
        <v>17423.751940606806</v>
      </c>
      <c r="AP26" s="15">
        <f>AO26*(1+Main!$L$10)</f>
        <v>17423.751940606806</v>
      </c>
      <c r="AQ26" s="15">
        <f>AP26*(1+Main!$L$10)</f>
        <v>17423.751940606806</v>
      </c>
      <c r="AR26" s="15">
        <f>AQ26*(1+Main!$L$10)</f>
        <v>17423.751940606806</v>
      </c>
      <c r="AS26" s="15">
        <f>AR26*(1+Main!$L$10)</f>
        <v>17423.751940606806</v>
      </c>
      <c r="AT26" s="15">
        <f>AS26*(1+Main!$L$10)</f>
        <v>17423.751940606806</v>
      </c>
      <c r="AU26" s="15">
        <f>AT26*(1+Main!$L$10)</f>
        <v>17423.751940606806</v>
      </c>
      <c r="AV26" s="15">
        <f>AU26*(1+Main!$L$10)</f>
        <v>17423.751940606806</v>
      </c>
      <c r="AW26" s="15">
        <f>AV26*(1+Main!$L$10)</f>
        <v>17423.751940606806</v>
      </c>
      <c r="AX26" s="15">
        <f>AW26*(1+Main!$L$10)</f>
        <v>17423.751940606806</v>
      </c>
      <c r="AY26" s="15">
        <f>AX26*(1+Main!$L$10)</f>
        <v>17423.751940606806</v>
      </c>
      <c r="AZ26" s="15">
        <f>AY26*(1+Main!$L$10)</f>
        <v>17423.751940606806</v>
      </c>
      <c r="BA26" s="15">
        <f>AZ26*(1+Main!$L$10)</f>
        <v>17423.751940606806</v>
      </c>
      <c r="BB26" s="15">
        <f>BA26*(1+Main!$L$10)</f>
        <v>17423.751940606806</v>
      </c>
      <c r="BC26" s="15">
        <f>BB26*(1+Main!$L$10)</f>
        <v>17423.751940606806</v>
      </c>
      <c r="BD26" s="15">
        <f>BC26*(1+Main!$L$10)</f>
        <v>17423.751940606806</v>
      </c>
      <c r="BE26" s="15">
        <f>BD26*(1+Main!$L$10)</f>
        <v>17423.751940606806</v>
      </c>
      <c r="BF26" s="15">
        <f>BE26*(1+Main!$L$10)</f>
        <v>17423.751940606806</v>
      </c>
      <c r="BG26" s="15">
        <f>BF26*(1+Main!$L$10)</f>
        <v>17423.751940606806</v>
      </c>
      <c r="BH26" s="15">
        <f>BG26*(1+Main!$L$10)</f>
        <v>17423.751940606806</v>
      </c>
      <c r="BI26" s="15">
        <f>BH26*(1+Main!$L$10)</f>
        <v>17423.751940606806</v>
      </c>
      <c r="BJ26" s="15">
        <f>BI26*(1+Main!$L$10)</f>
        <v>17423.751940606806</v>
      </c>
      <c r="BK26" s="15">
        <f>BJ26*(1+Main!$L$10)</f>
        <v>17423.751940606806</v>
      </c>
      <c r="BL26" s="15">
        <f>BK26*(1+Main!$L$10)</f>
        <v>17423.751940606806</v>
      </c>
      <c r="BM26" s="15">
        <f>BL26*(1+Main!$L$10)</f>
        <v>17423.751940606806</v>
      </c>
      <c r="BN26" s="15">
        <f>BM26*(1+Main!$L$10)</f>
        <v>17423.751940606806</v>
      </c>
      <c r="BO26" s="15">
        <f>BN26*(1+Main!$L$10)</f>
        <v>17423.751940606806</v>
      </c>
      <c r="BP26" s="15">
        <f>BO26*(1+Main!$L$10)</f>
        <v>17423.751940606806</v>
      </c>
      <c r="BQ26" s="15">
        <f>BP26*(1+Main!$L$10)</f>
        <v>17423.751940606806</v>
      </c>
      <c r="BR26" s="15">
        <f>BQ26*(1+Main!$L$10)</f>
        <v>17423.751940606806</v>
      </c>
      <c r="BS26" s="15">
        <f>BR26*(1+Main!$L$10)</f>
        <v>17423.751940606806</v>
      </c>
      <c r="BT26" s="15">
        <f>BS26*(1+Main!$L$10)</f>
        <v>17423.751940606806</v>
      </c>
      <c r="BU26" s="15">
        <f>BT26*(1+Main!$L$10)</f>
        <v>17423.751940606806</v>
      </c>
      <c r="BV26" s="15">
        <f>BU26*(1+Main!$L$10)</f>
        <v>17423.751940606806</v>
      </c>
      <c r="BW26" s="15">
        <f>BV26*(1+Main!$L$10)</f>
        <v>17423.751940606806</v>
      </c>
      <c r="BX26" s="15">
        <f>BW26*(1+Main!$L$10)</f>
        <v>17423.751940606806</v>
      </c>
      <c r="BY26" s="15">
        <f>BX26*(1+Main!$L$10)</f>
        <v>17423.751940606806</v>
      </c>
      <c r="BZ26" s="15">
        <f>BY26*(1+Main!$L$10)</f>
        <v>17423.751940606806</v>
      </c>
      <c r="CA26" s="15">
        <f>BZ26*(1+Main!$L$10)</f>
        <v>17423.751940606806</v>
      </c>
      <c r="CB26" s="15">
        <f>CA26*(1+Main!$L$10)</f>
        <v>17423.751940606806</v>
      </c>
      <c r="CC26" s="15">
        <f>CB26*(1+Main!$L$10)</f>
        <v>17423.751940606806</v>
      </c>
      <c r="CD26" s="15">
        <f>CC26*(1+Main!$L$10)</f>
        <v>17423.751940606806</v>
      </c>
      <c r="CE26" s="15">
        <f>CD26*(1+Main!$L$10)</f>
        <v>17423.751940606806</v>
      </c>
      <c r="CF26" s="15">
        <f>CE26*(1+Main!$L$10)</f>
        <v>17423.751940606806</v>
      </c>
      <c r="CG26" s="15">
        <f>CF26*(1+Main!$L$10)</f>
        <v>17423.751940606806</v>
      </c>
      <c r="CH26" s="15">
        <f>CG26*(1+Main!$L$10)</f>
        <v>17423.751940606806</v>
      </c>
      <c r="CI26" s="15">
        <f>CH26*(1+Main!$L$10)</f>
        <v>17423.751940606806</v>
      </c>
      <c r="CJ26" s="15">
        <f>CI26*(1+Main!$L$10)</f>
        <v>17423.751940606806</v>
      </c>
      <c r="CK26" s="15">
        <f>CJ26*(1+Main!$L$10)</f>
        <v>17423.751940606806</v>
      </c>
      <c r="CL26" s="15">
        <f>CK26*(1+Main!$L$10)</f>
        <v>17423.751940606806</v>
      </c>
      <c r="CM26" s="15">
        <f>CL26*(1+Main!$L$10)</f>
        <v>17423.751940606806</v>
      </c>
      <c r="CN26" s="15">
        <f>CM26*(1+Main!$L$10)</f>
        <v>17423.751940606806</v>
      </c>
      <c r="CO26" s="15">
        <f>CN26*(1+Main!$L$10)</f>
        <v>17423.751940606806</v>
      </c>
      <c r="CP26" s="15">
        <f>CO26*(1+Main!$L$10)</f>
        <v>17423.751940606806</v>
      </c>
      <c r="CQ26" s="15">
        <f>CP26*(1+Main!$L$10)</f>
        <v>17423.751940606806</v>
      </c>
      <c r="CR26" s="15">
        <f>CQ26*(1+Main!$L$10)</f>
        <v>17423.751940606806</v>
      </c>
      <c r="CS26" s="15">
        <f>CR26*(1+Main!$L$10)</f>
        <v>17423.751940606806</v>
      </c>
      <c r="CT26" s="15">
        <f>CS26*(1+Main!$L$10)</f>
        <v>17423.751940606806</v>
      </c>
      <c r="CU26" s="15">
        <f>CT26*(1+Main!$L$10)</f>
        <v>17423.751940606806</v>
      </c>
      <c r="CV26" s="15">
        <f>CU26*(1+Main!$L$10)</f>
        <v>17423.751940606806</v>
      </c>
      <c r="CW26" s="15">
        <f>CV26*(1+Main!$L$10)</f>
        <v>17423.751940606806</v>
      </c>
      <c r="CX26" s="15">
        <f>CW26*(1+Main!$L$10)</f>
        <v>17423.751940606806</v>
      </c>
      <c r="CY26" s="15">
        <f>CX26*(1+Main!$L$10)</f>
        <v>17423.751940606806</v>
      </c>
      <c r="CZ26" s="15">
        <f>CY26*(1+Main!$L$10)</f>
        <v>17423.751940606806</v>
      </c>
      <c r="DA26" s="15">
        <f>CZ26*(1+Main!$L$10)</f>
        <v>17423.751940606806</v>
      </c>
      <c r="DB26" s="15">
        <f>DA26*(1+Main!$L$10)</f>
        <v>17423.751940606806</v>
      </c>
      <c r="DC26" s="15">
        <f>DB26*(1+Main!$L$10)</f>
        <v>17423.751940606806</v>
      </c>
      <c r="DD26" s="15">
        <f>DC26*(1+Main!$L$10)</f>
        <v>17423.751940606806</v>
      </c>
      <c r="DE26" s="15">
        <f>DD26*(1+Main!$L$10)</f>
        <v>17423.751940606806</v>
      </c>
      <c r="DF26" s="15">
        <f>DE26*(1+Main!$L$10)</f>
        <v>17423.751940606806</v>
      </c>
      <c r="DG26" s="15">
        <f>DF26*(1+Main!$L$10)</f>
        <v>17423.751940606806</v>
      </c>
      <c r="DH26" s="15">
        <f>DG26*(1+Main!$L$10)</f>
        <v>17423.751940606806</v>
      </c>
      <c r="DI26" s="15">
        <f>DH26*(1+Main!$L$10)</f>
        <v>17423.751940606806</v>
      </c>
      <c r="DJ26" s="15">
        <f>DI26*(1+Main!$L$10)</f>
        <v>17423.751940606806</v>
      </c>
      <c r="DK26" s="15">
        <f>DJ26*(1+Main!$L$10)</f>
        <v>17423.751940606806</v>
      </c>
      <c r="DL26" s="15">
        <f>DK26*(1+Main!$L$10)</f>
        <v>17423.751940606806</v>
      </c>
      <c r="DM26" s="15">
        <f>DL26*(1+Main!$L$10)</f>
        <v>17423.751940606806</v>
      </c>
      <c r="DN26" s="15">
        <f>DM26*(1+Main!$L$10)</f>
        <v>17423.751940606806</v>
      </c>
      <c r="DO26" s="15">
        <f>DN26*(1+Main!$L$10)</f>
        <v>17423.751940606806</v>
      </c>
      <c r="DP26" s="15">
        <f>DO26*(1+Main!$L$10)</f>
        <v>17423.751940606806</v>
      </c>
      <c r="DQ26" s="15">
        <f>DP26*(1+Main!$L$10)</f>
        <v>17423.751940606806</v>
      </c>
      <c r="DR26" s="15">
        <f>DQ26*(1+Main!$L$10)</f>
        <v>17423.751940606806</v>
      </c>
      <c r="DS26" s="15">
        <f>DR26*(1+Main!$L$10)</f>
        <v>17423.751940606806</v>
      </c>
      <c r="DT26" s="15">
        <f>DS26*(1+Main!$L$10)</f>
        <v>17423.751940606806</v>
      </c>
      <c r="DU26" s="15">
        <f>DT26*(1+Main!$L$10)</f>
        <v>17423.751940606806</v>
      </c>
      <c r="DV26" s="15">
        <f>DU26*(1+Main!$L$10)</f>
        <v>17423.751940606806</v>
      </c>
      <c r="DW26" s="15">
        <f>DV26*(1+Main!$L$10)</f>
        <v>17423.751940606806</v>
      </c>
      <c r="DX26" s="15">
        <f>DW26*(1+Main!$L$10)</f>
        <v>17423.751940606806</v>
      </c>
      <c r="DY26" s="15">
        <f>DX26*(1+Main!$L$10)</f>
        <v>17423.751940606806</v>
      </c>
      <c r="DZ26" s="15">
        <f>DY26*(1+Main!$L$10)</f>
        <v>17423.751940606806</v>
      </c>
      <c r="EA26" s="15">
        <f>DZ26*(1+Main!$L$10)</f>
        <v>17423.751940606806</v>
      </c>
      <c r="EB26" s="15">
        <f>EA26*(1+Main!$L$10)</f>
        <v>17423.751940606806</v>
      </c>
      <c r="EC26" s="15">
        <f>EB26*(1+Main!$L$10)</f>
        <v>17423.751940606806</v>
      </c>
      <c r="ED26" s="15">
        <f>EC26*(1+Main!$L$10)</f>
        <v>17423.751940606806</v>
      </c>
      <c r="EE26" s="15">
        <f>ED26*(1+Main!$L$10)</f>
        <v>17423.751940606806</v>
      </c>
      <c r="EF26" s="15">
        <f>EE26*(1+Main!$L$10)</f>
        <v>17423.751940606806</v>
      </c>
      <c r="EG26" s="15">
        <f>EF26*(1+Main!$L$10)</f>
        <v>17423.751940606806</v>
      </c>
      <c r="EH26" s="15">
        <f>EG26*(1+Main!$L$10)</f>
        <v>17423.751940606806</v>
      </c>
      <c r="EI26" s="15">
        <f>EH26*(1+Main!$L$10)</f>
        <v>17423.751940606806</v>
      </c>
      <c r="EJ26" s="15">
        <f>EI26*(1+Main!$L$10)</f>
        <v>17423.751940606806</v>
      </c>
      <c r="EK26" s="15">
        <f>EJ26*(1+Main!$L$10)</f>
        <v>17423.751940606806</v>
      </c>
      <c r="EL26" s="15">
        <f>EK26*(1+Main!$L$10)</f>
        <v>17423.751940606806</v>
      </c>
      <c r="EM26" s="15">
        <f>EL26*(1+Main!$L$10)</f>
        <v>17423.751940606806</v>
      </c>
      <c r="EN26" s="15">
        <f>EM26*(1+Main!$L$10)</f>
        <v>17423.751940606806</v>
      </c>
      <c r="EO26" s="15">
        <f>EN26*(1+Main!$L$10)</f>
        <v>17423.751940606806</v>
      </c>
      <c r="EP26" s="15">
        <f>EO26*(1+Main!$L$10)</f>
        <v>17423.751940606806</v>
      </c>
      <c r="EQ26" s="15">
        <f>EP26*(1+Main!$L$10)</f>
        <v>17423.751940606806</v>
      </c>
      <c r="ER26" s="15">
        <f>EQ26*(1+Main!$L$10)</f>
        <v>17423.751940606806</v>
      </c>
      <c r="ES26" s="15">
        <f>ER26*(1+Main!$L$10)</f>
        <v>17423.751940606806</v>
      </c>
      <c r="ET26" s="15">
        <f>ES26*(1+Main!$L$10)</f>
        <v>17423.751940606806</v>
      </c>
      <c r="EU26" s="15">
        <f>ET26*(1+Main!$L$10)</f>
        <v>17423.751940606806</v>
      </c>
      <c r="EV26" s="15">
        <f>EU26*(1+Main!$L$10)</f>
        <v>17423.751940606806</v>
      </c>
      <c r="EW26" s="15">
        <f>EV26*(1+Main!$L$10)</f>
        <v>17423.751940606806</v>
      </c>
      <c r="EX26" s="15">
        <f>EW26*(1+Main!$L$10)</f>
        <v>17423.751940606806</v>
      </c>
      <c r="EY26" s="15">
        <f>EX26*(1+Main!$L$10)</f>
        <v>17423.751940606806</v>
      </c>
      <c r="EZ26" s="15">
        <f>EY26*(1+Main!$L$10)</f>
        <v>17423.751940606806</v>
      </c>
      <c r="FA26" s="15">
        <f>EZ26*(1+Main!$L$10)</f>
        <v>17423.751940606806</v>
      </c>
      <c r="FB26" s="15">
        <f>FA26*(1+Main!$L$10)</f>
        <v>17423.751940606806</v>
      </c>
      <c r="FC26" s="15">
        <f>FB26*(1+Main!$L$10)</f>
        <v>17423.751940606806</v>
      </c>
      <c r="FD26" s="15">
        <f>FC26*(1+Main!$L$10)</f>
        <v>17423.751940606806</v>
      </c>
    </row>
    <row r="27" spans="2:160" s="10" customFormat="1">
      <c r="B27" s="10" t="s">
        <v>32</v>
      </c>
      <c r="C27" s="12" t="e">
        <f t="shared" ref="C27:O27" si="51">C26/C28</f>
        <v>#REF!</v>
      </c>
      <c r="D27" s="12" t="e">
        <f t="shared" si="51"/>
        <v>#REF!</v>
      </c>
      <c r="E27" s="12" t="e">
        <f t="shared" si="51"/>
        <v>#REF!</v>
      </c>
      <c r="F27" s="12" t="e">
        <f t="shared" si="51"/>
        <v>#REF!</v>
      </c>
      <c r="G27" s="12" t="e">
        <f t="shared" si="51"/>
        <v>#REF!</v>
      </c>
      <c r="H27" s="12" t="e">
        <f t="shared" si="51"/>
        <v>#REF!</v>
      </c>
      <c r="I27" s="12">
        <f t="shared" si="51"/>
        <v>0.41894812680115273</v>
      </c>
      <c r="J27" s="12" t="e">
        <f t="shared" si="51"/>
        <v>#REF!</v>
      </c>
      <c r="K27" s="12">
        <f t="shared" si="51"/>
        <v>0.65320580942260009</v>
      </c>
      <c r="L27" s="12">
        <f t="shared" si="51"/>
        <v>0.64962726304579343</v>
      </c>
      <c r="M27" s="12">
        <f t="shared" si="51"/>
        <v>0.61617594891805605</v>
      </c>
      <c r="N27" s="12">
        <f t="shared" si="51"/>
        <v>-4.4244444444444442</v>
      </c>
      <c r="O27" s="12">
        <f t="shared" si="51"/>
        <v>0.82321992283409329</v>
      </c>
      <c r="P27" s="12">
        <f>P26/P28</f>
        <v>0.8738236319275009</v>
      </c>
      <c r="Q27" s="12">
        <f t="shared" ref="Q27:R27" si="52">Q26/Q28</f>
        <v>1.1671944828270762</v>
      </c>
      <c r="R27" s="12">
        <f t="shared" si="52"/>
        <v>-4.0158398252840657</v>
      </c>
      <c r="S27" s="12"/>
      <c r="T27" s="12" t="e">
        <f>T26/T28</f>
        <v>#DIV/0!</v>
      </c>
      <c r="U27" s="12">
        <f t="shared" ref="U27:Z27" si="53">U26/U28</f>
        <v>5.9979674796747968</v>
      </c>
      <c r="V27" s="12">
        <f t="shared" si="53"/>
        <v>10.845360824742269</v>
      </c>
      <c r="W27" s="12">
        <f t="shared" si="53"/>
        <v>10.024948024948024</v>
      </c>
      <c r="X27" s="12">
        <f t="shared" si="53"/>
        <v>10.097664543524417</v>
      </c>
      <c r="Y27" s="12">
        <f t="shared" si="53"/>
        <v>11.825708061002178</v>
      </c>
      <c r="Z27" s="12">
        <f t="shared" si="53"/>
        <v>12.355555555555556</v>
      </c>
      <c r="AA27" s="12">
        <f t="shared" ref="AA27:AH27" si="54">AA26/AA28</f>
        <v>19.271613165407338</v>
      </c>
      <c r="AB27" s="12">
        <f t="shared" si="54"/>
        <v>20.435140825226974</v>
      </c>
      <c r="AC27" s="12">
        <f t="shared" si="54"/>
        <v>23.120902190828232</v>
      </c>
      <c r="AD27" s="12">
        <f t="shared" si="54"/>
        <v>26.139464421297472</v>
      </c>
      <c r="AE27" s="12">
        <f t="shared" si="54"/>
        <v>29.530530075952282</v>
      </c>
      <c r="AF27" s="12">
        <f t="shared" si="54"/>
        <v>33.882397666092622</v>
      </c>
      <c r="AG27" s="12">
        <f t="shared" si="54"/>
        <v>36.592989479380037</v>
      </c>
      <c r="AH27" s="12">
        <f t="shared" si="54"/>
        <v>39.154498742936646</v>
      </c>
      <c r="AI27" s="12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</row>
    <row r="28" spans="2:160">
      <c r="B28" t="s">
        <v>1</v>
      </c>
      <c r="C28" s="20">
        <v>1231</v>
      </c>
      <c r="D28" s="20">
        <v>1232</v>
      </c>
      <c r="E28" s="20">
        <v>1230</v>
      </c>
      <c r="F28" s="20">
        <f>W28</f>
        <v>481</v>
      </c>
      <c r="G28" s="20">
        <v>1410</v>
      </c>
      <c r="H28" s="20">
        <v>1632</v>
      </c>
      <c r="I28" s="9">
        <v>2776</v>
      </c>
      <c r="J28" s="20">
        <f>X28</f>
        <v>471</v>
      </c>
      <c r="K28" s="9">
        <v>2823</v>
      </c>
      <c r="L28" s="9">
        <v>2817</v>
      </c>
      <c r="M28" s="9">
        <v>2819</v>
      </c>
      <c r="N28" s="9">
        <f>Z28</f>
        <v>450</v>
      </c>
      <c r="O28" s="9">
        <v>2851</v>
      </c>
      <c r="P28" s="9">
        <v>2869</v>
      </c>
      <c r="Q28" s="9">
        <f>P28</f>
        <v>2869</v>
      </c>
      <c r="R28" s="9">
        <f>Q28</f>
        <v>2869</v>
      </c>
      <c r="S28" s="9"/>
      <c r="T28" s="9"/>
      <c r="U28" s="9">
        <v>492</v>
      </c>
      <c r="V28" s="9">
        <v>485</v>
      </c>
      <c r="W28" s="9">
        <v>481</v>
      </c>
      <c r="X28" s="9">
        <v>471</v>
      </c>
      <c r="Y28" s="9">
        <v>459</v>
      </c>
      <c r="Z28" s="9">
        <v>450</v>
      </c>
      <c r="AA28" s="9">
        <v>445</v>
      </c>
      <c r="AB28" s="9">
        <f>AA28</f>
        <v>445</v>
      </c>
      <c r="AC28" s="9">
        <f>AB28</f>
        <v>445</v>
      </c>
      <c r="AD28" s="9">
        <f t="shared" ref="AD28:AH28" si="55">AC28</f>
        <v>445</v>
      </c>
      <c r="AE28" s="9">
        <f t="shared" si="55"/>
        <v>445</v>
      </c>
      <c r="AF28" s="9">
        <f t="shared" si="55"/>
        <v>445</v>
      </c>
      <c r="AG28" s="9">
        <f t="shared" si="55"/>
        <v>445</v>
      </c>
      <c r="AH28" s="9">
        <f t="shared" si="55"/>
        <v>445</v>
      </c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</row>
    <row r="29" spans="2:160">
      <c r="C29" s="20"/>
      <c r="D29" s="20"/>
      <c r="E29" s="20"/>
      <c r="F29" s="20"/>
      <c r="G29" s="20"/>
      <c r="H29" s="20"/>
      <c r="I29" s="20"/>
      <c r="J29" s="20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</row>
    <row r="30" spans="2:160">
      <c r="B30" t="s">
        <v>33</v>
      </c>
      <c r="C30" s="24"/>
      <c r="D30" s="24"/>
      <c r="E30" s="24"/>
      <c r="F30" s="24"/>
      <c r="G30" s="24"/>
      <c r="H30" s="24"/>
      <c r="I30" s="24"/>
      <c r="J30" s="24"/>
      <c r="K30" s="13"/>
      <c r="L30" s="13"/>
      <c r="M30" s="13"/>
      <c r="N30" s="13"/>
      <c r="O30" s="13">
        <f>O8/K8-1</f>
        <v>7.7774938240054547E-2</v>
      </c>
      <c r="P30" s="13">
        <f>P8/L8-1</f>
        <v>9.4050061551087305E-2</v>
      </c>
      <c r="Q30" s="13">
        <f>Q8/M8-1</f>
        <v>8.350000000000013E-2</v>
      </c>
      <c r="R30" s="13">
        <f>R8/N8-1</f>
        <v>0.11529999999999996</v>
      </c>
      <c r="S30" s="13"/>
      <c r="T30" s="13"/>
      <c r="U30" s="13" t="e">
        <f>U8/T8-1</f>
        <v>#DIV/0!</v>
      </c>
      <c r="V30" s="13">
        <f>V8/U8-1</f>
        <v>0.151911198639334</v>
      </c>
      <c r="W30" s="13">
        <f>W8/V8-1</f>
        <v>0.22668635374572577</v>
      </c>
      <c r="X30" s="13">
        <f>X8/W8-1</f>
        <v>0.11536268609439349</v>
      </c>
      <c r="Y30" s="13">
        <f>Y8/X8-1</f>
        <v>0.10240826990798602</v>
      </c>
      <c r="Z30" s="13">
        <f>Z8/Y8-1</f>
        <v>0.10799113813179462</v>
      </c>
      <c r="AA30" s="13">
        <f>AA8/Z8-1</f>
        <v>9.6248853754940855E-2</v>
      </c>
      <c r="AB30" s="13">
        <v>0.1021</v>
      </c>
      <c r="AC30" s="13">
        <v>0.1</v>
      </c>
      <c r="AD30" s="13">
        <v>0.1</v>
      </c>
      <c r="AE30" s="13">
        <v>0.1</v>
      </c>
      <c r="AF30" s="13">
        <v>0.09</v>
      </c>
      <c r="AG30" s="13">
        <v>0.08</v>
      </c>
      <c r="AH30" s="13">
        <v>7.0000000000000007E-2</v>
      </c>
      <c r="AI30" s="13"/>
      <c r="AJ30" s="13"/>
      <c r="AK30" s="13"/>
      <c r="AL30" s="13"/>
      <c r="AM30" s="13"/>
      <c r="AN30" s="13"/>
      <c r="AO30" s="13"/>
      <c r="AP30" s="13"/>
      <c r="AQ30" s="13"/>
      <c r="AR30" s="9"/>
      <c r="AS30" s="9"/>
      <c r="AT30" s="9"/>
    </row>
    <row r="31" spans="2:160">
      <c r="B31" t="s">
        <v>34</v>
      </c>
      <c r="C31" s="24"/>
      <c r="D31" s="24"/>
      <c r="E31" s="24"/>
      <c r="F31" s="24"/>
      <c r="G31" s="24"/>
      <c r="H31" s="24"/>
      <c r="I31" s="24"/>
      <c r="J31" s="24"/>
      <c r="K31" s="13">
        <f>K13/K8</f>
        <v>0.69247806457108785</v>
      </c>
      <c r="L31" s="13">
        <f>L13/L8</f>
        <v>0.6930652441526467</v>
      </c>
      <c r="M31" s="13">
        <f>M13/M8</f>
        <v>0.69112246527223375</v>
      </c>
      <c r="N31" s="13">
        <f>N13/N8</f>
        <v>0.54707259953161591</v>
      </c>
      <c r="O31" s="13">
        <f>O13/O8</f>
        <v>0.69127410686057544</v>
      </c>
      <c r="P31" s="13">
        <f>P13/P8</f>
        <v>0.69357137499062338</v>
      </c>
      <c r="Q31" s="13">
        <f>Q13/Q8</f>
        <v>0.70063191496620114</v>
      </c>
      <c r="R31" s="13">
        <f>R13/R8</f>
        <v>0.91349065345160962</v>
      </c>
      <c r="S31" s="13"/>
      <c r="T31" s="13" t="e">
        <f>T13/T8</f>
        <v>#DIV/0!</v>
      </c>
      <c r="U31" s="13">
        <f>U13/U8</f>
        <v>0.85023722137677915</v>
      </c>
      <c r="V31" s="13">
        <f>V13/V8</f>
        <v>0.86617967050046629</v>
      </c>
      <c r="W31" s="13">
        <f>W13/W8</f>
        <v>0.88184985745961353</v>
      </c>
      <c r="X31" s="13">
        <f>X13/X8</f>
        <v>0.87703055776439853</v>
      </c>
      <c r="Y31" s="13">
        <f>Y13/Y8</f>
        <v>0.87871605955999799</v>
      </c>
      <c r="Z31" s="13">
        <f>Z13/Z8</f>
        <v>0.89035108114392003</v>
      </c>
      <c r="AA31" s="13">
        <f>AA13/AA8</f>
        <v>0.8978443264892717</v>
      </c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9"/>
      <c r="AS31" s="9"/>
      <c r="AT31" s="9"/>
    </row>
    <row r="32" spans="2:160">
      <c r="B32" t="s">
        <v>35</v>
      </c>
      <c r="C32" s="24"/>
      <c r="D32" s="24"/>
      <c r="E32" s="24"/>
      <c r="F32" s="24"/>
      <c r="G32" s="24"/>
      <c r="H32" s="24"/>
      <c r="I32" s="24"/>
      <c r="J32" s="24"/>
      <c r="K32" s="13">
        <f>K26/K8</f>
        <v>0.15708322685066872</v>
      </c>
      <c r="L32" s="13">
        <f>L26/L8</f>
        <v>0.15018465326220765</v>
      </c>
      <c r="M32" s="13">
        <f>M26/M8</f>
        <v>0.13867156314865081</v>
      </c>
      <c r="N32" s="13">
        <f>N26/N8</f>
        <v>0.13322181331549013</v>
      </c>
      <c r="O32" s="13">
        <f>O26/O8</f>
        <v>0.18550426809990514</v>
      </c>
      <c r="P32" s="13">
        <f>P26/P8</f>
        <v>0.1880579101342735</v>
      </c>
      <c r="Q32" s="13">
        <f>Q26/Q8</f>
        <v>0.24673596105008874</v>
      </c>
      <c r="R32" s="13">
        <f>R26/R8</f>
        <v>0.69122479599290987</v>
      </c>
      <c r="S32" s="13" t="e">
        <f>S26/S8</f>
        <v>#DIV/0!</v>
      </c>
      <c r="T32" s="13" t="e">
        <f>T26/T8</f>
        <v>#DIV/0!</v>
      </c>
      <c r="U32" s="13">
        <f>U26/U8</f>
        <v>0.26416614448124609</v>
      </c>
      <c r="V32" s="13">
        <f>V26/V8</f>
        <v>0.40876593099160707</v>
      </c>
      <c r="W32" s="13">
        <f>W26/W8</f>
        <v>0.30547988596769082</v>
      </c>
      <c r="X32" s="13">
        <f>X26/X8</f>
        <v>0.27013518118823127</v>
      </c>
      <c r="Y32" s="13">
        <f>Y26/Y8</f>
        <v>0.27966407336802512</v>
      </c>
      <c r="Z32" s="13">
        <f>Z26/Z8</f>
        <v>0.25854452452917925</v>
      </c>
      <c r="AA32" s="13">
        <v>0.23</v>
      </c>
      <c r="AB32" s="13">
        <v>0.35</v>
      </c>
      <c r="AC32" s="13">
        <v>0.36</v>
      </c>
      <c r="AD32" s="13">
        <v>0.37</v>
      </c>
      <c r="AE32" s="13">
        <v>0.38</v>
      </c>
      <c r="AF32" s="13">
        <v>0.4</v>
      </c>
      <c r="AG32" s="13">
        <v>0.4</v>
      </c>
      <c r="AH32" s="13">
        <v>0.4</v>
      </c>
      <c r="AI32" s="13"/>
      <c r="AJ32" s="13"/>
      <c r="AK32" s="13"/>
      <c r="AL32" s="13"/>
      <c r="AM32" s="13"/>
      <c r="AN32" s="13"/>
      <c r="AO32" s="13"/>
      <c r="AP32" s="13"/>
      <c r="AQ32" s="13"/>
      <c r="AR32" s="9"/>
      <c r="AS32" s="9"/>
      <c r="AT32" s="9"/>
    </row>
    <row r="33" spans="2:46">
      <c r="B33" t="s">
        <v>36</v>
      </c>
      <c r="C33" s="24"/>
      <c r="D33" s="24"/>
      <c r="E33" s="24"/>
      <c r="F33" s="24"/>
      <c r="G33" s="24"/>
      <c r="H33" s="24"/>
      <c r="I33" s="24"/>
      <c r="J33" s="24"/>
      <c r="K33" s="13">
        <f t="shared" ref="K33:R33" si="56">K25/K24</f>
        <v>-2.501389660922735E-2</v>
      </c>
      <c r="L33" s="13">
        <f t="shared" si="56"/>
        <v>0.10600879335613092</v>
      </c>
      <c r="M33" s="13">
        <f t="shared" si="56"/>
        <v>0.21081326669695594</v>
      </c>
      <c r="N33" s="13">
        <f t="shared" si="56"/>
        <v>-0.58519108280254772</v>
      </c>
      <c r="O33" s="13">
        <f t="shared" si="56"/>
        <v>9.2771550057982224E-2</v>
      </c>
      <c r="P33" s="13">
        <f t="shared" si="56"/>
        <v>8.7035688273852871E-2</v>
      </c>
      <c r="Q33" s="13">
        <f t="shared" si="56"/>
        <v>8.7035688273852871E-2</v>
      </c>
      <c r="R33" s="13">
        <f t="shared" si="56"/>
        <v>8.7035688273852871E-2</v>
      </c>
      <c r="S33" s="13"/>
      <c r="T33" s="13" t="e">
        <f t="shared" ref="T33:AA33" si="57">T25/T24</f>
        <v>#DIV/0!</v>
      </c>
      <c r="U33" s="13">
        <f t="shared" si="57"/>
        <v>7.9251170046801878E-2</v>
      </c>
      <c r="V33" s="13">
        <f t="shared" si="57"/>
        <v>-0.25957854406130271</v>
      </c>
      <c r="W33" s="13">
        <f t="shared" si="57"/>
        <v>0.15477651183172655</v>
      </c>
      <c r="X33" s="13">
        <f t="shared" si="57"/>
        <v>0.20838881491344874</v>
      </c>
      <c r="Y33" s="13">
        <f t="shared" si="57"/>
        <v>0.20164730107368731</v>
      </c>
      <c r="Z33" s="13">
        <f t="shared" si="57"/>
        <v>0.19780695426345404</v>
      </c>
      <c r="AA33" s="13">
        <f t="shared" si="57"/>
        <v>0.19780695426345404</v>
      </c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9"/>
      <c r="AS33" s="9"/>
      <c r="AT33" s="9"/>
    </row>
    <row r="35" spans="2:46">
      <c r="M35" s="9"/>
    </row>
    <row r="36" spans="2:46">
      <c r="M36" s="9"/>
      <c r="V36" s="13"/>
      <c r="W36" s="13"/>
      <c r="X36" s="13"/>
      <c r="Y36" s="13"/>
    </row>
    <row r="37" spans="2:46">
      <c r="M37" s="9"/>
    </row>
    <row r="38" spans="2:46">
      <c r="M38" s="9"/>
    </row>
  </sheetData>
  <phoneticPr fontId="4" type="noConversion"/>
  <hyperlinks>
    <hyperlink ref="A1" location="Main!A1" display="Main" xr:uid="{F2EEBBDC-1CDE-5446-B41F-B71D0397BE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2025-01-09T14:59:30Z</dcterms:created>
  <dcterms:modified xsi:type="dcterms:W3CDTF">2025-01-14T18:14:28Z</dcterms:modified>
</cp:coreProperties>
</file>