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5506A8F7-E73B-4A44-BB22-FF3763753E8F}" xr6:coauthVersionLast="47" xr6:coauthVersionMax="47" xr10:uidLastSave="{00000000-0000-0000-0000-000000000000}"/>
  <bookViews>
    <workbookView xWindow="640" yWindow="740" windowWidth="13620" windowHeight="17260" activeTab="1" xr2:uid="{F82DA416-AA99-4B4A-8821-016F27042EC9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L11" i="1"/>
  <c r="L20" i="1"/>
  <c r="N37" i="2"/>
  <c r="O37" i="2"/>
  <c r="M37" i="2"/>
  <c r="D37" i="2"/>
  <c r="E37" i="2"/>
  <c r="F37" i="2"/>
  <c r="G37" i="2"/>
  <c r="H37" i="2"/>
  <c r="I37" i="2"/>
  <c r="N17" i="2"/>
  <c r="O17" i="2"/>
  <c r="P17" i="2"/>
  <c r="M17" i="2"/>
  <c r="D17" i="2"/>
  <c r="E17" i="2"/>
  <c r="F17" i="2"/>
  <c r="G17" i="2"/>
  <c r="H17" i="2"/>
  <c r="I17" i="2"/>
  <c r="J17" i="2"/>
  <c r="C17" i="2"/>
  <c r="C37" i="2" s="1"/>
  <c r="R36" i="2"/>
  <c r="S36" i="2" s="1"/>
  <c r="T36" i="2" s="1"/>
  <c r="U36" i="2" s="1"/>
  <c r="V36" i="2" s="1"/>
  <c r="W36" i="2" s="1"/>
  <c r="X36" i="2" s="1"/>
  <c r="K36" i="2"/>
  <c r="L36" i="2"/>
  <c r="P32" i="2"/>
  <c r="J32" i="2"/>
  <c r="O26" i="2"/>
  <c r="N26" i="2"/>
  <c r="M26" i="2"/>
  <c r="F32" i="2"/>
  <c r="F30" i="2"/>
  <c r="F28" i="2"/>
  <c r="J28" i="2" s="1"/>
  <c r="P28" i="2" s="1"/>
  <c r="F25" i="2"/>
  <c r="J25" i="2" s="1"/>
  <c r="P25" i="2" s="1"/>
  <c r="F24" i="2"/>
  <c r="J24" i="2" s="1"/>
  <c r="P24" i="2" s="1"/>
  <c r="F23" i="2"/>
  <c r="J23" i="2" s="1"/>
  <c r="P23" i="2" s="1"/>
  <c r="F22" i="2"/>
  <c r="J22" i="2" s="1"/>
  <c r="P22" i="2" s="1"/>
  <c r="F21" i="2"/>
  <c r="J21" i="2" s="1"/>
  <c r="P21" i="2" s="1"/>
  <c r="F20" i="2"/>
  <c r="J20" i="2" s="1"/>
  <c r="P20" i="2" s="1"/>
  <c r="F19" i="2"/>
  <c r="J19" i="2" s="1"/>
  <c r="P19" i="2" s="1"/>
  <c r="F16" i="2"/>
  <c r="J16" i="2" s="1"/>
  <c r="P16" i="2" s="1"/>
  <c r="F15" i="2"/>
  <c r="J15" i="2" s="1"/>
  <c r="P15" i="2" s="1"/>
  <c r="F6" i="2"/>
  <c r="J6" i="2" s="1"/>
  <c r="P6" i="2" s="1"/>
  <c r="F7" i="2"/>
  <c r="J7" i="2" s="1"/>
  <c r="P7" i="2" s="1"/>
  <c r="F8" i="2"/>
  <c r="J8" i="2" s="1"/>
  <c r="P8" i="2" s="1"/>
  <c r="F9" i="2"/>
  <c r="J9" i="2" s="1"/>
  <c r="P9" i="2" s="1"/>
  <c r="F10" i="2"/>
  <c r="J10" i="2" s="1"/>
  <c r="P10" i="2" s="1"/>
  <c r="F11" i="2"/>
  <c r="J11" i="2" s="1"/>
  <c r="P11" i="2" s="1"/>
  <c r="F12" i="2"/>
  <c r="J12" i="2" s="1"/>
  <c r="P12" i="2" s="1"/>
  <c r="F13" i="2"/>
  <c r="J13" i="2" s="1"/>
  <c r="P13" i="2" s="1"/>
  <c r="F5" i="2"/>
  <c r="P5" i="2" s="1"/>
  <c r="M31" i="2"/>
  <c r="N31" i="2"/>
  <c r="O31" i="2"/>
  <c r="O14" i="2"/>
  <c r="O18" i="2" s="1"/>
  <c r="O36" i="2" s="1"/>
  <c r="N14" i="2"/>
  <c r="N18" i="2" s="1"/>
  <c r="N36" i="2" s="1"/>
  <c r="M14" i="2"/>
  <c r="M18" i="2" s="1"/>
  <c r="M27" i="2" s="1"/>
  <c r="M29" i="2" s="1"/>
  <c r="M41" i="2" s="1"/>
  <c r="C31" i="2"/>
  <c r="D31" i="2"/>
  <c r="E31" i="2"/>
  <c r="G31" i="2"/>
  <c r="H31" i="2"/>
  <c r="I31" i="2"/>
  <c r="G26" i="2"/>
  <c r="H26" i="2"/>
  <c r="I26" i="2"/>
  <c r="C26" i="2"/>
  <c r="D26" i="2"/>
  <c r="E26" i="2"/>
  <c r="G14" i="2"/>
  <c r="G18" i="2" s="1"/>
  <c r="H14" i="2"/>
  <c r="H18" i="2" s="1"/>
  <c r="I14" i="2"/>
  <c r="I18" i="2" s="1"/>
  <c r="C14" i="2"/>
  <c r="C18" i="2" s="1"/>
  <c r="C36" i="2" s="1"/>
  <c r="D14" i="2"/>
  <c r="D18" i="2" s="1"/>
  <c r="D36" i="2" s="1"/>
  <c r="E14" i="2"/>
  <c r="E18" i="2" s="1"/>
  <c r="E36" i="2" s="1"/>
  <c r="H27" i="2" l="1"/>
  <c r="I34" i="2"/>
  <c r="G34" i="2"/>
  <c r="I36" i="2"/>
  <c r="H36" i="2"/>
  <c r="G36" i="2"/>
  <c r="M36" i="2"/>
  <c r="Y36" i="2"/>
  <c r="N34" i="2"/>
  <c r="N27" i="2"/>
  <c r="N29" i="2" s="1"/>
  <c r="N41" i="2" s="1"/>
  <c r="O34" i="2"/>
  <c r="O27" i="2"/>
  <c r="O29" i="2" s="1"/>
  <c r="O41" i="2" s="1"/>
  <c r="H34" i="2"/>
  <c r="J26" i="2"/>
  <c r="F14" i="2"/>
  <c r="F18" i="2" s="1"/>
  <c r="F36" i="2" s="1"/>
  <c r="J14" i="2"/>
  <c r="J18" i="2" s="1"/>
  <c r="J37" i="2" s="1"/>
  <c r="P26" i="2"/>
  <c r="P14" i="2"/>
  <c r="P18" i="2" s="1"/>
  <c r="P37" i="2" s="1"/>
  <c r="F31" i="2"/>
  <c r="F26" i="2"/>
  <c r="C27" i="2"/>
  <c r="C29" i="2" s="1"/>
  <c r="C41" i="2" s="1"/>
  <c r="G27" i="2"/>
  <c r="G29" i="2" s="1"/>
  <c r="G41" i="2" s="1"/>
  <c r="D27" i="2"/>
  <c r="D29" i="2" s="1"/>
  <c r="D41" i="2" s="1"/>
  <c r="H29" i="2"/>
  <c r="H41" i="2" s="1"/>
  <c r="I27" i="2"/>
  <c r="I29" i="2" s="1"/>
  <c r="I41" i="2" s="1"/>
  <c r="E27" i="2"/>
  <c r="E29" i="2" s="1"/>
  <c r="E41" i="2" s="1"/>
  <c r="L4" i="1"/>
  <c r="L7" i="1" s="1"/>
  <c r="P27" i="2" l="1"/>
  <c r="P29" i="2" s="1"/>
  <c r="Q18" i="2"/>
  <c r="Q30" i="2" s="1"/>
  <c r="P34" i="2"/>
  <c r="J27" i="2"/>
  <c r="J29" i="2" s="1"/>
  <c r="J34" i="2"/>
  <c r="F27" i="2"/>
  <c r="F29" i="2" s="1"/>
  <c r="F41" i="2" s="1"/>
  <c r="J30" i="2" l="1"/>
  <c r="J36" i="2" s="1"/>
  <c r="R18" i="2"/>
  <c r="Q34" i="2"/>
  <c r="J41" i="2" l="1"/>
  <c r="P30" i="2"/>
  <c r="P36" i="2" s="1"/>
  <c r="J31" i="2"/>
  <c r="S18" i="2"/>
  <c r="R30" i="2"/>
  <c r="P41" i="2"/>
  <c r="P31" i="2"/>
  <c r="T18" i="2" l="1"/>
  <c r="S30" i="2"/>
  <c r="U18" i="2" l="1"/>
  <c r="T30" i="2"/>
  <c r="V18" i="2" l="1"/>
  <c r="U30" i="2"/>
  <c r="W18" i="2" l="1"/>
  <c r="V30" i="2"/>
  <c r="X18" i="2" l="1"/>
  <c r="W30" i="2"/>
  <c r="Y18" i="2" l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FJ30" i="2" s="1"/>
  <c r="FK30" i="2" s="1"/>
  <c r="FL30" i="2" s="1"/>
  <c r="FM30" i="2" s="1"/>
  <c r="FN30" i="2" s="1"/>
  <c r="FO30" i="2" s="1"/>
  <c r="FP30" i="2" s="1"/>
  <c r="FQ30" i="2" s="1"/>
  <c r="FR30" i="2" s="1"/>
  <c r="FS30" i="2" s="1"/>
  <c r="FT30" i="2" s="1"/>
  <c r="FU30" i="2" s="1"/>
  <c r="FV30" i="2" s="1"/>
  <c r="L12" i="1" s="1"/>
  <c r="L13" i="1" s="1"/>
  <c r="L15" i="1" s="1"/>
  <c r="X30" i="2"/>
</calcChain>
</file>

<file path=xl/sharedStrings.xml><?xml version="1.0" encoding="utf-8"?>
<sst xmlns="http://schemas.openxmlformats.org/spreadsheetml/2006/main" count="58" uniqueCount="53">
  <si>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</si>
  <si>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</si>
  <si>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</si>
  <si>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</si>
  <si>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</si>
  <si>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</si>
  <si>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</si>
  <si>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</si>
  <si>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</si>
  <si>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</si>
  <si>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</si>
  <si>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</si>
  <si>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principal transactions</t>
  </si>
  <si>
    <t>asset management</t>
  </si>
  <si>
    <t>investment banking</t>
  </si>
  <si>
    <t>lending/deposit</t>
  </si>
  <si>
    <t>commissions</t>
  </si>
  <si>
    <t>investment securities losses</t>
  </si>
  <si>
    <t>mortgage</t>
  </si>
  <si>
    <t>card</t>
  </si>
  <si>
    <t>other</t>
  </si>
  <si>
    <t>Q323</t>
  </si>
  <si>
    <t>Q223</t>
  </si>
  <si>
    <t>Q123</t>
  </si>
  <si>
    <t>Q423</t>
  </si>
  <si>
    <t>Q124</t>
  </si>
  <si>
    <t>Q224</t>
  </si>
  <si>
    <t>Q424</t>
  </si>
  <si>
    <t>Noninterest revenue</t>
  </si>
  <si>
    <t>Interest income</t>
  </si>
  <si>
    <t>Interest expense</t>
  </si>
  <si>
    <t>Total net revenue</t>
  </si>
  <si>
    <t>Provision for credit loss</t>
  </si>
  <si>
    <t>Compensation expense</t>
  </si>
  <si>
    <t>Occupancy expense</t>
  </si>
  <si>
    <t>TC&amp;E expense</t>
  </si>
  <si>
    <t>services expense</t>
  </si>
  <si>
    <t>marketing expense</t>
  </si>
  <si>
    <t>other expense</t>
  </si>
  <si>
    <t>Total noninterest expense</t>
  </si>
  <si>
    <t>Income before tax</t>
  </si>
  <si>
    <t>tax</t>
  </si>
  <si>
    <t>Net Income</t>
  </si>
  <si>
    <t>EPS</t>
  </si>
  <si>
    <t>Net Income to shareholders</t>
  </si>
  <si>
    <t>Revenue y/y %</t>
  </si>
  <si>
    <t>Profit margin%</t>
  </si>
  <si>
    <t>Net interest income</t>
  </si>
  <si>
    <t>interest income%</t>
  </si>
  <si>
    <t>risk free</t>
  </si>
  <si>
    <t>beta</t>
  </si>
  <si>
    <t>ERP</t>
  </si>
  <si>
    <t>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</si>
</sst>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0.0000%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10" fontId="0" fillId="0" borderId="0" xfId="2" applyNumberFormat="1" applyFont="1"/>
    <xf numFmtId="9" fontId="0" fillId="0" borderId="0" xfId="0" applyNumberFormat="1"/>
    <xf numFmtId="10" fontId="0" fillId="0" borderId="0" xfId="0" applyNumberFormat="1"/>
    <xf numFmtId="170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05FF-B1AA-C74A-822F-5E498AFA703E}">
  <dimension ref="K2:M20"/>
  <sheetViews>
    <sheetView topLeftCell="F1" workbookViewId="0">
      <selection activeCell="M10" sqref="M10"/>
    </sheetView>
  </sheetViews>
  <sheetFormatPr baseColWidth="10" defaultRowHeight="16"/>
  <cols>
    <col min="12" max="12" width="11.28515625" bestFit="1" customWidth="1"/>
  </cols>
  <sheetData>
    <row r="2" spans="11:13">
      <c r="K2" s="1" t="s">
        <v>0</v>
      </c>
      <c r="L2" s="2">
        <v>243</v>
      </c>
    </row>
    <row r="3" spans="11:13">
      <c r="K3" s="1" t="s">
        <v>1</v>
      </c>
      <c r="L3" s="3">
        <v>2815</v>
      </c>
      <c r="M3" t="s">
        <v>2</v>
      </c>
    </row>
    <row r="4" spans="11:13">
      <c r="K4" s="1" t="s">
        <v>3</v>
      </c>
      <c r="L4" s="3">
        <f>L2*L3</f>
        <v>684045</v>
      </c>
    </row>
    <row r="5" spans="11:13">
      <c r="K5" s="1" t="s">
        <v>4</v>
      </c>
      <c r="L5" s="3">
        <v>0</v>
      </c>
      <c r="M5" t="s">
        <v>2</v>
      </c>
    </row>
    <row r="6" spans="11:13">
      <c r="K6" s="1" t="s">
        <v>5</v>
      </c>
      <c r="L6" s="3">
        <v>0</v>
      </c>
      <c r="M6" t="s">
        <v>2</v>
      </c>
    </row>
    <row r="7" spans="11:13">
      <c r="K7" s="1" t="s">
        <v>6</v>
      </c>
      <c r="L7" s="3">
        <f>L4-L5+L6</f>
        <v>684045</v>
      </c>
    </row>
    <row r="8" spans="11:13">
      <c r="K8" s="1"/>
      <c r="L8" s="1"/>
    </row>
    <row r="9" spans="11:13">
      <c r="K9" s="1"/>
      <c r="L9" s="1"/>
    </row>
    <row r="10" spans="11:13">
      <c r="K10" s="1" t="s">
        <v>7</v>
      </c>
      <c r="L10" s="4">
        <v>0.01</v>
      </c>
    </row>
    <row r="11" spans="11:13">
      <c r="K11" s="1" t="s">
        <v>8</v>
      </c>
      <c r="L11" s="4">
        <f>L20</f>
        <v>9.6600000000000005E-2</v>
      </c>
    </row>
    <row r="12" spans="11:13">
      <c r="K12" s="1" t="s">
        <v>9</v>
      </c>
      <c r="L12" s="3">
        <f>NPV(L11,Model!Q30:FV30)+L5-L6</f>
        <v>600843.42002683051</v>
      </c>
    </row>
    <row r="13" spans="11:13">
      <c r="K13" s="1" t="s">
        <v>10</v>
      </c>
      <c r="L13" s="5">
        <f>L12/L3</f>
        <v>213.44348846423819</v>
      </c>
    </row>
    <row r="15" spans="11:13">
      <c r="L15" s="6">
        <f>L13/L2-1</f>
        <v>-0.12163173471506916</v>
      </c>
    </row>
    <row r="17" spans="11:12">
      <c r="K17" t="s">
        <v>49</v>
      </c>
      <c r="L17" s="18">
        <v>4.5999999999999999E-2</v>
      </c>
    </row>
    <row r="18" spans="11:12">
      <c r="K18" t="s">
        <v>50</v>
      </c>
      <c r="L18">
        <v>1.1000000000000001</v>
      </c>
    </row>
    <row r="19" spans="11:12">
      <c r="K19" t="s">
        <v>51</v>
      </c>
      <c r="L19" s="18">
        <v>4.5999999999999999E-2</v>
      </c>
    </row>
    <row r="20" spans="11:12">
      <c r="K20" t="s">
        <v>52</v>
      </c>
      <c r="L20" s="19">
        <f>L17+L18*L19</f>
        <v>9.6600000000000005E-2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55BD-0FE3-FC44-B222-AE74552370AE}">
  <dimension ref="A1:FV41"/>
  <sheetViews>
    <sheetView tabSelected="1" topLeftCell="A3" workbookViewId="0">
      <pane xSplit="2" ySplit="2" topLeftCell="O8" activePane="bottomRight" state="frozen"/>
      <selection activeCell="A3" sqref="A3"/>
      <selection pane="topRight" activeCell="C3" sqref="C3"/>
      <selection pane="bottomLeft" activeCell="A5" sqref="A5"/>
      <selection pane="bottomRight" activeCell="J6" sqref="J6"/>
    </sheetView>
  </sheetViews>
  <sheetFormatPr baseColWidth="10" defaultRowHeight="16"/>
  <cols>
    <col min="2" max="2" width="23" bestFit="1" customWidth="1"/>
  </cols>
  <sheetData>
    <row r="1" spans="1:25">
      <c r="A1" s="7" t="s">
        <v>11</v>
      </c>
    </row>
    <row r="3" spans="1:25">
      <c r="A3" s="7" t="s">
        <v>11</v>
      </c>
    </row>
    <row r="4" spans="1:25">
      <c r="C4" t="s">
        <v>23</v>
      </c>
      <c r="D4" t="s">
        <v>22</v>
      </c>
      <c r="E4" t="s">
        <v>21</v>
      </c>
      <c r="F4" t="s">
        <v>24</v>
      </c>
      <c r="G4" t="s">
        <v>25</v>
      </c>
      <c r="H4" t="s">
        <v>26</v>
      </c>
      <c r="I4" t="s">
        <v>2</v>
      </c>
      <c r="J4" t="s">
        <v>27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</row>
    <row r="5" spans="1:25">
      <c r="B5" t="s">
        <v>14</v>
      </c>
      <c r="C5" s="9">
        <v>1649</v>
      </c>
      <c r="D5" s="9">
        <v>1513</v>
      </c>
      <c r="E5" s="9">
        <v>1722</v>
      </c>
      <c r="F5" s="9">
        <f>O5-SUM(C5:E5)</f>
        <v>1635</v>
      </c>
      <c r="G5" s="9">
        <v>1954</v>
      </c>
      <c r="H5" s="9">
        <v>2304</v>
      </c>
      <c r="I5" s="9">
        <v>2231</v>
      </c>
      <c r="J5" s="9">
        <f>F5*1.05</f>
        <v>1716.75</v>
      </c>
      <c r="K5" s="9"/>
      <c r="L5" s="9"/>
      <c r="M5" s="9">
        <v>13216</v>
      </c>
      <c r="N5" s="9">
        <v>6686</v>
      </c>
      <c r="O5" s="9">
        <v>6519</v>
      </c>
      <c r="P5" s="9">
        <f>SUM(G5:J5)</f>
        <v>8205.75</v>
      </c>
      <c r="Q5" s="9"/>
      <c r="R5" s="9"/>
      <c r="S5" s="9"/>
    </row>
    <row r="6" spans="1:25">
      <c r="B6" t="s">
        <v>12</v>
      </c>
      <c r="C6" s="9">
        <v>7615</v>
      </c>
      <c r="D6" s="9">
        <v>6910</v>
      </c>
      <c r="E6" s="9">
        <v>6210</v>
      </c>
      <c r="F6" s="9">
        <f t="shared" ref="F6:F25" si="0">O6-SUM(C6:E6)</f>
        <v>3725</v>
      </c>
      <c r="G6" s="9">
        <v>6790</v>
      </c>
      <c r="H6" s="9">
        <v>6814</v>
      </c>
      <c r="I6" s="9">
        <v>5988</v>
      </c>
      <c r="J6" s="9">
        <f t="shared" ref="J6:J25" si="1">F6</f>
        <v>3725</v>
      </c>
      <c r="K6" s="9"/>
      <c r="L6" s="9"/>
      <c r="M6" s="9">
        <v>16304</v>
      </c>
      <c r="N6" s="9">
        <v>19912</v>
      </c>
      <c r="O6" s="9">
        <v>24460</v>
      </c>
      <c r="P6" s="9">
        <f>SUM(G6:J6)</f>
        <v>23317</v>
      </c>
      <c r="Q6" s="9"/>
      <c r="R6" s="9"/>
      <c r="S6" s="9"/>
    </row>
    <row r="7" spans="1:25">
      <c r="B7" t="s">
        <v>15</v>
      </c>
      <c r="C7" s="9">
        <v>1620</v>
      </c>
      <c r="D7" s="9">
        <v>1828</v>
      </c>
      <c r="E7" s="9">
        <v>2039</v>
      </c>
      <c r="F7" s="9">
        <f t="shared" si="0"/>
        <v>1926</v>
      </c>
      <c r="G7" s="9">
        <v>1902</v>
      </c>
      <c r="H7" s="9">
        <v>1828</v>
      </c>
      <c r="I7" s="9">
        <v>1924</v>
      </c>
      <c r="J7" s="9">
        <f t="shared" si="1"/>
        <v>1926</v>
      </c>
      <c r="K7" s="9"/>
      <c r="L7" s="9"/>
      <c r="M7" s="9">
        <v>7032</v>
      </c>
      <c r="N7" s="9">
        <v>7098</v>
      </c>
      <c r="O7" s="9">
        <v>7413</v>
      </c>
      <c r="P7" s="9">
        <f>SUM(G7:J7)</f>
        <v>7580</v>
      </c>
      <c r="Q7" s="9"/>
      <c r="R7" s="9"/>
      <c r="S7" s="9"/>
    </row>
    <row r="8" spans="1:25">
      <c r="B8" t="s">
        <v>13</v>
      </c>
      <c r="C8" s="9">
        <v>3465</v>
      </c>
      <c r="D8" s="9">
        <v>3774</v>
      </c>
      <c r="E8" s="9">
        <v>3904</v>
      </c>
      <c r="F8" s="9">
        <f t="shared" si="0"/>
        <v>4077</v>
      </c>
      <c r="G8" s="9">
        <v>4146</v>
      </c>
      <c r="H8" s="9">
        <v>4302</v>
      </c>
      <c r="I8" s="9">
        <v>4479</v>
      </c>
      <c r="J8" s="9">
        <f t="shared" si="1"/>
        <v>4077</v>
      </c>
      <c r="K8" s="9"/>
      <c r="L8" s="9"/>
      <c r="M8" s="9">
        <v>14405</v>
      </c>
      <c r="N8" s="9">
        <v>14096</v>
      </c>
      <c r="O8" s="9">
        <v>15220</v>
      </c>
      <c r="P8" s="9">
        <f>SUM(G8:J8)</f>
        <v>17004</v>
      </c>
      <c r="Q8" s="9"/>
      <c r="R8" s="9"/>
      <c r="S8" s="9"/>
    </row>
    <row r="9" spans="1:25">
      <c r="B9" t="s">
        <v>16</v>
      </c>
      <c r="C9" s="9">
        <v>1695</v>
      </c>
      <c r="D9" s="9">
        <v>1739</v>
      </c>
      <c r="E9" s="9">
        <v>1705</v>
      </c>
      <c r="F9" s="9">
        <f t="shared" si="0"/>
        <v>1697</v>
      </c>
      <c r="G9" s="9">
        <v>1805</v>
      </c>
      <c r="H9" s="9">
        <v>1924</v>
      </c>
      <c r="I9" s="9">
        <v>1936</v>
      </c>
      <c r="J9" s="9">
        <f t="shared" si="1"/>
        <v>1697</v>
      </c>
      <c r="K9" s="9"/>
      <c r="L9" s="9"/>
      <c r="M9" s="9">
        <v>6624</v>
      </c>
      <c r="N9" s="9">
        <v>6581</v>
      </c>
      <c r="O9" s="9">
        <v>6836</v>
      </c>
      <c r="P9" s="9">
        <f>SUM(G9:J9)</f>
        <v>7362</v>
      </c>
      <c r="Q9" s="9"/>
      <c r="R9" s="9"/>
      <c r="S9" s="9"/>
    </row>
    <row r="10" spans="1:25">
      <c r="B10" t="s">
        <v>17</v>
      </c>
      <c r="C10" s="9">
        <v>-868</v>
      </c>
      <c r="D10" s="9">
        <v>-900</v>
      </c>
      <c r="E10" s="9">
        <v>-669</v>
      </c>
      <c r="F10" s="9">
        <f t="shared" si="0"/>
        <v>-743</v>
      </c>
      <c r="G10" s="9">
        <v>-366</v>
      </c>
      <c r="H10" s="9">
        <v>-547</v>
      </c>
      <c r="I10" s="9">
        <v>-16</v>
      </c>
      <c r="J10" s="9">
        <f t="shared" si="1"/>
        <v>-743</v>
      </c>
      <c r="K10" s="9"/>
      <c r="L10" s="9"/>
      <c r="M10" s="9">
        <v>-345</v>
      </c>
      <c r="N10" s="9">
        <v>-2380</v>
      </c>
      <c r="O10" s="9">
        <v>-3180</v>
      </c>
      <c r="P10" s="9">
        <f>SUM(G10:J10)</f>
        <v>-1672</v>
      </c>
      <c r="Q10" s="9"/>
      <c r="R10" s="9"/>
      <c r="S10" s="9"/>
    </row>
    <row r="11" spans="1:25">
      <c r="B11" t="s">
        <v>18</v>
      </c>
      <c r="C11" s="9">
        <v>221</v>
      </c>
      <c r="D11" s="9">
        <v>278</v>
      </c>
      <c r="E11" s="9">
        <v>414</v>
      </c>
      <c r="F11" s="9">
        <f t="shared" si="0"/>
        <v>263</v>
      </c>
      <c r="G11" s="9">
        <v>275</v>
      </c>
      <c r="H11" s="9">
        <v>348</v>
      </c>
      <c r="I11" s="9">
        <v>402</v>
      </c>
      <c r="J11" s="9">
        <f t="shared" si="1"/>
        <v>263</v>
      </c>
      <c r="K11" s="9"/>
      <c r="L11" s="9"/>
      <c r="M11" s="9">
        <v>2170</v>
      </c>
      <c r="N11" s="9">
        <v>1250</v>
      </c>
      <c r="O11" s="9">
        <v>1176</v>
      </c>
      <c r="P11" s="9">
        <f>SUM(G11:J11)</f>
        <v>1288</v>
      </c>
      <c r="Q11" s="9"/>
      <c r="R11" s="9"/>
      <c r="S11" s="9"/>
    </row>
    <row r="12" spans="1:25">
      <c r="B12" t="s">
        <v>19</v>
      </c>
      <c r="C12" s="9">
        <v>1234</v>
      </c>
      <c r="D12" s="9">
        <v>1094</v>
      </c>
      <c r="E12" s="9">
        <v>1209</v>
      </c>
      <c r="F12" s="9">
        <f t="shared" si="0"/>
        <v>1247</v>
      </c>
      <c r="G12" s="9">
        <v>1218</v>
      </c>
      <c r="H12" s="9">
        <v>1332</v>
      </c>
      <c r="I12" s="9">
        <v>1345</v>
      </c>
      <c r="J12" s="9">
        <f t="shared" si="1"/>
        <v>1247</v>
      </c>
      <c r="K12" s="9"/>
      <c r="L12" s="9"/>
      <c r="M12" s="9">
        <v>5102</v>
      </c>
      <c r="N12" s="9">
        <v>4420</v>
      </c>
      <c r="O12" s="9">
        <v>4784</v>
      </c>
      <c r="P12" s="9">
        <f>SUM(G12:J12)</f>
        <v>5142</v>
      </c>
      <c r="Q12" s="9"/>
      <c r="R12" s="9"/>
      <c r="S12" s="9"/>
    </row>
    <row r="13" spans="1:25">
      <c r="B13" t="s">
        <v>20</v>
      </c>
      <c r="C13" s="9">
        <v>1007</v>
      </c>
      <c r="D13" s="9">
        <v>3292</v>
      </c>
      <c r="E13" s="9">
        <v>614</v>
      </c>
      <c r="F13" s="9">
        <f t="shared" si="0"/>
        <v>696</v>
      </c>
      <c r="G13" s="9">
        <v>1128</v>
      </c>
      <c r="H13" s="9">
        <v>9149</v>
      </c>
      <c r="I13" s="9">
        <v>960</v>
      </c>
      <c r="J13" s="9">
        <f t="shared" si="1"/>
        <v>696</v>
      </c>
      <c r="K13" s="9"/>
      <c r="L13" s="9"/>
      <c r="M13" s="9">
        <v>4830</v>
      </c>
      <c r="N13" s="9">
        <v>4322</v>
      </c>
      <c r="O13" s="9">
        <v>5609</v>
      </c>
      <c r="P13" s="9">
        <f>SUM(G13:J13)</f>
        <v>11933</v>
      </c>
      <c r="Q13" s="9"/>
      <c r="R13" s="9"/>
      <c r="S13" s="9"/>
    </row>
    <row r="14" spans="1:25" s="10" customFormat="1">
      <c r="B14" s="10" t="s">
        <v>28</v>
      </c>
      <c r="C14" s="11">
        <f t="shared" ref="C14:D14" si="2">SUM(C5:C13)</f>
        <v>17638</v>
      </c>
      <c r="D14" s="11">
        <f t="shared" si="2"/>
        <v>19528</v>
      </c>
      <c r="E14" s="11">
        <f>SUM(E5:E13)</f>
        <v>17148</v>
      </c>
      <c r="F14" s="11">
        <f t="shared" ref="F14:I14" si="3">SUM(F5:F13)</f>
        <v>14523</v>
      </c>
      <c r="G14" s="11">
        <f t="shared" si="3"/>
        <v>18852</v>
      </c>
      <c r="H14" s="11">
        <f t="shared" si="3"/>
        <v>27454</v>
      </c>
      <c r="I14" s="11">
        <f t="shared" si="3"/>
        <v>19249</v>
      </c>
      <c r="J14" s="11">
        <f>SUM(J5:J13)</f>
        <v>14604.75</v>
      </c>
      <c r="K14" s="11"/>
      <c r="L14" s="11"/>
      <c r="M14" s="11">
        <f>SUM(M5:M13)</f>
        <v>69338</v>
      </c>
      <c r="N14" s="11">
        <f>SUM(N5:N13)</f>
        <v>61985</v>
      </c>
      <c r="O14" s="11">
        <f>SUM(O5:O13)</f>
        <v>68837</v>
      </c>
      <c r="P14" s="11">
        <f>SUM(P5:P13)</f>
        <v>80159.75</v>
      </c>
      <c r="Q14" s="11"/>
      <c r="R14" s="11"/>
      <c r="S14" s="11"/>
    </row>
    <row r="15" spans="1:25">
      <c r="B15" t="s">
        <v>29</v>
      </c>
      <c r="C15" s="9">
        <v>37004</v>
      </c>
      <c r="D15" s="9">
        <v>41644</v>
      </c>
      <c r="E15" s="9">
        <v>44556</v>
      </c>
      <c r="F15" s="9">
        <f t="shared" si="0"/>
        <v>47384</v>
      </c>
      <c r="G15" s="9">
        <v>47438</v>
      </c>
      <c r="H15" s="9">
        <v>48513</v>
      </c>
      <c r="I15" s="9">
        <v>50416</v>
      </c>
      <c r="J15" s="9">
        <f t="shared" si="1"/>
        <v>47384</v>
      </c>
      <c r="K15" s="9"/>
      <c r="L15" s="9"/>
      <c r="M15" s="9">
        <v>57864</v>
      </c>
      <c r="N15" s="9">
        <v>92807</v>
      </c>
      <c r="O15" s="9">
        <v>170588</v>
      </c>
      <c r="P15" s="9">
        <f>SUM(G15:J15)</f>
        <v>193751</v>
      </c>
      <c r="Q15" s="9"/>
      <c r="R15" s="9"/>
      <c r="S15" s="9"/>
    </row>
    <row r="16" spans="1:25">
      <c r="B16" t="s">
        <v>30</v>
      </c>
      <c r="C16" s="9">
        <v>16293</v>
      </c>
      <c r="D16" s="9">
        <v>19865</v>
      </c>
      <c r="E16" s="9">
        <v>21830</v>
      </c>
      <c r="F16" s="9">
        <f t="shared" si="0"/>
        <v>23333</v>
      </c>
      <c r="G16" s="9">
        <v>24356</v>
      </c>
      <c r="H16" s="9">
        <v>25767</v>
      </c>
      <c r="I16" s="9">
        <v>27011</v>
      </c>
      <c r="J16" s="9">
        <f t="shared" si="1"/>
        <v>23333</v>
      </c>
      <c r="K16" s="9"/>
      <c r="L16" s="9"/>
      <c r="M16" s="9">
        <v>5553</v>
      </c>
      <c r="N16" s="9">
        <v>26097</v>
      </c>
      <c r="O16" s="9">
        <v>81321</v>
      </c>
      <c r="P16" s="9">
        <f>SUM(G16:J16)</f>
        <v>100467</v>
      </c>
      <c r="Q16" s="9"/>
      <c r="R16" s="9"/>
      <c r="S16" s="9"/>
    </row>
    <row r="17" spans="2:178" s="10" customFormat="1">
      <c r="B17" s="10" t="s">
        <v>47</v>
      </c>
      <c r="C17" s="11">
        <f>C15-C16</f>
        <v>20711</v>
      </c>
      <c r="D17" s="11">
        <f t="shared" ref="D17:J17" si="4">D15-D16</f>
        <v>21779</v>
      </c>
      <c r="E17" s="11">
        <f t="shared" si="4"/>
        <v>22726</v>
      </c>
      <c r="F17" s="11">
        <f t="shared" si="4"/>
        <v>24051</v>
      </c>
      <c r="G17" s="11">
        <f t="shared" si="4"/>
        <v>23082</v>
      </c>
      <c r="H17" s="11">
        <f t="shared" si="4"/>
        <v>22746</v>
      </c>
      <c r="I17" s="11">
        <f t="shared" si="4"/>
        <v>23405</v>
      </c>
      <c r="J17" s="11">
        <f t="shared" si="4"/>
        <v>24051</v>
      </c>
      <c r="K17" s="11"/>
      <c r="L17" s="11"/>
      <c r="M17" s="11">
        <f>M15-M16</f>
        <v>52311</v>
      </c>
      <c r="N17" s="11">
        <f t="shared" ref="N17:P17" si="5">N15-N16</f>
        <v>66710</v>
      </c>
      <c r="O17" s="11">
        <f t="shared" si="5"/>
        <v>89267</v>
      </c>
      <c r="P17" s="11">
        <f t="shared" si="5"/>
        <v>93284</v>
      </c>
      <c r="Q17" s="11"/>
      <c r="R17" s="11"/>
      <c r="S17" s="11"/>
    </row>
    <row r="18" spans="2:178" s="12" customFormat="1">
      <c r="B18" s="12" t="s">
        <v>31</v>
      </c>
      <c r="C18" s="13">
        <f t="shared" ref="C18:D18" si="6">SUM(C14:C15)-C16</f>
        <v>38349</v>
      </c>
      <c r="D18" s="13">
        <f t="shared" si="6"/>
        <v>41307</v>
      </c>
      <c r="E18" s="13">
        <f>SUM(E14:E15)-E16</f>
        <v>39874</v>
      </c>
      <c r="F18" s="13">
        <f t="shared" ref="F18:J18" si="7">SUM(F14:F15)-F16</f>
        <v>38574</v>
      </c>
      <c r="G18" s="13">
        <f t="shared" si="7"/>
        <v>41934</v>
      </c>
      <c r="H18" s="13">
        <f t="shared" si="7"/>
        <v>50200</v>
      </c>
      <c r="I18" s="13">
        <f t="shared" si="7"/>
        <v>42654</v>
      </c>
      <c r="J18" s="13">
        <f t="shared" si="7"/>
        <v>38655.75</v>
      </c>
      <c r="K18" s="13"/>
      <c r="L18" s="13"/>
      <c r="M18" s="13">
        <f t="shared" ref="M18:P18" si="8">SUM(M14:M15)-M16</f>
        <v>121649</v>
      </c>
      <c r="N18" s="13">
        <f t="shared" si="8"/>
        <v>128695</v>
      </c>
      <c r="O18" s="13">
        <f t="shared" si="8"/>
        <v>158104</v>
      </c>
      <c r="P18" s="13">
        <f t="shared" si="8"/>
        <v>173443.75</v>
      </c>
      <c r="Q18" s="13">
        <f>P18</f>
        <v>173443.75</v>
      </c>
      <c r="R18" s="13">
        <f>Q18*(1+R34)</f>
        <v>175178.1875</v>
      </c>
      <c r="S18" s="13">
        <f t="shared" ref="S18:Y18" si="9">R18*(1+S34)</f>
        <v>176929.96937500002</v>
      </c>
      <c r="T18" s="13">
        <f t="shared" si="9"/>
        <v>178699.26906875003</v>
      </c>
      <c r="U18" s="13">
        <f t="shared" si="9"/>
        <v>180486.26175943753</v>
      </c>
      <c r="V18" s="13">
        <f t="shared" si="9"/>
        <v>182291.1243770319</v>
      </c>
      <c r="W18" s="13">
        <f t="shared" si="9"/>
        <v>184114.03562080223</v>
      </c>
      <c r="X18" s="13">
        <f t="shared" si="9"/>
        <v>185955.17597701025</v>
      </c>
      <c r="Y18" s="13">
        <f t="shared" si="9"/>
        <v>187814.72773678036</v>
      </c>
    </row>
    <row r="19" spans="2:178">
      <c r="B19" t="s">
        <v>32</v>
      </c>
      <c r="C19" s="9">
        <v>2275</v>
      </c>
      <c r="D19" s="9">
        <v>2899</v>
      </c>
      <c r="E19" s="9">
        <v>1384</v>
      </c>
      <c r="F19" s="9">
        <f t="shared" si="0"/>
        <v>2762</v>
      </c>
      <c r="G19" s="9">
        <v>1884</v>
      </c>
      <c r="H19" s="9">
        <v>3052</v>
      </c>
      <c r="I19" s="9">
        <v>3111</v>
      </c>
      <c r="J19" s="9">
        <f t="shared" si="1"/>
        <v>2762</v>
      </c>
      <c r="K19" s="9"/>
      <c r="L19" s="9"/>
      <c r="M19" s="9">
        <v>-9256</v>
      </c>
      <c r="N19" s="9">
        <v>6389</v>
      </c>
      <c r="O19" s="9">
        <v>9320</v>
      </c>
      <c r="P19" s="9">
        <f>SUM(G19:J19)</f>
        <v>10809</v>
      </c>
      <c r="Q19" s="9"/>
      <c r="R19" s="9"/>
      <c r="S19" s="9"/>
    </row>
    <row r="20" spans="2:178">
      <c r="B20" t="s">
        <v>33</v>
      </c>
      <c r="C20" s="9">
        <v>11676</v>
      </c>
      <c r="D20" s="9">
        <v>11216</v>
      </c>
      <c r="E20" s="9">
        <v>11726</v>
      </c>
      <c r="F20" s="9">
        <f t="shared" si="0"/>
        <v>11847</v>
      </c>
      <c r="G20" s="9">
        <v>13118</v>
      </c>
      <c r="H20" s="9">
        <v>12953</v>
      </c>
      <c r="I20" s="9">
        <v>12817</v>
      </c>
      <c r="J20" s="9">
        <f t="shared" si="1"/>
        <v>11847</v>
      </c>
      <c r="K20" s="9"/>
      <c r="L20" s="9"/>
      <c r="M20" s="9">
        <v>38567</v>
      </c>
      <c r="N20" s="9">
        <v>41636</v>
      </c>
      <c r="O20" s="9">
        <v>46465</v>
      </c>
      <c r="P20" s="9">
        <f>SUM(G20:J20)</f>
        <v>50735</v>
      </c>
      <c r="Q20" s="9"/>
      <c r="R20" s="9"/>
      <c r="S20" s="9"/>
    </row>
    <row r="21" spans="2:178">
      <c r="B21" t="s">
        <v>34</v>
      </c>
      <c r="C21" s="9">
        <v>1115</v>
      </c>
      <c r="D21" s="9">
        <v>1070</v>
      </c>
      <c r="E21" s="9">
        <v>1197</v>
      </c>
      <c r="F21" s="9">
        <f t="shared" si="0"/>
        <v>1208</v>
      </c>
      <c r="G21" s="9">
        <v>1211</v>
      </c>
      <c r="H21" s="9">
        <v>1248</v>
      </c>
      <c r="I21" s="9">
        <v>1258</v>
      </c>
      <c r="J21" s="9">
        <f t="shared" si="1"/>
        <v>1208</v>
      </c>
      <c r="K21" s="9"/>
      <c r="L21" s="9"/>
      <c r="M21" s="9">
        <v>4516</v>
      </c>
      <c r="N21" s="9">
        <v>4696</v>
      </c>
      <c r="O21" s="9">
        <v>4590</v>
      </c>
      <c r="P21" s="9">
        <f>SUM(G21:J21)</f>
        <v>4925</v>
      </c>
      <c r="Q21" s="9"/>
      <c r="R21" s="9"/>
      <c r="S21" s="9"/>
    </row>
    <row r="22" spans="2:178">
      <c r="B22" t="s">
        <v>35</v>
      </c>
      <c r="C22" s="9">
        <v>2184</v>
      </c>
      <c r="D22" s="9">
        <v>2267</v>
      </c>
      <c r="E22" s="9">
        <v>2386</v>
      </c>
      <c r="F22" s="9">
        <f t="shared" si="0"/>
        <v>2409</v>
      </c>
      <c r="G22" s="9">
        <v>2421</v>
      </c>
      <c r="H22" s="9">
        <v>2447</v>
      </c>
      <c r="I22" s="9">
        <v>2447</v>
      </c>
      <c r="J22" s="9">
        <f t="shared" si="1"/>
        <v>2409</v>
      </c>
      <c r="K22" s="9"/>
      <c r="L22" s="9"/>
      <c r="M22" s="9">
        <v>9941</v>
      </c>
      <c r="N22" s="9">
        <v>9358</v>
      </c>
      <c r="O22" s="9">
        <v>9246</v>
      </c>
      <c r="P22" s="9">
        <f>SUM(G22:J22)</f>
        <v>9724</v>
      </c>
      <c r="Q22" s="9"/>
      <c r="R22" s="9"/>
      <c r="S22" s="9"/>
    </row>
    <row r="23" spans="2:178">
      <c r="B23" t="s">
        <v>36</v>
      </c>
      <c r="C23" s="9">
        <v>2448</v>
      </c>
      <c r="D23" s="9">
        <v>2561</v>
      </c>
      <c r="E23" s="9">
        <v>2620</v>
      </c>
      <c r="F23" s="9">
        <f t="shared" si="0"/>
        <v>2606</v>
      </c>
      <c r="G23" s="9">
        <v>2548</v>
      </c>
      <c r="H23" s="9">
        <v>2722</v>
      </c>
      <c r="I23" s="9">
        <v>2780</v>
      </c>
      <c r="J23" s="9">
        <f t="shared" si="1"/>
        <v>2606</v>
      </c>
      <c r="K23" s="9"/>
      <c r="L23" s="9"/>
      <c r="M23" s="9">
        <v>9814</v>
      </c>
      <c r="N23" s="9">
        <v>10174</v>
      </c>
      <c r="O23" s="9">
        <v>10235</v>
      </c>
      <c r="P23" s="9">
        <f>SUM(G23:J23)</f>
        <v>10656</v>
      </c>
      <c r="Q23" s="9"/>
      <c r="R23" s="9"/>
      <c r="S23" s="9"/>
    </row>
    <row r="24" spans="2:178">
      <c r="B24" t="s">
        <v>37</v>
      </c>
      <c r="C24" s="9">
        <v>1045</v>
      </c>
      <c r="D24" s="9">
        <v>1122</v>
      </c>
      <c r="E24" s="9">
        <v>1126</v>
      </c>
      <c r="F24" s="9">
        <f t="shared" si="0"/>
        <v>1298</v>
      </c>
      <c r="G24" s="9">
        <v>1160</v>
      </c>
      <c r="H24" s="9">
        <v>1221</v>
      </c>
      <c r="I24" s="9">
        <v>1258</v>
      </c>
      <c r="J24" s="9">
        <f t="shared" si="1"/>
        <v>1298</v>
      </c>
      <c r="K24" s="9"/>
      <c r="L24" s="9"/>
      <c r="M24" s="9">
        <v>3036</v>
      </c>
      <c r="N24" s="9">
        <v>3911</v>
      </c>
      <c r="O24" s="9">
        <v>4591</v>
      </c>
      <c r="P24" s="9">
        <f>SUM(G24:J24)</f>
        <v>4937</v>
      </c>
      <c r="Q24" s="9"/>
      <c r="R24" s="9"/>
      <c r="S24" s="9"/>
    </row>
    <row r="25" spans="2:178">
      <c r="B25" t="s">
        <v>38</v>
      </c>
      <c r="C25" s="9">
        <v>1639</v>
      </c>
      <c r="D25" s="9">
        <v>2586</v>
      </c>
      <c r="E25" s="9">
        <v>2702</v>
      </c>
      <c r="F25" s="9">
        <f t="shared" si="0"/>
        <v>5118</v>
      </c>
      <c r="G25" s="9">
        <v>2299</v>
      </c>
      <c r="H25" s="9">
        <v>3122</v>
      </c>
      <c r="I25" s="9">
        <v>2005</v>
      </c>
      <c r="J25" s="9">
        <f t="shared" si="1"/>
        <v>5118</v>
      </c>
      <c r="K25" s="9"/>
      <c r="L25" s="9"/>
      <c r="M25" s="9">
        <v>5469</v>
      </c>
      <c r="N25" s="9">
        <v>6365</v>
      </c>
      <c r="O25" s="9">
        <v>12045</v>
      </c>
      <c r="P25" s="9">
        <f>SUM(G25:J25)</f>
        <v>12544</v>
      </c>
      <c r="Q25" s="9"/>
      <c r="R25" s="9"/>
      <c r="S25" s="9"/>
    </row>
    <row r="26" spans="2:178" s="10" customFormat="1">
      <c r="B26" s="10" t="s">
        <v>39</v>
      </c>
      <c r="C26" s="11">
        <f t="shared" ref="C26:D26" si="10">SUM(C20:C25)</f>
        <v>20107</v>
      </c>
      <c r="D26" s="11">
        <f t="shared" si="10"/>
        <v>20822</v>
      </c>
      <c r="E26" s="11">
        <f>SUM(E20:E25)</f>
        <v>21757</v>
      </c>
      <c r="F26" s="11">
        <f t="shared" ref="F26:J26" si="11">SUM(F20:F25)</f>
        <v>24486</v>
      </c>
      <c r="G26" s="11">
        <f t="shared" si="11"/>
        <v>22757</v>
      </c>
      <c r="H26" s="11">
        <f t="shared" si="11"/>
        <v>23713</v>
      </c>
      <c r="I26" s="11">
        <f t="shared" si="11"/>
        <v>22565</v>
      </c>
      <c r="J26" s="11">
        <f t="shared" si="11"/>
        <v>24486</v>
      </c>
      <c r="K26" s="11"/>
      <c r="L26" s="11"/>
      <c r="M26" s="11">
        <f t="shared" ref="M26:P26" si="12">SUM(M20:M25)</f>
        <v>71343</v>
      </c>
      <c r="N26" s="11">
        <f t="shared" si="12"/>
        <v>76140</v>
      </c>
      <c r="O26" s="11">
        <f t="shared" si="12"/>
        <v>87172</v>
      </c>
      <c r="P26" s="11">
        <f t="shared" si="12"/>
        <v>93521</v>
      </c>
      <c r="Q26" s="11"/>
      <c r="R26" s="11"/>
      <c r="S26" s="11"/>
    </row>
    <row r="27" spans="2:178" s="10" customFormat="1">
      <c r="B27" s="10" t="s">
        <v>40</v>
      </c>
      <c r="C27" s="11">
        <f t="shared" ref="C27:D27" si="13">C18-C19-C26</f>
        <v>15967</v>
      </c>
      <c r="D27" s="11">
        <f t="shared" si="13"/>
        <v>17586</v>
      </c>
      <c r="E27" s="11">
        <f>E18-E19-E26</f>
        <v>16733</v>
      </c>
      <c r="F27" s="11">
        <f t="shared" ref="F27:J27" si="14">F18-F19-F26</f>
        <v>11326</v>
      </c>
      <c r="G27" s="11">
        <f t="shared" si="14"/>
        <v>17293</v>
      </c>
      <c r="H27" s="11">
        <f t="shared" si="14"/>
        <v>23435</v>
      </c>
      <c r="I27" s="11">
        <f t="shared" si="14"/>
        <v>16978</v>
      </c>
      <c r="J27" s="11">
        <f t="shared" si="14"/>
        <v>11407.75</v>
      </c>
      <c r="K27" s="11"/>
      <c r="L27" s="11"/>
      <c r="M27" s="11">
        <f t="shared" ref="M27:P27" si="15">M18-M19-M26</f>
        <v>59562</v>
      </c>
      <c r="N27" s="11">
        <f t="shared" si="15"/>
        <v>46166</v>
      </c>
      <c r="O27" s="11">
        <f t="shared" si="15"/>
        <v>61612</v>
      </c>
      <c r="P27" s="11">
        <f t="shared" si="15"/>
        <v>69113.75</v>
      </c>
      <c r="Q27" s="11"/>
      <c r="R27" s="11"/>
      <c r="S27" s="11"/>
    </row>
    <row r="28" spans="2:178">
      <c r="B28" t="s">
        <v>41</v>
      </c>
      <c r="C28" s="9">
        <v>3345</v>
      </c>
      <c r="D28" s="9">
        <v>3114</v>
      </c>
      <c r="E28" s="9">
        <v>3582</v>
      </c>
      <c r="F28" s="9">
        <f t="shared" ref="F28" si="16">O28-SUM(C28:E28)</f>
        <v>2019</v>
      </c>
      <c r="G28" s="9">
        <v>3847</v>
      </c>
      <c r="H28" s="9">
        <v>5286</v>
      </c>
      <c r="I28" s="9">
        <v>4080</v>
      </c>
      <c r="J28" s="9">
        <f t="shared" ref="J28" si="17">F28</f>
        <v>2019</v>
      </c>
      <c r="K28" s="9"/>
      <c r="L28" s="9"/>
      <c r="M28" s="9">
        <v>11228</v>
      </c>
      <c r="N28" s="9">
        <v>8490</v>
      </c>
      <c r="O28" s="9">
        <v>12060</v>
      </c>
      <c r="P28" s="9">
        <f>SUM(G28:J28)</f>
        <v>15232</v>
      </c>
      <c r="Q28" s="9"/>
      <c r="R28" s="9"/>
      <c r="S28" s="9"/>
    </row>
    <row r="29" spans="2:178" s="10" customFormat="1">
      <c r="B29" s="10" t="s">
        <v>42</v>
      </c>
      <c r="C29" s="11">
        <f t="shared" ref="C29:D29" si="18">C27-C28</f>
        <v>12622</v>
      </c>
      <c r="D29" s="11">
        <f t="shared" si="18"/>
        <v>14472</v>
      </c>
      <c r="E29" s="11">
        <f>E27-E28</f>
        <v>13151</v>
      </c>
      <c r="F29" s="11">
        <f t="shared" ref="F29:J29" si="19">F27-F28</f>
        <v>9307</v>
      </c>
      <c r="G29" s="11">
        <f t="shared" si="19"/>
        <v>13446</v>
      </c>
      <c r="H29" s="11">
        <f t="shared" si="19"/>
        <v>18149</v>
      </c>
      <c r="I29" s="11">
        <f t="shared" si="19"/>
        <v>12898</v>
      </c>
      <c r="J29" s="11">
        <f t="shared" si="19"/>
        <v>9388.75</v>
      </c>
      <c r="K29" s="11"/>
      <c r="L29" s="11"/>
      <c r="M29" s="11">
        <f t="shared" ref="M29:P29" si="20">M27-M28</f>
        <v>48334</v>
      </c>
      <c r="N29" s="11">
        <f t="shared" si="20"/>
        <v>37676</v>
      </c>
      <c r="O29" s="11">
        <f t="shared" si="20"/>
        <v>49552</v>
      </c>
      <c r="P29" s="11">
        <f t="shared" si="20"/>
        <v>53881.75</v>
      </c>
      <c r="Q29" s="11"/>
      <c r="R29" s="11"/>
      <c r="S29" s="11"/>
    </row>
    <row r="30" spans="2:178" s="14" customFormat="1">
      <c r="B30" s="14" t="s">
        <v>44</v>
      </c>
      <c r="C30" s="15">
        <v>12193</v>
      </c>
      <c r="D30" s="15">
        <v>14011</v>
      </c>
      <c r="E30" s="15">
        <v>12685</v>
      </c>
      <c r="F30" s="9">
        <f t="shared" ref="F30" si="21">O30-SUM(C30:E30)</f>
        <v>8871</v>
      </c>
      <c r="G30" s="15">
        <v>12942</v>
      </c>
      <c r="H30" s="15">
        <v>17718</v>
      </c>
      <c r="I30" s="15">
        <v>12537</v>
      </c>
      <c r="J30" s="15">
        <f>J29*AVERAGE(F41:I41)</f>
        <v>9069.3765847197974</v>
      </c>
      <c r="K30" s="15"/>
      <c r="L30" s="15"/>
      <c r="M30" s="15">
        <v>46503</v>
      </c>
      <c r="N30" s="15">
        <v>35892</v>
      </c>
      <c r="O30" s="15">
        <v>47760</v>
      </c>
      <c r="P30" s="15">
        <f>SUM(G30:J30)</f>
        <v>52266.376584719794</v>
      </c>
      <c r="Q30" s="15">
        <f>Q18*Q36</f>
        <v>52033.125</v>
      </c>
      <c r="R30" s="15">
        <f t="shared" ref="R30:Y30" si="22">R18*R36</f>
        <v>52553.456249999996</v>
      </c>
      <c r="S30" s="15">
        <f t="shared" si="22"/>
        <v>53078.9908125</v>
      </c>
      <c r="T30" s="15">
        <f t="shared" si="22"/>
        <v>53609.780720625007</v>
      </c>
      <c r="U30" s="15">
        <f t="shared" si="22"/>
        <v>54145.878527831257</v>
      </c>
      <c r="V30" s="15">
        <f t="shared" si="22"/>
        <v>54687.337313109565</v>
      </c>
      <c r="W30" s="15">
        <f t="shared" si="22"/>
        <v>55234.210686240665</v>
      </c>
      <c r="X30" s="15">
        <f t="shared" si="22"/>
        <v>55786.552793103074</v>
      </c>
      <c r="Y30" s="15">
        <f t="shared" si="22"/>
        <v>56344.418321034107</v>
      </c>
      <c r="Z30" s="15">
        <f>Y30*(1+Main!$L$10)</f>
        <v>56907.862504244447</v>
      </c>
      <c r="AA30" s="15">
        <f>Z30*(1+Main!$L$10)</f>
        <v>57476.94112928689</v>
      </c>
      <c r="AB30" s="15">
        <f>AA30*(1+Main!$L$10)</f>
        <v>58051.710540579763</v>
      </c>
      <c r="AC30" s="15">
        <f>AB30*(1+Main!$L$10)</f>
        <v>58632.227645985564</v>
      </c>
      <c r="AD30" s="15">
        <f>AC30*(1+Main!$L$10)</f>
        <v>59218.549922445418</v>
      </c>
      <c r="AE30" s="15">
        <f>AD30*(1+Main!$L$10)</f>
        <v>59810.735421669873</v>
      </c>
      <c r="AF30" s="15">
        <f>AE30*(1+Main!$L$10)</f>
        <v>60408.842775886573</v>
      </c>
      <c r="AG30" s="15">
        <f>AF30*(1+Main!$L$10)</f>
        <v>61012.931203645436</v>
      </c>
      <c r="AH30" s="15">
        <f>AG30*(1+Main!$L$10)</f>
        <v>61623.060515681893</v>
      </c>
      <c r="AI30" s="15">
        <f>AH30*(1+Main!$L$10)</f>
        <v>62239.291120838716</v>
      </c>
      <c r="AJ30" s="15">
        <f>AI30*(1+Main!$L$10)</f>
        <v>62861.684032047102</v>
      </c>
      <c r="AK30" s="15">
        <f>AJ30*(1+Main!$L$10)</f>
        <v>63490.300872367574</v>
      </c>
      <c r="AL30" s="15">
        <f>AK30*(1+Main!$L$10)</f>
        <v>64125.203881091249</v>
      </c>
      <c r="AM30" s="15">
        <f>AL30*(1+Main!$L$10)</f>
        <v>64766.455919902161</v>
      </c>
      <c r="AN30" s="15">
        <f>AM30*(1+Main!$L$10)</f>
        <v>65414.120479101184</v>
      </c>
      <c r="AO30" s="15">
        <f>AN30*(1+Main!$L$10)</f>
        <v>66068.261683892197</v>
      </c>
      <c r="AP30" s="15">
        <f>AO30*(1+Main!$L$10)</f>
        <v>66728.94430073112</v>
      </c>
      <c r="AQ30" s="15">
        <f>AP30*(1+Main!$L$10)</f>
        <v>67396.233743738427</v>
      </c>
      <c r="AR30" s="15">
        <f>AQ30*(1+Main!$L$10)</f>
        <v>68070.196081175818</v>
      </c>
      <c r="AS30" s="15">
        <f>AR30*(1+Main!$L$10)</f>
        <v>68750.898041987573</v>
      </c>
      <c r="AT30" s="15">
        <f>AS30*(1+Main!$L$10)</f>
        <v>69438.407022407453</v>
      </c>
      <c r="AU30" s="15">
        <f>AT30*(1+Main!$L$10)</f>
        <v>70132.791092631523</v>
      </c>
      <c r="AV30" s="15">
        <f>AU30*(1+Main!$L$10)</f>
        <v>70834.119003557833</v>
      </c>
      <c r="AW30" s="15">
        <f>AV30*(1+Main!$L$10)</f>
        <v>71542.460193593419</v>
      </c>
      <c r="AX30" s="15">
        <f>AW30*(1+Main!$L$10)</f>
        <v>72257.88479552936</v>
      </c>
      <c r="AY30" s="15">
        <f>AX30*(1+Main!$L$10)</f>
        <v>72980.463643484662</v>
      </c>
      <c r="AZ30" s="15">
        <f>AY30*(1+Main!$L$10)</f>
        <v>73710.268279919503</v>
      </c>
      <c r="BA30" s="15">
        <f>AZ30*(1+Main!$L$10)</f>
        <v>74447.370962718705</v>
      </c>
      <c r="BB30" s="15">
        <f>BA30*(1+Main!$L$10)</f>
        <v>75191.844672345891</v>
      </c>
      <c r="BC30" s="15">
        <f>BB30*(1+Main!$L$10)</f>
        <v>75943.76311906935</v>
      </c>
      <c r="BD30" s="15">
        <f>BC30*(1+Main!$L$10)</f>
        <v>76703.200750260046</v>
      </c>
      <c r="BE30" s="15">
        <f>BD30*(1+Main!$L$10)</f>
        <v>77470.232757762642</v>
      </c>
      <c r="BF30" s="15">
        <f>BE30*(1+Main!$L$10)</f>
        <v>78244.935085340272</v>
      </c>
      <c r="BG30" s="15">
        <f>BF30*(1+Main!$L$10)</f>
        <v>79027.384436193679</v>
      </c>
      <c r="BH30" s="15">
        <f>BG30*(1+Main!$L$10)</f>
        <v>79817.65828055561</v>
      </c>
      <c r="BI30" s="15">
        <f>BH30*(1+Main!$L$10)</f>
        <v>80615.83486336116</v>
      </c>
      <c r="BJ30" s="15">
        <f>BI30*(1+Main!$L$10)</f>
        <v>81421.993211994777</v>
      </c>
      <c r="BK30" s="15">
        <f>BJ30*(1+Main!$L$10)</f>
        <v>82236.213144114721</v>
      </c>
      <c r="BL30" s="15">
        <f>BK30*(1+Main!$L$10)</f>
        <v>83058.575275555864</v>
      </c>
      <c r="BM30" s="15">
        <f>BL30*(1+Main!$L$10)</f>
        <v>83889.161028311428</v>
      </c>
      <c r="BN30" s="15">
        <f>BM30*(1+Main!$L$10)</f>
        <v>84728.052638594541</v>
      </c>
      <c r="BO30" s="15">
        <f>BN30*(1+Main!$L$10)</f>
        <v>85575.33316498049</v>
      </c>
      <c r="BP30" s="15">
        <f>BO30*(1+Main!$L$10)</f>
        <v>86431.086496630291</v>
      </c>
      <c r="BQ30" s="15">
        <f>BP30*(1+Main!$L$10)</f>
        <v>87295.397361596595</v>
      </c>
      <c r="BR30" s="15">
        <f>BQ30*(1+Main!$L$10)</f>
        <v>88168.351335212559</v>
      </c>
      <c r="BS30" s="15">
        <f>BR30*(1+Main!$L$10)</f>
        <v>89050.034848564683</v>
      </c>
      <c r="BT30" s="15">
        <f>BS30*(1+Main!$L$10)</f>
        <v>89940.535197050325</v>
      </c>
      <c r="BU30" s="15">
        <f>BT30*(1+Main!$L$10)</f>
        <v>90839.94054902083</v>
      </c>
      <c r="BV30" s="15">
        <f>BU30*(1+Main!$L$10)</f>
        <v>91748.339954511044</v>
      </c>
      <c r="BW30" s="15">
        <f>BV30*(1+Main!$L$10)</f>
        <v>92665.823354056149</v>
      </c>
      <c r="BX30" s="15">
        <f>BW30*(1+Main!$L$10)</f>
        <v>93592.481587596718</v>
      </c>
      <c r="BY30" s="15">
        <f>BX30*(1+Main!$L$10)</f>
        <v>94528.406403472691</v>
      </c>
      <c r="BZ30" s="15">
        <f>BY30*(1+Main!$L$10)</f>
        <v>95473.690467507418</v>
      </c>
      <c r="CA30" s="15">
        <f>BZ30*(1+Main!$L$10)</f>
        <v>96428.427372182487</v>
      </c>
      <c r="CB30" s="15">
        <f>CA30*(1+Main!$L$10)</f>
        <v>97392.711645904317</v>
      </c>
      <c r="CC30" s="15">
        <f>CB30*(1+Main!$L$10)</f>
        <v>98366.638762363364</v>
      </c>
      <c r="CD30" s="15">
        <f>CC30*(1+Main!$L$10)</f>
        <v>99350.305149987005</v>
      </c>
      <c r="CE30" s="15">
        <f>CD30*(1+Main!$L$10)</f>
        <v>100343.80820148687</v>
      </c>
      <c r="CF30" s="15">
        <f>CE30*(1+Main!$L$10)</f>
        <v>101347.24628350174</v>
      </c>
      <c r="CG30" s="15">
        <f>CF30*(1+Main!$L$10)</f>
        <v>102360.71874633676</v>
      </c>
      <c r="CH30" s="15">
        <f>CG30*(1+Main!$L$10)</f>
        <v>103384.32593380012</v>
      </c>
      <c r="CI30" s="15">
        <f>CH30*(1+Main!$L$10)</f>
        <v>104418.16919313812</v>
      </c>
      <c r="CJ30" s="15">
        <f>CI30*(1+Main!$L$10)</f>
        <v>105462.35088506951</v>
      </c>
      <c r="CK30" s="15">
        <f>CJ30*(1+Main!$L$10)</f>
        <v>106516.9743939202</v>
      </c>
      <c r="CL30" s="15">
        <f>CK30*(1+Main!$L$10)</f>
        <v>107582.1441378594</v>
      </c>
      <c r="CM30" s="15">
        <f>CL30*(1+Main!$L$10)</f>
        <v>108657.96557923799</v>
      </c>
      <c r="CN30" s="15">
        <f>CM30*(1+Main!$L$10)</f>
        <v>109744.54523503037</v>
      </c>
      <c r="CO30" s="15">
        <f>CN30*(1+Main!$L$10)</f>
        <v>110841.99068738068</v>
      </c>
      <c r="CP30" s="15">
        <f>CO30*(1+Main!$L$10)</f>
        <v>111950.41059425448</v>
      </c>
      <c r="CQ30" s="15">
        <f>CP30*(1+Main!$L$10)</f>
        <v>113069.91470019703</v>
      </c>
      <c r="CR30" s="15">
        <f>CQ30*(1+Main!$L$10)</f>
        <v>114200.613847199</v>
      </c>
      <c r="CS30" s="15">
        <f>CR30*(1+Main!$L$10)</f>
        <v>115342.61998567099</v>
      </c>
      <c r="CT30" s="15">
        <f>CS30*(1+Main!$L$10)</f>
        <v>116496.0461855277</v>
      </c>
      <c r="CU30" s="15">
        <f>CT30*(1+Main!$L$10)</f>
        <v>117661.00664738298</v>
      </c>
      <c r="CV30" s="15">
        <f>CU30*(1+Main!$L$10)</f>
        <v>118837.61671385681</v>
      </c>
      <c r="CW30" s="15">
        <f>CV30*(1+Main!$L$10)</f>
        <v>120025.99288099539</v>
      </c>
      <c r="CX30" s="15">
        <f>CW30*(1+Main!$L$10)</f>
        <v>121226.25280980534</v>
      </c>
      <c r="CY30" s="15">
        <f>CX30*(1+Main!$L$10)</f>
        <v>122438.5153379034</v>
      </c>
      <c r="CZ30" s="15">
        <f>CY30*(1+Main!$L$10)</f>
        <v>123662.90049128243</v>
      </c>
      <c r="DA30" s="15">
        <f>CZ30*(1+Main!$L$10)</f>
        <v>124899.52949619526</v>
      </c>
      <c r="DB30" s="15">
        <f>DA30*(1+Main!$L$10)</f>
        <v>126148.52479115721</v>
      </c>
      <c r="DC30" s="15">
        <f>DB30*(1+Main!$L$10)</f>
        <v>127410.01003906879</v>
      </c>
      <c r="DD30" s="15">
        <f>DC30*(1+Main!$L$10)</f>
        <v>128684.11013945947</v>
      </c>
      <c r="DE30" s="15">
        <f>DD30*(1+Main!$L$10)</f>
        <v>129970.95124085408</v>
      </c>
      <c r="DF30" s="15">
        <f>DE30*(1+Main!$L$10)</f>
        <v>131270.66075326261</v>
      </c>
      <c r="DG30" s="15">
        <f>DF30*(1+Main!$L$10)</f>
        <v>132583.36736079524</v>
      </c>
      <c r="DH30" s="15">
        <f>DG30*(1+Main!$L$10)</f>
        <v>133909.2010344032</v>
      </c>
      <c r="DI30" s="15">
        <f>DH30*(1+Main!$L$10)</f>
        <v>135248.29304474723</v>
      </c>
      <c r="DJ30" s="15">
        <f>DI30*(1+Main!$L$10)</f>
        <v>136600.7759751947</v>
      </c>
      <c r="DK30" s="15">
        <f>DJ30*(1+Main!$L$10)</f>
        <v>137966.78373494666</v>
      </c>
      <c r="DL30" s="15">
        <f>DK30*(1+Main!$L$10)</f>
        <v>139346.45157229612</v>
      </c>
      <c r="DM30" s="15">
        <f>DL30*(1+Main!$L$10)</f>
        <v>140739.91608801909</v>
      </c>
      <c r="DN30" s="15">
        <f>DM30*(1+Main!$L$10)</f>
        <v>142147.31524889928</v>
      </c>
      <c r="DO30" s="15">
        <f>DN30*(1+Main!$L$10)</f>
        <v>143568.78840138827</v>
      </c>
      <c r="DP30" s="15">
        <f>DO30*(1+Main!$L$10)</f>
        <v>145004.47628540217</v>
      </c>
      <c r="DQ30" s="15">
        <f>DP30*(1+Main!$L$10)</f>
        <v>146454.5210482562</v>
      </c>
      <c r="DR30" s="15">
        <f>DQ30*(1+Main!$L$10)</f>
        <v>147919.06625873875</v>
      </c>
      <c r="DS30" s="15">
        <f>DR30*(1+Main!$L$10)</f>
        <v>149398.25692132613</v>
      </c>
      <c r="DT30" s="15">
        <f>DS30*(1+Main!$L$10)</f>
        <v>150892.23949053939</v>
      </c>
      <c r="DU30" s="15">
        <f>DT30*(1+Main!$L$10)</f>
        <v>152401.16188544477</v>
      </c>
      <c r="DV30" s="15">
        <f>DU30*(1+Main!$L$10)</f>
        <v>153925.17350429922</v>
      </c>
      <c r="DW30" s="15">
        <f>DV30*(1+Main!$L$10)</f>
        <v>155464.42523934221</v>
      </c>
      <c r="DX30" s="15">
        <f>DW30*(1+Main!$L$10)</f>
        <v>157019.06949173563</v>
      </c>
      <c r="DY30" s="15">
        <f>DX30*(1+Main!$L$10)</f>
        <v>158589.260186653</v>
      </c>
      <c r="DZ30" s="15">
        <f>DY30*(1+Main!$L$10)</f>
        <v>160175.15278851954</v>
      </c>
      <c r="EA30" s="15">
        <f>DZ30*(1+Main!$L$10)</f>
        <v>161776.90431640475</v>
      </c>
      <c r="EB30" s="15">
        <f>EA30*(1+Main!$L$10)</f>
        <v>163394.67335956878</v>
      </c>
      <c r="EC30" s="15">
        <f>EB30*(1+Main!$L$10)</f>
        <v>165028.62009316447</v>
      </c>
      <c r="ED30" s="15">
        <f>EC30*(1+Main!$L$10)</f>
        <v>166678.90629409612</v>
      </c>
      <c r="EE30" s="15">
        <f>ED30*(1+Main!$L$10)</f>
        <v>168345.69535703707</v>
      </c>
      <c r="EF30" s="15">
        <f>EE30*(1+Main!$L$10)</f>
        <v>170029.15231060743</v>
      </c>
      <c r="EG30" s="15">
        <f>EF30*(1+Main!$L$10)</f>
        <v>171729.44383371351</v>
      </c>
      <c r="EH30" s="15">
        <f>EG30*(1+Main!$L$10)</f>
        <v>173446.73827205066</v>
      </c>
      <c r="EI30" s="15">
        <f>EH30*(1+Main!$L$10)</f>
        <v>175181.20565477115</v>
      </c>
      <c r="EJ30" s="15">
        <f>EI30*(1+Main!$L$10)</f>
        <v>176933.01771131885</v>
      </c>
      <c r="EK30" s="15">
        <f>EJ30*(1+Main!$L$10)</f>
        <v>178702.34788843204</v>
      </c>
      <c r="EL30" s="15">
        <f>EK30*(1+Main!$L$10)</f>
        <v>180489.37136731634</v>
      </c>
      <c r="EM30" s="15">
        <f>EL30*(1+Main!$L$10)</f>
        <v>182294.26508098951</v>
      </c>
      <c r="EN30" s="15">
        <f>EM30*(1+Main!$L$10)</f>
        <v>184117.2077317994</v>
      </c>
      <c r="EO30" s="15">
        <f>EN30*(1+Main!$L$10)</f>
        <v>185958.37980911738</v>
      </c>
      <c r="EP30" s="15">
        <f>EO30*(1+Main!$L$10)</f>
        <v>187817.96360720857</v>
      </c>
      <c r="EQ30" s="15">
        <f>EP30*(1+Main!$L$10)</f>
        <v>189696.14324328065</v>
      </c>
      <c r="ER30" s="15">
        <f>EQ30*(1+Main!$L$10)</f>
        <v>191593.10467571346</v>
      </c>
      <c r="ES30" s="15">
        <f>ER30*(1+Main!$L$10)</f>
        <v>193509.03572247061</v>
      </c>
      <c r="ET30" s="15">
        <f>ES30*(1+Main!$L$10)</f>
        <v>195444.12607969533</v>
      </c>
      <c r="EU30" s="15">
        <f>ET30*(1+Main!$L$10)</f>
        <v>197398.56734049227</v>
      </c>
      <c r="EV30" s="15">
        <f>EU30*(1+Main!$L$10)</f>
        <v>199372.55301389721</v>
      </c>
      <c r="EW30" s="15">
        <f>EV30*(1+Main!$L$10)</f>
        <v>201366.27854403618</v>
      </c>
      <c r="EX30" s="15">
        <f>EW30*(1+Main!$L$10)</f>
        <v>203379.94132947654</v>
      </c>
      <c r="EY30" s="15">
        <f>EX30*(1+Main!$L$10)</f>
        <v>205413.7407427713</v>
      </c>
      <c r="EZ30" s="15">
        <f>EY30*(1+Main!$L$10)</f>
        <v>207467.87815019902</v>
      </c>
      <c r="FA30" s="15">
        <f>EZ30*(1+Main!$L$10)</f>
        <v>209542.55693170099</v>
      </c>
      <c r="FB30" s="15">
        <f>FA30*(1+Main!$L$10)</f>
        <v>211637.98250101801</v>
      </c>
      <c r="FC30" s="15">
        <f>FB30*(1+Main!$L$10)</f>
        <v>213754.36232602817</v>
      </c>
      <c r="FD30" s="15">
        <f>FC30*(1+Main!$L$10)</f>
        <v>215891.90594928846</v>
      </c>
      <c r="FE30" s="15">
        <f>FD30*(1+Main!$L$10)</f>
        <v>218050.82500878134</v>
      </c>
      <c r="FF30" s="15">
        <f>FE30*(1+Main!$L$10)</f>
        <v>220231.33325886916</v>
      </c>
      <c r="FG30" s="15">
        <f>FF30*(1+Main!$L$10)</f>
        <v>222433.64659145786</v>
      </c>
      <c r="FH30" s="15">
        <f>FG30*(1+Main!$L$10)</f>
        <v>224657.98305737245</v>
      </c>
      <c r="FI30" s="15">
        <f>FH30*(1+Main!$L$10)</f>
        <v>226904.56288794617</v>
      </c>
      <c r="FJ30" s="15">
        <f>FI30*(1+Main!$L$10)</f>
        <v>229173.60851682562</v>
      </c>
      <c r="FK30" s="15">
        <f>FJ30*(1+Main!$L$10)</f>
        <v>231465.34460199389</v>
      </c>
      <c r="FL30" s="15">
        <f>FK30*(1+Main!$L$10)</f>
        <v>233779.99804801383</v>
      </c>
      <c r="FM30" s="15">
        <f>FL30*(1+Main!$L$10)</f>
        <v>236117.79802849397</v>
      </c>
      <c r="FN30" s="15">
        <f>FM30*(1+Main!$L$10)</f>
        <v>238478.9760087789</v>
      </c>
      <c r="FO30" s="15">
        <f>FN30*(1+Main!$L$10)</f>
        <v>240863.76576886669</v>
      </c>
      <c r="FP30" s="15">
        <f>FO30*(1+Main!$L$10)</f>
        <v>243272.40342655536</v>
      </c>
      <c r="FQ30" s="15">
        <f>FP30*(1+Main!$L$10)</f>
        <v>245705.12746082092</v>
      </c>
      <c r="FR30" s="15">
        <f>FQ30*(1+Main!$L$10)</f>
        <v>248162.17873542913</v>
      </c>
      <c r="FS30" s="15">
        <f>FR30*(1+Main!$L$10)</f>
        <v>250643.80052278342</v>
      </c>
      <c r="FT30" s="15">
        <f>FS30*(1+Main!$L$10)</f>
        <v>253150.23852801125</v>
      </c>
      <c r="FU30" s="15">
        <f>FT30*(1+Main!$L$10)</f>
        <v>255681.74091329137</v>
      </c>
      <c r="FV30" s="15">
        <f>FU30*(1+Main!$L$10)</f>
        <v>258238.5583224243</v>
      </c>
    </row>
    <row r="31" spans="2:178">
      <c r="B31" t="s">
        <v>43</v>
      </c>
      <c r="C31" s="8">
        <f t="shared" ref="C31:H31" si="23">C30/C32</f>
        <v>4.1016584250008412</v>
      </c>
      <c r="D31" s="8">
        <f t="shared" si="23"/>
        <v>4.752230098700946</v>
      </c>
      <c r="E31" s="8">
        <f t="shared" si="23"/>
        <v>4.3262508099996593</v>
      </c>
      <c r="F31" s="8">
        <f t="shared" si="23"/>
        <v>3.0141687336481944</v>
      </c>
      <c r="G31" s="8">
        <f t="shared" si="23"/>
        <v>4.4431474869541336</v>
      </c>
      <c r="H31" s="8">
        <f t="shared" si="23"/>
        <v>6.1204186673114789</v>
      </c>
      <c r="I31" s="8">
        <f>I30/I32</f>
        <v>4.3745420286820895</v>
      </c>
      <c r="J31" s="8">
        <f>J30/J32</f>
        <v>3.1645823597193892</v>
      </c>
      <c r="K31" s="9"/>
      <c r="L31" s="9"/>
      <c r="M31" s="8">
        <f t="shared" ref="M31:N31" si="24">M30/M32</f>
        <v>15.364765743738849</v>
      </c>
      <c r="N31" s="8">
        <f t="shared" si="24"/>
        <v>12.084848484848484</v>
      </c>
      <c r="O31" s="8">
        <f>O30/O32</f>
        <v>16.227787027284158</v>
      </c>
      <c r="P31" s="8">
        <f>P30/P32</f>
        <v>17.758953683095985</v>
      </c>
      <c r="Q31" s="9"/>
      <c r="R31" s="9"/>
      <c r="S31" s="9"/>
    </row>
    <row r="32" spans="2:178">
      <c r="B32" t="s">
        <v>1</v>
      </c>
      <c r="C32" s="9">
        <v>2972.7</v>
      </c>
      <c r="D32" s="9">
        <v>2948.3</v>
      </c>
      <c r="E32" s="9">
        <v>2932.1</v>
      </c>
      <c r="F32" s="9">
        <f>O32</f>
        <v>2943.1</v>
      </c>
      <c r="G32" s="9">
        <v>2912.8</v>
      </c>
      <c r="H32" s="9">
        <v>2894.9</v>
      </c>
      <c r="I32" s="9">
        <v>2865.9</v>
      </c>
      <c r="J32" s="9">
        <f>I32</f>
        <v>2865.9</v>
      </c>
      <c r="K32" s="9"/>
      <c r="L32" s="9"/>
      <c r="M32" s="9">
        <v>3026.6</v>
      </c>
      <c r="N32" s="9">
        <v>2970</v>
      </c>
      <c r="O32" s="9">
        <v>2943.1</v>
      </c>
      <c r="P32" s="9">
        <f>O32</f>
        <v>2943.1</v>
      </c>
      <c r="Q32" s="9"/>
      <c r="R32" s="9"/>
      <c r="S32" s="9"/>
    </row>
    <row r="33" spans="2:25">
      <c r="C33" s="9"/>
      <c r="D33" s="9"/>
      <c r="E33" s="9"/>
      <c r="F33" s="9"/>
      <c r="G33" s="9"/>
      <c r="H33" s="9"/>
      <c r="I33" s="9"/>
    </row>
    <row r="34" spans="2:25">
      <c r="B34" t="s">
        <v>45</v>
      </c>
      <c r="G34" s="16">
        <f>G18/C18-1</f>
        <v>9.3483532817022708E-2</v>
      </c>
      <c r="H34" s="16">
        <f t="shared" ref="H34:J34" si="25">H18/D18-1</f>
        <v>0.21529038661728039</v>
      </c>
      <c r="I34" s="16">
        <f t="shared" si="25"/>
        <v>6.9719616792897732E-2</v>
      </c>
      <c r="J34" s="16">
        <f t="shared" si="25"/>
        <v>2.1193031575672538E-3</v>
      </c>
      <c r="N34" s="16">
        <f>N18/M18-1</f>
        <v>5.7920739175825631E-2</v>
      </c>
      <c r="O34" s="16">
        <f t="shared" ref="O34:P34" si="26">O18/N18-1</f>
        <v>0.22851703640390064</v>
      </c>
      <c r="P34" s="16">
        <f t="shared" si="26"/>
        <v>9.7023161969336691E-2</v>
      </c>
      <c r="Q34" s="16">
        <f>Q18/P18-1</f>
        <v>0</v>
      </c>
      <c r="R34" s="17">
        <v>0.01</v>
      </c>
      <c r="S34" s="17">
        <v>0.01</v>
      </c>
      <c r="T34" s="17">
        <v>0.01</v>
      </c>
      <c r="U34" s="17">
        <v>0.01</v>
      </c>
      <c r="V34" s="17">
        <v>0.01</v>
      </c>
      <c r="W34" s="17">
        <v>0.01</v>
      </c>
      <c r="X34" s="17">
        <v>0.01</v>
      </c>
      <c r="Y34" s="17">
        <v>0.01</v>
      </c>
    </row>
    <row r="36" spans="2:25">
      <c r="B36" t="s">
        <v>46</v>
      </c>
      <c r="C36" s="16">
        <f>C30/C18</f>
        <v>0.31794831677488333</v>
      </c>
      <c r="D36" s="16">
        <f t="shared" ref="D36:P36" si="27">D30/D18</f>
        <v>0.33919190451981507</v>
      </c>
      <c r="E36" s="16">
        <f t="shared" si="27"/>
        <v>0.31812710036615338</v>
      </c>
      <c r="F36" s="16">
        <f t="shared" si="27"/>
        <v>0.229973557318401</v>
      </c>
      <c r="G36" s="16">
        <f t="shared" si="27"/>
        <v>0.30862784375447133</v>
      </c>
      <c r="H36" s="16">
        <f t="shared" si="27"/>
        <v>0.35294820717131475</v>
      </c>
      <c r="I36" s="16">
        <f t="shared" si="27"/>
        <v>0.29392319594879729</v>
      </c>
      <c r="J36" s="16">
        <f t="shared" si="27"/>
        <v>0.23461908214741137</v>
      </c>
      <c r="K36" s="16" t="e">
        <f t="shared" si="27"/>
        <v>#DIV/0!</v>
      </c>
      <c r="L36" s="16" t="e">
        <f t="shared" si="27"/>
        <v>#DIV/0!</v>
      </c>
      <c r="M36" s="16">
        <f t="shared" si="27"/>
        <v>0.3822719463374134</v>
      </c>
      <c r="N36" s="16">
        <f t="shared" si="27"/>
        <v>0.27889195384436072</v>
      </c>
      <c r="O36" s="16">
        <f t="shared" si="27"/>
        <v>0.30207964377877855</v>
      </c>
      <c r="P36" s="16">
        <f t="shared" si="27"/>
        <v>0.3013448255398064</v>
      </c>
      <c r="Q36" s="17">
        <v>0.3</v>
      </c>
      <c r="R36" s="17">
        <f>Q36</f>
        <v>0.3</v>
      </c>
      <c r="S36" s="17">
        <f t="shared" ref="S36:Y36" si="28">R36</f>
        <v>0.3</v>
      </c>
      <c r="T36" s="17">
        <f t="shared" si="28"/>
        <v>0.3</v>
      </c>
      <c r="U36" s="17">
        <f t="shared" si="28"/>
        <v>0.3</v>
      </c>
      <c r="V36" s="17">
        <f t="shared" si="28"/>
        <v>0.3</v>
      </c>
      <c r="W36" s="17">
        <f t="shared" si="28"/>
        <v>0.3</v>
      </c>
      <c r="X36" s="17">
        <f t="shared" si="28"/>
        <v>0.3</v>
      </c>
      <c r="Y36" s="17">
        <f t="shared" si="28"/>
        <v>0.3</v>
      </c>
    </row>
    <row r="37" spans="2:25">
      <c r="B37" t="s">
        <v>48</v>
      </c>
      <c r="C37" s="16">
        <f>C17/C18</f>
        <v>0.5400662338000991</v>
      </c>
      <c r="D37" s="16">
        <f t="shared" ref="D37:J37" si="29">D17/D18</f>
        <v>0.52724719781150897</v>
      </c>
      <c r="E37" s="16">
        <f t="shared" si="29"/>
        <v>0.56994532778251494</v>
      </c>
      <c r="F37" s="16">
        <f t="shared" si="29"/>
        <v>0.6235028775859387</v>
      </c>
      <c r="G37" s="16">
        <f t="shared" si="29"/>
        <v>0.55043640005723282</v>
      </c>
      <c r="H37" s="16">
        <f t="shared" si="29"/>
        <v>0.45310756972111554</v>
      </c>
      <c r="I37" s="16">
        <f t="shared" si="29"/>
        <v>0.54871758803394755</v>
      </c>
      <c r="J37" s="16">
        <f t="shared" si="29"/>
        <v>0.62218428047573782</v>
      </c>
      <c r="M37" s="16">
        <f t="shared" ref="M37:P37" si="30">M17/M18</f>
        <v>0.43001586531742964</v>
      </c>
      <c r="N37" s="16">
        <f t="shared" si="30"/>
        <v>0.51835735654065818</v>
      </c>
      <c r="O37" s="16">
        <f t="shared" si="30"/>
        <v>0.56460937104690578</v>
      </c>
      <c r="P37" s="16">
        <f t="shared" si="30"/>
        <v>0.53783431227703504</v>
      </c>
    </row>
    <row r="41" spans="2:25">
      <c r="C41" s="16">
        <f>C30/C29</f>
        <v>0.96601172555854853</v>
      </c>
      <c r="D41" s="16">
        <f>D30/D29</f>
        <v>0.96814538419016027</v>
      </c>
      <c r="E41" s="16">
        <f>E30/E29</f>
        <v>0.96456543228651814</v>
      </c>
      <c r="F41" s="16">
        <f>F30/F29</f>
        <v>0.9531535403459761</v>
      </c>
      <c r="G41" s="16">
        <f>G30/G29</f>
        <v>0.96251673360107093</v>
      </c>
      <c r="H41" s="16">
        <f>H30/H29</f>
        <v>0.97625213510386244</v>
      </c>
      <c r="I41" s="16">
        <f>I30/I29</f>
        <v>0.97201116452163128</v>
      </c>
      <c r="J41" s="16">
        <f>J30/J29</f>
        <v>0.9659833933931351</v>
      </c>
      <c r="M41" s="16">
        <f>M30/M29</f>
        <v>0.96211776389291181</v>
      </c>
      <c r="N41" s="16">
        <f>N30/N29</f>
        <v>0.95264890115723533</v>
      </c>
      <c r="O41" s="16">
        <f>O30/O29</f>
        <v>0.96383597029383272</v>
      </c>
      <c r="P41" s="16">
        <f>P30/P29</f>
        <v>0.97002002690558109</v>
      </c>
    </row>
  </sheetData>
  <phoneticPr fontId="4" type="noConversion"/>
  <hyperlinks>
    <hyperlink ref="A1" location="Main!A1" display="Main" xr:uid="{700DEC12-F1DA-EE47-8BFB-A93DD674B712}"/>
    <hyperlink ref="A3" location="Main!A1" display="Main" xr:uid="{FA5AE6E7-DEA3-D64A-804C-46775952B0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2025-01-06T09:54:18Z</dcterms:created>
  <dcterms:modified xsi:type="dcterms:W3CDTF">2025-01-06T18:39:40Z</dcterms:modified>
</cp:coreProperties>
</file>