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npussurmanov/Finance/financial_models/"/>
    </mc:Choice>
  </mc:AlternateContent>
  <xr:revisionPtr revIDLastSave="0" documentId="13_ncr:1_{E2743C58-2A44-6946-8451-A69BDBB9C82E}" xr6:coauthVersionLast="47" xr6:coauthVersionMax="47" xr10:uidLastSave="{00000000-0000-0000-0000-000000000000}"/>
  <bookViews>
    <workbookView xWindow="480" yWindow="920" windowWidth="13640" windowHeight="17260" activeTab="1" xr2:uid="{3BDED087-3407-8241-8728-00B8A6385B6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7" i="2" l="1"/>
  <c r="R13" i="2"/>
  <c r="R12" i="2"/>
  <c r="R9" i="2"/>
  <c r="R6" i="2"/>
  <c r="R5" i="2"/>
  <c r="L6" i="1"/>
  <c r="L5" i="1"/>
  <c r="AA18" i="2"/>
  <c r="R24" i="2"/>
  <c r="AA19" i="2"/>
  <c r="AA15" i="2"/>
  <c r="S28" i="2"/>
  <c r="AH28" i="2"/>
  <c r="S16" i="2"/>
  <c r="S17" i="2" s="1"/>
  <c r="T16" i="2"/>
  <c r="U16" i="2"/>
  <c r="V16" i="2"/>
  <c r="W16" i="2"/>
  <c r="X16" i="2"/>
  <c r="Y16" i="2"/>
  <c r="Z16" i="2"/>
  <c r="AB16" i="2"/>
  <c r="AB17" i="2" s="1"/>
  <c r="AB20" i="2" s="1"/>
  <c r="AC16" i="2"/>
  <c r="AC17" i="2" s="1"/>
  <c r="AC20" i="2" s="1"/>
  <c r="AD16" i="2"/>
  <c r="AD17" i="2" s="1"/>
  <c r="AD20" i="2" s="1"/>
  <c r="AE16" i="2"/>
  <c r="AE17" i="2" s="1"/>
  <c r="AE20" i="2" s="1"/>
  <c r="AF16" i="2"/>
  <c r="AF17" i="2" s="1"/>
  <c r="AF20" i="2" s="1"/>
  <c r="AG16" i="2"/>
  <c r="AG17" i="2" s="1"/>
  <c r="AG20" i="2" s="1"/>
  <c r="AH16" i="2"/>
  <c r="AH17" i="2" s="1"/>
  <c r="AH20" i="2" s="1"/>
  <c r="AI16" i="2"/>
  <c r="AJ16" i="2"/>
  <c r="AJ17" i="2" s="1"/>
  <c r="AJ20" i="2" s="1"/>
  <c r="AK16" i="2"/>
  <c r="AK17" i="2" s="1"/>
  <c r="AK20" i="2" s="1"/>
  <c r="AL16" i="2"/>
  <c r="AL17" i="2" s="1"/>
  <c r="AM16" i="2"/>
  <c r="AM17" i="2" s="1"/>
  <c r="AN16" i="2"/>
  <c r="AN17" i="2" s="1"/>
  <c r="AO16" i="2"/>
  <c r="AO17" i="2" s="1"/>
  <c r="AI17" i="2"/>
  <c r="AI20" i="2" s="1"/>
  <c r="N24" i="2"/>
  <c r="N19" i="2"/>
  <c r="N18" i="2"/>
  <c r="N15" i="2"/>
  <c r="N14" i="2"/>
  <c r="N13" i="2"/>
  <c r="AA13" i="2" s="1"/>
  <c r="N12" i="2"/>
  <c r="N9" i="2"/>
  <c r="N8" i="2"/>
  <c r="N6" i="2"/>
  <c r="N5" i="2"/>
  <c r="M16" i="2"/>
  <c r="M10" i="2"/>
  <c r="M7" i="2"/>
  <c r="I16" i="2"/>
  <c r="I10" i="2"/>
  <c r="I7" i="2"/>
  <c r="L10" i="2"/>
  <c r="O10" i="2"/>
  <c r="S10" i="2"/>
  <c r="T10" i="2"/>
  <c r="U10" i="2"/>
  <c r="V10" i="2"/>
  <c r="W10" i="2"/>
  <c r="X10" i="2"/>
  <c r="Y10" i="2"/>
  <c r="Z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K10" i="2"/>
  <c r="K16" i="2"/>
  <c r="L16" i="2"/>
  <c r="O16" i="2"/>
  <c r="P16" i="2"/>
  <c r="P10" i="2"/>
  <c r="K7" i="2"/>
  <c r="L7" i="2"/>
  <c r="O7" i="2"/>
  <c r="V7" i="2"/>
  <c r="W7" i="2"/>
  <c r="X7" i="2"/>
  <c r="Y7" i="2"/>
  <c r="Z7" i="2"/>
  <c r="T7" i="2"/>
  <c r="U7" i="2"/>
  <c r="P7" i="2"/>
  <c r="R18" i="2"/>
  <c r="C16" i="2"/>
  <c r="D16" i="2"/>
  <c r="E16" i="2"/>
  <c r="G16" i="2"/>
  <c r="H16" i="2"/>
  <c r="C10" i="2"/>
  <c r="D10" i="2"/>
  <c r="E10" i="2"/>
  <c r="F10" i="2"/>
  <c r="G10" i="2"/>
  <c r="H10" i="2"/>
  <c r="J10" i="2"/>
  <c r="C7" i="2"/>
  <c r="D7" i="2"/>
  <c r="E7" i="2"/>
  <c r="F7" i="2"/>
  <c r="G7" i="2"/>
  <c r="H7" i="2"/>
  <c r="J7" i="2"/>
  <c r="J24" i="2"/>
  <c r="J21" i="2"/>
  <c r="J18" i="2"/>
  <c r="J14" i="2"/>
  <c r="J12" i="2"/>
  <c r="F24" i="2"/>
  <c r="F21" i="2"/>
  <c r="F18" i="2"/>
  <c r="F14" i="2"/>
  <c r="F12" i="2"/>
  <c r="AP16" i="2"/>
  <c r="AP17" i="2" s="1"/>
  <c r="AQ16" i="2"/>
  <c r="AQ17" i="2" s="1"/>
  <c r="AR16" i="2"/>
  <c r="AR17" i="2" s="1"/>
  <c r="AS16" i="2"/>
  <c r="AS17" i="2" s="1"/>
  <c r="L4" i="1"/>
  <c r="U26" i="2" l="1"/>
  <c r="I11" i="2"/>
  <c r="I17" i="2" s="1"/>
  <c r="I20" i="2" s="1"/>
  <c r="I22" i="2" s="1"/>
  <c r="I23" i="2" s="1"/>
  <c r="AA9" i="2"/>
  <c r="T11" i="2"/>
  <c r="Z11" i="2"/>
  <c r="Z17" i="2" s="1"/>
  <c r="Z20" i="2" s="1"/>
  <c r="Q7" i="2"/>
  <c r="Q26" i="2" s="1"/>
  <c r="M11" i="2"/>
  <c r="M17" i="2" s="1"/>
  <c r="M20" i="2" s="1"/>
  <c r="M22" i="2" s="1"/>
  <c r="M23" i="2" s="1"/>
  <c r="R7" i="2"/>
  <c r="AA6" i="2"/>
  <c r="Q16" i="2"/>
  <c r="Z26" i="2"/>
  <c r="AA12" i="2"/>
  <c r="AA5" i="2"/>
  <c r="Y11" i="2"/>
  <c r="Y17" i="2" s="1"/>
  <c r="Y20" i="2" s="1"/>
  <c r="R8" i="2"/>
  <c r="R10" i="2" s="1"/>
  <c r="R14" i="2"/>
  <c r="R16" i="2" s="1"/>
  <c r="O11" i="2"/>
  <c r="T17" i="2"/>
  <c r="T20" i="2" s="1"/>
  <c r="X11" i="2"/>
  <c r="X17" i="2" s="1"/>
  <c r="X20" i="2" s="1"/>
  <c r="V11" i="2"/>
  <c r="V17" i="2" s="1"/>
  <c r="V20" i="2" s="1"/>
  <c r="U11" i="2"/>
  <c r="U17" i="2" s="1"/>
  <c r="U20" i="2" s="1"/>
  <c r="W11" i="2"/>
  <c r="W17" i="2" s="1"/>
  <c r="W20" i="2" s="1"/>
  <c r="Q10" i="2"/>
  <c r="N10" i="2"/>
  <c r="N7" i="2"/>
  <c r="T27" i="2"/>
  <c r="N16" i="2"/>
  <c r="AA24" i="2"/>
  <c r="AB24" i="2" s="1"/>
  <c r="AC24" i="2" s="1"/>
  <c r="AD24" i="2" s="1"/>
  <c r="AE24" i="2" s="1"/>
  <c r="AF24" i="2" s="1"/>
  <c r="AG24" i="2" s="1"/>
  <c r="AH24" i="2" s="1"/>
  <c r="J16" i="2"/>
  <c r="F16" i="2"/>
  <c r="O26" i="2"/>
  <c r="J11" i="2"/>
  <c r="C11" i="2"/>
  <c r="C17" i="2" s="1"/>
  <c r="P26" i="2"/>
  <c r="E11" i="2"/>
  <c r="E17" i="2" s="1"/>
  <c r="E20" i="2" s="1"/>
  <c r="F11" i="2"/>
  <c r="D11" i="2"/>
  <c r="D17" i="2" s="1"/>
  <c r="H11" i="2"/>
  <c r="H17" i="2" s="1"/>
  <c r="H20" i="2" s="1"/>
  <c r="G11" i="2"/>
  <c r="G17" i="2" s="1"/>
  <c r="G20" i="2" s="1"/>
  <c r="K11" i="2"/>
  <c r="L11" i="2"/>
  <c r="L27" i="2" s="1"/>
  <c r="P11" i="2"/>
  <c r="V26" i="2"/>
  <c r="W26" i="2"/>
  <c r="X26" i="2"/>
  <c r="Y26" i="2"/>
  <c r="L7" i="1"/>
  <c r="M28" i="2" l="1"/>
  <c r="AA8" i="2"/>
  <c r="AA10" i="2" s="1"/>
  <c r="R11" i="2"/>
  <c r="R27" i="2" s="1"/>
  <c r="R26" i="2"/>
  <c r="Q11" i="2"/>
  <c r="Q17" i="2" s="1"/>
  <c r="Q20" i="2" s="1"/>
  <c r="AA14" i="2"/>
  <c r="AA16" i="2" s="1"/>
  <c r="U22" i="2"/>
  <c r="Y27" i="2"/>
  <c r="N11" i="2"/>
  <c r="N27" i="2" s="1"/>
  <c r="T22" i="2"/>
  <c r="T29" i="2"/>
  <c r="Y22" i="2"/>
  <c r="J17" i="2"/>
  <c r="J20" i="2" s="1"/>
  <c r="J22" i="2" s="1"/>
  <c r="J23" i="2" s="1"/>
  <c r="E22" i="2"/>
  <c r="E23" i="2" s="1"/>
  <c r="C20" i="2"/>
  <c r="C22" i="2" s="1"/>
  <c r="C23" i="2" s="1"/>
  <c r="G22" i="2"/>
  <c r="G23" i="2" s="1"/>
  <c r="H22" i="2"/>
  <c r="H23" i="2" s="1"/>
  <c r="D20" i="2"/>
  <c r="D22" i="2" s="1"/>
  <c r="D23" i="2" s="1"/>
  <c r="O17" i="2"/>
  <c r="O20" i="2" s="1"/>
  <c r="O27" i="2"/>
  <c r="K17" i="2"/>
  <c r="K20" i="2" s="1"/>
  <c r="K27" i="2"/>
  <c r="M27" i="2"/>
  <c r="F17" i="2"/>
  <c r="F20" i="2" s="1"/>
  <c r="P17" i="2"/>
  <c r="P20" i="2" s="1"/>
  <c r="P27" i="2"/>
  <c r="X27" i="2"/>
  <c r="V22" i="2"/>
  <c r="W22" i="2"/>
  <c r="U27" i="2"/>
  <c r="X22" i="2"/>
  <c r="L17" i="2"/>
  <c r="L20" i="2" s="1"/>
  <c r="W27" i="2"/>
  <c r="V27" i="2"/>
  <c r="Q27" i="2" l="1"/>
  <c r="X23" i="2"/>
  <c r="X28" i="2"/>
  <c r="Y23" i="2"/>
  <c r="Y28" i="2"/>
  <c r="T23" i="2"/>
  <c r="T28" i="2"/>
  <c r="U23" i="2"/>
  <c r="U28" i="2"/>
  <c r="V23" i="2"/>
  <c r="V28" i="2"/>
  <c r="W23" i="2"/>
  <c r="W28" i="2"/>
  <c r="R17" i="2"/>
  <c r="R20" i="2" s="1"/>
  <c r="F22" i="2"/>
  <c r="F23" i="2" s="1"/>
  <c r="N17" i="2"/>
  <c r="N20" i="2" s="1"/>
  <c r="P22" i="2"/>
  <c r="P29" i="2"/>
  <c r="Q22" i="2" s="1"/>
  <c r="L22" i="2"/>
  <c r="L29" i="2"/>
  <c r="M29" i="2"/>
  <c r="K22" i="2"/>
  <c r="K29" i="2"/>
  <c r="O22" i="2"/>
  <c r="O29" i="2"/>
  <c r="U29" i="2"/>
  <c r="Y29" i="2"/>
  <c r="V29" i="2"/>
  <c r="X29" i="2"/>
  <c r="W29" i="2"/>
  <c r="Q29" i="2" l="1"/>
  <c r="R21" i="2" s="1"/>
  <c r="O23" i="2"/>
  <c r="O28" i="2"/>
  <c r="K23" i="2"/>
  <c r="K28" i="2"/>
  <c r="L23" i="2"/>
  <c r="L28" i="2"/>
  <c r="P23" i="2"/>
  <c r="P28" i="2"/>
  <c r="Q23" i="2"/>
  <c r="Q28" i="2"/>
  <c r="Z27" i="2"/>
  <c r="R29" i="2" l="1"/>
  <c r="AA21" i="2"/>
  <c r="R22" i="2"/>
  <c r="R28" i="2" s="1"/>
  <c r="N21" i="2"/>
  <c r="N22" i="2" s="1"/>
  <c r="N23" i="2" l="1"/>
  <c r="N28" i="2"/>
  <c r="N29" i="2"/>
  <c r="R23" i="2"/>
  <c r="Z22" i="2"/>
  <c r="Z29" i="2"/>
  <c r="AA22" i="2"/>
  <c r="AA23" i="2" s="1"/>
  <c r="AB7" i="2"/>
  <c r="AB22" i="2" s="1"/>
  <c r="AA26" i="2"/>
  <c r="AA11" i="2"/>
  <c r="AB23" i="2" l="1"/>
  <c r="Z23" i="2"/>
  <c r="Z28" i="2"/>
  <c r="AA17" i="2"/>
  <c r="AA20" i="2" s="1"/>
  <c r="AA29" i="2" s="1"/>
  <c r="AA27" i="2"/>
  <c r="AC7" i="2"/>
  <c r="AC22" i="2" l="1"/>
  <c r="AD7" i="2"/>
  <c r="AC23" i="2" l="1"/>
  <c r="AE7" i="2"/>
  <c r="AD22" i="2"/>
  <c r="AE22" i="2" l="1"/>
  <c r="AF7" i="2"/>
  <c r="AD23" i="2"/>
  <c r="AE23" i="2" l="1"/>
  <c r="AF22" i="2"/>
  <c r="AG7" i="2"/>
  <c r="AG22" i="2" l="1"/>
  <c r="AG23" i="2" s="1"/>
  <c r="AH7" i="2"/>
  <c r="AH22" i="2" s="1"/>
  <c r="AF23" i="2"/>
  <c r="AI22" i="2" l="1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BJ22" i="2" s="1"/>
  <c r="BK22" i="2" s="1"/>
  <c r="BL22" i="2" s="1"/>
  <c r="BM22" i="2" s="1"/>
  <c r="BN22" i="2" s="1"/>
  <c r="BO22" i="2" s="1"/>
  <c r="BP22" i="2" s="1"/>
  <c r="BQ22" i="2" s="1"/>
  <c r="BR22" i="2" s="1"/>
  <c r="BS22" i="2" s="1"/>
  <c r="BT22" i="2" s="1"/>
  <c r="BU22" i="2" s="1"/>
  <c r="BV22" i="2" s="1"/>
  <c r="BW22" i="2" s="1"/>
  <c r="BX22" i="2" s="1"/>
  <c r="BY22" i="2" s="1"/>
  <c r="BZ22" i="2" s="1"/>
  <c r="CA22" i="2" s="1"/>
  <c r="CB22" i="2" s="1"/>
  <c r="CC22" i="2" s="1"/>
  <c r="CD22" i="2" s="1"/>
  <c r="CE22" i="2" s="1"/>
  <c r="CF22" i="2" s="1"/>
  <c r="CG22" i="2" s="1"/>
  <c r="CH22" i="2" s="1"/>
  <c r="CI22" i="2" s="1"/>
  <c r="CJ22" i="2" s="1"/>
  <c r="CK22" i="2" s="1"/>
  <c r="CL22" i="2" s="1"/>
  <c r="CM22" i="2" s="1"/>
  <c r="CN22" i="2" s="1"/>
  <c r="CO22" i="2" s="1"/>
  <c r="CP22" i="2" s="1"/>
  <c r="CQ22" i="2" s="1"/>
  <c r="CR22" i="2" s="1"/>
  <c r="CS22" i="2" s="1"/>
  <c r="CT22" i="2" s="1"/>
  <c r="CU22" i="2" s="1"/>
  <c r="CV22" i="2" s="1"/>
  <c r="CW22" i="2" s="1"/>
  <c r="CX22" i="2" s="1"/>
  <c r="CY22" i="2" s="1"/>
  <c r="CZ22" i="2" s="1"/>
  <c r="DA22" i="2" s="1"/>
  <c r="DB22" i="2" s="1"/>
  <c r="DC22" i="2" s="1"/>
  <c r="DD22" i="2" s="1"/>
  <c r="DE22" i="2" s="1"/>
  <c r="DF22" i="2" s="1"/>
  <c r="DG22" i="2" s="1"/>
  <c r="DH22" i="2" s="1"/>
  <c r="DI22" i="2" s="1"/>
  <c r="DJ22" i="2" s="1"/>
  <c r="DK22" i="2" s="1"/>
  <c r="DL22" i="2" s="1"/>
  <c r="DM22" i="2" s="1"/>
  <c r="DN22" i="2" s="1"/>
  <c r="DO22" i="2" s="1"/>
  <c r="DP22" i="2" s="1"/>
  <c r="DQ22" i="2" s="1"/>
  <c r="DR22" i="2" s="1"/>
  <c r="DS22" i="2" s="1"/>
  <c r="DT22" i="2" s="1"/>
  <c r="DU22" i="2" s="1"/>
  <c r="DV22" i="2" s="1"/>
  <c r="DW22" i="2" s="1"/>
  <c r="DX22" i="2" s="1"/>
  <c r="DY22" i="2" s="1"/>
  <c r="DZ22" i="2" s="1"/>
  <c r="EA22" i="2" s="1"/>
  <c r="EB22" i="2" s="1"/>
  <c r="EC22" i="2" s="1"/>
  <c r="ED22" i="2" s="1"/>
  <c r="EE22" i="2" s="1"/>
  <c r="EF22" i="2" s="1"/>
  <c r="EG22" i="2" s="1"/>
  <c r="EH22" i="2" s="1"/>
  <c r="EI22" i="2" s="1"/>
  <c r="EJ22" i="2" s="1"/>
  <c r="EK22" i="2" s="1"/>
  <c r="EL22" i="2" s="1"/>
  <c r="EM22" i="2" s="1"/>
  <c r="EN22" i="2" s="1"/>
  <c r="EO22" i="2" s="1"/>
  <c r="EP22" i="2" s="1"/>
  <c r="EQ22" i="2" s="1"/>
  <c r="ER22" i="2" s="1"/>
  <c r="ES22" i="2" s="1"/>
  <c r="ET22" i="2" s="1"/>
  <c r="EU22" i="2" s="1"/>
  <c r="EV22" i="2" s="1"/>
  <c r="EW22" i="2" s="1"/>
  <c r="EX22" i="2" s="1"/>
  <c r="EY22" i="2" s="1"/>
  <c r="EZ22" i="2" s="1"/>
  <c r="FA22" i="2" s="1"/>
  <c r="FB22" i="2" s="1"/>
  <c r="FC22" i="2" s="1"/>
  <c r="FD22" i="2" s="1"/>
  <c r="L12" i="1" s="1"/>
  <c r="AH23" i="2"/>
  <c r="L13" i="1" l="1"/>
  <c r="L15" i="1" s="1"/>
</calcChain>
</file>

<file path=xl/sharedStrings.xml><?xml version="1.0" encoding="utf-8"?>
<sst xmlns="http://schemas.openxmlformats.org/spreadsheetml/2006/main" count="54" uniqueCount="50">
  <si>
    <t>Price</t>
  </si>
  <si>
    <t>Shares</t>
  </si>
  <si>
    <t>Q424</t>
  </si>
  <si>
    <t>MC</t>
  </si>
  <si>
    <t>Cash</t>
  </si>
  <si>
    <t>Debt</t>
  </si>
  <si>
    <t>EV</t>
  </si>
  <si>
    <t>growth</t>
  </si>
  <si>
    <t>discount</t>
  </si>
  <si>
    <t>NPV</t>
  </si>
  <si>
    <t>price target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</si>
  <si>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</si>
  <si>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</si>
  <si>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</si>
  <si>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</si>
  <si>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</si>
  <si>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</si>
  <si>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</si>
  <si>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</si>
  <si>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</si>
  <si>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</si>
  <si>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</si>
  <si>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</si>
  <si>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</si>
  <si>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COGS</t>
  </si>
  <si>
    <t>Gross profit</t>
  </si>
  <si>
    <t>OPEX</t>
  </si>
  <si>
    <t>OPINC</t>
  </si>
  <si>
    <t>interest expense</t>
  </si>
  <si>
    <t>Pretax</t>
  </si>
  <si>
    <t>tax</t>
  </si>
  <si>
    <t>Net income</t>
  </si>
  <si>
    <t>EPS</t>
  </si>
  <si>
    <t>Revenue y/y</t>
  </si>
  <si>
    <t>gross margin%</t>
  </si>
  <si>
    <t>profit margin%</t>
  </si>
  <si>
    <t>tax%</t>
  </si>
  <si>
    <t>other</t>
  </si>
  <si>
    <t>Service</t>
  </si>
  <si>
    <t>Services exp</t>
  </si>
  <si>
    <t>S&amp;M</t>
  </si>
  <si>
    <t>G&amp;A</t>
  </si>
  <si>
    <t>R&amp;D</t>
  </si>
  <si>
    <t>restructuring</t>
  </si>
  <si>
    <t>Q125</t>
  </si>
  <si>
    <t>Q225</t>
  </si>
  <si>
    <t>Q325</t>
  </si>
  <si>
    <t>Q425</t>
  </si>
  <si>
    <t>subscription</t>
  </si>
  <si>
    <t>subscription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</si>
</sst>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"/>
      <family val="2"/>
    </font>
    <font>
      <u/>
      <sz val="12"/>
      <color theme="10"/>
      <name val="ArialMT"/>
      <family val="2"/>
    </font>
    <font>
      <sz val="8"/>
      <name val="ArialMT"/>
      <family val="2"/>
    </font>
    <font>
      <i/>
      <sz val="12"/>
      <color theme="1"/>
      <name val="ArialMT"/>
    </font>
    <font>
      <b/>
      <i/>
      <sz val="12"/>
      <color theme="1"/>
      <name val="ArialMT"/>
    </font>
    <font>
      <sz val="12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4" fontId="2" fillId="0" borderId="0" xfId="1" applyNumberFormat="1" applyFont="1"/>
    <xf numFmtId="9" fontId="0" fillId="0" borderId="0" xfId="2" applyFont="1"/>
    <xf numFmtId="0" fontId="3" fillId="0" borderId="0" xfId="3"/>
    <xf numFmtId="3" fontId="0" fillId="0" borderId="0" xfId="0" applyNumberFormat="1"/>
    <xf numFmtId="0" fontId="5" fillId="0" borderId="0" xfId="0" applyFont="1"/>
    <xf numFmtId="3" fontId="5" fillId="0" borderId="0" xfId="0" applyNumberFormat="1" applyFont="1"/>
    <xf numFmtId="4" fontId="5" fillId="0" borderId="0" xfId="0" applyNumberFormat="1" applyFont="1"/>
    <xf numFmtId="10" fontId="0" fillId="0" borderId="0" xfId="2" applyNumberFormat="1" applyFont="1"/>
    <xf numFmtId="0" fontId="6" fillId="0" borderId="0" xfId="0" applyFont="1"/>
    <xf numFmtId="3" fontId="6" fillId="0" borderId="0" xfId="0" applyNumberFormat="1" applyFont="1"/>
    <xf numFmtId="20" fontId="0" fillId="0" borderId="0" xfId="0" applyNumberFormat="1" applyAlignment="1">
      <alignment horizontal="left"/>
    </xf>
    <xf numFmtId="14" fontId="0" fillId="0" borderId="0" xfId="0" applyNumberFormat="1"/>
    <xf numFmtId="3" fontId="7" fillId="0" borderId="0" xfId="0" applyNumberFormat="1" applyFont="1"/>
    <xf numFmtId="0" fontId="0" fillId="2" borderId="0" xfId="0" applyFill="1"/>
    <xf numFmtId="3" fontId="0" fillId="2" borderId="0" xfId="0" applyNumberFormat="1" applyFill="1"/>
    <xf numFmtId="3" fontId="6" fillId="2" borderId="0" xfId="0" applyNumberFormat="1" applyFont="1" applyFill="1"/>
    <xf numFmtId="3" fontId="7" fillId="2" borderId="0" xfId="0" applyNumberFormat="1" applyFont="1" applyFill="1"/>
    <xf numFmtId="3" fontId="5" fillId="2" borderId="0" xfId="0" applyNumberFormat="1" applyFont="1" applyFill="1"/>
    <xf numFmtId="10" fontId="0" fillId="2" borderId="0" xfId="2" applyNumberFormat="1" applyFont="1" applyFill="1"/>
    <xf numFmtId="0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5623-B6AF-424A-9429-F5411A9FAD84}">
  <dimension ref="G1:M15"/>
  <sheetViews>
    <sheetView topLeftCell="F1" workbookViewId="0">
      <selection activeCell="N7" sqref="N7"/>
    </sheetView>
  </sheetViews>
  <sheetFormatPr baseColWidth="10" defaultRowHeight="16"/>
  <sheetData>
    <row r="1" spans="7:13">
      <c r="M1" s="17">
        <v>45673</v>
      </c>
    </row>
    <row r="2" spans="7:13">
      <c r="K2" s="1" t="s">
        <v>0</v>
      </c>
      <c r="L2" s="2">
        <v>322</v>
      </c>
    </row>
    <row r="3" spans="7:13">
      <c r="K3" s="1" t="s">
        <v>1</v>
      </c>
      <c r="L3" s="3">
        <v>957</v>
      </c>
      <c r="M3" t="s">
        <v>23</v>
      </c>
    </row>
    <row r="4" spans="7:13">
      <c r="K4" s="1" t="s">
        <v>3</v>
      </c>
      <c r="L4" s="3">
        <f>L2*L3</f>
        <v>308154</v>
      </c>
    </row>
    <row r="5" spans="7:13">
      <c r="K5" s="1" t="s">
        <v>4</v>
      </c>
      <c r="L5" s="3">
        <f>7997+4760</f>
        <v>12757</v>
      </c>
      <c r="M5" t="s">
        <v>23</v>
      </c>
    </row>
    <row r="6" spans="7:13">
      <c r="K6" s="1" t="s">
        <v>5</v>
      </c>
      <c r="L6" s="3">
        <f>8432</f>
        <v>8432</v>
      </c>
      <c r="M6" t="s">
        <v>23</v>
      </c>
    </row>
    <row r="7" spans="7:13">
      <c r="K7" s="1" t="s">
        <v>6</v>
      </c>
      <c r="L7" s="3">
        <f>L4-L5+L6</f>
        <v>303829</v>
      </c>
    </row>
    <row r="8" spans="7:13">
      <c r="K8" s="1"/>
      <c r="L8" s="1"/>
    </row>
    <row r="9" spans="7:13">
      <c r="K9" s="1"/>
      <c r="L9" s="1"/>
    </row>
    <row r="10" spans="7:13">
      <c r="K10" s="1" t="s">
        <v>7</v>
      </c>
      <c r="L10" s="4">
        <v>0.01</v>
      </c>
    </row>
    <row r="11" spans="7:13">
      <c r="G11" s="16"/>
      <c r="K11" s="1" t="s">
        <v>8</v>
      </c>
      <c r="L11" s="5">
        <v>0.08</v>
      </c>
    </row>
    <row r="12" spans="7:13">
      <c r="K12" s="1" t="s">
        <v>9</v>
      </c>
      <c r="L12" s="2">
        <f>NPV(L11,Model!AB22:FD22)+L5-L6</f>
        <v>242604.78133024299</v>
      </c>
    </row>
    <row r="13" spans="7:13">
      <c r="K13" s="1" t="s">
        <v>10</v>
      </c>
      <c r="L13" s="6">
        <f>L12/L3</f>
        <v>253.50551863139287</v>
      </c>
    </row>
    <row r="15" spans="7:13">
      <c r="L15" s="7">
        <f>L13/L2-1</f>
        <v>-0.21271578064784824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727C-CA7F-E746-8E42-955BCD0EE802}">
  <dimension ref="A1:FD34"/>
  <sheetViews>
    <sheetView tabSelected="1" workbookViewId="0">
      <pane xSplit="2" ySplit="4" topLeftCell="X5" activePane="bottomRight" state="frozen"/>
      <selection pane="topRight" activeCell="C1" sqref="C1"/>
      <selection pane="bottomLeft" activeCell="A5" sqref="A5"/>
      <selection pane="bottomRight" activeCell="AB21" sqref="AB21"/>
    </sheetView>
  </sheetViews>
  <sheetFormatPr baseColWidth="10" defaultRowHeight="16"/>
  <cols>
    <col min="1" max="1" width="4.85546875" bestFit="1" customWidth="1"/>
    <col min="2" max="2" width="24.42578125" bestFit="1" customWidth="1"/>
    <col min="3" max="10" width="10.7109375" style="19"/>
  </cols>
  <sheetData>
    <row r="1" spans="1:45">
      <c r="A1" s="8" t="s">
        <v>11</v>
      </c>
    </row>
    <row r="4" spans="1:45" s="25" customFormat="1">
      <c r="C4" s="25" t="s">
        <v>13</v>
      </c>
      <c r="D4" s="25" t="s">
        <v>14</v>
      </c>
      <c r="E4" s="25" t="s">
        <v>15</v>
      </c>
      <c r="F4" s="25" t="s">
        <v>16</v>
      </c>
      <c r="G4" s="25" t="s">
        <v>17</v>
      </c>
      <c r="H4" s="25" t="s">
        <v>18</v>
      </c>
      <c r="I4" s="25" t="s">
        <v>19</v>
      </c>
      <c r="J4" s="25" t="s">
        <v>20</v>
      </c>
      <c r="K4" s="25" t="s">
        <v>21</v>
      </c>
      <c r="L4" s="25" t="s">
        <v>22</v>
      </c>
      <c r="M4" s="25" t="s">
        <v>23</v>
      </c>
      <c r="N4" s="25" t="s">
        <v>2</v>
      </c>
      <c r="O4" s="25" t="s">
        <v>44</v>
      </c>
      <c r="P4" s="25" t="s">
        <v>45</v>
      </c>
      <c r="Q4" s="25" t="s">
        <v>46</v>
      </c>
      <c r="R4" s="25" t="s">
        <v>47</v>
      </c>
      <c r="T4" s="25">
        <v>2018</v>
      </c>
      <c r="U4" s="25">
        <v>2019</v>
      </c>
      <c r="V4" s="25">
        <v>2020</v>
      </c>
      <c r="W4" s="25">
        <v>2021</v>
      </c>
      <c r="X4" s="25">
        <v>2022</v>
      </c>
      <c r="Y4" s="25">
        <v>2023</v>
      </c>
      <c r="Z4" s="25">
        <v>2024</v>
      </c>
      <c r="AA4" s="25">
        <v>2025</v>
      </c>
      <c r="AB4" s="25">
        <v>2026</v>
      </c>
      <c r="AC4" s="25">
        <v>2027</v>
      </c>
      <c r="AD4" s="25">
        <v>2028</v>
      </c>
      <c r="AE4" s="25">
        <v>2029</v>
      </c>
      <c r="AF4" s="25">
        <v>2030</v>
      </c>
      <c r="AG4" s="25">
        <v>2031</v>
      </c>
      <c r="AH4" s="25">
        <v>2032</v>
      </c>
    </row>
    <row r="5" spans="1:45" s="9" customFormat="1">
      <c r="B5" s="9" t="s">
        <v>48</v>
      </c>
      <c r="C5" s="20"/>
      <c r="D5" s="20"/>
      <c r="E5" s="20"/>
      <c r="F5" s="20"/>
      <c r="G5" s="20"/>
      <c r="H5" s="20"/>
      <c r="I5" s="9">
        <v>8923</v>
      </c>
      <c r="J5" s="20"/>
      <c r="K5" s="9">
        <v>7642</v>
      </c>
      <c r="L5" s="9">
        <v>8006</v>
      </c>
      <c r="M5" s="9">
        <v>8141</v>
      </c>
      <c r="N5" s="9">
        <f>Z5-SUM(K5:M5)</f>
        <v>8748</v>
      </c>
      <c r="O5" s="9">
        <v>8585</v>
      </c>
      <c r="P5" s="9">
        <v>8764</v>
      </c>
      <c r="Q5" s="9">
        <v>8879</v>
      </c>
      <c r="R5" s="9">
        <f>N5*1.09</f>
        <v>9535.3200000000015</v>
      </c>
      <c r="U5" s="9">
        <v>0</v>
      </c>
      <c r="V5" s="9">
        <v>0</v>
      </c>
      <c r="W5" s="9">
        <v>19976</v>
      </c>
      <c r="X5" s="9">
        <v>24657</v>
      </c>
      <c r="Y5" s="9">
        <v>29021</v>
      </c>
      <c r="Z5" s="9">
        <v>32537</v>
      </c>
      <c r="AA5" s="9">
        <f>SUM(O5:R5)</f>
        <v>35763.32</v>
      </c>
    </row>
    <row r="6" spans="1:45" s="9" customFormat="1">
      <c r="B6" s="9" t="s">
        <v>38</v>
      </c>
      <c r="C6" s="20"/>
      <c r="D6" s="20"/>
      <c r="E6" s="20"/>
      <c r="F6" s="20"/>
      <c r="G6" s="20"/>
      <c r="H6" s="20"/>
      <c r="I6" s="9">
        <v>1376</v>
      </c>
      <c r="J6" s="20"/>
      <c r="K6" s="9">
        <v>605</v>
      </c>
      <c r="L6" s="9">
        <v>597</v>
      </c>
      <c r="M6" s="9">
        <v>579</v>
      </c>
      <c r="N6" s="9">
        <f>Z6-SUM(K6:M6)</f>
        <v>539</v>
      </c>
      <c r="O6" s="9">
        <v>548</v>
      </c>
      <c r="P6" s="9">
        <v>561</v>
      </c>
      <c r="Q6" s="9">
        <v>565</v>
      </c>
      <c r="R6" s="9">
        <f>N6*1.09</f>
        <v>587.51</v>
      </c>
      <c r="U6" s="9">
        <v>0</v>
      </c>
      <c r="V6" s="9">
        <v>0</v>
      </c>
      <c r="W6" s="9">
        <v>1276</v>
      </c>
      <c r="X6" s="9">
        <v>1835</v>
      </c>
      <c r="Y6" s="9">
        <v>2331</v>
      </c>
      <c r="Z6" s="9">
        <v>2320</v>
      </c>
      <c r="AA6" s="9">
        <f t="shared" ref="AA6:AA9" si="0">SUM(O6:R6)</f>
        <v>2261.5100000000002</v>
      </c>
    </row>
    <row r="7" spans="1:45" s="15" customFormat="1">
      <c r="B7" s="15" t="s">
        <v>12</v>
      </c>
      <c r="C7" s="21" t="e">
        <f>#REF!+#REF!</f>
        <v>#REF!</v>
      </c>
      <c r="D7" s="21" t="e">
        <f>#REF!+#REF!</f>
        <v>#REF!</v>
      </c>
      <c r="E7" s="21" t="e">
        <f>#REF!+#REF!</f>
        <v>#REF!</v>
      </c>
      <c r="F7" s="21" t="e">
        <f>#REF!+#REF!</f>
        <v>#REF!</v>
      </c>
      <c r="G7" s="21" t="e">
        <f>#REF!+#REF!</f>
        <v>#REF!</v>
      </c>
      <c r="H7" s="21" t="e">
        <f>#REF!+#REF!</f>
        <v>#REF!</v>
      </c>
      <c r="I7" s="15">
        <f>SUM(I5:I6)</f>
        <v>10299</v>
      </c>
      <c r="J7" s="21" t="e">
        <f>#REF!+#REF!</f>
        <v>#REF!</v>
      </c>
      <c r="K7" s="15">
        <f>SUM(K5:K6)</f>
        <v>8247</v>
      </c>
      <c r="L7" s="15">
        <f>SUM(L5:L6)</f>
        <v>8603</v>
      </c>
      <c r="M7" s="15">
        <f>SUM(M5:M6)</f>
        <v>8720</v>
      </c>
      <c r="N7" s="15">
        <f>SUM(N5:N6)</f>
        <v>9287</v>
      </c>
      <c r="O7" s="15">
        <f>SUM(O5:O6)</f>
        <v>9133</v>
      </c>
      <c r="P7" s="15">
        <f>SUM(P5:P6)</f>
        <v>9325</v>
      </c>
      <c r="Q7" s="15">
        <f>SUM(Q5:Q6)</f>
        <v>9444</v>
      </c>
      <c r="R7" s="15">
        <f>SUM(R5:R6)</f>
        <v>10122.830000000002</v>
      </c>
      <c r="T7" s="15">
        <f>SUM(T5:T6)</f>
        <v>0</v>
      </c>
      <c r="U7" s="15">
        <f>SUM(U5:U6)</f>
        <v>0</v>
      </c>
      <c r="V7" s="15">
        <f>SUM(V5:V6)</f>
        <v>0</v>
      </c>
      <c r="W7" s="15">
        <f>SUM(W5:W6)</f>
        <v>21252</v>
      </c>
      <c r="X7" s="15">
        <f>SUM(X5:X6)</f>
        <v>26492</v>
      </c>
      <c r="Y7" s="15">
        <f>SUM(Y5:Y6)</f>
        <v>31352</v>
      </c>
      <c r="Z7" s="15">
        <f>SUM(Z5:Z6)</f>
        <v>34857</v>
      </c>
      <c r="AA7" s="15">
        <f>SUM(AA5:AA6)</f>
        <v>38024.83</v>
      </c>
      <c r="AB7" s="15">
        <f>AA7*(1+AB26)</f>
        <v>41447.064700000003</v>
      </c>
      <c r="AC7" s="15">
        <f>AB7*(1+AC26)</f>
        <v>45591.771170000007</v>
      </c>
      <c r="AD7" s="15">
        <f>AC7*(1+AD26)</f>
        <v>49695.030575300014</v>
      </c>
      <c r="AE7" s="15">
        <f>AD7*(1+AE26)</f>
        <v>54664.533632830018</v>
      </c>
      <c r="AF7" s="15">
        <f>AE7*(1+AF26)</f>
        <v>59584.341659784724</v>
      </c>
      <c r="AG7" s="15">
        <f>AF7*(1+AG26)</f>
        <v>64351.088992567507</v>
      </c>
      <c r="AH7" s="15">
        <f>AG7*(1+AH26)</f>
        <v>68855.665222047232</v>
      </c>
    </row>
    <row r="8" spans="1:45" s="18" customFormat="1">
      <c r="B8" s="9" t="s">
        <v>49</v>
      </c>
      <c r="C8" s="22"/>
      <c r="D8" s="22"/>
      <c r="E8" s="22"/>
      <c r="F8" s="22"/>
      <c r="G8" s="22"/>
      <c r="H8" s="22"/>
      <c r="I8" s="18">
        <v>1980</v>
      </c>
      <c r="J8" s="22"/>
      <c r="K8" s="18">
        <v>1510</v>
      </c>
      <c r="L8" s="18">
        <v>1515</v>
      </c>
      <c r="M8" s="18">
        <v>1571</v>
      </c>
      <c r="N8" s="9">
        <f>Z8-SUM(K8:M8)</f>
        <v>1581</v>
      </c>
      <c r="O8" s="18">
        <v>1560</v>
      </c>
      <c r="P8" s="18">
        <v>1556</v>
      </c>
      <c r="Q8" s="9">
        <v>1501</v>
      </c>
      <c r="R8" s="9">
        <f>Q8</f>
        <v>1501</v>
      </c>
      <c r="U8" s="18">
        <v>3782</v>
      </c>
      <c r="V8" s="18">
        <v>4006</v>
      </c>
      <c r="W8" s="18">
        <v>4154</v>
      </c>
      <c r="X8" s="18">
        <v>5059</v>
      </c>
      <c r="Y8" s="18">
        <v>5821</v>
      </c>
      <c r="Z8" s="18">
        <v>6177</v>
      </c>
      <c r="AA8" s="9">
        <f t="shared" si="0"/>
        <v>6118</v>
      </c>
    </row>
    <row r="9" spans="1:45" s="18" customFormat="1">
      <c r="B9" s="18" t="s">
        <v>39</v>
      </c>
      <c r="C9" s="22"/>
      <c r="D9" s="22"/>
      <c r="E9" s="22"/>
      <c r="F9" s="22"/>
      <c r="G9" s="22"/>
      <c r="H9" s="22"/>
      <c r="I9" s="18">
        <v>1215</v>
      </c>
      <c r="J9" s="22"/>
      <c r="K9" s="18">
        <v>615</v>
      </c>
      <c r="L9" s="18">
        <v>598</v>
      </c>
      <c r="M9" s="18">
        <v>584</v>
      </c>
      <c r="N9" s="9">
        <f>Z9-SUM(K9:M9)</f>
        <v>567</v>
      </c>
      <c r="O9" s="18">
        <v>602</v>
      </c>
      <c r="P9" s="18">
        <v>603</v>
      </c>
      <c r="Q9" s="9">
        <v>604</v>
      </c>
      <c r="R9" s="9">
        <f>N9</f>
        <v>567</v>
      </c>
      <c r="U9" s="18">
        <v>2853</v>
      </c>
      <c r="V9" s="18">
        <v>2816</v>
      </c>
      <c r="W9" s="18">
        <v>1284</v>
      </c>
      <c r="X9" s="18">
        <v>1967</v>
      </c>
      <c r="Y9" s="18">
        <v>2539</v>
      </c>
      <c r="Z9" s="18">
        <v>2364</v>
      </c>
      <c r="AA9" s="9">
        <f t="shared" si="0"/>
        <v>2376</v>
      </c>
    </row>
    <row r="10" spans="1:45" s="11" customFormat="1">
      <c r="B10" s="11" t="s">
        <v>24</v>
      </c>
      <c r="C10" s="23" t="e">
        <f>SUM(#REF!)</f>
        <v>#REF!</v>
      </c>
      <c r="D10" s="23" t="e">
        <f>SUM(#REF!)</f>
        <v>#REF!</v>
      </c>
      <c r="E10" s="23" t="e">
        <f>SUM(#REF!)</f>
        <v>#REF!</v>
      </c>
      <c r="F10" s="23" t="e">
        <f>SUM(#REF!)</f>
        <v>#REF!</v>
      </c>
      <c r="G10" s="23" t="e">
        <f>SUM(#REF!)</f>
        <v>#REF!</v>
      </c>
      <c r="H10" s="23" t="e">
        <f>SUM(#REF!)</f>
        <v>#REF!</v>
      </c>
      <c r="I10" s="11">
        <f>SUM(I8:I9)</f>
        <v>3195</v>
      </c>
      <c r="J10" s="23" t="e">
        <f>SUM(#REF!)</f>
        <v>#REF!</v>
      </c>
      <c r="K10" s="11">
        <f>SUM(K8:K9)</f>
        <v>2125</v>
      </c>
      <c r="L10" s="11">
        <f>SUM(L8:L9)</f>
        <v>2113</v>
      </c>
      <c r="M10" s="11">
        <f>SUM(M8:M9)</f>
        <v>2155</v>
      </c>
      <c r="N10" s="11">
        <f>SUM(N8:N9)</f>
        <v>2148</v>
      </c>
      <c r="O10" s="11">
        <f>SUM(O8:O9)</f>
        <v>2162</v>
      </c>
      <c r="P10" s="11">
        <f>SUM(P8:P9)</f>
        <v>2159</v>
      </c>
      <c r="Q10" s="11">
        <f>SUM(Q8:Q9)</f>
        <v>2105</v>
      </c>
      <c r="R10" s="11">
        <f>SUM(R8:R9)</f>
        <v>2068</v>
      </c>
      <c r="S10" s="11">
        <f>SUM(S8:S9)</f>
        <v>0</v>
      </c>
      <c r="T10" s="11">
        <f>SUM(T8:T9)</f>
        <v>0</v>
      </c>
      <c r="U10" s="11">
        <f>SUM(U8:U9)</f>
        <v>6635</v>
      </c>
      <c r="V10" s="11">
        <f>SUM(V8:V9)</f>
        <v>6822</v>
      </c>
      <c r="W10" s="11">
        <f>SUM(W8:W9)</f>
        <v>5438</v>
      </c>
      <c r="X10" s="11">
        <f>SUM(X8:X9)</f>
        <v>7026</v>
      </c>
      <c r="Y10" s="11">
        <f>SUM(Y8:Y9)</f>
        <v>8360</v>
      </c>
      <c r="Z10" s="11">
        <f>SUM(Z8:Z9)</f>
        <v>8541</v>
      </c>
      <c r="AA10" s="11">
        <f>SUM(AA8:AA9)</f>
        <v>8494</v>
      </c>
      <c r="AB10" s="11">
        <f>SUM(AB8:AB9)</f>
        <v>0</v>
      </c>
      <c r="AC10" s="11">
        <f>SUM(AC8:AC9)</f>
        <v>0</v>
      </c>
      <c r="AD10" s="11">
        <f>SUM(AD8:AD9)</f>
        <v>0</v>
      </c>
      <c r="AE10" s="11">
        <f>SUM(AE8:AE9)</f>
        <v>0</v>
      </c>
      <c r="AF10" s="11">
        <f>SUM(AF8:AF9)</f>
        <v>0</v>
      </c>
      <c r="AG10" s="11">
        <f>SUM(AG8:AG9)</f>
        <v>0</v>
      </c>
      <c r="AH10" s="11">
        <f>SUM(AH8:AH9)</f>
        <v>0</v>
      </c>
      <c r="AI10" s="11">
        <f>SUM(AI8:AI9)</f>
        <v>0</v>
      </c>
      <c r="AJ10" s="11">
        <f>SUM(AJ8:AJ9)</f>
        <v>0</v>
      </c>
      <c r="AK10" s="11">
        <f>SUM(AK8:AK9)</f>
        <v>0</v>
      </c>
      <c r="AL10" s="11">
        <f>SUM(AL8:AL9)</f>
        <v>0</v>
      </c>
      <c r="AM10" s="11">
        <f>SUM(AM8:AM9)</f>
        <v>0</v>
      </c>
      <c r="AN10" s="11">
        <f>SUM(AN8:AN9)</f>
        <v>0</v>
      </c>
      <c r="AO10" s="11">
        <f>SUM(AO8:AO9)</f>
        <v>0</v>
      </c>
    </row>
    <row r="11" spans="1:45" s="11" customFormat="1">
      <c r="B11" s="11" t="s">
        <v>25</v>
      </c>
      <c r="C11" s="23" t="e">
        <f>C7-C10</f>
        <v>#REF!</v>
      </c>
      <c r="D11" s="23" t="e">
        <f>D7-D10</f>
        <v>#REF!</v>
      </c>
      <c r="E11" s="23" t="e">
        <f>E7-E10</f>
        <v>#REF!</v>
      </c>
      <c r="F11" s="23" t="e">
        <f>F7-F10</f>
        <v>#REF!</v>
      </c>
      <c r="G11" s="23" t="e">
        <f>G7-G10</f>
        <v>#REF!</v>
      </c>
      <c r="H11" s="23" t="e">
        <f>H7-H10</f>
        <v>#REF!</v>
      </c>
      <c r="I11" s="11">
        <f>I7-I10</f>
        <v>7104</v>
      </c>
      <c r="J11" s="23" t="e">
        <f>J7-J10</f>
        <v>#REF!</v>
      </c>
      <c r="K11" s="11">
        <f>K7-K10</f>
        <v>6122</v>
      </c>
      <c r="L11" s="11">
        <f>L7-L10</f>
        <v>6490</v>
      </c>
      <c r="M11" s="11">
        <f>M7-M10</f>
        <v>6565</v>
      </c>
      <c r="N11" s="11">
        <f>Y11-SUM(K11:M11)</f>
        <v>3815</v>
      </c>
      <c r="O11" s="11">
        <f>O7-O10</f>
        <v>6971</v>
      </c>
      <c r="P11" s="11">
        <f>P7-P10</f>
        <v>7166</v>
      </c>
      <c r="Q11" s="11">
        <f>Q7-Q10</f>
        <v>7339</v>
      </c>
      <c r="R11" s="11">
        <f>R7-R10</f>
        <v>8054.8300000000017</v>
      </c>
      <c r="T11" s="11">
        <f>T7-T10</f>
        <v>0</v>
      </c>
      <c r="U11" s="11">
        <f>U7-U10</f>
        <v>-6635</v>
      </c>
      <c r="V11" s="11">
        <f>V7-V10</f>
        <v>-6822</v>
      </c>
      <c r="W11" s="11">
        <f>W7-W10</f>
        <v>15814</v>
      </c>
      <c r="X11" s="11">
        <f>X7-X10</f>
        <v>19466</v>
      </c>
      <c r="Y11" s="11">
        <f>Y7-Y10</f>
        <v>22992</v>
      </c>
      <c r="Z11" s="11">
        <f>Z7-Z10</f>
        <v>26316</v>
      </c>
      <c r="AA11" s="11">
        <f>AA7-AA10</f>
        <v>29530.83</v>
      </c>
    </row>
    <row r="12" spans="1:45" s="9" customFormat="1">
      <c r="B12" s="9" t="s">
        <v>42</v>
      </c>
      <c r="C12" s="20">
        <v>319</v>
      </c>
      <c r="D12" s="20">
        <v>341</v>
      </c>
      <c r="E12" s="20">
        <v>376</v>
      </c>
      <c r="F12" s="20">
        <f>W12-SUM(C12:E12)</f>
        <v>2562</v>
      </c>
      <c r="G12" s="20">
        <v>597</v>
      </c>
      <c r="H12" s="20">
        <v>592</v>
      </c>
      <c r="I12" s="9">
        <v>2150</v>
      </c>
      <c r="J12" s="20">
        <f>X12-SUM(G12:I12)</f>
        <v>1126</v>
      </c>
      <c r="K12" s="9">
        <v>1207</v>
      </c>
      <c r="L12" s="9">
        <v>1220</v>
      </c>
      <c r="M12" s="9">
        <v>1204</v>
      </c>
      <c r="N12" s="9">
        <f t="shared" ref="N12:N15" si="1">Z12-SUM(K12:M12)</f>
        <v>1275</v>
      </c>
      <c r="O12" s="9">
        <v>1368</v>
      </c>
      <c r="P12" s="9">
        <v>1349</v>
      </c>
      <c r="Q12" s="9">
        <v>1356</v>
      </c>
      <c r="R12" s="9">
        <f>N12</f>
        <v>1275</v>
      </c>
      <c r="U12" s="9">
        <v>8509</v>
      </c>
      <c r="V12" s="9">
        <v>8094</v>
      </c>
      <c r="W12" s="9">
        <v>3598</v>
      </c>
      <c r="X12" s="9">
        <v>4465</v>
      </c>
      <c r="Y12" s="9">
        <v>5055</v>
      </c>
      <c r="Z12" s="9">
        <v>4906</v>
      </c>
      <c r="AA12" s="9">
        <f t="shared" ref="AA12:AA15" si="2">SUM(O12:R12)</f>
        <v>5348</v>
      </c>
    </row>
    <row r="13" spans="1:45" s="9" customFormat="1">
      <c r="B13" s="9" t="s">
        <v>40</v>
      </c>
      <c r="C13" s="20"/>
      <c r="D13" s="20"/>
      <c r="E13" s="20"/>
      <c r="F13" s="20"/>
      <c r="G13" s="20"/>
      <c r="H13" s="20"/>
      <c r="I13" s="9">
        <v>2146</v>
      </c>
      <c r="J13" s="20"/>
      <c r="K13" s="9">
        <v>3154</v>
      </c>
      <c r="L13" s="9">
        <v>3113</v>
      </c>
      <c r="M13" s="9">
        <v>3173</v>
      </c>
      <c r="N13" s="9">
        <f t="shared" si="1"/>
        <v>3437</v>
      </c>
      <c r="O13" s="9">
        <v>3239</v>
      </c>
      <c r="P13" s="9">
        <v>3224</v>
      </c>
      <c r="Q13" s="9">
        <v>3323</v>
      </c>
      <c r="R13" s="9">
        <f>N13</f>
        <v>3437</v>
      </c>
      <c r="U13" s="9">
        <v>6026</v>
      </c>
      <c r="V13" s="9">
        <v>6067</v>
      </c>
      <c r="W13" s="9">
        <v>9674</v>
      </c>
      <c r="X13" s="9">
        <v>11855</v>
      </c>
      <c r="Y13" s="9">
        <v>13526</v>
      </c>
      <c r="Z13" s="9">
        <v>12877</v>
      </c>
      <c r="AA13" s="9">
        <f t="shared" si="2"/>
        <v>13223</v>
      </c>
    </row>
    <row r="14" spans="1:45" s="9" customFormat="1">
      <c r="B14" s="9" t="s">
        <v>41</v>
      </c>
      <c r="C14" s="20">
        <v>0</v>
      </c>
      <c r="D14" s="20">
        <v>0</v>
      </c>
      <c r="E14" s="20">
        <v>0</v>
      </c>
      <c r="F14" s="20">
        <f>W14-SUM(C14:E14)</f>
        <v>2087</v>
      </c>
      <c r="G14" s="20">
        <v>293</v>
      </c>
      <c r="H14" s="20">
        <v>616</v>
      </c>
      <c r="I14" s="9">
        <v>402</v>
      </c>
      <c r="J14" s="20">
        <f>X14-SUM(G14:I14)</f>
        <v>1287</v>
      </c>
      <c r="K14" s="9">
        <v>638</v>
      </c>
      <c r="L14" s="9">
        <v>632</v>
      </c>
      <c r="M14" s="9">
        <v>632</v>
      </c>
      <c r="N14" s="9">
        <f t="shared" si="1"/>
        <v>632</v>
      </c>
      <c r="O14" s="9">
        <v>647</v>
      </c>
      <c r="P14" s="9">
        <v>711</v>
      </c>
      <c r="Q14" s="9">
        <v>711</v>
      </c>
      <c r="R14" s="9">
        <f>Q14</f>
        <v>711</v>
      </c>
      <c r="U14" s="9">
        <v>1265</v>
      </c>
      <c r="V14" s="9">
        <v>1181</v>
      </c>
      <c r="W14" s="9">
        <v>2087</v>
      </c>
      <c r="X14" s="9">
        <v>2598</v>
      </c>
      <c r="Y14" s="9">
        <v>2553</v>
      </c>
      <c r="Z14" s="9">
        <v>2534</v>
      </c>
      <c r="AA14" s="9">
        <f t="shared" si="2"/>
        <v>2780</v>
      </c>
    </row>
    <row r="15" spans="1:45" s="9" customFormat="1">
      <c r="B15" s="9" t="s">
        <v>43</v>
      </c>
      <c r="C15" s="20"/>
      <c r="D15" s="20"/>
      <c r="E15" s="20"/>
      <c r="F15" s="20"/>
      <c r="G15" s="20"/>
      <c r="H15" s="20"/>
      <c r="I15" s="9">
        <v>78</v>
      </c>
      <c r="J15" s="20"/>
      <c r="K15" s="9">
        <v>711</v>
      </c>
      <c r="L15" s="9">
        <v>49</v>
      </c>
      <c r="M15" s="9">
        <v>55</v>
      </c>
      <c r="N15" s="9">
        <f t="shared" si="1"/>
        <v>173</v>
      </c>
      <c r="O15" s="9">
        <v>8</v>
      </c>
      <c r="P15" s="9">
        <v>99</v>
      </c>
      <c r="Q15" s="9">
        <v>56</v>
      </c>
      <c r="U15" s="9">
        <v>443</v>
      </c>
      <c r="V15" s="9">
        <v>250</v>
      </c>
      <c r="W15" s="9">
        <v>0</v>
      </c>
      <c r="X15" s="9">
        <v>0</v>
      </c>
      <c r="Y15" s="9">
        <v>828</v>
      </c>
      <c r="Z15" s="9">
        <v>988</v>
      </c>
      <c r="AA15" s="9">
        <f t="shared" si="2"/>
        <v>163</v>
      </c>
    </row>
    <row r="16" spans="1:45" s="11" customFormat="1">
      <c r="B16" s="11" t="s">
        <v>26</v>
      </c>
      <c r="C16" s="11">
        <f>C12+C14</f>
        <v>319</v>
      </c>
      <c r="D16" s="11">
        <f>D12+D14</f>
        <v>341</v>
      </c>
      <c r="E16" s="11">
        <f>E12+E14</f>
        <v>376</v>
      </c>
      <c r="F16" s="11">
        <f>F12+F14</f>
        <v>4649</v>
      </c>
      <c r="G16" s="11">
        <f>G12+G14</f>
        <v>890</v>
      </c>
      <c r="H16" s="11">
        <f>H12+H14</f>
        <v>1208</v>
      </c>
      <c r="I16" s="11">
        <f>SUM(I12:I15)</f>
        <v>4776</v>
      </c>
      <c r="J16" s="11">
        <f>J12+J14</f>
        <v>2413</v>
      </c>
      <c r="K16" s="11">
        <f>SUM(K12:K15)</f>
        <v>5710</v>
      </c>
      <c r="L16" s="11">
        <f>SUM(L12:L15)</f>
        <v>5014</v>
      </c>
      <c r="M16" s="11">
        <f>SUM(M12:M15)</f>
        <v>5064</v>
      </c>
      <c r="N16" s="11">
        <f>SUM(N12:N15)</f>
        <v>5517</v>
      </c>
      <c r="O16" s="11">
        <f>SUM(O12:O15)</f>
        <v>5262</v>
      </c>
      <c r="P16" s="11">
        <f>SUM(P12:P15)</f>
        <v>5383</v>
      </c>
      <c r="Q16" s="11">
        <f>SUM(Q12:Q15)</f>
        <v>5446</v>
      </c>
      <c r="R16" s="11">
        <f>SUM(R12:R15)</f>
        <v>5423</v>
      </c>
      <c r="S16" s="11">
        <f>SUM(S12:S15)</f>
        <v>0</v>
      </c>
      <c r="T16" s="11">
        <f>SUM(T12:T15)</f>
        <v>0</v>
      </c>
      <c r="U16" s="11">
        <f>SUM(U12:U15)</f>
        <v>16243</v>
      </c>
      <c r="V16" s="11">
        <f>SUM(V12:V15)</f>
        <v>15592</v>
      </c>
      <c r="W16" s="11">
        <f>SUM(W12:W15)</f>
        <v>15359</v>
      </c>
      <c r="X16" s="11">
        <f>SUM(X12:X15)</f>
        <v>18918</v>
      </c>
      <c r="Y16" s="11">
        <f>SUM(Y12:Y15)</f>
        <v>21962</v>
      </c>
      <c r="Z16" s="11">
        <f>SUM(Z12:Z15)</f>
        <v>21305</v>
      </c>
      <c r="AA16" s="11">
        <f>SUM(AA12:AA15)</f>
        <v>21514</v>
      </c>
      <c r="AB16" s="11">
        <f>SUM(AB12:AB15)</f>
        <v>0</v>
      </c>
      <c r="AC16" s="11">
        <f>SUM(AC12:AC15)</f>
        <v>0</v>
      </c>
      <c r="AD16" s="11">
        <f>SUM(AD12:AD15)</f>
        <v>0</v>
      </c>
      <c r="AE16" s="11">
        <f>SUM(AE12:AE15)</f>
        <v>0</v>
      </c>
      <c r="AF16" s="11">
        <f>SUM(AF12:AF15)</f>
        <v>0</v>
      </c>
      <c r="AG16" s="11">
        <f>SUM(AG12:AG15)</f>
        <v>0</v>
      </c>
      <c r="AH16" s="11">
        <f>SUM(AH12:AH15)</f>
        <v>0</v>
      </c>
      <c r="AI16" s="11">
        <f>SUM(AI12:AI15)</f>
        <v>0</v>
      </c>
      <c r="AJ16" s="11">
        <f>SUM(AJ12:AJ15)</f>
        <v>0</v>
      </c>
      <c r="AK16" s="11">
        <f>SUM(AK12:AK15)</f>
        <v>0</v>
      </c>
      <c r="AL16" s="11">
        <f>SUM(AL12:AL15)</f>
        <v>0</v>
      </c>
      <c r="AM16" s="11">
        <f>SUM(AM12:AM15)</f>
        <v>0</v>
      </c>
      <c r="AN16" s="11">
        <f>SUM(AN12:AN15)</f>
        <v>0</v>
      </c>
      <c r="AO16" s="11">
        <f>SUM(AO12:AO15)</f>
        <v>0</v>
      </c>
      <c r="AP16" s="11">
        <f>SUM(AP12:AP14)</f>
        <v>0</v>
      </c>
      <c r="AQ16" s="11">
        <f>SUM(AQ12:AQ14)</f>
        <v>0</v>
      </c>
      <c r="AR16" s="11">
        <f>SUM(AR12:AR14)</f>
        <v>0</v>
      </c>
      <c r="AS16" s="11">
        <f>SUM(AS12:AS14)</f>
        <v>0</v>
      </c>
    </row>
    <row r="17" spans="2:160" s="11" customFormat="1">
      <c r="B17" s="11" t="s">
        <v>27</v>
      </c>
      <c r="C17" s="23" t="e">
        <f>C11-C16</f>
        <v>#REF!</v>
      </c>
      <c r="D17" s="23" t="e">
        <f>D11-D16</f>
        <v>#REF!</v>
      </c>
      <c r="E17" s="23" t="e">
        <f>E11-E16</f>
        <v>#REF!</v>
      </c>
      <c r="F17" s="23" t="e">
        <f>F11-F16</f>
        <v>#REF!</v>
      </c>
      <c r="G17" s="23" t="e">
        <f>G11-G16</f>
        <v>#REF!</v>
      </c>
      <c r="H17" s="23" t="e">
        <f>H11-H16</f>
        <v>#REF!</v>
      </c>
      <c r="I17" s="11">
        <f>I11-I16</f>
        <v>2328</v>
      </c>
      <c r="J17" s="23" t="e">
        <f>J11-J16</f>
        <v>#REF!</v>
      </c>
      <c r="K17" s="11">
        <f>K11-K16</f>
        <v>412</v>
      </c>
      <c r="L17" s="11">
        <f>L11-L16</f>
        <v>1476</v>
      </c>
      <c r="M17" s="11">
        <f>M11-M16</f>
        <v>1501</v>
      </c>
      <c r="N17" s="11">
        <f>N11-N16</f>
        <v>-1702</v>
      </c>
      <c r="O17" s="11">
        <f>O11-O16</f>
        <v>1709</v>
      </c>
      <c r="P17" s="11">
        <f>P11-P16</f>
        <v>1783</v>
      </c>
      <c r="Q17" s="11">
        <f>Q11-Q16</f>
        <v>1893</v>
      </c>
      <c r="R17" s="11">
        <f>R11-R16</f>
        <v>2631.8300000000017</v>
      </c>
      <c r="S17" s="11">
        <f>S11-S16</f>
        <v>0</v>
      </c>
      <c r="T17" s="11">
        <f>T11-T16</f>
        <v>0</v>
      </c>
      <c r="U17" s="11">
        <f>U11-U16</f>
        <v>-22878</v>
      </c>
      <c r="V17" s="11">
        <f>V11-V16</f>
        <v>-22414</v>
      </c>
      <c r="W17" s="11">
        <f>W11-W16</f>
        <v>455</v>
      </c>
      <c r="X17" s="11">
        <f>X11-X16</f>
        <v>548</v>
      </c>
      <c r="Y17" s="11">
        <f>Y11-Y16</f>
        <v>1030</v>
      </c>
      <c r="Z17" s="11">
        <f>Z11-Z16</f>
        <v>5011</v>
      </c>
      <c r="AA17" s="11">
        <f>AA11-AA16</f>
        <v>8016.8300000000017</v>
      </c>
      <c r="AB17" s="11">
        <f>AB11-AB16</f>
        <v>0</v>
      </c>
      <c r="AC17" s="11">
        <f>AC11-AC16</f>
        <v>0</v>
      </c>
      <c r="AD17" s="11">
        <f>AD11-AD16</f>
        <v>0</v>
      </c>
      <c r="AE17" s="11">
        <f>AE11-AE16</f>
        <v>0</v>
      </c>
      <c r="AF17" s="11">
        <f>AF11-AF16</f>
        <v>0</v>
      </c>
      <c r="AG17" s="11">
        <f>AG11-AG16</f>
        <v>0</v>
      </c>
      <c r="AH17" s="11">
        <f>AH11-AH16</f>
        <v>0</v>
      </c>
      <c r="AI17" s="11">
        <f>AI11-AI16</f>
        <v>0</v>
      </c>
      <c r="AJ17" s="11">
        <f>AJ11-AJ16</f>
        <v>0</v>
      </c>
      <c r="AK17" s="11">
        <f>AK11-AK16</f>
        <v>0</v>
      </c>
      <c r="AL17" s="11">
        <f>AL11-AL16</f>
        <v>0</v>
      </c>
      <c r="AM17" s="11">
        <f>AM11-AM16</f>
        <v>0</v>
      </c>
      <c r="AN17" s="11">
        <f>AN11-AN16</f>
        <v>0</v>
      </c>
      <c r="AO17" s="11">
        <f>AO11-AO16</f>
        <v>0</v>
      </c>
      <c r="AP17" s="11">
        <f>AP11-AP16</f>
        <v>0</v>
      </c>
      <c r="AQ17" s="11">
        <f>AQ11-AQ16</f>
        <v>0</v>
      </c>
      <c r="AR17" s="11">
        <f>AR11-AR16</f>
        <v>0</v>
      </c>
      <c r="AS17" s="11">
        <f>AS11-AS16</f>
        <v>0</v>
      </c>
    </row>
    <row r="18" spans="2:160" s="9" customFormat="1">
      <c r="B18" s="9" t="s">
        <v>28</v>
      </c>
      <c r="C18" s="20">
        <v>-11</v>
      </c>
      <c r="D18" s="20">
        <v>0</v>
      </c>
      <c r="E18" s="20">
        <v>62</v>
      </c>
      <c r="F18" s="20">
        <f>W18-SUM(C18:E18)</f>
        <v>2119</v>
      </c>
      <c r="G18" s="20">
        <v>-42</v>
      </c>
      <c r="H18" s="20">
        <v>-4</v>
      </c>
      <c r="I18" s="9">
        <v>-908</v>
      </c>
      <c r="J18" s="20">
        <f>X18-SUM(G18:I18)</f>
        <v>2165</v>
      </c>
      <c r="K18" s="9">
        <v>-141</v>
      </c>
      <c r="L18" s="9">
        <v>-29</v>
      </c>
      <c r="M18" s="9">
        <v>-72</v>
      </c>
      <c r="N18" s="9">
        <f>Z18-SUM(K18:M18)</f>
        <v>-35</v>
      </c>
      <c r="O18" s="9">
        <v>37</v>
      </c>
      <c r="P18" s="9">
        <v>-37</v>
      </c>
      <c r="Q18" s="9">
        <v>-217</v>
      </c>
      <c r="R18" s="9">
        <f>Q18</f>
        <v>-217</v>
      </c>
      <c r="U18" s="9">
        <v>-2082</v>
      </c>
      <c r="V18" s="9">
        <v>-1995</v>
      </c>
      <c r="W18" s="9">
        <v>2170</v>
      </c>
      <c r="X18" s="9">
        <v>1211</v>
      </c>
      <c r="Y18" s="9">
        <v>-239</v>
      </c>
      <c r="Z18" s="11">
        <v>-277</v>
      </c>
      <c r="AA18" s="9">
        <f t="shared" ref="AA18:AA19" si="3">SUM(O18:R18)</f>
        <v>-434</v>
      </c>
    </row>
    <row r="19" spans="2:160" s="9" customFormat="1">
      <c r="B19" s="9" t="s">
        <v>37</v>
      </c>
      <c r="C19" s="20"/>
      <c r="D19" s="20"/>
      <c r="E19" s="20"/>
      <c r="F19" s="20"/>
      <c r="G19" s="20"/>
      <c r="H19" s="20"/>
      <c r="I19" s="9">
        <v>-134</v>
      </c>
      <c r="J19" s="20"/>
      <c r="K19" s="9">
        <v>55</v>
      </c>
      <c r="L19" s="9">
        <v>45</v>
      </c>
      <c r="M19" s="9">
        <v>58</v>
      </c>
      <c r="N19" s="9">
        <f>Z19-SUM(K19:M19)</f>
        <v>58</v>
      </c>
      <c r="O19" s="9">
        <v>121</v>
      </c>
      <c r="P19" s="9">
        <v>91</v>
      </c>
      <c r="Q19" s="9">
        <v>70</v>
      </c>
      <c r="R19" s="9">
        <v>100</v>
      </c>
      <c r="U19" s="9">
        <v>815</v>
      </c>
      <c r="V19" s="9">
        <v>162</v>
      </c>
      <c r="W19" s="9">
        <v>-64</v>
      </c>
      <c r="X19" s="9">
        <v>-227</v>
      </c>
      <c r="Y19" s="9">
        <v>-131</v>
      </c>
      <c r="Z19" s="11">
        <v>216</v>
      </c>
      <c r="AA19" s="9">
        <f t="shared" si="3"/>
        <v>382</v>
      </c>
    </row>
    <row r="20" spans="2:160" s="11" customFormat="1">
      <c r="B20" s="11" t="s">
        <v>29</v>
      </c>
      <c r="C20" s="11" t="e">
        <f>C17+#REF!-C18+#REF!+C19</f>
        <v>#REF!</v>
      </c>
      <c r="D20" s="11" t="e">
        <f>D17+#REF!-D18+#REF!+D19</f>
        <v>#REF!</v>
      </c>
      <c r="E20" s="11" t="e">
        <f t="shared" ref="E20:O20" si="4">E17+E18+E19</f>
        <v>#REF!</v>
      </c>
      <c r="F20" s="11" t="e">
        <f t="shared" si="4"/>
        <v>#REF!</v>
      </c>
      <c r="G20" s="11" t="e">
        <f t="shared" si="4"/>
        <v>#REF!</v>
      </c>
      <c r="H20" s="11" t="e">
        <f t="shared" si="4"/>
        <v>#REF!</v>
      </c>
      <c r="I20" s="11">
        <f t="shared" si="4"/>
        <v>1286</v>
      </c>
      <c r="J20" s="11" t="e">
        <f t="shared" si="4"/>
        <v>#REF!</v>
      </c>
      <c r="K20" s="11">
        <f t="shared" si="4"/>
        <v>326</v>
      </c>
      <c r="L20" s="11">
        <f t="shared" si="4"/>
        <v>1492</v>
      </c>
      <c r="M20" s="11">
        <f t="shared" si="4"/>
        <v>1487</v>
      </c>
      <c r="N20" s="11">
        <f t="shared" si="4"/>
        <v>-1679</v>
      </c>
      <c r="O20" s="11">
        <f t="shared" si="4"/>
        <v>1867</v>
      </c>
      <c r="P20" s="11">
        <f>P17+P18+P19</f>
        <v>1837</v>
      </c>
      <c r="Q20" s="11">
        <f t="shared" ref="Q20:R20" si="5">Q17+Q18+Q19</f>
        <v>1746</v>
      </c>
      <c r="R20" s="11">
        <f t="shared" si="5"/>
        <v>2514.8300000000017</v>
      </c>
      <c r="T20" s="11">
        <f t="shared" ref="T20:Y20" si="6">T17+T18+T19</f>
        <v>0</v>
      </c>
      <c r="U20" s="11">
        <f t="shared" si="6"/>
        <v>-24145</v>
      </c>
      <c r="V20" s="11">
        <f t="shared" si="6"/>
        <v>-24247</v>
      </c>
      <c r="W20" s="11">
        <f t="shared" si="6"/>
        <v>2561</v>
      </c>
      <c r="X20" s="11">
        <f t="shared" si="6"/>
        <v>1532</v>
      </c>
      <c r="Y20" s="11">
        <f t="shared" si="6"/>
        <v>660</v>
      </c>
      <c r="Z20" s="11">
        <f>Z17+Z18+Z19</f>
        <v>4950</v>
      </c>
      <c r="AA20" s="11">
        <f t="shared" ref="AA20" si="7">AA17+AA18+AA19</f>
        <v>7964.8300000000017</v>
      </c>
      <c r="AB20" s="11">
        <f t="shared" ref="AB20" si="8">AB17+AB18+AB19</f>
        <v>0</v>
      </c>
      <c r="AC20" s="11">
        <f t="shared" ref="AC20" si="9">AC17+AC18+AC19</f>
        <v>0</v>
      </c>
      <c r="AD20" s="11">
        <f t="shared" ref="AD20" si="10">AD17+AD18+AD19</f>
        <v>0</v>
      </c>
      <c r="AE20" s="11">
        <f t="shared" ref="AE20" si="11">AE17+AE18+AE19</f>
        <v>0</v>
      </c>
      <c r="AF20" s="11">
        <f t="shared" ref="AF20" si="12">AF17+AF18+AF19</f>
        <v>0</v>
      </c>
      <c r="AG20" s="11">
        <f t="shared" ref="AG20" si="13">AG17+AG18+AG19</f>
        <v>0</v>
      </c>
      <c r="AH20" s="11">
        <f t="shared" ref="AH20" si="14">AH17+AH18+AH19</f>
        <v>0</v>
      </c>
      <c r="AI20" s="11">
        <f t="shared" ref="AI20" si="15">AI17+AI18+AI19</f>
        <v>0</v>
      </c>
      <c r="AJ20" s="11">
        <f t="shared" ref="AJ20" si="16">AJ17+AJ18+AJ19</f>
        <v>0</v>
      </c>
      <c r="AK20" s="11">
        <f t="shared" ref="AK20" si="17">AK17+AK18+AK19</f>
        <v>0</v>
      </c>
    </row>
    <row r="21" spans="2:160" s="9" customFormat="1">
      <c r="B21" s="9" t="s">
        <v>30</v>
      </c>
      <c r="C21" s="20">
        <v>89</v>
      </c>
      <c r="D21" s="20">
        <v>113</v>
      </c>
      <c r="E21" s="20">
        <v>82</v>
      </c>
      <c r="F21" s="20">
        <f>W21-SUM(C21:E21)</f>
        <v>-1795</v>
      </c>
      <c r="G21" s="20">
        <v>113</v>
      </c>
      <c r="H21" s="20">
        <v>54</v>
      </c>
      <c r="I21" s="9">
        <v>322</v>
      </c>
      <c r="J21" s="20">
        <f>X21-SUM(G21:I21)</f>
        <v>-401</v>
      </c>
      <c r="K21" s="9">
        <v>127</v>
      </c>
      <c r="L21" s="9">
        <v>225</v>
      </c>
      <c r="M21" s="9">
        <v>263</v>
      </c>
      <c r="N21" s="9">
        <f>Z21-SUM(K21:M21)</f>
        <v>199</v>
      </c>
      <c r="O21" s="9">
        <v>334</v>
      </c>
      <c r="P21" s="9">
        <v>408</v>
      </c>
      <c r="Q21" s="9">
        <v>219</v>
      </c>
      <c r="R21" s="9">
        <f>R20*Q29</f>
        <v>315.43400343642634</v>
      </c>
      <c r="U21" s="9">
        <v>1185</v>
      </c>
      <c r="V21" s="9">
        <v>1928</v>
      </c>
      <c r="W21" s="9">
        <v>-1511</v>
      </c>
      <c r="X21" s="9">
        <v>88</v>
      </c>
      <c r="Y21" s="9">
        <v>452</v>
      </c>
      <c r="Z21" s="9">
        <v>814</v>
      </c>
      <c r="AA21" s="9">
        <f t="shared" ref="AA21" si="18">SUM(O21:R21)</f>
        <v>1276.4340034364263</v>
      </c>
    </row>
    <row r="22" spans="2:160" s="14" customFormat="1">
      <c r="B22" s="14" t="s">
        <v>31</v>
      </c>
      <c r="C22" s="21" t="e">
        <f t="shared" ref="C22:P22" si="19">C20-C21</f>
        <v>#REF!</v>
      </c>
      <c r="D22" s="21" t="e">
        <f t="shared" si="19"/>
        <v>#REF!</v>
      </c>
      <c r="E22" s="21" t="e">
        <f t="shared" si="19"/>
        <v>#REF!</v>
      </c>
      <c r="F22" s="21" t="e">
        <f t="shared" si="19"/>
        <v>#REF!</v>
      </c>
      <c r="G22" s="21" t="e">
        <f t="shared" si="19"/>
        <v>#REF!</v>
      </c>
      <c r="H22" s="21" t="e">
        <f t="shared" si="19"/>
        <v>#REF!</v>
      </c>
      <c r="I22" s="15">
        <f t="shared" ref="I22" si="20">I20-I21</f>
        <v>964</v>
      </c>
      <c r="J22" s="21" t="e">
        <f t="shared" si="19"/>
        <v>#REF!</v>
      </c>
      <c r="K22" s="15">
        <f t="shared" si="19"/>
        <v>199</v>
      </c>
      <c r="L22" s="15">
        <f t="shared" si="19"/>
        <v>1267</v>
      </c>
      <c r="M22" s="15">
        <f>M20-M21</f>
        <v>1224</v>
      </c>
      <c r="N22" s="15">
        <f t="shared" si="19"/>
        <v>-1878</v>
      </c>
      <c r="O22" s="15">
        <f t="shared" si="19"/>
        <v>1533</v>
      </c>
      <c r="P22" s="15">
        <f t="shared" si="19"/>
        <v>1429</v>
      </c>
      <c r="Q22" s="15">
        <f>Q20-Q21</f>
        <v>1527</v>
      </c>
      <c r="R22" s="15">
        <f>R20-R21</f>
        <v>2199.3959965635754</v>
      </c>
      <c r="S22" s="15"/>
      <c r="T22" s="15">
        <f t="shared" ref="T22:Z22" si="21">T20-T21</f>
        <v>0</v>
      </c>
      <c r="U22" s="15">
        <f t="shared" si="21"/>
        <v>-25330</v>
      </c>
      <c r="V22" s="15">
        <f t="shared" si="21"/>
        <v>-26175</v>
      </c>
      <c r="W22" s="15">
        <f t="shared" si="21"/>
        <v>4072</v>
      </c>
      <c r="X22" s="15">
        <f t="shared" si="21"/>
        <v>1444</v>
      </c>
      <c r="Y22" s="15">
        <f t="shared" si="21"/>
        <v>208</v>
      </c>
      <c r="Z22" s="15">
        <f t="shared" si="21"/>
        <v>4136</v>
      </c>
      <c r="AA22" s="15">
        <f>AA7*AA28</f>
        <v>9506.2075000000004</v>
      </c>
      <c r="AB22" s="15">
        <f>AB7*AB28</f>
        <v>10776.236822000001</v>
      </c>
      <c r="AC22" s="15">
        <f>AC7*AC28</f>
        <v>11853.860504200002</v>
      </c>
      <c r="AD22" s="15">
        <f>AD7*AD28</f>
        <v>13417.658255331005</v>
      </c>
      <c r="AE22" s="15">
        <f>AE7*AE28</f>
        <v>15306.069417192406</v>
      </c>
      <c r="AF22" s="15">
        <f>AF7*AF28</f>
        <v>16683.615664739726</v>
      </c>
      <c r="AG22" s="15">
        <f>AG7*AG28</f>
        <v>18018.304917918904</v>
      </c>
      <c r="AH22" s="15">
        <f>AH7*AH28</f>
        <v>19279.586262173227</v>
      </c>
      <c r="AI22" s="15">
        <f>AH22*(1+Main!$L$10)</f>
        <v>19472.38212479496</v>
      </c>
      <c r="AJ22" s="15">
        <f>AI22*(1+Main!$L$10)</f>
        <v>19667.10594604291</v>
      </c>
      <c r="AK22" s="15">
        <f>AJ22*(1+Main!$L$10)</f>
        <v>19863.77700550334</v>
      </c>
      <c r="AL22" s="15">
        <f>AK22*(1+Main!$L$10)</f>
        <v>20062.414775558373</v>
      </c>
      <c r="AM22" s="15">
        <f>AL22*(1+Main!$L$10)</f>
        <v>20263.038923313958</v>
      </c>
      <c r="AN22" s="15">
        <f>AM22*(1+Main!$L$10)</f>
        <v>20465.669312547096</v>
      </c>
      <c r="AO22" s="15">
        <f>AN22*(1+Main!$L$10)</f>
        <v>20670.326005672567</v>
      </c>
      <c r="AP22" s="15">
        <f>AO22*(1+Main!$L$10)</f>
        <v>20877.029265729292</v>
      </c>
      <c r="AQ22" s="15">
        <f>AP22*(1+Main!$L$10)</f>
        <v>21085.799558386585</v>
      </c>
      <c r="AR22" s="15">
        <f>AQ22*(1+Main!$L$10)</f>
        <v>21296.65755397045</v>
      </c>
      <c r="AS22" s="15">
        <f>AR22*(1+Main!$L$10)</f>
        <v>21509.624129510154</v>
      </c>
      <c r="AT22" s="15">
        <f>AS22*(1+Main!$L$10)</f>
        <v>21724.720370805255</v>
      </c>
      <c r="AU22" s="15">
        <f>AT22*(1+Main!$L$10)</f>
        <v>21941.967574513306</v>
      </c>
      <c r="AV22" s="15">
        <f>AU22*(1+Main!$L$10)</f>
        <v>22161.387250258438</v>
      </c>
      <c r="AW22" s="15">
        <f>AV22*(1+Main!$L$10)</f>
        <v>22383.001122761023</v>
      </c>
      <c r="AX22" s="15">
        <f>AW22*(1+Main!$L$10)</f>
        <v>22606.831133988635</v>
      </c>
      <c r="AY22" s="15">
        <f>AX22*(1+Main!$L$10)</f>
        <v>22832.899445328523</v>
      </c>
      <c r="AZ22" s="15">
        <f>AY22*(1+Main!$L$10)</f>
        <v>23061.228439781808</v>
      </c>
      <c r="BA22" s="15">
        <f>AZ22*(1+Main!$L$10)</f>
        <v>23291.840724179627</v>
      </c>
      <c r="BB22" s="15">
        <f>BA22*(1+Main!$L$10)</f>
        <v>23524.759131421422</v>
      </c>
      <c r="BC22" s="15">
        <f>BB22*(1+Main!$L$10)</f>
        <v>23760.006722735638</v>
      </c>
      <c r="BD22" s="15">
        <f>BC22*(1+Main!$L$10)</f>
        <v>23997.606789962992</v>
      </c>
      <c r="BE22" s="15">
        <f>BD22*(1+Main!$L$10)</f>
        <v>24237.582857862624</v>
      </c>
      <c r="BF22" s="15">
        <f>BE22*(1+Main!$L$10)</f>
        <v>24479.958686441252</v>
      </c>
      <c r="BG22" s="15">
        <f>BF22*(1+Main!$L$10)</f>
        <v>24724.758273305666</v>
      </c>
      <c r="BH22" s="15">
        <f>BG22*(1+Main!$L$10)</f>
        <v>24972.005856038722</v>
      </c>
      <c r="BI22" s="15">
        <f>BH22*(1+Main!$L$10)</f>
        <v>25221.725914599108</v>
      </c>
      <c r="BJ22" s="15">
        <f>BI22*(1+Main!$L$10)</f>
        <v>25473.943173745101</v>
      </c>
      <c r="BK22" s="15">
        <f>BJ22*(1+Main!$L$10)</f>
        <v>25728.682605482554</v>
      </c>
      <c r="BL22" s="15">
        <f>BK22*(1+Main!$L$10)</f>
        <v>25985.969431537382</v>
      </c>
      <c r="BM22" s="15">
        <f>BL22*(1+Main!$L$10)</f>
        <v>26245.829125852757</v>
      </c>
      <c r="BN22" s="15">
        <f>BM22*(1+Main!$L$10)</f>
        <v>26508.287417111285</v>
      </c>
      <c r="BO22" s="15">
        <f>BN22*(1+Main!$L$10)</f>
        <v>26773.370291282397</v>
      </c>
      <c r="BP22" s="15">
        <f>BO22*(1+Main!$L$10)</f>
        <v>27041.103994195222</v>
      </c>
      <c r="BQ22" s="15">
        <f>BP22*(1+Main!$L$10)</f>
        <v>27311.515034137174</v>
      </c>
      <c r="BR22" s="15">
        <f>BQ22*(1+Main!$L$10)</f>
        <v>27584.630184478545</v>
      </c>
      <c r="BS22" s="15">
        <f>BR22*(1+Main!$L$10)</f>
        <v>27860.476486323332</v>
      </c>
      <c r="BT22" s="15">
        <f>BS22*(1+Main!$L$10)</f>
        <v>28139.081251186566</v>
      </c>
      <c r="BU22" s="15">
        <f>BT22*(1+Main!$L$10)</f>
        <v>28420.472063698431</v>
      </c>
      <c r="BV22" s="15">
        <f>BU22*(1+Main!$L$10)</f>
        <v>28704.676784335417</v>
      </c>
      <c r="BW22" s="15">
        <f>BV22*(1+Main!$L$10)</f>
        <v>28991.723552178773</v>
      </c>
      <c r="BX22" s="15">
        <f>BW22*(1+Main!$L$10)</f>
        <v>29281.640787700562</v>
      </c>
      <c r="BY22" s="15">
        <f>BX22*(1+Main!$L$10)</f>
        <v>29574.457195577568</v>
      </c>
      <c r="BZ22" s="15">
        <f>BY22*(1+Main!$L$10)</f>
        <v>29870.201767533345</v>
      </c>
      <c r="CA22" s="15">
        <f>BZ22*(1+Main!$L$10)</f>
        <v>30168.903785208677</v>
      </c>
      <c r="CB22" s="15">
        <f>CA22*(1+Main!$L$10)</f>
        <v>30470.592823060764</v>
      </c>
      <c r="CC22" s="15">
        <f>CB22*(1+Main!$L$10)</f>
        <v>30775.298751291371</v>
      </c>
      <c r="CD22" s="15">
        <f>CC22*(1+Main!$L$10)</f>
        <v>31083.051738804286</v>
      </c>
      <c r="CE22" s="15">
        <f>CD22*(1+Main!$L$10)</f>
        <v>31393.88225619233</v>
      </c>
      <c r="CF22" s="15">
        <f>CE22*(1+Main!$L$10)</f>
        <v>31707.821078754252</v>
      </c>
      <c r="CG22" s="15">
        <f>CF22*(1+Main!$L$10)</f>
        <v>32024.899289541794</v>
      </c>
      <c r="CH22" s="15">
        <f>CG22*(1+Main!$L$10)</f>
        <v>32345.148282437211</v>
      </c>
      <c r="CI22" s="15">
        <f>CH22*(1+Main!$L$10)</f>
        <v>32668.599765261584</v>
      </c>
      <c r="CJ22" s="15">
        <f>CI22*(1+Main!$L$10)</f>
        <v>32995.285762914202</v>
      </c>
      <c r="CK22" s="15">
        <f>CJ22*(1+Main!$L$10)</f>
        <v>33325.238620543343</v>
      </c>
      <c r="CL22" s="15">
        <f>CK22*(1+Main!$L$10)</f>
        <v>33658.49100674878</v>
      </c>
      <c r="CM22" s="15">
        <f>CL22*(1+Main!$L$10)</f>
        <v>33995.075916816269</v>
      </c>
      <c r="CN22" s="15">
        <f>CM22*(1+Main!$L$10)</f>
        <v>34335.026675984431</v>
      </c>
      <c r="CO22" s="15">
        <f>CN22*(1+Main!$L$10)</f>
        <v>34678.376942744275</v>
      </c>
      <c r="CP22" s="15">
        <f>CO22*(1+Main!$L$10)</f>
        <v>35025.160712171717</v>
      </c>
      <c r="CQ22" s="15">
        <f>CP22*(1+Main!$L$10)</f>
        <v>35375.412319293435</v>
      </c>
      <c r="CR22" s="15">
        <f>CQ22*(1+Main!$L$10)</f>
        <v>35729.16644248637</v>
      </c>
      <c r="CS22" s="15">
        <f>CR22*(1+Main!$L$10)</f>
        <v>36086.458106911232</v>
      </c>
      <c r="CT22" s="15">
        <f>CS22*(1+Main!$L$10)</f>
        <v>36447.322687980348</v>
      </c>
      <c r="CU22" s="15">
        <f>CT22*(1+Main!$L$10)</f>
        <v>36811.795914860151</v>
      </c>
      <c r="CV22" s="15">
        <f>CU22*(1+Main!$L$10)</f>
        <v>37179.913874008751</v>
      </c>
      <c r="CW22" s="15">
        <f>CV22*(1+Main!$L$10)</f>
        <v>37551.713012748842</v>
      </c>
      <c r="CX22" s="15">
        <f>CW22*(1+Main!$L$10)</f>
        <v>37927.230142876331</v>
      </c>
      <c r="CY22" s="15">
        <f>CX22*(1+Main!$L$10)</f>
        <v>38306.502444305093</v>
      </c>
      <c r="CZ22" s="15">
        <f>CY22*(1+Main!$L$10)</f>
        <v>38689.567468748144</v>
      </c>
      <c r="DA22" s="15">
        <f>CZ22*(1+Main!$L$10)</f>
        <v>39076.463143435627</v>
      </c>
      <c r="DB22" s="15">
        <f>DA22*(1+Main!$L$10)</f>
        <v>39467.227774869985</v>
      </c>
      <c r="DC22" s="15">
        <f>DB22*(1+Main!$L$10)</f>
        <v>39861.900052618686</v>
      </c>
      <c r="DD22" s="15">
        <f>DC22*(1+Main!$L$10)</f>
        <v>40260.519053144875</v>
      </c>
      <c r="DE22" s="15">
        <f>DD22*(1+Main!$L$10)</f>
        <v>40663.124243676328</v>
      </c>
      <c r="DF22" s="15">
        <f>DE22*(1+Main!$L$10)</f>
        <v>41069.755486113092</v>
      </c>
      <c r="DG22" s="15">
        <f>DF22*(1+Main!$L$10)</f>
        <v>41480.453040974222</v>
      </c>
      <c r="DH22" s="15">
        <f>DG22*(1+Main!$L$10)</f>
        <v>41895.257571383961</v>
      </c>
      <c r="DI22" s="15">
        <f>DH22*(1+Main!$L$10)</f>
        <v>42314.210147097801</v>
      </c>
      <c r="DJ22" s="15">
        <f>DI22*(1+Main!$L$10)</f>
        <v>42737.352248568779</v>
      </c>
      <c r="DK22" s="15">
        <f>DJ22*(1+Main!$L$10)</f>
        <v>43164.725771054465</v>
      </c>
      <c r="DL22" s="15">
        <f>DK22*(1+Main!$L$10)</f>
        <v>43596.373028765011</v>
      </c>
      <c r="DM22" s="15">
        <f>DL22*(1+Main!$L$10)</f>
        <v>44032.336759052661</v>
      </c>
      <c r="DN22" s="15">
        <f>DM22*(1+Main!$L$10)</f>
        <v>44472.66012664319</v>
      </c>
      <c r="DO22" s="15">
        <f>DN22*(1+Main!$L$10)</f>
        <v>44917.386727909623</v>
      </c>
      <c r="DP22" s="15">
        <f>DO22*(1+Main!$L$10)</f>
        <v>45366.560595188719</v>
      </c>
      <c r="DQ22" s="15">
        <f>DP22*(1+Main!$L$10)</f>
        <v>45820.226201140606</v>
      </c>
      <c r="DR22" s="15">
        <f>DQ22*(1+Main!$L$10)</f>
        <v>46278.428463152013</v>
      </c>
      <c r="DS22" s="15">
        <f>DR22*(1+Main!$L$10)</f>
        <v>46741.212747783531</v>
      </c>
      <c r="DT22" s="15">
        <f>DS22*(1+Main!$L$10)</f>
        <v>47208.624875261368</v>
      </c>
      <c r="DU22" s="15">
        <f>DT22*(1+Main!$L$10)</f>
        <v>47680.711124013986</v>
      </c>
      <c r="DV22" s="15">
        <f>DU22*(1+Main!$L$10)</f>
        <v>48157.518235254123</v>
      </c>
      <c r="DW22" s="15">
        <f>DV22*(1+Main!$L$10)</f>
        <v>48639.093417606666</v>
      </c>
      <c r="DX22" s="15">
        <f>DW22*(1+Main!$L$10)</f>
        <v>49125.484351782732</v>
      </c>
      <c r="DY22" s="15">
        <f>DX22*(1+Main!$L$10)</f>
        <v>49616.739195300557</v>
      </c>
      <c r="DZ22" s="15">
        <f>DY22*(1+Main!$L$10)</f>
        <v>50112.906587253565</v>
      </c>
      <c r="EA22" s="15">
        <f>DZ22*(1+Main!$L$10)</f>
        <v>50614.035653126099</v>
      </c>
      <c r="EB22" s="15">
        <f>EA22*(1+Main!$L$10)</f>
        <v>51120.176009657363</v>
      </c>
      <c r="EC22" s="15">
        <f>EB22*(1+Main!$L$10)</f>
        <v>51631.377769753941</v>
      </c>
      <c r="ED22" s="15">
        <f>EC22*(1+Main!$L$10)</f>
        <v>52147.691547451483</v>
      </c>
      <c r="EE22" s="15">
        <f>ED22*(1+Main!$L$10)</f>
        <v>52669.168462925998</v>
      </c>
      <c r="EF22" s="15">
        <f>EE22*(1+Main!$L$10)</f>
        <v>53195.860147555257</v>
      </c>
      <c r="EG22" s="15">
        <f>EF22*(1+Main!$L$10)</f>
        <v>53727.818749030812</v>
      </c>
      <c r="EH22" s="15">
        <f>EG22*(1+Main!$L$10)</f>
        <v>54265.09693652112</v>
      </c>
      <c r="EI22" s="15">
        <f>EH22*(1+Main!$L$10)</f>
        <v>54807.747905886332</v>
      </c>
      <c r="EJ22" s="15">
        <f>EI22*(1+Main!$L$10)</f>
        <v>55355.825384945194</v>
      </c>
      <c r="EK22" s="15">
        <f>EJ22*(1+Main!$L$10)</f>
        <v>55909.383638794643</v>
      </c>
      <c r="EL22" s="15">
        <f>EK22*(1+Main!$L$10)</f>
        <v>56468.47747518259</v>
      </c>
      <c r="EM22" s="15">
        <f>EL22*(1+Main!$L$10)</f>
        <v>57033.162249934416</v>
      </c>
      <c r="EN22" s="15">
        <f>EM22*(1+Main!$L$10)</f>
        <v>57603.493872433763</v>
      </c>
      <c r="EO22" s="15">
        <f>EN22*(1+Main!$L$10)</f>
        <v>58179.528811158103</v>
      </c>
      <c r="EP22" s="15">
        <f>EO22*(1+Main!$L$10)</f>
        <v>58761.324099269681</v>
      </c>
      <c r="EQ22" s="15">
        <f>EP22*(1+Main!$L$10)</f>
        <v>59348.937340262375</v>
      </c>
      <c r="ER22" s="15">
        <f>EQ22*(1+Main!$L$10)</f>
        <v>59942.426713665001</v>
      </c>
      <c r="ES22" s="15">
        <f>ER22*(1+Main!$L$10)</f>
        <v>60541.850980801653</v>
      </c>
      <c r="ET22" s="15">
        <f>ES22*(1+Main!$L$10)</f>
        <v>61147.269490609673</v>
      </c>
      <c r="EU22" s="15">
        <f>ET22*(1+Main!$L$10)</f>
        <v>61758.742185515774</v>
      </c>
      <c r="EV22" s="15">
        <f>EU22*(1+Main!$L$10)</f>
        <v>62376.329607370935</v>
      </c>
      <c r="EW22" s="15">
        <f>EV22*(1+Main!$L$10)</f>
        <v>63000.092903444645</v>
      </c>
      <c r="EX22" s="15">
        <f>EW22*(1+Main!$L$10)</f>
        <v>63630.093832479091</v>
      </c>
      <c r="EY22" s="15">
        <f>EX22*(1+Main!$L$10)</f>
        <v>64266.394770803883</v>
      </c>
      <c r="EZ22" s="15">
        <f>EY22*(1+Main!$L$10)</f>
        <v>64909.058718511922</v>
      </c>
      <c r="FA22" s="15">
        <f>EZ22*(1+Main!$L$10)</f>
        <v>65558.149305697036</v>
      </c>
      <c r="FB22" s="15">
        <f>FA22*(1+Main!$L$10)</f>
        <v>66213.730798754012</v>
      </c>
      <c r="FC22" s="15">
        <f>FB22*(1+Main!$L$10)</f>
        <v>66875.868106741545</v>
      </c>
      <c r="FD22" s="15">
        <f>FC22*(1+Main!$L$10)</f>
        <v>67544.626787808957</v>
      </c>
    </row>
    <row r="23" spans="2:160" s="10" customFormat="1">
      <c r="B23" s="10" t="s">
        <v>32</v>
      </c>
      <c r="C23" s="12" t="e">
        <f t="shared" ref="C23:O23" si="22">C22/C24</f>
        <v>#REF!</v>
      </c>
      <c r="D23" s="12" t="e">
        <f t="shared" si="22"/>
        <v>#REF!</v>
      </c>
      <c r="E23" s="12" t="e">
        <f t="shared" si="22"/>
        <v>#REF!</v>
      </c>
      <c r="F23" s="12" t="e">
        <f t="shared" si="22"/>
        <v>#REF!</v>
      </c>
      <c r="G23" s="12" t="e">
        <f t="shared" si="22"/>
        <v>#REF!</v>
      </c>
      <c r="H23" s="12" t="e">
        <f t="shared" si="22"/>
        <v>#REF!</v>
      </c>
      <c r="I23" s="12">
        <f t="shared" si="22"/>
        <v>0.3472622478386167</v>
      </c>
      <c r="J23" s="12" t="e">
        <f t="shared" si="22"/>
        <v>#REF!</v>
      </c>
      <c r="K23" s="12">
        <f t="shared" si="22"/>
        <v>0.20141700404858301</v>
      </c>
      <c r="L23" s="12">
        <f t="shared" si="22"/>
        <v>1.2849898580121704</v>
      </c>
      <c r="M23" s="12">
        <f t="shared" si="22"/>
        <v>1.2477064220183487</v>
      </c>
      <c r="N23" s="12">
        <f t="shared" si="22"/>
        <v>-1.9085365853658536</v>
      </c>
      <c r="O23" s="12">
        <f t="shared" si="22"/>
        <v>1.5563451776649746</v>
      </c>
      <c r="P23" s="12">
        <f>P22/P24</f>
        <v>1.4686536485097637</v>
      </c>
      <c r="Q23" s="12">
        <f t="shared" ref="Q23:R23" si="23">Q22/Q24</f>
        <v>1.5823834196891191</v>
      </c>
      <c r="R23" s="12">
        <f t="shared" si="23"/>
        <v>2.2791668358171764</v>
      </c>
      <c r="S23" s="12"/>
      <c r="T23" s="12" t="e">
        <f>T22/T24</f>
        <v>#DIV/0!</v>
      </c>
      <c r="U23" s="12">
        <f t="shared" ref="U23:Z23" si="24">U22/U24</f>
        <v>-6.787245444801715</v>
      </c>
      <c r="V23" s="12">
        <f t="shared" si="24"/>
        <v>-7.9462659380692164</v>
      </c>
      <c r="W23" s="12">
        <f t="shared" si="24"/>
        <v>4.3784946236559144</v>
      </c>
      <c r="X23" s="12">
        <f t="shared" si="24"/>
        <v>1.482546201232033</v>
      </c>
      <c r="Y23" s="12">
        <f t="shared" si="24"/>
        <v>0.20862587763289869</v>
      </c>
      <c r="Z23" s="12">
        <f t="shared" si="24"/>
        <v>4.2032520325203251</v>
      </c>
      <c r="AA23" s="12">
        <f t="shared" ref="AA23:AH23" si="25">AA22/AA24</f>
        <v>9.660779979674798</v>
      </c>
      <c r="AB23" s="12">
        <f t="shared" si="25"/>
        <v>10.95146018495935</v>
      </c>
      <c r="AC23" s="12">
        <f t="shared" si="25"/>
        <v>12.046606203455287</v>
      </c>
      <c r="AD23" s="12">
        <f t="shared" si="25"/>
        <v>13.635831560295737</v>
      </c>
      <c r="AE23" s="12">
        <f t="shared" si="25"/>
        <v>15.55494859470773</v>
      </c>
      <c r="AF23" s="12">
        <f t="shared" si="25"/>
        <v>16.954893968231428</v>
      </c>
      <c r="AG23" s="12">
        <f t="shared" si="25"/>
        <v>18.311285485689943</v>
      </c>
      <c r="AH23" s="12">
        <f t="shared" si="25"/>
        <v>19.593075469688237</v>
      </c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2:160">
      <c r="B24" t="s">
        <v>1</v>
      </c>
      <c r="C24" s="20">
        <v>1231</v>
      </c>
      <c r="D24" s="20">
        <v>1232</v>
      </c>
      <c r="E24" s="20">
        <v>1230</v>
      </c>
      <c r="F24" s="20">
        <f>W24</f>
        <v>930</v>
      </c>
      <c r="G24" s="20">
        <v>1410</v>
      </c>
      <c r="H24" s="20">
        <v>1632</v>
      </c>
      <c r="I24" s="9">
        <v>2776</v>
      </c>
      <c r="J24" s="20">
        <f>X24</f>
        <v>974</v>
      </c>
      <c r="K24" s="9">
        <v>988</v>
      </c>
      <c r="L24" s="9">
        <v>986</v>
      </c>
      <c r="M24" s="9">
        <v>981</v>
      </c>
      <c r="N24" s="9">
        <f>Z24</f>
        <v>984</v>
      </c>
      <c r="O24" s="9">
        <v>985</v>
      </c>
      <c r="P24" s="9">
        <v>973</v>
      </c>
      <c r="Q24" s="9">
        <v>965</v>
      </c>
      <c r="R24" s="9">
        <f>Q24</f>
        <v>965</v>
      </c>
      <c r="S24" s="9"/>
      <c r="T24" s="9"/>
      <c r="U24" s="9">
        <v>3732</v>
      </c>
      <c r="V24" s="9">
        <v>3294</v>
      </c>
      <c r="W24" s="9">
        <v>930</v>
      </c>
      <c r="X24" s="9">
        <v>974</v>
      </c>
      <c r="Y24" s="9">
        <v>997</v>
      </c>
      <c r="Z24" s="9">
        <v>984</v>
      </c>
      <c r="AA24" s="9">
        <f>Z24</f>
        <v>984</v>
      </c>
      <c r="AB24" s="9">
        <f>AA24</f>
        <v>984</v>
      </c>
      <c r="AC24" s="9">
        <f>AB24</f>
        <v>984</v>
      </c>
      <c r="AD24" s="9">
        <f t="shared" ref="AD24:AH24" si="26">AC24</f>
        <v>984</v>
      </c>
      <c r="AE24" s="9">
        <f t="shared" si="26"/>
        <v>984</v>
      </c>
      <c r="AF24" s="9">
        <f t="shared" si="26"/>
        <v>984</v>
      </c>
      <c r="AG24" s="9">
        <f t="shared" si="26"/>
        <v>984</v>
      </c>
      <c r="AH24" s="9">
        <f t="shared" si="26"/>
        <v>984</v>
      </c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</row>
    <row r="25" spans="2:160">
      <c r="C25" s="20"/>
      <c r="D25" s="20"/>
      <c r="E25" s="20"/>
      <c r="F25" s="20"/>
      <c r="G25" s="20"/>
      <c r="H25" s="20"/>
      <c r="I25" s="20"/>
      <c r="J25" s="20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</row>
    <row r="26" spans="2:160">
      <c r="B26" t="s">
        <v>33</v>
      </c>
      <c r="C26" s="24"/>
      <c r="D26" s="24"/>
      <c r="E26" s="24"/>
      <c r="F26" s="24"/>
      <c r="G26" s="24"/>
      <c r="H26" s="24"/>
      <c r="I26" s="24"/>
      <c r="J26" s="24"/>
      <c r="K26" s="13"/>
      <c r="L26" s="13"/>
      <c r="M26" s="13"/>
      <c r="N26" s="13"/>
      <c r="O26" s="13">
        <f>O7/K7-1</f>
        <v>0.10743300594155447</v>
      </c>
      <c r="P26" s="13">
        <f>P7/L7-1</f>
        <v>8.3924212484017158E-2</v>
      </c>
      <c r="Q26" s="13">
        <f>Q7/M7-1</f>
        <v>8.3027522935779752E-2</v>
      </c>
      <c r="R26" s="13">
        <f>R7/N7-1</f>
        <v>9.000000000000008E-2</v>
      </c>
      <c r="S26" s="13"/>
      <c r="T26" s="13"/>
      <c r="U26" s="13" t="e">
        <f>U7/T7-1</f>
        <v>#DIV/0!</v>
      </c>
      <c r="V26" s="13" t="e">
        <f>V7/U7-1</f>
        <v>#DIV/0!</v>
      </c>
      <c r="W26" s="13" t="e">
        <f>W7/V7-1</f>
        <v>#DIV/0!</v>
      </c>
      <c r="X26" s="13">
        <f>X7/W7-1</f>
        <v>0.24656502917372491</v>
      </c>
      <c r="Y26" s="13">
        <f>Y7/X7-1</f>
        <v>0.18345160803261362</v>
      </c>
      <c r="Z26" s="13">
        <f>Z7/Y7-1</f>
        <v>0.11179510079101806</v>
      </c>
      <c r="AA26" s="13">
        <f>AA7/Z7-1</f>
        <v>9.0880741314513624E-2</v>
      </c>
      <c r="AB26" s="13">
        <v>0.09</v>
      </c>
      <c r="AC26" s="13">
        <v>0.1</v>
      </c>
      <c r="AD26" s="13">
        <v>0.09</v>
      </c>
      <c r="AE26" s="13">
        <v>0.1</v>
      </c>
      <c r="AF26" s="13">
        <v>0.09</v>
      </c>
      <c r="AG26" s="13">
        <v>0.08</v>
      </c>
      <c r="AH26" s="13">
        <v>7.0000000000000007E-2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9"/>
      <c r="AS26" s="9"/>
      <c r="AT26" s="9"/>
    </row>
    <row r="27" spans="2:160">
      <c r="B27" t="s">
        <v>34</v>
      </c>
      <c r="C27" s="24"/>
      <c r="D27" s="24"/>
      <c r="E27" s="24"/>
      <c r="F27" s="24"/>
      <c r="G27" s="24"/>
      <c r="H27" s="24"/>
      <c r="I27" s="24"/>
      <c r="J27" s="24"/>
      <c r="K27" s="13">
        <f>K11/K7</f>
        <v>0.74233054444040258</v>
      </c>
      <c r="L27" s="13">
        <f>L11/L7</f>
        <v>0.75438800418458674</v>
      </c>
      <c r="M27" s="13">
        <f>M11/M7</f>
        <v>0.75286697247706424</v>
      </c>
      <c r="N27" s="13">
        <f>N11/N7</f>
        <v>0.41078927533110798</v>
      </c>
      <c r="O27" s="13">
        <f>O11/O7</f>
        <v>0.7632760319719698</v>
      </c>
      <c r="P27" s="13">
        <f>P11/P7</f>
        <v>0.76847184986595174</v>
      </c>
      <c r="Q27" s="13">
        <f>Q11/Q7</f>
        <v>0.77710715798390517</v>
      </c>
      <c r="R27" s="13">
        <f>R11/R7</f>
        <v>0.79570930263572537</v>
      </c>
      <c r="S27" s="13"/>
      <c r="T27" s="13" t="e">
        <f>T11/T7</f>
        <v>#DIV/0!</v>
      </c>
      <c r="U27" s="13" t="e">
        <f>U11/U7</f>
        <v>#DIV/0!</v>
      </c>
      <c r="V27" s="13" t="e">
        <f>V11/V7</f>
        <v>#DIV/0!</v>
      </c>
      <c r="W27" s="13">
        <f>W11/W7</f>
        <v>0.74411820063993972</v>
      </c>
      <c r="X27" s="13">
        <f>X11/X7</f>
        <v>0.7347878604861845</v>
      </c>
      <c r="Y27" s="13">
        <f>Y11/Y7</f>
        <v>0.73335034447563152</v>
      </c>
      <c r="Z27" s="13">
        <f>Z11/Z7</f>
        <v>0.75497030725535763</v>
      </c>
      <c r="AA27" s="13">
        <f>AA11/AA7</f>
        <v>0.77661964563681152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9"/>
      <c r="AS27" s="9"/>
      <c r="AT27" s="9"/>
    </row>
    <row r="28" spans="2:160">
      <c r="B28" t="s">
        <v>35</v>
      </c>
      <c r="C28" s="24"/>
      <c r="D28" s="24"/>
      <c r="E28" s="24"/>
      <c r="F28" s="24"/>
      <c r="G28" s="24"/>
      <c r="H28" s="24"/>
      <c r="I28" s="24"/>
      <c r="J28" s="24"/>
      <c r="K28" s="13">
        <f>K22/K7</f>
        <v>2.4129986661816417E-2</v>
      </c>
      <c r="L28" s="13">
        <f>L22/L7</f>
        <v>0.14727420667209112</v>
      </c>
      <c r="M28" s="13">
        <f>M22/M7</f>
        <v>0.14036697247706423</v>
      </c>
      <c r="N28" s="13">
        <f>N22/N7</f>
        <v>-0.20221815440938948</v>
      </c>
      <c r="O28" s="13">
        <f>O22/O7</f>
        <v>0.16785284134457462</v>
      </c>
      <c r="P28" s="13">
        <f>P22/P7</f>
        <v>0.15324396782841823</v>
      </c>
      <c r="Q28" s="13">
        <f>Q22/Q7</f>
        <v>0.16168996188055909</v>
      </c>
      <c r="R28" s="13">
        <f>R22/R7</f>
        <v>0.21727086166255632</v>
      </c>
      <c r="S28" s="13" t="e">
        <f>S22/S7</f>
        <v>#DIV/0!</v>
      </c>
      <c r="T28" s="13" t="e">
        <f>T22/T7</f>
        <v>#DIV/0!</v>
      </c>
      <c r="U28" s="13" t="e">
        <f>U22/U7</f>
        <v>#DIV/0!</v>
      </c>
      <c r="V28" s="13" t="e">
        <f>V22/V7</f>
        <v>#DIV/0!</v>
      </c>
      <c r="W28" s="13">
        <f>W22/W7</f>
        <v>0.19160549595332205</v>
      </c>
      <c r="X28" s="13">
        <f>X22/X7</f>
        <v>5.4507020987467916E-2</v>
      </c>
      <c r="Y28" s="13">
        <f>Y22/Y7</f>
        <v>6.6343454963000764E-3</v>
      </c>
      <c r="Z28" s="13">
        <f>Z22/Z7</f>
        <v>0.11865622400091803</v>
      </c>
      <c r="AA28" s="13">
        <v>0.25</v>
      </c>
      <c r="AB28" s="13">
        <v>0.26</v>
      </c>
      <c r="AC28" s="13">
        <v>0.26</v>
      </c>
      <c r="AD28" s="13">
        <v>0.27</v>
      </c>
      <c r="AE28" s="13">
        <v>0.28000000000000003</v>
      </c>
      <c r="AF28" s="13">
        <v>0.28000000000000003</v>
      </c>
      <c r="AG28" s="13">
        <v>0.28000000000000003</v>
      </c>
      <c r="AH28" s="13">
        <f t="shared" ref="AH28" si="27">AG28</f>
        <v>0.28000000000000003</v>
      </c>
      <c r="AI28" s="13"/>
      <c r="AJ28" s="13"/>
      <c r="AK28" s="13"/>
      <c r="AL28" s="13"/>
      <c r="AM28" s="13"/>
      <c r="AN28" s="13"/>
      <c r="AO28" s="13"/>
      <c r="AP28" s="13"/>
      <c r="AQ28" s="13"/>
      <c r="AR28" s="9"/>
      <c r="AS28" s="9"/>
      <c r="AT28" s="9"/>
    </row>
    <row r="29" spans="2:160">
      <c r="B29" t="s">
        <v>36</v>
      </c>
      <c r="C29" s="24"/>
      <c r="D29" s="24"/>
      <c r="E29" s="24"/>
      <c r="F29" s="24"/>
      <c r="G29" s="24"/>
      <c r="H29" s="24"/>
      <c r="I29" s="24"/>
      <c r="J29" s="24"/>
      <c r="K29" s="13">
        <f t="shared" ref="K29:R29" si="28">K21/K20</f>
        <v>0.38957055214723929</v>
      </c>
      <c r="L29" s="13">
        <f t="shared" si="28"/>
        <v>0.15080428954423591</v>
      </c>
      <c r="M29" s="13">
        <f t="shared" si="28"/>
        <v>0.17686617350369871</v>
      </c>
      <c r="N29" s="13">
        <f t="shared" si="28"/>
        <v>-0.11852293031566409</v>
      </c>
      <c r="O29" s="13">
        <f t="shared" si="28"/>
        <v>0.17889662560257097</v>
      </c>
      <c r="P29" s="13">
        <f t="shared" si="28"/>
        <v>0.22210125204137179</v>
      </c>
      <c r="Q29" s="13">
        <f t="shared" si="28"/>
        <v>0.12542955326460481</v>
      </c>
      <c r="R29" s="13">
        <f t="shared" si="28"/>
        <v>0.12542955326460481</v>
      </c>
      <c r="S29" s="13"/>
      <c r="T29" s="13" t="e">
        <f t="shared" ref="T29:AA29" si="29">T21/T20</f>
        <v>#DIV/0!</v>
      </c>
      <c r="U29" s="13">
        <f t="shared" si="29"/>
        <v>-4.9078484158210811E-2</v>
      </c>
      <c r="V29" s="13">
        <f t="shared" si="29"/>
        <v>-7.9514991545345817E-2</v>
      </c>
      <c r="W29" s="13">
        <f t="shared" si="29"/>
        <v>-0.59000390472471687</v>
      </c>
      <c r="X29" s="13">
        <f t="shared" si="29"/>
        <v>5.7441253263707574E-2</v>
      </c>
      <c r="Y29" s="13">
        <f t="shared" si="29"/>
        <v>0.68484848484848482</v>
      </c>
      <c r="Z29" s="13">
        <f t="shared" si="29"/>
        <v>0.16444444444444445</v>
      </c>
      <c r="AA29" s="13">
        <f t="shared" si="29"/>
        <v>0.16025878812685596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9"/>
      <c r="AS29" s="9"/>
      <c r="AT29" s="9"/>
    </row>
    <row r="31" spans="2:160">
      <c r="M31" s="9"/>
    </row>
    <row r="32" spans="2:160">
      <c r="M32" s="9"/>
      <c r="V32" s="13"/>
      <c r="W32" s="13"/>
      <c r="X32" s="13"/>
      <c r="Y32" s="13"/>
    </row>
    <row r="33" spans="13:13">
      <c r="M33" s="9"/>
    </row>
    <row r="34" spans="13:13">
      <c r="M34" s="9"/>
    </row>
  </sheetData>
  <phoneticPr fontId="4" type="noConversion"/>
  <hyperlinks>
    <hyperlink ref="A1" location="Main!A1" display="Main" xr:uid="{F2EEBBDC-1CDE-5446-B41F-B71D0397B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Pussurmanov</dc:creator>
  <cp:lastModifiedBy>Ayan Pussurmanov</cp:lastModifiedBy>
  <dcterms:created xsi:type="dcterms:W3CDTF">2025-01-09T14:59:30Z</dcterms:created>
  <dcterms:modified xsi:type="dcterms:W3CDTF">2025-01-16T18:49:10Z</dcterms:modified>
</cp:coreProperties>
</file>