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71E40A1A-2472-8A42-90AD-EF0CB360BCAC}" xr6:coauthVersionLast="47" xr6:coauthVersionMax="47" xr10:uidLastSave="{00000000-0000-0000-0000-000000000000}"/>
  <bookViews>
    <workbookView xWindow="480" yWindow="920" windowWidth="13640" windowHeight="17260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2" l="1"/>
  <c r="R31" i="2"/>
  <c r="Q12" i="2"/>
  <c r="AA9" i="2"/>
  <c r="Z31" i="2"/>
  <c r="AA23" i="2"/>
  <c r="AA20" i="2"/>
  <c r="AA19" i="2"/>
  <c r="AA18" i="2"/>
  <c r="AA17" i="2"/>
  <c r="AA16" i="2"/>
  <c r="AA15" i="2"/>
  <c r="AA12" i="2"/>
  <c r="AA13" i="2" s="1"/>
  <c r="AA11" i="2"/>
  <c r="AA10" i="2"/>
  <c r="AA6" i="2"/>
  <c r="AA7" i="2"/>
  <c r="AA8" i="2"/>
  <c r="AA5" i="2"/>
  <c r="R10" i="2"/>
  <c r="Q10" i="2"/>
  <c r="R17" i="2"/>
  <c r="Q17" i="2"/>
  <c r="R18" i="2"/>
  <c r="R16" i="2"/>
  <c r="R15" i="2"/>
  <c r="R13" i="2"/>
  <c r="R14" i="2" s="1"/>
  <c r="R9" i="2"/>
  <c r="R12" i="2"/>
  <c r="R11" i="2"/>
  <c r="R8" i="2"/>
  <c r="R7" i="2"/>
  <c r="R6" i="2"/>
  <c r="R5" i="2"/>
  <c r="Q29" i="2"/>
  <c r="R29" i="2" s="1"/>
  <c r="Q16" i="2"/>
  <c r="Q15" i="2"/>
  <c r="R24" i="2"/>
  <c r="AA24" i="2" s="1"/>
  <c r="Q21" i="2"/>
  <c r="Q20" i="2"/>
  <c r="Q19" i="2"/>
  <c r="Q18" i="2"/>
  <c r="Q6" i="2"/>
  <c r="Q7" i="2"/>
  <c r="Q8" i="2"/>
  <c r="Q5" i="2"/>
  <c r="L33" i="2"/>
  <c r="M33" i="2"/>
  <c r="N33" i="2"/>
  <c r="O33" i="2"/>
  <c r="P33" i="2"/>
  <c r="S33" i="2"/>
  <c r="X33" i="2"/>
  <c r="Y33" i="2"/>
  <c r="Z33" i="2"/>
  <c r="AH33" i="2"/>
  <c r="K33" i="2"/>
  <c r="Z25" i="2"/>
  <c r="T14" i="2"/>
  <c r="Z14" i="2"/>
  <c r="Z22" i="2" s="1"/>
  <c r="S21" i="2"/>
  <c r="T21" i="2"/>
  <c r="T22" i="2" s="1"/>
  <c r="U21" i="2"/>
  <c r="V21" i="2"/>
  <c r="W21" i="2"/>
  <c r="X21" i="2"/>
  <c r="Y21" i="2"/>
  <c r="Z21" i="2"/>
  <c r="AA21" i="2"/>
  <c r="AB21" i="2"/>
  <c r="AC21" i="2"/>
  <c r="AD21" i="2"/>
  <c r="AE21" i="2"/>
  <c r="AF21" i="2"/>
  <c r="AF22" i="2" s="1"/>
  <c r="AF25" i="2" s="1"/>
  <c r="AG21" i="2"/>
  <c r="AH21" i="2"/>
  <c r="AI21" i="2"/>
  <c r="AJ21" i="2"/>
  <c r="AK21" i="2"/>
  <c r="AL21" i="2"/>
  <c r="AM21" i="2"/>
  <c r="AN21" i="2"/>
  <c r="AN22" i="2" s="1"/>
  <c r="AO21" i="2"/>
  <c r="S22" i="2"/>
  <c r="AB22" i="2"/>
  <c r="AC22" i="2"/>
  <c r="AD22" i="2"/>
  <c r="AE22" i="2"/>
  <c r="AG22" i="2"/>
  <c r="AG25" i="2" s="1"/>
  <c r="AH22" i="2"/>
  <c r="AI22" i="2"/>
  <c r="AJ22" i="2"/>
  <c r="AJ25" i="2" s="1"/>
  <c r="AK22" i="2"/>
  <c r="AK25" i="2" s="1"/>
  <c r="AL22" i="2"/>
  <c r="AM22" i="2"/>
  <c r="AO22" i="2"/>
  <c r="N29" i="2"/>
  <c r="N24" i="2"/>
  <c r="N23" i="2"/>
  <c r="N20" i="2"/>
  <c r="N19" i="2"/>
  <c r="N18" i="2"/>
  <c r="N17" i="2"/>
  <c r="N16" i="2"/>
  <c r="N15" i="2"/>
  <c r="N12" i="2"/>
  <c r="N11" i="2"/>
  <c r="N10" i="2"/>
  <c r="N8" i="2"/>
  <c r="N7" i="2"/>
  <c r="N6" i="2"/>
  <c r="N5" i="2"/>
  <c r="M21" i="2"/>
  <c r="M13" i="2"/>
  <c r="M9" i="2"/>
  <c r="M14" i="2" s="1"/>
  <c r="M22" i="2" s="1"/>
  <c r="M25" i="2" s="1"/>
  <c r="M27" i="2" s="1"/>
  <c r="M28" i="2" s="1"/>
  <c r="I21" i="2"/>
  <c r="I13" i="2"/>
  <c r="I9" i="2"/>
  <c r="I14" i="2" s="1"/>
  <c r="I22" i="2" s="1"/>
  <c r="I25" i="2" s="1"/>
  <c r="I27" i="2" s="1"/>
  <c r="I28" i="2" s="1"/>
  <c r="L13" i="2"/>
  <c r="O13" i="2"/>
  <c r="O14" i="2" s="1"/>
  <c r="K25" i="2"/>
  <c r="C28" i="2"/>
  <c r="D28" i="2"/>
  <c r="E28" i="2"/>
  <c r="G28" i="2"/>
  <c r="H28" i="2"/>
  <c r="P28" i="2"/>
  <c r="S13" i="2"/>
  <c r="T13" i="2"/>
  <c r="U13" i="2"/>
  <c r="V13" i="2"/>
  <c r="W13" i="2"/>
  <c r="X13" i="2"/>
  <c r="X14" i="2" s="1"/>
  <c r="Y13" i="2"/>
  <c r="Y14" i="2" s="1"/>
  <c r="Z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K13" i="2"/>
  <c r="K21" i="2"/>
  <c r="L21" i="2"/>
  <c r="O21" i="2"/>
  <c r="AB25" i="2"/>
  <c r="AC25" i="2"/>
  <c r="AD25" i="2"/>
  <c r="AI25" i="2"/>
  <c r="P21" i="2"/>
  <c r="P13" i="2"/>
  <c r="K9" i="2"/>
  <c r="L9" i="2"/>
  <c r="O9" i="2"/>
  <c r="V9" i="2"/>
  <c r="W9" i="2"/>
  <c r="X9" i="2"/>
  <c r="Y9" i="2"/>
  <c r="Z9" i="2"/>
  <c r="Q9" i="2"/>
  <c r="T9" i="2"/>
  <c r="U9" i="2"/>
  <c r="U31" i="2" s="1"/>
  <c r="P9" i="2"/>
  <c r="L6" i="1"/>
  <c r="L5" i="1"/>
  <c r="R23" i="2"/>
  <c r="C21" i="2"/>
  <c r="D21" i="2"/>
  <c r="E21" i="2"/>
  <c r="G21" i="2"/>
  <c r="H21" i="2"/>
  <c r="C13" i="2"/>
  <c r="D13" i="2"/>
  <c r="E13" i="2"/>
  <c r="F13" i="2"/>
  <c r="G13" i="2"/>
  <c r="H13" i="2"/>
  <c r="J13" i="2"/>
  <c r="C9" i="2"/>
  <c r="D9" i="2"/>
  <c r="E9" i="2"/>
  <c r="F9" i="2"/>
  <c r="G9" i="2"/>
  <c r="H9" i="2"/>
  <c r="J9" i="2"/>
  <c r="J29" i="2"/>
  <c r="J26" i="2"/>
  <c r="J23" i="2"/>
  <c r="J17" i="2"/>
  <c r="J15" i="2"/>
  <c r="F29" i="2"/>
  <c r="F26" i="2"/>
  <c r="F23" i="2"/>
  <c r="F17" i="2"/>
  <c r="F15" i="2"/>
  <c r="AE25" i="2"/>
  <c r="AH25" i="2"/>
  <c r="AP21" i="2"/>
  <c r="AP22" i="2" s="1"/>
  <c r="AQ21" i="2"/>
  <c r="AQ22" i="2" s="1"/>
  <c r="AR21" i="2"/>
  <c r="AR22" i="2" s="1"/>
  <c r="AS21" i="2"/>
  <c r="AS22" i="2" s="1"/>
  <c r="L4" i="1"/>
  <c r="V14" i="2" l="1"/>
  <c r="V22" i="2" s="1"/>
  <c r="V25" i="2" s="1"/>
  <c r="U14" i="2"/>
  <c r="U22" i="2" s="1"/>
  <c r="U25" i="2" s="1"/>
  <c r="W14" i="2"/>
  <c r="W22" i="2" s="1"/>
  <c r="W25" i="2" s="1"/>
  <c r="R21" i="2"/>
  <c r="Q13" i="2"/>
  <c r="Q14" i="2" s="1"/>
  <c r="Y22" i="2"/>
  <c r="Y25" i="2" s="1"/>
  <c r="X22" i="2"/>
  <c r="X25" i="2" s="1"/>
  <c r="N13" i="2"/>
  <c r="N9" i="2"/>
  <c r="T32" i="2"/>
  <c r="N21" i="2"/>
  <c r="Q31" i="2"/>
  <c r="T25" i="2"/>
  <c r="AA29" i="2"/>
  <c r="AB29" i="2" s="1"/>
  <c r="AC29" i="2" s="1"/>
  <c r="AD29" i="2" s="1"/>
  <c r="AE29" i="2" s="1"/>
  <c r="AF29" i="2" s="1"/>
  <c r="AG29" i="2" s="1"/>
  <c r="AH29" i="2" s="1"/>
  <c r="J21" i="2"/>
  <c r="F21" i="2"/>
  <c r="O31" i="2"/>
  <c r="J14" i="2"/>
  <c r="C14" i="2"/>
  <c r="C22" i="2" s="1"/>
  <c r="P31" i="2"/>
  <c r="E14" i="2"/>
  <c r="E22" i="2" s="1"/>
  <c r="E25" i="2" s="1"/>
  <c r="F14" i="2"/>
  <c r="D14" i="2"/>
  <c r="D22" i="2" s="1"/>
  <c r="H14" i="2"/>
  <c r="H22" i="2" s="1"/>
  <c r="H25" i="2" s="1"/>
  <c r="G14" i="2"/>
  <c r="G22" i="2" s="1"/>
  <c r="G25" i="2" s="1"/>
  <c r="K14" i="2"/>
  <c r="L14" i="2"/>
  <c r="L32" i="2" s="1"/>
  <c r="P14" i="2"/>
  <c r="V31" i="2"/>
  <c r="W31" i="2"/>
  <c r="X31" i="2"/>
  <c r="Y31" i="2"/>
  <c r="L7" i="1"/>
  <c r="U27" i="2" l="1"/>
  <c r="Y32" i="2"/>
  <c r="N14" i="2"/>
  <c r="N32" i="2" s="1"/>
  <c r="T27" i="2"/>
  <c r="T34" i="2"/>
  <c r="Y27" i="2"/>
  <c r="Y28" i="2" s="1"/>
  <c r="J22" i="2"/>
  <c r="J25" i="2" s="1"/>
  <c r="J27" i="2" s="1"/>
  <c r="J28" i="2" s="1"/>
  <c r="E27" i="2"/>
  <c r="C25" i="2"/>
  <c r="C27" i="2" s="1"/>
  <c r="G27" i="2"/>
  <c r="H27" i="2"/>
  <c r="D25" i="2"/>
  <c r="D27" i="2" s="1"/>
  <c r="R32" i="2"/>
  <c r="O22" i="2"/>
  <c r="O25" i="2" s="1"/>
  <c r="O32" i="2"/>
  <c r="K22" i="2"/>
  <c r="K32" i="2"/>
  <c r="M32" i="2"/>
  <c r="F22" i="2"/>
  <c r="F25" i="2" s="1"/>
  <c r="Q22" i="2"/>
  <c r="Q25" i="2" s="1"/>
  <c r="Q26" i="2" s="1"/>
  <c r="Q32" i="2"/>
  <c r="P22" i="2"/>
  <c r="P25" i="2" s="1"/>
  <c r="P32" i="2"/>
  <c r="X32" i="2"/>
  <c r="V27" i="2"/>
  <c r="W27" i="2"/>
  <c r="U32" i="2"/>
  <c r="X27" i="2"/>
  <c r="X28" i="2" s="1"/>
  <c r="L22" i="2"/>
  <c r="L25" i="2" s="1"/>
  <c r="W32" i="2"/>
  <c r="V32" i="2"/>
  <c r="T28" i="2" l="1"/>
  <c r="T33" i="2"/>
  <c r="U28" i="2"/>
  <c r="U33" i="2"/>
  <c r="V28" i="2"/>
  <c r="V33" i="2"/>
  <c r="W28" i="2"/>
  <c r="W33" i="2"/>
  <c r="R22" i="2"/>
  <c r="R25" i="2" s="1"/>
  <c r="F27" i="2"/>
  <c r="F28" i="2" s="1"/>
  <c r="N22" i="2"/>
  <c r="N25" i="2" s="1"/>
  <c r="P27" i="2"/>
  <c r="P34" i="2"/>
  <c r="Q27" i="2"/>
  <c r="Q34" i="2"/>
  <c r="L27" i="2"/>
  <c r="L28" i="2" s="1"/>
  <c r="L34" i="2"/>
  <c r="M34" i="2"/>
  <c r="K27" i="2"/>
  <c r="K28" i="2" s="1"/>
  <c r="K34" i="2"/>
  <c r="O27" i="2"/>
  <c r="O28" i="2" s="1"/>
  <c r="O34" i="2"/>
  <c r="U34" i="2"/>
  <c r="Y34" i="2"/>
  <c r="V34" i="2"/>
  <c r="X34" i="2"/>
  <c r="W34" i="2"/>
  <c r="Q28" i="2" l="1"/>
  <c r="Q33" i="2"/>
  <c r="Z32" i="2"/>
  <c r="R26" i="2"/>
  <c r="R34" i="2" l="1"/>
  <c r="AA26" i="2"/>
  <c r="R27" i="2"/>
  <c r="R33" i="2" s="1"/>
  <c r="N26" i="2"/>
  <c r="N27" i="2" s="1"/>
  <c r="N28" i="2" s="1"/>
  <c r="N34" i="2" l="1"/>
  <c r="R28" i="2"/>
  <c r="Z27" i="2"/>
  <c r="Z28" i="2" s="1"/>
  <c r="Z34" i="2"/>
  <c r="AA27" i="2"/>
  <c r="AA28" i="2" s="1"/>
  <c r="AB9" i="2"/>
  <c r="AB27" i="2" s="1"/>
  <c r="AB28" i="2" s="1"/>
  <c r="AA31" i="2"/>
  <c r="AA14" i="2"/>
  <c r="AA22" i="2" s="1"/>
  <c r="AA25" i="2" s="1"/>
  <c r="AA34" i="2" s="1"/>
  <c r="AC9" i="2" l="1"/>
  <c r="AC27" i="2" l="1"/>
  <c r="AC28" i="2" s="1"/>
  <c r="AD9" i="2"/>
  <c r="AE9" i="2" l="1"/>
  <c r="AD27" i="2"/>
  <c r="AE27" i="2" l="1"/>
  <c r="AE28" i="2" s="1"/>
  <c r="AF9" i="2"/>
  <c r="AD28" i="2"/>
  <c r="AF27" i="2" l="1"/>
  <c r="AG9" i="2"/>
  <c r="AG27" i="2" l="1"/>
  <c r="AG28" i="2" s="1"/>
  <c r="AH9" i="2"/>
  <c r="AH27" i="2" s="1"/>
  <c r="AF28" i="2"/>
  <c r="AI27" i="2" l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AH28" i="2"/>
  <c r="L12" i="1" l="1"/>
  <c r="L13" i="1" s="1"/>
  <c r="L15" i="1" s="1"/>
</calcChain>
</file>

<file path=xl/sharedStrings.xml><?xml version="1.0" encoding="utf-8"?>
<sst xmlns="http://schemas.openxmlformats.org/spreadsheetml/2006/main" count="59" uniqueCount="55">
  <si>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</si>
  <si>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</si>
  <si>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</si>
  <si>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</si>
  <si>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</si>
  <si>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</si>
  <si>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</si>
  <si>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</si>
  <si>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</si>
  <si>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</si>
  <si>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</si>
  <si>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</si>
  <si>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</si>
  <si>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</si>
  <si>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</si>
  <si>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</si>
  <si>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</si>
  <si>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</si>
  <si>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</si>
  <si>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</si>
  <si>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</si>
  <si>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</si>
  <si>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</si>
  <si>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</si>
  <si>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</si>
  <si>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</si>
  <si>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</si>
  <si>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</si>
  <si>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interest expense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</si>
  <si>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</si>
  <si>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</si>
  <si>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</si>
  <si>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</si>
  <si>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</si>
  <si>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</si>
  <si>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</si>
  <si>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</si>
  <si>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</si>
  <si>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Cloud services</t>
  </si>
  <si>
    <t>Cloud license</t>
  </si>
  <si>
    <t>Hardware</t>
  </si>
  <si>
    <t>Service</t>
  </si>
  <si>
    <t>Cloud services &amp; license exp</t>
  </si>
  <si>
    <t>Hardware exp</t>
  </si>
  <si>
    <t>Services exp</t>
  </si>
  <si>
    <t>S&amp;M</t>
  </si>
  <si>
    <t>G&amp;A</t>
  </si>
  <si>
    <t>R&amp;D</t>
  </si>
  <si>
    <t>Amortization</t>
  </si>
  <si>
    <t>Acquisition</t>
  </si>
  <si>
    <t>restructuring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</si>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</sst>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0" fontId="0" fillId="2" borderId="0" xfId="0" applyFill="1"/>
    <xf numFmtId="3" fontId="0" fillId="2" borderId="0" xfId="0" applyNumberFormat="1" applyFill="1"/>
    <xf numFmtId="3" fontId="6" fillId="2" borderId="0" xfId="0" applyNumberFormat="1" applyFont="1" applyFill="1"/>
    <xf numFmtId="3" fontId="7" fillId="2" borderId="0" xfId="0" applyNumberFormat="1" applyFont="1" applyFill="1"/>
    <xf numFmtId="3" fontId="5" fillId="2" borderId="0" xfId="0" applyNumberFormat="1" applyFont="1" applyFill="1"/>
    <xf numFmtId="10" fontId="0" fillId="2" borderId="0" xfId="2" applyNumberFormat="1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abSelected="1" topLeftCell="F1" workbookViewId="0">
      <selection activeCell="L12" sqref="L12"/>
    </sheetView>
  </sheetViews>
  <sheetFormatPr baseColWidth="10" defaultRowHeight="16"/>
  <sheetData>
    <row r="1" spans="7:13">
      <c r="M1" s="17">
        <v>45670</v>
      </c>
    </row>
    <row r="2" spans="7:13">
      <c r="K2" s="1" t="s">
        <v>0</v>
      </c>
      <c r="L2" s="2">
        <v>153</v>
      </c>
    </row>
    <row r="3" spans="7:13">
      <c r="K3" s="1" t="s">
        <v>1</v>
      </c>
      <c r="L3" s="3">
        <v>2797</v>
      </c>
      <c r="M3" t="s">
        <v>22</v>
      </c>
    </row>
    <row r="4" spans="7:13">
      <c r="K4" s="1" t="s">
        <v>3</v>
      </c>
      <c r="L4" s="3">
        <f>L2*L3</f>
        <v>427941</v>
      </c>
    </row>
    <row r="5" spans="7:13">
      <c r="K5" s="1" t="s">
        <v>4</v>
      </c>
      <c r="L5" s="3">
        <f>10941+370</f>
        <v>11311</v>
      </c>
      <c r="M5" t="s">
        <v>22</v>
      </c>
    </row>
    <row r="6" spans="7:13">
      <c r="K6" s="1" t="s">
        <v>5</v>
      </c>
      <c r="L6" s="3">
        <f>8162+80462</f>
        <v>88624</v>
      </c>
      <c r="M6" t="s">
        <v>22</v>
      </c>
    </row>
    <row r="7" spans="7:13">
      <c r="K7" s="1" t="s">
        <v>6</v>
      </c>
      <c r="L7" s="3">
        <f>L4-L5+L6</f>
        <v>505254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6"/>
      <c r="K11" s="1" t="s">
        <v>8</v>
      </c>
      <c r="L11" s="5">
        <v>7.0000000000000007E-2</v>
      </c>
    </row>
    <row r="12" spans="7:13">
      <c r="K12" s="1" t="s">
        <v>9</v>
      </c>
      <c r="L12" s="2">
        <f>NPV(L11,Model!AA27:FD27)+L5-L6</f>
        <v>444083.05630086106</v>
      </c>
    </row>
    <row r="13" spans="7:13">
      <c r="K13" s="1" t="s">
        <v>10</v>
      </c>
      <c r="L13" s="6">
        <f>L12/L3</f>
        <v>158.77120353981448</v>
      </c>
    </row>
    <row r="15" spans="7:13">
      <c r="L15" s="7">
        <f>L13/L2-1</f>
        <v>3.7720284573950824E-2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FD39"/>
  <sheetViews>
    <sheetView workbookViewId="0">
      <pane xSplit="2" ySplit="4" topLeftCell="AA12" activePane="bottomRight" state="frozen"/>
      <selection pane="topRight" activeCell="C1" sqref="C1"/>
      <selection pane="bottomLeft" activeCell="A5" sqref="A5"/>
      <selection pane="bottomRight" activeCell="AD32" sqref="AD32"/>
    </sheetView>
  </sheetViews>
  <sheetFormatPr baseColWidth="10" defaultRowHeight="16"/>
  <cols>
    <col min="1" max="1" width="4.85546875" bestFit="1" customWidth="1"/>
    <col min="2" max="2" width="24.42578125" bestFit="1" customWidth="1"/>
    <col min="3" max="10" width="10.7109375" style="19"/>
  </cols>
  <sheetData>
    <row r="1" spans="1:41">
      <c r="A1" s="8" t="s">
        <v>11</v>
      </c>
    </row>
    <row r="4" spans="1:41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</v>
      </c>
      <c r="O4" t="s">
        <v>51</v>
      </c>
      <c r="P4" t="s">
        <v>52</v>
      </c>
      <c r="Q4" t="s">
        <v>53</v>
      </c>
      <c r="R4" t="s">
        <v>54</v>
      </c>
      <c r="T4" s="17">
        <v>43251</v>
      </c>
      <c r="U4" s="17">
        <v>43616</v>
      </c>
      <c r="V4" s="17">
        <v>43982</v>
      </c>
      <c r="W4" s="17">
        <v>44347</v>
      </c>
      <c r="X4" s="17">
        <v>44712</v>
      </c>
      <c r="Y4" s="17">
        <v>45077</v>
      </c>
      <c r="Z4" s="17">
        <v>45443</v>
      </c>
      <c r="AA4" s="17">
        <v>45808</v>
      </c>
      <c r="AB4" s="17">
        <v>46173</v>
      </c>
      <c r="AC4" s="17">
        <v>46538</v>
      </c>
      <c r="AD4" s="17">
        <v>46904</v>
      </c>
      <c r="AE4" s="17">
        <v>47269</v>
      </c>
      <c r="AF4" s="17">
        <v>47634</v>
      </c>
      <c r="AG4" s="17">
        <v>47999</v>
      </c>
      <c r="AH4" s="17">
        <v>48365</v>
      </c>
    </row>
    <row r="5" spans="1:41" s="9" customFormat="1">
      <c r="B5" s="9" t="s">
        <v>38</v>
      </c>
      <c r="C5" s="20"/>
      <c r="D5" s="20"/>
      <c r="E5" s="20"/>
      <c r="F5" s="20"/>
      <c r="G5" s="20"/>
      <c r="H5" s="20"/>
      <c r="I5" s="9">
        <v>8923</v>
      </c>
      <c r="J5" s="20"/>
      <c r="K5" s="9">
        <v>9547</v>
      </c>
      <c r="L5" s="9">
        <v>9639</v>
      </c>
      <c r="M5" s="9">
        <v>9963</v>
      </c>
      <c r="N5" s="9">
        <f>Z5-SUM(K5:M5)</f>
        <v>10234</v>
      </c>
      <c r="O5" s="9">
        <v>10519</v>
      </c>
      <c r="P5" s="9">
        <v>10806</v>
      </c>
      <c r="Q5" s="9">
        <f>M5*1.0835</f>
        <v>10794.9105</v>
      </c>
      <c r="R5" s="9">
        <f>N5*1.1153</f>
        <v>11413.9802</v>
      </c>
      <c r="U5" s="9">
        <v>26707</v>
      </c>
      <c r="V5" s="9">
        <v>27392</v>
      </c>
      <c r="W5" s="9">
        <v>28700</v>
      </c>
      <c r="X5" s="9">
        <v>30174</v>
      </c>
      <c r="Y5" s="9">
        <v>35307</v>
      </c>
      <c r="Z5" s="9">
        <v>39383</v>
      </c>
      <c r="AA5" s="9">
        <f>SUM(O5:R5)</f>
        <v>43533.890699999996</v>
      </c>
    </row>
    <row r="6" spans="1:41" s="9" customFormat="1">
      <c r="B6" s="9" t="s">
        <v>39</v>
      </c>
      <c r="C6" s="20"/>
      <c r="D6" s="20"/>
      <c r="E6" s="20"/>
      <c r="F6" s="20"/>
      <c r="G6" s="20"/>
      <c r="H6" s="20"/>
      <c r="I6" s="9">
        <v>1288</v>
      </c>
      <c r="J6" s="20"/>
      <c r="K6" s="9">
        <v>809</v>
      </c>
      <c r="L6" s="9">
        <v>1178</v>
      </c>
      <c r="M6" s="9">
        <v>1256</v>
      </c>
      <c r="N6" s="9">
        <f>Z6-SUM(K6:M6)</f>
        <v>1838</v>
      </c>
      <c r="O6" s="9">
        <v>870</v>
      </c>
      <c r="P6" s="9">
        <v>1195</v>
      </c>
      <c r="Q6" s="9">
        <f t="shared" ref="Q6:Q8" si="0">M6*1.0835</f>
        <v>1360.876</v>
      </c>
      <c r="R6" s="9">
        <f>N6*1.1153</f>
        <v>2049.9213999999997</v>
      </c>
      <c r="U6" s="9">
        <v>5855</v>
      </c>
      <c r="V6" s="9">
        <v>5127</v>
      </c>
      <c r="W6" s="9">
        <v>5399</v>
      </c>
      <c r="X6" s="9">
        <v>5878</v>
      </c>
      <c r="Y6" s="9">
        <v>5779</v>
      </c>
      <c r="Z6" s="9">
        <v>5081</v>
      </c>
      <c r="AA6" s="9">
        <f t="shared" ref="AA6:AA12" si="1">SUM(O6:R6)</f>
        <v>5475.7973999999995</v>
      </c>
    </row>
    <row r="7" spans="1:41" s="9" customFormat="1">
      <c r="B7" s="9" t="s">
        <v>40</v>
      </c>
      <c r="C7" s="20"/>
      <c r="D7" s="20"/>
      <c r="E7" s="20"/>
      <c r="F7" s="20"/>
      <c r="G7" s="20"/>
      <c r="H7" s="20"/>
      <c r="I7" s="9">
        <v>811</v>
      </c>
      <c r="J7" s="20"/>
      <c r="K7" s="9">
        <v>714</v>
      </c>
      <c r="L7" s="9">
        <v>756</v>
      </c>
      <c r="M7" s="9">
        <v>754</v>
      </c>
      <c r="N7" s="9">
        <f>Z7-SUM(K7:M7)</f>
        <v>842</v>
      </c>
      <c r="O7" s="9">
        <v>655</v>
      </c>
      <c r="P7" s="9">
        <v>728</v>
      </c>
      <c r="Q7" s="9">
        <f t="shared" si="0"/>
        <v>816.95899999999995</v>
      </c>
      <c r="R7" s="9">
        <f>N7*1.1153</f>
        <v>939.08259999999996</v>
      </c>
      <c r="U7" s="9">
        <v>3704</v>
      </c>
      <c r="V7" s="9">
        <v>3443</v>
      </c>
      <c r="W7" s="9">
        <v>3359</v>
      </c>
      <c r="X7" s="9">
        <v>3183</v>
      </c>
      <c r="Y7" s="9">
        <v>3274</v>
      </c>
      <c r="Z7" s="9">
        <v>3066</v>
      </c>
      <c r="AA7" s="9">
        <f t="shared" si="1"/>
        <v>3139.0415999999996</v>
      </c>
    </row>
    <row r="8" spans="1:41" s="9" customFormat="1">
      <c r="B8" s="9" t="s">
        <v>41</v>
      </c>
      <c r="C8" s="20"/>
      <c r="D8" s="20"/>
      <c r="E8" s="20"/>
      <c r="F8" s="20"/>
      <c r="G8" s="20"/>
      <c r="H8" s="20"/>
      <c r="I8" s="9">
        <v>1376</v>
      </c>
      <c r="J8" s="20"/>
      <c r="K8" s="9">
        <v>1383</v>
      </c>
      <c r="L8" s="9">
        <v>1368</v>
      </c>
      <c r="M8" s="9">
        <v>1307</v>
      </c>
      <c r="N8" s="9">
        <f>Z8-SUM(K8:M8)</f>
        <v>1373</v>
      </c>
      <c r="O8" s="9">
        <v>1263</v>
      </c>
      <c r="P8" s="9">
        <v>1330</v>
      </c>
      <c r="Q8" s="9">
        <f t="shared" si="0"/>
        <v>1416.1344999999999</v>
      </c>
      <c r="R8" s="9">
        <f>N8*1.1153</f>
        <v>1531.3069</v>
      </c>
      <c r="U8" s="9">
        <v>3240</v>
      </c>
      <c r="V8" s="9">
        <v>3106</v>
      </c>
      <c r="W8" s="9">
        <v>3021</v>
      </c>
      <c r="X8" s="9">
        <v>3205</v>
      </c>
      <c r="Y8" s="9">
        <v>5594</v>
      </c>
      <c r="Z8" s="9">
        <v>5431</v>
      </c>
      <c r="AA8" s="9">
        <f t="shared" si="1"/>
        <v>5540.4413999999997</v>
      </c>
    </row>
    <row r="9" spans="1:41" s="15" customFormat="1">
      <c r="B9" s="15" t="s">
        <v>12</v>
      </c>
      <c r="C9" s="21" t="e">
        <f>#REF!+#REF!</f>
        <v>#REF!</v>
      </c>
      <c r="D9" s="21" t="e">
        <f>#REF!+#REF!</f>
        <v>#REF!</v>
      </c>
      <c r="E9" s="21" t="e">
        <f>#REF!+#REF!</f>
        <v>#REF!</v>
      </c>
      <c r="F9" s="21" t="e">
        <f>#REF!+#REF!</f>
        <v>#REF!</v>
      </c>
      <c r="G9" s="21" t="e">
        <f>#REF!+#REF!</f>
        <v>#REF!</v>
      </c>
      <c r="H9" s="21" t="e">
        <f>#REF!+#REF!</f>
        <v>#REF!</v>
      </c>
      <c r="I9" s="15">
        <f t="shared" ref="I9:O9" si="2">SUM(I5:I8)</f>
        <v>12398</v>
      </c>
      <c r="J9" s="21" t="e">
        <f>#REF!+#REF!</f>
        <v>#REF!</v>
      </c>
      <c r="K9" s="15">
        <f t="shared" si="2"/>
        <v>12453</v>
      </c>
      <c r="L9" s="15">
        <f t="shared" si="2"/>
        <v>12941</v>
      </c>
      <c r="M9" s="15">
        <f t="shared" si="2"/>
        <v>13280</v>
      </c>
      <c r="N9" s="15">
        <f t="shared" si="2"/>
        <v>14287</v>
      </c>
      <c r="O9" s="15">
        <f t="shared" si="2"/>
        <v>13307</v>
      </c>
      <c r="P9" s="15">
        <f>SUM(P5:P8)</f>
        <v>14059</v>
      </c>
      <c r="Q9" s="15">
        <f t="shared" ref="Q9:U9" si="3">SUM(Q5:Q8)</f>
        <v>14388.880000000001</v>
      </c>
      <c r="R9" s="15">
        <f t="shared" si="3"/>
        <v>15934.291099999999</v>
      </c>
      <c r="T9" s="15">
        <f t="shared" si="3"/>
        <v>0</v>
      </c>
      <c r="U9" s="15">
        <f t="shared" si="3"/>
        <v>39506</v>
      </c>
      <c r="V9" s="15">
        <f t="shared" ref="V9" si="4">SUM(V5:V8)</f>
        <v>39068</v>
      </c>
      <c r="W9" s="15">
        <f t="shared" ref="W9" si="5">SUM(W5:W8)</f>
        <v>40479</v>
      </c>
      <c r="X9" s="15">
        <f t="shared" ref="X9" si="6">SUM(X5:X8)</f>
        <v>42440</v>
      </c>
      <c r="Y9" s="15">
        <f t="shared" ref="Y9" si="7">SUM(Y5:Y8)</f>
        <v>49954</v>
      </c>
      <c r="Z9" s="15">
        <f t="shared" ref="Z9:AA9" si="8">SUM(Z5:Z8)</f>
        <v>52961</v>
      </c>
      <c r="AA9" s="15">
        <f t="shared" si="8"/>
        <v>57689.171099999992</v>
      </c>
      <c r="AB9" s="15">
        <f t="shared" ref="AB9:AH9" si="9">AA9*(1+AB31)</f>
        <v>64934.930990159985</v>
      </c>
      <c r="AC9" s="15">
        <f t="shared" si="9"/>
        <v>71428.424089175984</v>
      </c>
      <c r="AD9" s="15">
        <f t="shared" si="9"/>
        <v>77856.982257201831</v>
      </c>
      <c r="AE9" s="15">
        <f t="shared" si="9"/>
        <v>85642.68048292202</v>
      </c>
      <c r="AF9" s="15">
        <f t="shared" si="9"/>
        <v>93350.521726385006</v>
      </c>
      <c r="AG9" s="15">
        <f t="shared" si="9"/>
        <v>100818.56346449582</v>
      </c>
      <c r="AH9" s="15">
        <f t="shared" si="9"/>
        <v>107875.86290701054</v>
      </c>
    </row>
    <row r="10" spans="1:41" s="18" customFormat="1">
      <c r="B10" s="18" t="s">
        <v>42</v>
      </c>
      <c r="C10" s="22"/>
      <c r="D10" s="22"/>
      <c r="E10" s="22"/>
      <c r="F10" s="22"/>
      <c r="G10" s="22"/>
      <c r="H10" s="22"/>
      <c r="I10" s="18">
        <v>1980</v>
      </c>
      <c r="J10" s="22"/>
      <c r="K10" s="18">
        <v>2179</v>
      </c>
      <c r="L10" s="18">
        <v>2274</v>
      </c>
      <c r="M10" s="18">
        <v>2452</v>
      </c>
      <c r="N10" s="9">
        <f>Z10-SUM(K10:M10)</f>
        <v>2522</v>
      </c>
      <c r="O10" s="18">
        <v>2597</v>
      </c>
      <c r="P10" s="18">
        <v>2746</v>
      </c>
      <c r="Q10" s="9">
        <f>P10</f>
        <v>2746</v>
      </c>
      <c r="R10" s="9">
        <f>Q10</f>
        <v>2746</v>
      </c>
      <c r="U10" s="18">
        <v>3782</v>
      </c>
      <c r="V10" s="18">
        <v>4006</v>
      </c>
      <c r="W10" s="18">
        <v>4353</v>
      </c>
      <c r="X10" s="18">
        <v>5213</v>
      </c>
      <c r="Y10" s="18">
        <v>7763</v>
      </c>
      <c r="Z10" s="18">
        <v>9427</v>
      </c>
      <c r="AA10" s="9">
        <f t="shared" si="1"/>
        <v>10835</v>
      </c>
    </row>
    <row r="11" spans="1:41" s="18" customFormat="1">
      <c r="B11" s="18" t="s">
        <v>43</v>
      </c>
      <c r="C11" s="22"/>
      <c r="D11" s="22"/>
      <c r="E11" s="22"/>
      <c r="F11" s="22"/>
      <c r="G11" s="22"/>
      <c r="H11" s="22"/>
      <c r="I11" s="18">
        <v>244</v>
      </c>
      <c r="J11" s="22"/>
      <c r="K11" s="18">
        <v>219</v>
      </c>
      <c r="L11" s="18">
        <v>213</v>
      </c>
      <c r="M11" s="18">
        <v>217</v>
      </c>
      <c r="N11" s="9">
        <f>Z11-SUM(K11:M11)</f>
        <v>242</v>
      </c>
      <c r="O11" s="18">
        <v>162</v>
      </c>
      <c r="P11" s="18">
        <v>172</v>
      </c>
      <c r="Q11" s="9">
        <v>150</v>
      </c>
      <c r="R11" s="9">
        <f>N11*1.1153</f>
        <v>269.90260000000001</v>
      </c>
      <c r="U11" s="18">
        <v>1360</v>
      </c>
      <c r="V11" s="18">
        <v>1116</v>
      </c>
      <c r="W11" s="18">
        <v>972</v>
      </c>
      <c r="X11" s="18">
        <v>972</v>
      </c>
      <c r="Y11" s="18">
        <v>1040</v>
      </c>
      <c r="Z11" s="18">
        <v>891</v>
      </c>
      <c r="AA11" s="9">
        <f t="shared" si="1"/>
        <v>753.90260000000001</v>
      </c>
    </row>
    <row r="12" spans="1:41" s="18" customFormat="1">
      <c r="B12" s="18" t="s">
        <v>44</v>
      </c>
      <c r="C12" s="22"/>
      <c r="D12" s="22"/>
      <c r="E12" s="22"/>
      <c r="F12" s="22"/>
      <c r="G12" s="22"/>
      <c r="H12" s="22"/>
      <c r="I12" s="18">
        <v>1215</v>
      </c>
      <c r="J12" s="22"/>
      <c r="K12" s="18">
        <v>1212</v>
      </c>
      <c r="L12" s="18">
        <v>1253</v>
      </c>
      <c r="M12" s="18">
        <v>1200</v>
      </c>
      <c r="N12" s="9">
        <f>Z12-SUM(K12:M12)</f>
        <v>1160</v>
      </c>
      <c r="O12" s="18">
        <v>1147</v>
      </c>
      <c r="P12" s="18">
        <v>1167</v>
      </c>
      <c r="Q12" s="9">
        <f>P12</f>
        <v>1167</v>
      </c>
      <c r="R12" s="9">
        <f>N12*1.1153</f>
        <v>1293.748</v>
      </c>
      <c r="U12" s="18">
        <v>2853</v>
      </c>
      <c r="V12" s="18">
        <v>2816</v>
      </c>
      <c r="W12" s="18">
        <v>2530</v>
      </c>
      <c r="X12" s="18">
        <v>2692</v>
      </c>
      <c r="Y12" s="18">
        <v>4761</v>
      </c>
      <c r="Z12" s="18">
        <v>4825</v>
      </c>
      <c r="AA12" s="9">
        <f t="shared" si="1"/>
        <v>4774.7479999999996</v>
      </c>
    </row>
    <row r="13" spans="1:41" s="11" customFormat="1">
      <c r="B13" s="11" t="s">
        <v>24</v>
      </c>
      <c r="C13" s="23" t="e">
        <f>SUM(#REF!)</f>
        <v>#REF!</v>
      </c>
      <c r="D13" s="23" t="e">
        <f>SUM(#REF!)</f>
        <v>#REF!</v>
      </c>
      <c r="E13" s="23" t="e">
        <f>SUM(#REF!)</f>
        <v>#REF!</v>
      </c>
      <c r="F13" s="23" t="e">
        <f>SUM(#REF!)</f>
        <v>#REF!</v>
      </c>
      <c r="G13" s="23" t="e">
        <f>SUM(#REF!)</f>
        <v>#REF!</v>
      </c>
      <c r="H13" s="23" t="e">
        <f>SUM(#REF!)</f>
        <v>#REF!</v>
      </c>
      <c r="I13" s="11">
        <f t="shared" ref="I13" si="10">SUM(I10:I12)</f>
        <v>3439</v>
      </c>
      <c r="J13" s="23" t="e">
        <f>SUM(#REF!)</f>
        <v>#REF!</v>
      </c>
      <c r="K13" s="11">
        <f t="shared" ref="K13:O13" si="11">SUM(K10:K12)</f>
        <v>3610</v>
      </c>
      <c r="L13" s="11">
        <f t="shared" ref="L13:M13" si="12">SUM(L10:L12)</f>
        <v>3740</v>
      </c>
      <c r="M13" s="11">
        <f t="shared" si="12"/>
        <v>3869</v>
      </c>
      <c r="N13" s="11">
        <f t="shared" ref="N13" si="13">SUM(N10:N12)</f>
        <v>3924</v>
      </c>
      <c r="O13" s="11">
        <f t="shared" si="11"/>
        <v>3906</v>
      </c>
      <c r="P13" s="11">
        <f>SUM(P10:P12)</f>
        <v>4085</v>
      </c>
      <c r="Q13" s="11">
        <f t="shared" ref="Q13:R13" si="14">SUM(Q10:Q12)</f>
        <v>4063</v>
      </c>
      <c r="R13" s="11">
        <f t="shared" si="14"/>
        <v>4309.6505999999999</v>
      </c>
      <c r="S13" s="11">
        <f t="shared" ref="S13" si="15">SUM(S10:S12)</f>
        <v>0</v>
      </c>
      <c r="T13" s="11">
        <f t="shared" ref="T13" si="16">SUM(T10:T12)</f>
        <v>0</v>
      </c>
      <c r="U13" s="11">
        <f t="shared" ref="U13" si="17">SUM(U10:U12)</f>
        <v>7995</v>
      </c>
      <c r="V13" s="11">
        <f t="shared" ref="V13" si="18">SUM(V10:V12)</f>
        <v>7938</v>
      </c>
      <c r="W13" s="11">
        <f t="shared" ref="W13" si="19">SUM(W10:W12)</f>
        <v>7855</v>
      </c>
      <c r="X13" s="11">
        <f t="shared" ref="X13" si="20">SUM(X10:X12)</f>
        <v>8877</v>
      </c>
      <c r="Y13" s="11">
        <f t="shared" ref="Y13" si="21">SUM(Y10:Y12)</f>
        <v>13564</v>
      </c>
      <c r="Z13" s="11">
        <f t="shared" ref="Z13:AA13" si="22">SUM(Z10:Z12)</f>
        <v>15143</v>
      </c>
      <c r="AA13" s="11">
        <f t="shared" si="22"/>
        <v>16363.650599999999</v>
      </c>
      <c r="AB13" s="11">
        <f t="shared" ref="AB13" si="23">SUM(AB10:AB12)</f>
        <v>0</v>
      </c>
      <c r="AC13" s="11">
        <f t="shared" ref="AC13" si="24">SUM(AC10:AC12)</f>
        <v>0</v>
      </c>
      <c r="AD13" s="11">
        <f t="shared" ref="AD13" si="25">SUM(AD10:AD12)</f>
        <v>0</v>
      </c>
      <c r="AE13" s="11">
        <f t="shared" ref="AE13" si="26">SUM(AE10:AE12)</f>
        <v>0</v>
      </c>
      <c r="AF13" s="11">
        <f t="shared" ref="AF13" si="27">SUM(AF10:AF12)</f>
        <v>0</v>
      </c>
      <c r="AG13" s="11">
        <f t="shared" ref="AG13" si="28">SUM(AG10:AG12)</f>
        <v>0</v>
      </c>
      <c r="AH13" s="11">
        <f t="shared" ref="AH13" si="29">SUM(AH10:AH12)</f>
        <v>0</v>
      </c>
      <c r="AI13" s="11">
        <f t="shared" ref="AI13" si="30">SUM(AI10:AI12)</f>
        <v>0</v>
      </c>
      <c r="AJ13" s="11">
        <f t="shared" ref="AJ13" si="31">SUM(AJ10:AJ12)</f>
        <v>0</v>
      </c>
      <c r="AK13" s="11">
        <f t="shared" ref="AK13" si="32">SUM(AK10:AK12)</f>
        <v>0</v>
      </c>
      <c r="AL13" s="11">
        <f t="shared" ref="AL13" si="33">SUM(AL10:AL12)</f>
        <v>0</v>
      </c>
      <c r="AM13" s="11">
        <f t="shared" ref="AM13" si="34">SUM(AM10:AM12)</f>
        <v>0</v>
      </c>
      <c r="AN13" s="11">
        <f t="shared" ref="AN13" si="35">SUM(AN10:AN12)</f>
        <v>0</v>
      </c>
      <c r="AO13" s="11">
        <f t="shared" ref="AO13" si="36">SUM(AO10:AO12)</f>
        <v>0</v>
      </c>
    </row>
    <row r="14" spans="1:41" s="11" customFormat="1">
      <c r="B14" s="11" t="s">
        <v>25</v>
      </c>
      <c r="C14" s="23" t="e">
        <f t="shared" ref="C14:L14" si="37">C9-C13</f>
        <v>#REF!</v>
      </c>
      <c r="D14" s="23" t="e">
        <f t="shared" si="37"/>
        <v>#REF!</v>
      </c>
      <c r="E14" s="23" t="e">
        <f t="shared" si="37"/>
        <v>#REF!</v>
      </c>
      <c r="F14" s="23" t="e">
        <f t="shared" si="37"/>
        <v>#REF!</v>
      </c>
      <c r="G14" s="23" t="e">
        <f t="shared" si="37"/>
        <v>#REF!</v>
      </c>
      <c r="H14" s="23" t="e">
        <f t="shared" si="37"/>
        <v>#REF!</v>
      </c>
      <c r="I14" s="11">
        <f t="shared" si="37"/>
        <v>8959</v>
      </c>
      <c r="J14" s="23" t="e">
        <f t="shared" si="37"/>
        <v>#REF!</v>
      </c>
      <c r="K14" s="11">
        <f t="shared" si="37"/>
        <v>8843</v>
      </c>
      <c r="L14" s="11">
        <f t="shared" si="37"/>
        <v>9201</v>
      </c>
      <c r="M14" s="11">
        <f>M9-M13</f>
        <v>9411</v>
      </c>
      <c r="N14" s="11">
        <f>Y14-SUM(K14:M14)</f>
        <v>8935</v>
      </c>
      <c r="O14" s="11">
        <f>O9-O13</f>
        <v>9401</v>
      </c>
      <c r="P14" s="11">
        <f>P9-P13</f>
        <v>9974</v>
      </c>
      <c r="Q14" s="11">
        <f>Q9-Q13</f>
        <v>10325.880000000001</v>
      </c>
      <c r="R14" s="11">
        <f>R9-R13</f>
        <v>11624.640499999998</v>
      </c>
      <c r="T14" s="11">
        <f t="shared" ref="T14:Y14" si="38">T9-T13</f>
        <v>0</v>
      </c>
      <c r="U14" s="11">
        <f t="shared" si="38"/>
        <v>31511</v>
      </c>
      <c r="V14" s="11">
        <f t="shared" si="38"/>
        <v>31130</v>
      </c>
      <c r="W14" s="11">
        <f t="shared" si="38"/>
        <v>32624</v>
      </c>
      <c r="X14" s="11">
        <f t="shared" si="38"/>
        <v>33563</v>
      </c>
      <c r="Y14" s="11">
        <f t="shared" si="38"/>
        <v>36390</v>
      </c>
      <c r="Z14" s="11">
        <f>Z9-Z13</f>
        <v>37818</v>
      </c>
      <c r="AA14" s="11">
        <f>AA9-AA13</f>
        <v>41325.520499999991</v>
      </c>
    </row>
    <row r="15" spans="1:41" s="9" customFormat="1">
      <c r="B15" s="9" t="s">
        <v>45</v>
      </c>
      <c r="C15" s="20">
        <v>319</v>
      </c>
      <c r="D15" s="20">
        <v>341</v>
      </c>
      <c r="E15" s="20">
        <v>376</v>
      </c>
      <c r="F15" s="20">
        <f>W15-SUM(C15:E15)</f>
        <v>6646</v>
      </c>
      <c r="G15" s="20">
        <v>597</v>
      </c>
      <c r="H15" s="20">
        <v>592</v>
      </c>
      <c r="I15" s="9">
        <v>2150</v>
      </c>
      <c r="J15" s="20">
        <f>X15-SUM(G15:I15)</f>
        <v>4708</v>
      </c>
      <c r="K15" s="9">
        <v>2026</v>
      </c>
      <c r="L15" s="9">
        <v>2093</v>
      </c>
      <c r="M15" s="9">
        <v>2042</v>
      </c>
      <c r="N15" s="9">
        <f t="shared" ref="N15:N20" si="39">Z15-SUM(K15:M15)</f>
        <v>2113</v>
      </c>
      <c r="O15" s="9">
        <v>2036</v>
      </c>
      <c r="P15" s="9">
        <v>2190</v>
      </c>
      <c r="Q15" s="9">
        <f>P15</f>
        <v>2190</v>
      </c>
      <c r="R15" s="9">
        <f>N15*1.1153</f>
        <v>2356.6288999999997</v>
      </c>
      <c r="U15" s="9">
        <v>8509</v>
      </c>
      <c r="V15" s="9">
        <v>8094</v>
      </c>
      <c r="W15" s="9">
        <v>7682</v>
      </c>
      <c r="X15" s="9">
        <v>8047</v>
      </c>
      <c r="Y15" s="9">
        <v>8833</v>
      </c>
      <c r="Z15" s="9">
        <v>8274</v>
      </c>
      <c r="AA15" s="9">
        <f t="shared" ref="AA15:AA20" si="40">SUM(O15:R15)</f>
        <v>8772.6288999999997</v>
      </c>
    </row>
    <row r="16" spans="1:41" s="9" customFormat="1">
      <c r="B16" s="9" t="s">
        <v>47</v>
      </c>
      <c r="C16" s="20"/>
      <c r="D16" s="20"/>
      <c r="E16" s="20"/>
      <c r="F16" s="20"/>
      <c r="G16" s="20"/>
      <c r="H16" s="20"/>
      <c r="I16" s="9">
        <v>2146</v>
      </c>
      <c r="J16" s="20"/>
      <c r="K16" s="9">
        <v>2216</v>
      </c>
      <c r="L16" s="9">
        <v>2226</v>
      </c>
      <c r="M16" s="9">
        <v>2248</v>
      </c>
      <c r="N16" s="9">
        <f t="shared" si="39"/>
        <v>2225</v>
      </c>
      <c r="O16" s="9">
        <v>2306</v>
      </c>
      <c r="P16" s="9">
        <v>2471</v>
      </c>
      <c r="Q16" s="9">
        <f>P16</f>
        <v>2471</v>
      </c>
      <c r="R16" s="9">
        <f>N16*1.1153</f>
        <v>2481.5425</v>
      </c>
      <c r="U16" s="9">
        <v>6026</v>
      </c>
      <c r="V16" s="9">
        <v>6067</v>
      </c>
      <c r="W16" s="9">
        <v>6527</v>
      </c>
      <c r="X16" s="9">
        <v>7219</v>
      </c>
      <c r="Y16" s="9">
        <v>8623</v>
      </c>
      <c r="Z16" s="9">
        <v>8915</v>
      </c>
      <c r="AA16" s="9">
        <f t="shared" si="40"/>
        <v>9729.5424999999996</v>
      </c>
    </row>
    <row r="17" spans="2:160" s="9" customFormat="1">
      <c r="B17" s="9" t="s">
        <v>46</v>
      </c>
      <c r="C17" s="20">
        <v>0</v>
      </c>
      <c r="D17" s="20">
        <v>0</v>
      </c>
      <c r="E17" s="20">
        <v>0</v>
      </c>
      <c r="F17" s="20">
        <f>W17-SUM(C17:E17)</f>
        <v>1254</v>
      </c>
      <c r="G17" s="20">
        <v>293</v>
      </c>
      <c r="H17" s="20">
        <v>616</v>
      </c>
      <c r="I17" s="9">
        <v>402</v>
      </c>
      <c r="J17" s="20">
        <f>X17-SUM(G17:I17)</f>
        <v>6</v>
      </c>
      <c r="K17" s="9">
        <v>393</v>
      </c>
      <c r="L17" s="9">
        <v>375</v>
      </c>
      <c r="M17" s="9">
        <v>377</v>
      </c>
      <c r="N17" s="9">
        <f t="shared" si="39"/>
        <v>403</v>
      </c>
      <c r="O17" s="9">
        <v>358</v>
      </c>
      <c r="P17" s="9">
        <v>387</v>
      </c>
      <c r="Q17" s="9">
        <f>O17</f>
        <v>358</v>
      </c>
      <c r="R17" s="9">
        <f>Q17</f>
        <v>358</v>
      </c>
      <c r="U17" s="9">
        <v>1265</v>
      </c>
      <c r="V17" s="9">
        <v>1181</v>
      </c>
      <c r="W17" s="9">
        <v>1254</v>
      </c>
      <c r="X17" s="9">
        <v>1317</v>
      </c>
      <c r="Y17" s="9">
        <v>1579</v>
      </c>
      <c r="Z17" s="9">
        <v>1548</v>
      </c>
      <c r="AA17" s="9">
        <f t="shared" si="40"/>
        <v>1461</v>
      </c>
    </row>
    <row r="18" spans="2:160" s="9" customFormat="1">
      <c r="B18" s="9" t="s">
        <v>48</v>
      </c>
      <c r="C18" s="20"/>
      <c r="D18" s="20"/>
      <c r="E18" s="20"/>
      <c r="F18" s="20"/>
      <c r="G18" s="20"/>
      <c r="H18" s="20"/>
      <c r="I18" s="9">
        <v>886</v>
      </c>
      <c r="J18" s="20"/>
      <c r="K18" s="9">
        <v>763</v>
      </c>
      <c r="L18" s="9">
        <v>755</v>
      </c>
      <c r="M18" s="9">
        <v>749</v>
      </c>
      <c r="N18" s="9">
        <f t="shared" si="39"/>
        <v>743</v>
      </c>
      <c r="O18" s="9">
        <v>624</v>
      </c>
      <c r="P18" s="9">
        <v>591</v>
      </c>
      <c r="Q18" s="9">
        <f>P18</f>
        <v>591</v>
      </c>
      <c r="R18" s="9">
        <f>Q18</f>
        <v>591</v>
      </c>
      <c r="U18" s="9">
        <v>1689</v>
      </c>
      <c r="V18" s="9">
        <v>1586</v>
      </c>
      <c r="W18" s="9">
        <v>1379</v>
      </c>
      <c r="X18" s="9">
        <v>1150</v>
      </c>
      <c r="Y18" s="9">
        <v>3582</v>
      </c>
      <c r="Z18" s="9">
        <v>3010</v>
      </c>
      <c r="AA18" s="9">
        <f t="shared" si="40"/>
        <v>2397</v>
      </c>
    </row>
    <row r="19" spans="2:160" s="9" customFormat="1">
      <c r="B19" s="9" t="s">
        <v>49</v>
      </c>
      <c r="C19" s="20"/>
      <c r="D19" s="20"/>
      <c r="E19" s="20"/>
      <c r="F19" s="20"/>
      <c r="G19" s="20"/>
      <c r="H19" s="20"/>
      <c r="I19" s="9">
        <v>37</v>
      </c>
      <c r="J19" s="20"/>
      <c r="K19" s="9">
        <v>11</v>
      </c>
      <c r="L19" s="9">
        <v>47</v>
      </c>
      <c r="M19" s="9">
        <v>155</v>
      </c>
      <c r="N19" s="9">
        <f t="shared" si="39"/>
        <v>101</v>
      </c>
      <c r="O19" s="9">
        <v>13</v>
      </c>
      <c r="P19" s="9">
        <v>31</v>
      </c>
      <c r="Q19" s="9">
        <f>P19</f>
        <v>31</v>
      </c>
      <c r="U19" s="9">
        <v>44</v>
      </c>
      <c r="V19" s="9">
        <v>56</v>
      </c>
      <c r="W19" s="9">
        <v>138</v>
      </c>
      <c r="X19" s="9">
        <v>4713</v>
      </c>
      <c r="Y19" s="9">
        <v>190</v>
      </c>
      <c r="Z19" s="9">
        <v>314</v>
      </c>
      <c r="AA19" s="9">
        <f t="shared" si="40"/>
        <v>75</v>
      </c>
    </row>
    <row r="20" spans="2:160" s="9" customFormat="1">
      <c r="B20" s="9" t="s">
        <v>50</v>
      </c>
      <c r="C20" s="20"/>
      <c r="D20" s="20"/>
      <c r="E20" s="20"/>
      <c r="F20" s="20"/>
      <c r="G20" s="20"/>
      <c r="H20" s="20"/>
      <c r="I20" s="9">
        <v>78</v>
      </c>
      <c r="J20" s="20"/>
      <c r="K20" s="9">
        <v>138</v>
      </c>
      <c r="L20" s="9">
        <v>83</v>
      </c>
      <c r="M20" s="9">
        <v>90</v>
      </c>
      <c r="N20" s="9">
        <f t="shared" si="39"/>
        <v>93</v>
      </c>
      <c r="O20" s="9">
        <v>73</v>
      </c>
      <c r="P20" s="9">
        <v>84</v>
      </c>
      <c r="Q20" s="9">
        <f>P20</f>
        <v>84</v>
      </c>
      <c r="U20" s="9">
        <v>443</v>
      </c>
      <c r="V20" s="9">
        <v>250</v>
      </c>
      <c r="W20" s="9">
        <v>431</v>
      </c>
      <c r="X20" s="9">
        <v>191</v>
      </c>
      <c r="Y20" s="9">
        <v>490</v>
      </c>
      <c r="Z20" s="9">
        <v>404</v>
      </c>
      <c r="AA20" s="9">
        <f t="shared" si="40"/>
        <v>241</v>
      </c>
    </row>
    <row r="21" spans="2:160" s="11" customFormat="1">
      <c r="B21" s="11" t="s">
        <v>26</v>
      </c>
      <c r="C21" s="11">
        <f t="shared" ref="C21:J21" si="41">C15+C17</f>
        <v>319</v>
      </c>
      <c r="D21" s="11">
        <f t="shared" si="41"/>
        <v>341</v>
      </c>
      <c r="E21" s="11">
        <f t="shared" si="41"/>
        <v>376</v>
      </c>
      <c r="F21" s="11">
        <f t="shared" si="41"/>
        <v>7900</v>
      </c>
      <c r="G21" s="11">
        <f t="shared" si="41"/>
        <v>890</v>
      </c>
      <c r="H21" s="11">
        <f t="shared" si="41"/>
        <v>1208</v>
      </c>
      <c r="I21" s="11">
        <f t="shared" ref="I21:O21" si="42">SUM(I15:I20)</f>
        <v>5699</v>
      </c>
      <c r="J21" s="11">
        <f t="shared" si="41"/>
        <v>4714</v>
      </c>
      <c r="K21" s="11">
        <f t="shared" si="42"/>
        <v>5547</v>
      </c>
      <c r="L21" s="11">
        <f t="shared" si="42"/>
        <v>5579</v>
      </c>
      <c r="M21" s="11">
        <f t="shared" si="42"/>
        <v>5661</v>
      </c>
      <c r="N21" s="11">
        <f t="shared" si="42"/>
        <v>5678</v>
      </c>
      <c r="O21" s="11">
        <f t="shared" si="42"/>
        <v>5410</v>
      </c>
      <c r="P21" s="11">
        <f>SUM(P15:P20)</f>
        <v>5754</v>
      </c>
      <c r="Q21" s="11">
        <f>SUM(Q15:Q20)</f>
        <v>5725</v>
      </c>
      <c r="R21" s="11">
        <f t="shared" ref="R21" si="43">SUM(R15:R20)</f>
        <v>5787.1713999999993</v>
      </c>
      <c r="S21" s="11">
        <f t="shared" ref="S21" si="44">SUM(S15:S20)</f>
        <v>0</v>
      </c>
      <c r="T21" s="11">
        <f t="shared" ref="T21" si="45">SUM(T15:T20)</f>
        <v>0</v>
      </c>
      <c r="U21" s="11">
        <f t="shared" ref="U21" si="46">SUM(U15:U20)</f>
        <v>17976</v>
      </c>
      <c r="V21" s="11">
        <f t="shared" ref="V21" si="47">SUM(V15:V20)</f>
        <v>17234</v>
      </c>
      <c r="W21" s="11">
        <f t="shared" ref="W21" si="48">SUM(W15:W20)</f>
        <v>17411</v>
      </c>
      <c r="X21" s="11">
        <f t="shared" ref="X21" si="49">SUM(X15:X20)</f>
        <v>22637</v>
      </c>
      <c r="Y21" s="11">
        <f t="shared" ref="Y21" si="50">SUM(Y15:Y20)</f>
        <v>23297</v>
      </c>
      <c r="Z21" s="11">
        <f t="shared" ref="Z21" si="51">SUM(Z15:Z20)</f>
        <v>22465</v>
      </c>
      <c r="AA21" s="11">
        <f t="shared" ref="AA21" si="52">SUM(AA15:AA20)</f>
        <v>22676.171399999999</v>
      </c>
      <c r="AB21" s="11">
        <f t="shared" ref="AB21" si="53">SUM(AB15:AB20)</f>
        <v>0</v>
      </c>
      <c r="AC21" s="11">
        <f t="shared" ref="AC21" si="54">SUM(AC15:AC20)</f>
        <v>0</v>
      </c>
      <c r="AD21" s="11">
        <f t="shared" ref="AD21" si="55">SUM(AD15:AD20)</f>
        <v>0</v>
      </c>
      <c r="AE21" s="11">
        <f t="shared" ref="AE21" si="56">SUM(AE15:AE20)</f>
        <v>0</v>
      </c>
      <c r="AF21" s="11">
        <f t="shared" ref="AF21" si="57">SUM(AF15:AF20)</f>
        <v>0</v>
      </c>
      <c r="AG21" s="11">
        <f t="shared" ref="AG21" si="58">SUM(AG15:AG20)</f>
        <v>0</v>
      </c>
      <c r="AH21" s="11">
        <f t="shared" ref="AH21" si="59">SUM(AH15:AH20)</f>
        <v>0</v>
      </c>
      <c r="AI21" s="11">
        <f t="shared" ref="AI21" si="60">SUM(AI15:AI20)</f>
        <v>0</v>
      </c>
      <c r="AJ21" s="11">
        <f t="shared" ref="AJ21" si="61">SUM(AJ15:AJ20)</f>
        <v>0</v>
      </c>
      <c r="AK21" s="11">
        <f t="shared" ref="AK21" si="62">SUM(AK15:AK20)</f>
        <v>0</v>
      </c>
      <c r="AL21" s="11">
        <f t="shared" ref="AL21" si="63">SUM(AL15:AL20)</f>
        <v>0</v>
      </c>
      <c r="AM21" s="11">
        <f t="shared" ref="AM21" si="64">SUM(AM15:AM20)</f>
        <v>0</v>
      </c>
      <c r="AN21" s="11">
        <f t="shared" ref="AN21" si="65">SUM(AN15:AN20)</f>
        <v>0</v>
      </c>
      <c r="AO21" s="11">
        <f t="shared" ref="AO21" si="66">SUM(AO15:AO20)</f>
        <v>0</v>
      </c>
      <c r="AP21" s="11">
        <f t="shared" ref="AP21:AS21" si="67">SUM(AP15:AP17)</f>
        <v>0</v>
      </c>
      <c r="AQ21" s="11">
        <f t="shared" si="67"/>
        <v>0</v>
      </c>
      <c r="AR21" s="11">
        <f t="shared" si="67"/>
        <v>0</v>
      </c>
      <c r="AS21" s="11">
        <f t="shared" si="67"/>
        <v>0</v>
      </c>
    </row>
    <row r="22" spans="2:160" s="11" customFormat="1">
      <c r="B22" s="11" t="s">
        <v>27</v>
      </c>
      <c r="C22" s="23" t="e">
        <f t="shared" ref="C22:Q22" si="68">C14-C21</f>
        <v>#REF!</v>
      </c>
      <c r="D22" s="23" t="e">
        <f t="shared" si="68"/>
        <v>#REF!</v>
      </c>
      <c r="E22" s="23" t="e">
        <f t="shared" si="68"/>
        <v>#REF!</v>
      </c>
      <c r="F22" s="23" t="e">
        <f t="shared" si="68"/>
        <v>#REF!</v>
      </c>
      <c r="G22" s="23" t="e">
        <f t="shared" si="68"/>
        <v>#REF!</v>
      </c>
      <c r="H22" s="23" t="e">
        <f t="shared" si="68"/>
        <v>#REF!</v>
      </c>
      <c r="I22" s="11">
        <f t="shared" si="68"/>
        <v>3260</v>
      </c>
      <c r="J22" s="23" t="e">
        <f t="shared" si="68"/>
        <v>#REF!</v>
      </c>
      <c r="K22" s="11">
        <f t="shared" si="68"/>
        <v>3296</v>
      </c>
      <c r="L22" s="11">
        <f t="shared" si="68"/>
        <v>3622</v>
      </c>
      <c r="M22" s="11">
        <f t="shared" si="68"/>
        <v>3750</v>
      </c>
      <c r="N22" s="11">
        <f t="shared" si="68"/>
        <v>3257</v>
      </c>
      <c r="O22" s="11">
        <f t="shared" si="68"/>
        <v>3991</v>
      </c>
      <c r="P22" s="11">
        <f t="shared" si="68"/>
        <v>4220</v>
      </c>
      <c r="Q22" s="11">
        <f t="shared" si="68"/>
        <v>4600.880000000001</v>
      </c>
      <c r="R22" s="11">
        <f t="shared" ref="R22" si="69">R14-R21</f>
        <v>5837.4690999999984</v>
      </c>
      <c r="S22" s="11">
        <f t="shared" ref="S22" si="70">S14-S21</f>
        <v>0</v>
      </c>
      <c r="T22" s="11">
        <f t="shared" ref="T22" si="71">T14-T21</f>
        <v>0</v>
      </c>
      <c r="U22" s="11">
        <f t="shared" ref="U22" si="72">U14-U21</f>
        <v>13535</v>
      </c>
      <c r="V22" s="11">
        <f t="shared" ref="V22" si="73">V14-V21</f>
        <v>13896</v>
      </c>
      <c r="W22" s="11">
        <f t="shared" ref="W22" si="74">W14-W21</f>
        <v>15213</v>
      </c>
      <c r="X22" s="11">
        <f t="shared" ref="X22" si="75">X14-X21</f>
        <v>10926</v>
      </c>
      <c r="Y22" s="11">
        <f t="shared" ref="Y22" si="76">Y14-Y21</f>
        <v>13093</v>
      </c>
      <c r="Z22" s="11">
        <f t="shared" ref="Z22" si="77">Z14-Z21</f>
        <v>15353</v>
      </c>
      <c r="AA22" s="11">
        <f t="shared" ref="AA22" si="78">AA14-AA21</f>
        <v>18649.349099999992</v>
      </c>
      <c r="AB22" s="11">
        <f t="shared" ref="AB22" si="79">AB14-AB21</f>
        <v>0</v>
      </c>
      <c r="AC22" s="11">
        <f t="shared" ref="AC22" si="80">AC14-AC21</f>
        <v>0</v>
      </c>
      <c r="AD22" s="11">
        <f t="shared" ref="AD22" si="81">AD14-AD21</f>
        <v>0</v>
      </c>
      <c r="AE22" s="11">
        <f t="shared" ref="AE22" si="82">AE14-AE21</f>
        <v>0</v>
      </c>
      <c r="AF22" s="11">
        <f t="shared" ref="AF22" si="83">AF14-AF21</f>
        <v>0</v>
      </c>
      <c r="AG22" s="11">
        <f t="shared" ref="AG22" si="84">AG14-AG21</f>
        <v>0</v>
      </c>
      <c r="AH22" s="11">
        <f t="shared" ref="AH22" si="85">AH14-AH21</f>
        <v>0</v>
      </c>
      <c r="AI22" s="11">
        <f t="shared" ref="AI22" si="86">AI14-AI21</f>
        <v>0</v>
      </c>
      <c r="AJ22" s="11">
        <f t="shared" ref="AJ22" si="87">AJ14-AJ21</f>
        <v>0</v>
      </c>
      <c r="AK22" s="11">
        <f t="shared" ref="AK22" si="88">AK14-AK21</f>
        <v>0</v>
      </c>
      <c r="AL22" s="11">
        <f t="shared" ref="AL22" si="89">AL14-AL21</f>
        <v>0</v>
      </c>
      <c r="AM22" s="11">
        <f t="shared" ref="AM22" si="90">AM14-AM21</f>
        <v>0</v>
      </c>
      <c r="AN22" s="11">
        <f t="shared" ref="AN22" si="91">AN14-AN21</f>
        <v>0</v>
      </c>
      <c r="AO22" s="11">
        <f t="shared" ref="AO22" si="92">AO14-AO21</f>
        <v>0</v>
      </c>
      <c r="AP22" s="11">
        <f t="shared" ref="AP22:AS22" si="93">AP14-AP21</f>
        <v>0</v>
      </c>
      <c r="AQ22" s="11">
        <f t="shared" si="93"/>
        <v>0</v>
      </c>
      <c r="AR22" s="11">
        <f t="shared" si="93"/>
        <v>0</v>
      </c>
      <c r="AS22" s="11">
        <f t="shared" si="93"/>
        <v>0</v>
      </c>
    </row>
    <row r="23" spans="2:160" s="9" customFormat="1">
      <c r="B23" s="9" t="s">
        <v>28</v>
      </c>
      <c r="C23" s="20">
        <v>-11</v>
      </c>
      <c r="D23" s="20">
        <v>0</v>
      </c>
      <c r="E23" s="20">
        <v>62</v>
      </c>
      <c r="F23" s="20">
        <f>W23-SUM(C23:E23)</f>
        <v>-2547</v>
      </c>
      <c r="G23" s="20">
        <v>-42</v>
      </c>
      <c r="H23" s="20">
        <v>-4</v>
      </c>
      <c r="I23" s="9">
        <v>-908</v>
      </c>
      <c r="J23" s="20">
        <f>X23-SUM(G23:I23)</f>
        <v>-1801</v>
      </c>
      <c r="K23" s="9">
        <v>-872</v>
      </c>
      <c r="L23" s="9">
        <v>-888</v>
      </c>
      <c r="M23" s="9">
        <v>-876</v>
      </c>
      <c r="N23" s="9">
        <f>Z23-SUM(K23:M23)</f>
        <v>-878</v>
      </c>
      <c r="O23" s="9">
        <v>-842</v>
      </c>
      <c r="P23" s="9">
        <v>-866</v>
      </c>
      <c r="Q23" s="9">
        <v>-700</v>
      </c>
      <c r="R23" s="9">
        <f>Q23</f>
        <v>-700</v>
      </c>
      <c r="U23" s="9">
        <v>-2082</v>
      </c>
      <c r="V23" s="9">
        <v>-1995</v>
      </c>
      <c r="W23" s="9">
        <v>-2496</v>
      </c>
      <c r="X23" s="9">
        <v>-2755</v>
      </c>
      <c r="Y23" s="9">
        <v>-3505</v>
      </c>
      <c r="Z23" s="11">
        <v>-3514</v>
      </c>
      <c r="AA23" s="9">
        <f t="shared" ref="AA23:AA24" si="94">SUM(O23:R23)</f>
        <v>-3108</v>
      </c>
    </row>
    <row r="24" spans="2:160" s="9" customFormat="1">
      <c r="B24" s="9" t="s">
        <v>37</v>
      </c>
      <c r="C24" s="20"/>
      <c r="D24" s="20"/>
      <c r="E24" s="20"/>
      <c r="F24" s="20"/>
      <c r="G24" s="20"/>
      <c r="H24" s="20"/>
      <c r="I24" s="9">
        <v>-134</v>
      </c>
      <c r="J24" s="20"/>
      <c r="K24" s="9">
        <v>-49</v>
      </c>
      <c r="L24" s="9">
        <v>-14</v>
      </c>
      <c r="M24" s="9">
        <v>-9</v>
      </c>
      <c r="N24" s="9">
        <f>Z24-SUM(K24:M24)</f>
        <v>-26</v>
      </c>
      <c r="O24" s="9">
        <v>20</v>
      </c>
      <c r="P24" s="9">
        <v>36</v>
      </c>
      <c r="Q24" s="9">
        <v>500</v>
      </c>
      <c r="R24" s="9">
        <f>Q24*1.5</f>
        <v>750</v>
      </c>
      <c r="U24" s="9">
        <v>815</v>
      </c>
      <c r="V24" s="9">
        <v>162</v>
      </c>
      <c r="W24" s="9">
        <v>282</v>
      </c>
      <c r="X24" s="9">
        <v>-522</v>
      </c>
      <c r="Y24" s="9">
        <v>-462</v>
      </c>
      <c r="Z24" s="11">
        <v>-98</v>
      </c>
      <c r="AA24" s="9">
        <f t="shared" si="94"/>
        <v>1306</v>
      </c>
    </row>
    <row r="25" spans="2:160" s="11" customFormat="1">
      <c r="B25" s="11" t="s">
        <v>29</v>
      </c>
      <c r="C25" s="11" t="e">
        <f>C22+#REF!-C23+#REF!+C24</f>
        <v>#REF!</v>
      </c>
      <c r="D25" s="11" t="e">
        <f>D22+#REF!-D23+#REF!+D24</f>
        <v>#REF!</v>
      </c>
      <c r="E25" s="11" t="e">
        <f t="shared" ref="E25:O25" si="95">E22+E23+E24</f>
        <v>#REF!</v>
      </c>
      <c r="F25" s="11" t="e">
        <f t="shared" si="95"/>
        <v>#REF!</v>
      </c>
      <c r="G25" s="11" t="e">
        <f t="shared" si="95"/>
        <v>#REF!</v>
      </c>
      <c r="H25" s="11" t="e">
        <f t="shared" si="95"/>
        <v>#REF!</v>
      </c>
      <c r="I25" s="11">
        <f t="shared" si="95"/>
        <v>2218</v>
      </c>
      <c r="J25" s="11" t="e">
        <f t="shared" si="95"/>
        <v>#REF!</v>
      </c>
      <c r="K25" s="11">
        <f t="shared" si="95"/>
        <v>2375</v>
      </c>
      <c r="L25" s="11">
        <f t="shared" si="95"/>
        <v>2720</v>
      </c>
      <c r="M25" s="11">
        <f t="shared" si="95"/>
        <v>2865</v>
      </c>
      <c r="N25" s="11">
        <f t="shared" si="95"/>
        <v>2353</v>
      </c>
      <c r="O25" s="11">
        <f t="shared" si="95"/>
        <v>3169</v>
      </c>
      <c r="P25" s="11">
        <f>P22+P23+P24</f>
        <v>3390</v>
      </c>
      <c r="Q25" s="11">
        <f t="shared" ref="Q25:R25" si="96">Q22+Q23+Q24</f>
        <v>4400.880000000001</v>
      </c>
      <c r="R25" s="11">
        <f t="shared" si="96"/>
        <v>5887.4690999999984</v>
      </c>
      <c r="T25" s="11">
        <f t="shared" ref="T25:Y25" si="97">T22+T23+T24</f>
        <v>0</v>
      </c>
      <c r="U25" s="11">
        <f t="shared" si="97"/>
        <v>12268</v>
      </c>
      <c r="V25" s="11">
        <f t="shared" si="97"/>
        <v>12063</v>
      </c>
      <c r="W25" s="11">
        <f t="shared" si="97"/>
        <v>12999</v>
      </c>
      <c r="X25" s="11">
        <f t="shared" si="97"/>
        <v>7649</v>
      </c>
      <c r="Y25" s="11">
        <f t="shared" si="97"/>
        <v>9126</v>
      </c>
      <c r="Z25" s="11">
        <f>Z22+Z23+Z24</f>
        <v>11741</v>
      </c>
      <c r="AA25" s="11">
        <f t="shared" ref="AA25" si="98">AA22+AA23+AA24</f>
        <v>16847.349099999992</v>
      </c>
      <c r="AB25" s="11">
        <f t="shared" ref="AB25" si="99">AB22+AB23+AB24</f>
        <v>0</v>
      </c>
      <c r="AC25" s="11">
        <f t="shared" ref="AC25" si="100">AC22+AC23+AC24</f>
        <v>0</v>
      </c>
      <c r="AD25" s="11">
        <f t="shared" ref="AD25" si="101">AD22+AD23+AD24</f>
        <v>0</v>
      </c>
      <c r="AE25" s="11">
        <f t="shared" ref="AE25" si="102">AE22+AE23+AE24</f>
        <v>0</v>
      </c>
      <c r="AF25" s="11">
        <f t="shared" ref="AF25" si="103">AF22+AF23+AF24</f>
        <v>0</v>
      </c>
      <c r="AG25" s="11">
        <f t="shared" ref="AG25" si="104">AG22+AG23+AG24</f>
        <v>0</v>
      </c>
      <c r="AH25" s="11">
        <f t="shared" ref="AH25" si="105">AH22+AH23+AH24</f>
        <v>0</v>
      </c>
      <c r="AI25" s="11">
        <f t="shared" ref="AI25" si="106">AI22+AI23+AI24</f>
        <v>0</v>
      </c>
      <c r="AJ25" s="11">
        <f t="shared" ref="AJ25" si="107">AJ22+AJ23+AJ24</f>
        <v>0</v>
      </c>
      <c r="AK25" s="11">
        <f t="shared" ref="AK25" si="108">AK22+AK23+AK24</f>
        <v>0</v>
      </c>
    </row>
    <row r="26" spans="2:160" s="9" customFormat="1">
      <c r="B26" s="9" t="s">
        <v>30</v>
      </c>
      <c r="C26" s="20">
        <v>89</v>
      </c>
      <c r="D26" s="20">
        <v>113</v>
      </c>
      <c r="E26" s="20">
        <v>82</v>
      </c>
      <c r="F26" s="20">
        <f>W26-SUM(C26:E26)</f>
        <v>-1031</v>
      </c>
      <c r="G26" s="20">
        <v>113</v>
      </c>
      <c r="H26" s="20">
        <v>54</v>
      </c>
      <c r="I26" s="9">
        <v>322</v>
      </c>
      <c r="J26" s="20">
        <f>X26-SUM(G26:I26)</f>
        <v>443</v>
      </c>
      <c r="K26" s="9">
        <v>-45</v>
      </c>
      <c r="L26" s="9">
        <v>217</v>
      </c>
      <c r="M26" s="9">
        <v>464</v>
      </c>
      <c r="N26" s="9">
        <f>Z26-SUM(K26:M26)</f>
        <v>638</v>
      </c>
      <c r="O26" s="9">
        <v>240</v>
      </c>
      <c r="P26" s="9">
        <v>239</v>
      </c>
      <c r="Q26" s="9">
        <f>Q25*P34</f>
        <v>310.26853097345145</v>
      </c>
      <c r="R26" s="9">
        <f>R25*Q34</f>
        <v>415.07525513274328</v>
      </c>
      <c r="U26" s="9">
        <v>1185</v>
      </c>
      <c r="V26" s="9">
        <v>1928</v>
      </c>
      <c r="W26" s="9">
        <v>-747</v>
      </c>
      <c r="X26" s="9">
        <v>932</v>
      </c>
      <c r="Y26" s="9">
        <v>623</v>
      </c>
      <c r="Z26" s="9">
        <v>1274</v>
      </c>
      <c r="AA26" s="9">
        <f t="shared" ref="AA26" si="109">SUM(O26:R26)</f>
        <v>1204.3437861061948</v>
      </c>
    </row>
    <row r="27" spans="2:160" s="14" customFormat="1">
      <c r="B27" s="14" t="s">
        <v>31</v>
      </c>
      <c r="C27" s="21" t="e">
        <f t="shared" ref="C27:P27" si="110">C25-C26</f>
        <v>#REF!</v>
      </c>
      <c r="D27" s="21" t="e">
        <f t="shared" si="110"/>
        <v>#REF!</v>
      </c>
      <c r="E27" s="21" t="e">
        <f t="shared" si="110"/>
        <v>#REF!</v>
      </c>
      <c r="F27" s="21" t="e">
        <f t="shared" si="110"/>
        <v>#REF!</v>
      </c>
      <c r="G27" s="21" t="e">
        <f t="shared" si="110"/>
        <v>#REF!</v>
      </c>
      <c r="H27" s="21" t="e">
        <f t="shared" si="110"/>
        <v>#REF!</v>
      </c>
      <c r="I27" s="15">
        <f t="shared" ref="I27" si="111">I25-I26</f>
        <v>1896</v>
      </c>
      <c r="J27" s="21" t="e">
        <f t="shared" si="110"/>
        <v>#REF!</v>
      </c>
      <c r="K27" s="15">
        <f t="shared" si="110"/>
        <v>2420</v>
      </c>
      <c r="L27" s="15">
        <f t="shared" si="110"/>
        <v>2503</v>
      </c>
      <c r="M27" s="15">
        <f>M25-M26</f>
        <v>2401</v>
      </c>
      <c r="N27" s="15">
        <f t="shared" si="110"/>
        <v>1715</v>
      </c>
      <c r="O27" s="15">
        <f t="shared" si="110"/>
        <v>2929</v>
      </c>
      <c r="P27" s="15">
        <f t="shared" si="110"/>
        <v>3151</v>
      </c>
      <c r="Q27" s="15">
        <f>Q25-Q26</f>
        <v>4090.6114690265495</v>
      </c>
      <c r="R27" s="15">
        <f>R25-R26</f>
        <v>5472.3938448672552</v>
      </c>
      <c r="S27" s="15"/>
      <c r="T27" s="15">
        <f t="shared" ref="T27:Z27" si="112">T25-T26</f>
        <v>0</v>
      </c>
      <c r="U27" s="15">
        <f t="shared" si="112"/>
        <v>11083</v>
      </c>
      <c r="V27" s="15">
        <f t="shared" si="112"/>
        <v>10135</v>
      </c>
      <c r="W27" s="15">
        <f t="shared" si="112"/>
        <v>13746</v>
      </c>
      <c r="X27" s="15">
        <f t="shared" si="112"/>
        <v>6717</v>
      </c>
      <c r="Y27" s="15">
        <f t="shared" si="112"/>
        <v>8503</v>
      </c>
      <c r="Z27" s="15">
        <f t="shared" si="112"/>
        <v>10467</v>
      </c>
      <c r="AA27" s="15">
        <f t="shared" ref="AA27:AH27" si="113">AA9*AA33</f>
        <v>13268.509352999999</v>
      </c>
      <c r="AB27" s="15">
        <f t="shared" si="113"/>
        <v>19480.479297047994</v>
      </c>
      <c r="AC27" s="15">
        <f t="shared" si="113"/>
        <v>22142.811467644555</v>
      </c>
      <c r="AD27" s="15">
        <f t="shared" si="113"/>
        <v>24914.234322304586</v>
      </c>
      <c r="AE27" s="15">
        <f t="shared" si="113"/>
        <v>28262.084559364266</v>
      </c>
      <c r="AF27" s="15">
        <f t="shared" si="113"/>
        <v>31739.177386970903</v>
      </c>
      <c r="AG27" s="15">
        <f t="shared" si="113"/>
        <v>35286.497212573537</v>
      </c>
      <c r="AH27" s="15">
        <f t="shared" si="113"/>
        <v>37756.552017453687</v>
      </c>
      <c r="AI27" s="15">
        <f>AH27*(1+Main!$L$10)</f>
        <v>38134.117537628226</v>
      </c>
      <c r="AJ27" s="15">
        <f>AI27*(1+Main!$L$10)</f>
        <v>38515.458713004511</v>
      </c>
      <c r="AK27" s="15">
        <f>AJ27*(1+Main!$L$10)</f>
        <v>38900.613300134559</v>
      </c>
      <c r="AL27" s="15">
        <f>AK27*(1+Main!$L$10)</f>
        <v>39289.619433135907</v>
      </c>
      <c r="AM27" s="15">
        <f>AL27*(1+Main!$L$10)</f>
        <v>39682.51562746727</v>
      </c>
      <c r="AN27" s="15">
        <f>AM27*(1+Main!$L$10)</f>
        <v>40079.340783741944</v>
      </c>
      <c r="AO27" s="15">
        <f>AN27*(1+Main!$L$10)</f>
        <v>40480.13419157936</v>
      </c>
      <c r="AP27" s="15">
        <f>AO27*(1+Main!$L$10)</f>
        <v>40884.935533495154</v>
      </c>
      <c r="AQ27" s="15">
        <f>AP27*(1+Main!$L$10)</f>
        <v>41293.784888830109</v>
      </c>
      <c r="AR27" s="15">
        <f>AQ27*(1+Main!$L$10)</f>
        <v>41706.72273771841</v>
      </c>
      <c r="AS27" s="15">
        <f>AR27*(1+Main!$L$10)</f>
        <v>42123.789965095595</v>
      </c>
      <c r="AT27" s="15">
        <f>AS27*(1+Main!$L$10)</f>
        <v>42545.027864746553</v>
      </c>
      <c r="AU27" s="15">
        <f>AT27*(1+Main!$L$10)</f>
        <v>42970.478143394022</v>
      </c>
      <c r="AV27" s="15">
        <f>AU27*(1+Main!$L$10)</f>
        <v>43400.182924827961</v>
      </c>
      <c r="AW27" s="15">
        <f>AV27*(1+Main!$L$10)</f>
        <v>43834.184754076239</v>
      </c>
      <c r="AX27" s="15">
        <f>AW27*(1+Main!$L$10)</f>
        <v>44272.526601616999</v>
      </c>
      <c r="AY27" s="15">
        <f>AX27*(1+Main!$L$10)</f>
        <v>44715.251867633167</v>
      </c>
      <c r="AZ27" s="15">
        <f>AY27*(1+Main!$L$10)</f>
        <v>45162.404386309499</v>
      </c>
      <c r="BA27" s="15">
        <f>AZ27*(1+Main!$L$10)</f>
        <v>45614.028430172591</v>
      </c>
      <c r="BB27" s="15">
        <f>BA27*(1+Main!$L$10)</f>
        <v>46070.168714474319</v>
      </c>
      <c r="BC27" s="15">
        <f>BB27*(1+Main!$L$10)</f>
        <v>46530.87040161906</v>
      </c>
      <c r="BD27" s="15">
        <f>BC27*(1+Main!$L$10)</f>
        <v>46996.179105635252</v>
      </c>
      <c r="BE27" s="15">
        <f>BD27*(1+Main!$L$10)</f>
        <v>47466.140896691606</v>
      </c>
      <c r="BF27" s="15">
        <f>BE27*(1+Main!$L$10)</f>
        <v>47940.802305658523</v>
      </c>
      <c r="BG27" s="15">
        <f>BF27*(1+Main!$L$10)</f>
        <v>48420.210328715111</v>
      </c>
      <c r="BH27" s="15">
        <f>BG27*(1+Main!$L$10)</f>
        <v>48904.41243200226</v>
      </c>
      <c r="BI27" s="15">
        <f>BH27*(1+Main!$L$10)</f>
        <v>49393.456556322286</v>
      </c>
      <c r="BJ27" s="15">
        <f>BI27*(1+Main!$L$10)</f>
        <v>49887.391121885506</v>
      </c>
      <c r="BK27" s="15">
        <f>BJ27*(1+Main!$L$10)</f>
        <v>50386.265033104362</v>
      </c>
      <c r="BL27" s="15">
        <f>BK27*(1+Main!$L$10)</f>
        <v>50890.127683435407</v>
      </c>
      <c r="BM27" s="15">
        <f>BL27*(1+Main!$L$10)</f>
        <v>51399.028960269759</v>
      </c>
      <c r="BN27" s="15">
        <f>BM27*(1+Main!$L$10)</f>
        <v>51913.019249872457</v>
      </c>
      <c r="BO27" s="15">
        <f>BN27*(1+Main!$L$10)</f>
        <v>52432.149442371185</v>
      </c>
      <c r="BP27" s="15">
        <f>BO27*(1+Main!$L$10)</f>
        <v>52956.470936794896</v>
      </c>
      <c r="BQ27" s="15">
        <f>BP27*(1+Main!$L$10)</f>
        <v>53486.035646162847</v>
      </c>
      <c r="BR27" s="15">
        <f>BQ27*(1+Main!$L$10)</f>
        <v>54020.896002624475</v>
      </c>
      <c r="BS27" s="15">
        <f>BR27*(1+Main!$L$10)</f>
        <v>54561.104962650723</v>
      </c>
      <c r="BT27" s="15">
        <f>BS27*(1+Main!$L$10)</f>
        <v>55106.716012277233</v>
      </c>
      <c r="BU27" s="15">
        <f>BT27*(1+Main!$L$10)</f>
        <v>55657.783172400006</v>
      </c>
      <c r="BV27" s="15">
        <f>BU27*(1+Main!$L$10)</f>
        <v>56214.36100412401</v>
      </c>
      <c r="BW27" s="15">
        <f>BV27*(1+Main!$L$10)</f>
        <v>56776.504614165249</v>
      </c>
      <c r="BX27" s="15">
        <f>BW27*(1+Main!$L$10)</f>
        <v>57344.269660306905</v>
      </c>
      <c r="BY27" s="15">
        <f>BX27*(1+Main!$L$10)</f>
        <v>57917.712356909971</v>
      </c>
      <c r="BZ27" s="15">
        <f>BY27*(1+Main!$L$10)</f>
        <v>58496.889480479069</v>
      </c>
      <c r="CA27" s="15">
        <f>BZ27*(1+Main!$L$10)</f>
        <v>59081.85837528386</v>
      </c>
      <c r="CB27" s="15">
        <f>CA27*(1+Main!$L$10)</f>
        <v>59672.676959036697</v>
      </c>
      <c r="CC27" s="15">
        <f>CB27*(1+Main!$L$10)</f>
        <v>60269.403728627061</v>
      </c>
      <c r="CD27" s="15">
        <f>CC27*(1+Main!$L$10)</f>
        <v>60872.097765913335</v>
      </c>
      <c r="CE27" s="15">
        <f>CD27*(1+Main!$L$10)</f>
        <v>61480.818743572469</v>
      </c>
      <c r="CF27" s="15">
        <f>CE27*(1+Main!$L$10)</f>
        <v>62095.626931008192</v>
      </c>
      <c r="CG27" s="15">
        <f>CF27*(1+Main!$L$10)</f>
        <v>62716.583200318273</v>
      </c>
      <c r="CH27" s="15">
        <f>CG27*(1+Main!$L$10)</f>
        <v>63343.749032321459</v>
      </c>
      <c r="CI27" s="15">
        <f>CH27*(1+Main!$L$10)</f>
        <v>63977.186522644675</v>
      </c>
      <c r="CJ27" s="15">
        <f>CI27*(1+Main!$L$10)</f>
        <v>64616.95838787112</v>
      </c>
      <c r="CK27" s="15">
        <f>CJ27*(1+Main!$L$10)</f>
        <v>65263.127971749833</v>
      </c>
      <c r="CL27" s="15">
        <f>CK27*(1+Main!$L$10)</f>
        <v>65915.759251467331</v>
      </c>
      <c r="CM27" s="15">
        <f>CL27*(1+Main!$L$10)</f>
        <v>66574.916843982006</v>
      </c>
      <c r="CN27" s="15">
        <f>CM27*(1+Main!$L$10)</f>
        <v>67240.666012421832</v>
      </c>
      <c r="CO27" s="15">
        <f>CN27*(1+Main!$L$10)</f>
        <v>67913.072672546055</v>
      </c>
      <c r="CP27" s="15">
        <f>CO27*(1+Main!$L$10)</f>
        <v>68592.203399271515</v>
      </c>
      <c r="CQ27" s="15">
        <f>CP27*(1+Main!$L$10)</f>
        <v>69278.125433264227</v>
      </c>
      <c r="CR27" s="15">
        <f>CQ27*(1+Main!$L$10)</f>
        <v>69970.906687596871</v>
      </c>
      <c r="CS27" s="15">
        <f>CR27*(1+Main!$L$10)</f>
        <v>70670.615754472834</v>
      </c>
      <c r="CT27" s="15">
        <f>CS27*(1+Main!$L$10)</f>
        <v>71377.321912017564</v>
      </c>
      <c r="CU27" s="15">
        <f>CT27*(1+Main!$L$10)</f>
        <v>72091.095131137743</v>
      </c>
      <c r="CV27" s="15">
        <f>CU27*(1+Main!$L$10)</f>
        <v>72812.006082449123</v>
      </c>
      <c r="CW27" s="15">
        <f>CV27*(1+Main!$L$10)</f>
        <v>73540.126143273621</v>
      </c>
      <c r="CX27" s="15">
        <f>CW27*(1+Main!$L$10)</f>
        <v>74275.527404706358</v>
      </c>
      <c r="CY27" s="15">
        <f>CX27*(1+Main!$L$10)</f>
        <v>75018.282678753429</v>
      </c>
      <c r="CZ27" s="15">
        <f>CY27*(1+Main!$L$10)</f>
        <v>75768.465505540968</v>
      </c>
      <c r="DA27" s="15">
        <f>CZ27*(1+Main!$L$10)</f>
        <v>76526.150160596371</v>
      </c>
      <c r="DB27" s="15">
        <f>DA27*(1+Main!$L$10)</f>
        <v>77291.411662202328</v>
      </c>
      <c r="DC27" s="15">
        <f>DB27*(1+Main!$L$10)</f>
        <v>78064.32577882435</v>
      </c>
      <c r="DD27" s="15">
        <f>DC27*(1+Main!$L$10)</f>
        <v>78844.969036612587</v>
      </c>
      <c r="DE27" s="15">
        <f>DD27*(1+Main!$L$10)</f>
        <v>79633.418726978707</v>
      </c>
      <c r="DF27" s="15">
        <f>DE27*(1+Main!$L$10)</f>
        <v>80429.7529142485</v>
      </c>
      <c r="DG27" s="15">
        <f>DF27*(1+Main!$L$10)</f>
        <v>81234.050443390981</v>
      </c>
      <c r="DH27" s="15">
        <f>DG27*(1+Main!$L$10)</f>
        <v>82046.390947824897</v>
      </c>
      <c r="DI27" s="15">
        <f>DH27*(1+Main!$L$10)</f>
        <v>82866.854857303144</v>
      </c>
      <c r="DJ27" s="15">
        <f>DI27*(1+Main!$L$10)</f>
        <v>83695.523405876171</v>
      </c>
      <c r="DK27" s="15">
        <f>DJ27*(1+Main!$L$10)</f>
        <v>84532.47863993494</v>
      </c>
      <c r="DL27" s="15">
        <f>DK27*(1+Main!$L$10)</f>
        <v>85377.803426334285</v>
      </c>
      <c r="DM27" s="15">
        <f>DL27*(1+Main!$L$10)</f>
        <v>86231.581460597634</v>
      </c>
      <c r="DN27" s="15">
        <f>DM27*(1+Main!$L$10)</f>
        <v>87093.897275203606</v>
      </c>
      <c r="DO27" s="15">
        <f>DN27*(1+Main!$L$10)</f>
        <v>87964.836247955638</v>
      </c>
      <c r="DP27" s="15">
        <f>DO27*(1+Main!$L$10)</f>
        <v>88844.484610435189</v>
      </c>
      <c r="DQ27" s="15">
        <f>DP27*(1+Main!$L$10)</f>
        <v>89732.929456539539</v>
      </c>
      <c r="DR27" s="15">
        <f>DQ27*(1+Main!$L$10)</f>
        <v>90630.258751104935</v>
      </c>
      <c r="DS27" s="15">
        <f>DR27*(1+Main!$L$10)</f>
        <v>91536.561338615982</v>
      </c>
      <c r="DT27" s="15">
        <f>DS27*(1+Main!$L$10)</f>
        <v>92451.926952002148</v>
      </c>
      <c r="DU27" s="15">
        <f>DT27*(1+Main!$L$10)</f>
        <v>93376.446221522172</v>
      </c>
      <c r="DV27" s="15">
        <f>DU27*(1+Main!$L$10)</f>
        <v>94310.210683737401</v>
      </c>
      <c r="DW27" s="15">
        <f>DV27*(1+Main!$L$10)</f>
        <v>95253.312790574782</v>
      </c>
      <c r="DX27" s="15">
        <f>DW27*(1+Main!$L$10)</f>
        <v>96205.845918480525</v>
      </c>
      <c r="DY27" s="15">
        <f>DX27*(1+Main!$L$10)</f>
        <v>97167.904377665327</v>
      </c>
      <c r="DZ27" s="15">
        <f>DY27*(1+Main!$L$10)</f>
        <v>98139.583421441988</v>
      </c>
      <c r="EA27" s="15">
        <f>DZ27*(1+Main!$L$10)</f>
        <v>99120.979255656406</v>
      </c>
      <c r="EB27" s="15">
        <f>EA27*(1+Main!$L$10)</f>
        <v>100112.18904821297</v>
      </c>
      <c r="EC27" s="15">
        <f>EB27*(1+Main!$L$10)</f>
        <v>101113.3109386951</v>
      </c>
      <c r="ED27" s="15">
        <f>EC27*(1+Main!$L$10)</f>
        <v>102124.44404808205</v>
      </c>
      <c r="EE27" s="15">
        <f>ED27*(1+Main!$L$10)</f>
        <v>103145.68848856287</v>
      </c>
      <c r="EF27" s="15">
        <f>EE27*(1+Main!$L$10)</f>
        <v>104177.1453734485</v>
      </c>
      <c r="EG27" s="15">
        <f>EF27*(1+Main!$L$10)</f>
        <v>105218.91682718298</v>
      </c>
      <c r="EH27" s="15">
        <f>EG27*(1+Main!$L$10)</f>
        <v>106271.10599545481</v>
      </c>
      <c r="EI27" s="15">
        <f>EH27*(1+Main!$L$10)</f>
        <v>107333.81705540937</v>
      </c>
      <c r="EJ27" s="15">
        <f>EI27*(1+Main!$L$10)</f>
        <v>108407.15522596346</v>
      </c>
      <c r="EK27" s="15">
        <f>EJ27*(1+Main!$L$10)</f>
        <v>109491.22677822309</v>
      </c>
      <c r="EL27" s="15">
        <f>EK27*(1+Main!$L$10)</f>
        <v>110586.13904600532</v>
      </c>
      <c r="EM27" s="15">
        <f>EL27*(1+Main!$L$10)</f>
        <v>111692.00043646537</v>
      </c>
      <c r="EN27" s="15">
        <f>EM27*(1+Main!$L$10)</f>
        <v>112808.92044083003</v>
      </c>
      <c r="EO27" s="15">
        <f>EN27*(1+Main!$L$10)</f>
        <v>113937.00964523833</v>
      </c>
      <c r="EP27" s="15">
        <f>EO27*(1+Main!$L$10)</f>
        <v>115076.37974169072</v>
      </c>
      <c r="EQ27" s="15">
        <f>EP27*(1+Main!$L$10)</f>
        <v>116227.14353910762</v>
      </c>
      <c r="ER27" s="15">
        <f>EQ27*(1+Main!$L$10)</f>
        <v>117389.41497449869</v>
      </c>
      <c r="ES27" s="15">
        <f>ER27*(1+Main!$L$10)</f>
        <v>118563.30912424368</v>
      </c>
      <c r="ET27" s="15">
        <f>ES27*(1+Main!$L$10)</f>
        <v>119748.94221548611</v>
      </c>
      <c r="EU27" s="15">
        <f>ET27*(1+Main!$L$10)</f>
        <v>120946.43163764097</v>
      </c>
      <c r="EV27" s="15">
        <f>EU27*(1+Main!$L$10)</f>
        <v>122155.89595401738</v>
      </c>
      <c r="EW27" s="15">
        <f>EV27*(1+Main!$L$10)</f>
        <v>123377.45491355755</v>
      </c>
      <c r="EX27" s="15">
        <f>EW27*(1+Main!$L$10)</f>
        <v>124611.22946269313</v>
      </c>
      <c r="EY27" s="15">
        <f>EX27*(1+Main!$L$10)</f>
        <v>125857.34175732006</v>
      </c>
      <c r="EZ27" s="15">
        <f>EY27*(1+Main!$L$10)</f>
        <v>127115.91517489326</v>
      </c>
      <c r="FA27" s="15">
        <f>EZ27*(1+Main!$L$10)</f>
        <v>128387.07432664219</v>
      </c>
      <c r="FB27" s="15">
        <f>FA27*(1+Main!$L$10)</f>
        <v>129670.94506990862</v>
      </c>
      <c r="FC27" s="15">
        <f>FB27*(1+Main!$L$10)</f>
        <v>130967.6545206077</v>
      </c>
      <c r="FD27" s="15">
        <f>FC27*(1+Main!$L$10)</f>
        <v>132277.33106581378</v>
      </c>
    </row>
    <row r="28" spans="2:160" s="10" customFormat="1">
      <c r="B28" s="10" t="s">
        <v>32</v>
      </c>
      <c r="C28" s="12" t="e">
        <f t="shared" ref="C28:O28" si="114">C27/C29</f>
        <v>#REF!</v>
      </c>
      <c r="D28" s="12" t="e">
        <f t="shared" si="114"/>
        <v>#REF!</v>
      </c>
      <c r="E28" s="12" t="e">
        <f t="shared" si="114"/>
        <v>#REF!</v>
      </c>
      <c r="F28" s="12" t="e">
        <f t="shared" si="114"/>
        <v>#REF!</v>
      </c>
      <c r="G28" s="12" t="e">
        <f t="shared" si="114"/>
        <v>#REF!</v>
      </c>
      <c r="H28" s="12" t="e">
        <f t="shared" si="114"/>
        <v>#REF!</v>
      </c>
      <c r="I28" s="12">
        <f t="shared" si="114"/>
        <v>0.68299711815561959</v>
      </c>
      <c r="J28" s="12" t="e">
        <f t="shared" si="114"/>
        <v>#REF!</v>
      </c>
      <c r="K28" s="12">
        <f t="shared" si="114"/>
        <v>0.85724406659582009</v>
      </c>
      <c r="L28" s="12">
        <f t="shared" si="114"/>
        <v>0.888533901313454</v>
      </c>
      <c r="M28" s="12">
        <f t="shared" si="114"/>
        <v>0.85172046825115288</v>
      </c>
      <c r="N28" s="12">
        <f t="shared" si="114"/>
        <v>0.6075097414098477</v>
      </c>
      <c r="O28" s="12">
        <f t="shared" si="114"/>
        <v>1.0273588214661522</v>
      </c>
      <c r="P28" s="12">
        <f>P27/P29</f>
        <v>1.0982920878354827</v>
      </c>
      <c r="Q28" s="12">
        <f t="shared" ref="Q28:R28" si="115">Q27/Q29</f>
        <v>1.4257969567886195</v>
      </c>
      <c r="R28" s="12">
        <f t="shared" si="115"/>
        <v>1.9074220442200263</v>
      </c>
      <c r="S28" s="12"/>
      <c r="T28" s="12" t="e">
        <f>T27/T29</f>
        <v>#DIV/0!</v>
      </c>
      <c r="U28" s="12">
        <f t="shared" ref="U28:Z28" si="116">U27/U29</f>
        <v>2.969721329046088</v>
      </c>
      <c r="V28" s="12">
        <f t="shared" si="116"/>
        <v>3.0768063145112325</v>
      </c>
      <c r="W28" s="12">
        <f t="shared" si="116"/>
        <v>4.5486432825943082</v>
      </c>
      <c r="X28" s="12">
        <f t="shared" si="116"/>
        <v>2.4109834888729362</v>
      </c>
      <c r="Y28" s="12">
        <f t="shared" si="116"/>
        <v>3.0741142443962399</v>
      </c>
      <c r="Z28" s="12">
        <f t="shared" si="116"/>
        <v>3.7077577045696066</v>
      </c>
      <c r="AA28" s="12">
        <f t="shared" ref="AA28:AH28" si="117">AA27/AA29</f>
        <v>4.7001450063761956</v>
      </c>
      <c r="AB28" s="12">
        <f t="shared" si="117"/>
        <v>6.9006302858831008</v>
      </c>
      <c r="AC28" s="12">
        <f t="shared" si="117"/>
        <v>7.8437164249537918</v>
      </c>
      <c r="AD28" s="12">
        <f t="shared" si="117"/>
        <v>8.8254460936254286</v>
      </c>
      <c r="AE28" s="12">
        <f t="shared" si="117"/>
        <v>10.011365412456346</v>
      </c>
      <c r="AF28" s="12">
        <f t="shared" si="117"/>
        <v>11.243066732897947</v>
      </c>
      <c r="AG28" s="12">
        <f t="shared" si="117"/>
        <v>12.499644779515954</v>
      </c>
      <c r="AH28" s="12">
        <f t="shared" si="117"/>
        <v>13.374619914082071</v>
      </c>
      <c r="AI28" s="12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2:160">
      <c r="B29" t="s">
        <v>1</v>
      </c>
      <c r="C29" s="20">
        <v>1231</v>
      </c>
      <c r="D29" s="20">
        <v>1232</v>
      </c>
      <c r="E29" s="20">
        <v>1230</v>
      </c>
      <c r="F29" s="20">
        <f>W29</f>
        <v>3022</v>
      </c>
      <c r="G29" s="20">
        <v>1410</v>
      </c>
      <c r="H29" s="20">
        <v>1632</v>
      </c>
      <c r="I29" s="9">
        <v>2776</v>
      </c>
      <c r="J29" s="20">
        <f>X29</f>
        <v>2786</v>
      </c>
      <c r="K29" s="9">
        <v>2823</v>
      </c>
      <c r="L29" s="9">
        <v>2817</v>
      </c>
      <c r="M29" s="9">
        <v>2819</v>
      </c>
      <c r="N29" s="9">
        <f>Z29</f>
        <v>2823</v>
      </c>
      <c r="O29" s="9">
        <v>2851</v>
      </c>
      <c r="P29" s="9">
        <v>2869</v>
      </c>
      <c r="Q29" s="9">
        <f>P29</f>
        <v>2869</v>
      </c>
      <c r="R29" s="9">
        <f>Q29</f>
        <v>2869</v>
      </c>
      <c r="S29" s="9"/>
      <c r="T29" s="9"/>
      <c r="U29" s="9">
        <v>3732</v>
      </c>
      <c r="V29" s="9">
        <v>3294</v>
      </c>
      <c r="W29" s="9">
        <v>3022</v>
      </c>
      <c r="X29" s="9">
        <v>2786</v>
      </c>
      <c r="Y29" s="9">
        <v>2766</v>
      </c>
      <c r="Z29" s="9">
        <v>2823</v>
      </c>
      <c r="AA29" s="9">
        <f>Z29</f>
        <v>2823</v>
      </c>
      <c r="AB29" s="9">
        <f>AA29</f>
        <v>2823</v>
      </c>
      <c r="AC29" s="9">
        <f>AB29</f>
        <v>2823</v>
      </c>
      <c r="AD29" s="9">
        <f t="shared" ref="AD29:AH29" si="118">AC29</f>
        <v>2823</v>
      </c>
      <c r="AE29" s="9">
        <f t="shared" si="118"/>
        <v>2823</v>
      </c>
      <c r="AF29" s="9">
        <f t="shared" si="118"/>
        <v>2823</v>
      </c>
      <c r="AG29" s="9">
        <f t="shared" si="118"/>
        <v>2823</v>
      </c>
      <c r="AH29" s="9">
        <f t="shared" si="118"/>
        <v>2823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</row>
    <row r="30" spans="2:160">
      <c r="C30" s="20"/>
      <c r="D30" s="20"/>
      <c r="E30" s="20"/>
      <c r="F30" s="20"/>
      <c r="G30" s="20"/>
      <c r="H30" s="20"/>
      <c r="I30" s="20"/>
      <c r="J30" s="2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</row>
    <row r="31" spans="2:160">
      <c r="B31" t="s">
        <v>33</v>
      </c>
      <c r="C31" s="24"/>
      <c r="D31" s="24"/>
      <c r="E31" s="24"/>
      <c r="F31" s="24"/>
      <c r="G31" s="24"/>
      <c r="H31" s="24"/>
      <c r="I31" s="24"/>
      <c r="J31" s="24"/>
      <c r="K31" s="13"/>
      <c r="L31" s="13"/>
      <c r="M31" s="13"/>
      <c r="N31" s="13"/>
      <c r="O31" s="13">
        <f>O9/K9-1</f>
        <v>6.857785272625061E-2</v>
      </c>
      <c r="P31" s="13">
        <f>P9/L9-1</f>
        <v>8.6392087164824938E-2</v>
      </c>
      <c r="Q31" s="13">
        <f>Q9/M9-1</f>
        <v>8.350000000000013E-2</v>
      </c>
      <c r="R31" s="13">
        <f>R9/N9-1</f>
        <v>0.11529999999999996</v>
      </c>
      <c r="S31" s="13"/>
      <c r="T31" s="13"/>
      <c r="U31" s="13" t="e">
        <f>U9/T9-1</f>
        <v>#DIV/0!</v>
      </c>
      <c r="V31" s="13">
        <f>V9/U9-1</f>
        <v>-1.108692350529028E-2</v>
      </c>
      <c r="W31" s="13">
        <f>W9/V9-1</f>
        <v>3.6116514794716892E-2</v>
      </c>
      <c r="X31" s="13">
        <f>X9/W9-1</f>
        <v>4.8444872650015958E-2</v>
      </c>
      <c r="Y31" s="13">
        <f>Y9/X9-1</f>
        <v>0.17704995287464653</v>
      </c>
      <c r="Z31" s="13">
        <f t="shared" ref="Z31:AA31" si="119">Z9/Y9-1</f>
        <v>6.0195379749369504E-2</v>
      </c>
      <c r="AA31" s="13">
        <f t="shared" si="119"/>
        <v>8.9276469477539866E-2</v>
      </c>
      <c r="AB31" s="13">
        <v>0.12559999999999999</v>
      </c>
      <c r="AC31" s="13">
        <v>0.1</v>
      </c>
      <c r="AD31" s="13">
        <v>0.09</v>
      </c>
      <c r="AE31" s="13">
        <v>0.1</v>
      </c>
      <c r="AF31" s="13">
        <v>0.09</v>
      </c>
      <c r="AG31" s="13">
        <v>0.08</v>
      </c>
      <c r="AH31" s="13">
        <v>7.0000000000000007E-2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9"/>
      <c r="AS31" s="9"/>
      <c r="AT31" s="9"/>
    </row>
    <row r="32" spans="2:160">
      <c r="B32" t="s">
        <v>34</v>
      </c>
      <c r="C32" s="24"/>
      <c r="D32" s="24"/>
      <c r="E32" s="24"/>
      <c r="F32" s="24"/>
      <c r="G32" s="24"/>
      <c r="H32" s="24"/>
      <c r="I32" s="24"/>
      <c r="J32" s="24"/>
      <c r="K32" s="13">
        <f t="shared" ref="K32:R32" si="120">K14/K9</f>
        <v>0.71011001365132898</v>
      </c>
      <c r="L32" s="13">
        <f t="shared" si="120"/>
        <v>0.71099605903716867</v>
      </c>
      <c r="M32" s="13">
        <f t="shared" si="120"/>
        <v>0.70865963855421688</v>
      </c>
      <c r="N32" s="13">
        <f t="shared" si="120"/>
        <v>0.62539371456568904</v>
      </c>
      <c r="O32" s="13">
        <f t="shared" si="120"/>
        <v>0.70647027880063129</v>
      </c>
      <c r="P32" s="13">
        <f t="shared" si="120"/>
        <v>0.70943879365530982</v>
      </c>
      <c r="Q32" s="13">
        <f t="shared" si="120"/>
        <v>0.71762916919176478</v>
      </c>
      <c r="R32" s="13">
        <f t="shared" si="120"/>
        <v>0.72953609464308067</v>
      </c>
      <c r="S32" s="13"/>
      <c r="T32" s="13" t="e">
        <f t="shared" ref="T32:AA32" si="121">T14/T9</f>
        <v>#DIV/0!</v>
      </c>
      <c r="U32" s="13">
        <f t="shared" si="121"/>
        <v>0.79762567711233734</v>
      </c>
      <c r="V32" s="13">
        <f t="shared" si="121"/>
        <v>0.79681580833418653</v>
      </c>
      <c r="W32" s="13">
        <f t="shared" si="121"/>
        <v>0.80594876355641198</v>
      </c>
      <c r="X32" s="13">
        <f t="shared" si="121"/>
        <v>0.79083411875589071</v>
      </c>
      <c r="Y32" s="13">
        <f t="shared" si="121"/>
        <v>0.72847019257717105</v>
      </c>
      <c r="Z32" s="13">
        <f t="shared" si="121"/>
        <v>0.71407261947470779</v>
      </c>
      <c r="AA32" s="13">
        <f t="shared" si="121"/>
        <v>0.71634796811979151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9"/>
      <c r="AS32" s="9"/>
      <c r="AT32" s="9"/>
    </row>
    <row r="33" spans="2:46">
      <c r="B33" t="s">
        <v>35</v>
      </c>
      <c r="C33" s="24"/>
      <c r="D33" s="24"/>
      <c r="E33" s="24"/>
      <c r="F33" s="24"/>
      <c r="G33" s="24"/>
      <c r="H33" s="24"/>
      <c r="I33" s="24"/>
      <c r="J33" s="24"/>
      <c r="K33" s="13">
        <f>K27/K9</f>
        <v>0.19433068336946921</v>
      </c>
      <c r="L33" s="13">
        <f t="shared" ref="L33:Z33" si="122">L27/L9</f>
        <v>0.19341627385827989</v>
      </c>
      <c r="M33" s="13">
        <f t="shared" si="122"/>
        <v>0.18079819277108433</v>
      </c>
      <c r="N33" s="13">
        <f t="shared" si="122"/>
        <v>0.12003919647231749</v>
      </c>
      <c r="O33" s="13">
        <f t="shared" si="122"/>
        <v>0.22010971669046367</v>
      </c>
      <c r="P33" s="13">
        <f t="shared" si="122"/>
        <v>0.22412689380468029</v>
      </c>
      <c r="Q33" s="13">
        <f t="shared" si="122"/>
        <v>0.28428977578703479</v>
      </c>
      <c r="R33" s="13">
        <f t="shared" si="122"/>
        <v>0.34343503645839979</v>
      </c>
      <c r="S33" s="13" t="e">
        <f t="shared" si="122"/>
        <v>#DIV/0!</v>
      </c>
      <c r="T33" s="13" t="e">
        <f t="shared" si="122"/>
        <v>#DIV/0!</v>
      </c>
      <c r="U33" s="13">
        <f t="shared" si="122"/>
        <v>0.28053966486103377</v>
      </c>
      <c r="V33" s="13">
        <f t="shared" si="122"/>
        <v>0.25941947373809765</v>
      </c>
      <c r="W33" s="13">
        <f t="shared" si="122"/>
        <v>0.3395834877343808</v>
      </c>
      <c r="X33" s="13">
        <f t="shared" si="122"/>
        <v>0.15827049952874647</v>
      </c>
      <c r="Y33" s="13">
        <f t="shared" si="122"/>
        <v>0.17021659927132962</v>
      </c>
      <c r="Z33" s="13">
        <f t="shared" si="122"/>
        <v>0.19763599629916354</v>
      </c>
      <c r="AA33" s="13">
        <v>0.23</v>
      </c>
      <c r="AB33" s="13">
        <v>0.3</v>
      </c>
      <c r="AC33" s="13">
        <v>0.31</v>
      </c>
      <c r="AD33" s="13">
        <v>0.32</v>
      </c>
      <c r="AE33" s="13">
        <v>0.33</v>
      </c>
      <c r="AF33" s="13">
        <v>0.34</v>
      </c>
      <c r="AG33" s="13">
        <v>0.35</v>
      </c>
      <c r="AH33" s="13">
        <f t="shared" ref="AH33" si="123">AG33</f>
        <v>0.35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9"/>
      <c r="AS33" s="9"/>
      <c r="AT33" s="9"/>
    </row>
    <row r="34" spans="2:46">
      <c r="B34" t="s">
        <v>36</v>
      </c>
      <c r="C34" s="24"/>
      <c r="D34" s="24"/>
      <c r="E34" s="24"/>
      <c r="F34" s="24"/>
      <c r="G34" s="24"/>
      <c r="H34" s="24"/>
      <c r="I34" s="24"/>
      <c r="J34" s="24"/>
      <c r="K34" s="13">
        <f t="shared" ref="K34:R34" si="124">K26/K25</f>
        <v>-1.8947368421052633E-2</v>
      </c>
      <c r="L34" s="13">
        <f t="shared" si="124"/>
        <v>7.9779411764705876E-2</v>
      </c>
      <c r="M34" s="13">
        <f t="shared" si="124"/>
        <v>0.16195462478184991</v>
      </c>
      <c r="N34" s="13">
        <f t="shared" si="124"/>
        <v>0.27114322141946451</v>
      </c>
      <c r="O34" s="13">
        <f t="shared" si="124"/>
        <v>7.5733669927421893E-2</v>
      </c>
      <c r="P34" s="13">
        <f t="shared" si="124"/>
        <v>7.0501474926253693E-2</v>
      </c>
      <c r="Q34" s="13">
        <f t="shared" si="124"/>
        <v>7.0501474926253693E-2</v>
      </c>
      <c r="R34" s="13">
        <f t="shared" si="124"/>
        <v>7.0501474926253693E-2</v>
      </c>
      <c r="S34" s="13"/>
      <c r="T34" s="13" t="e">
        <f t="shared" ref="T34:AA34" si="125">T26/T25</f>
        <v>#DIV/0!</v>
      </c>
      <c r="U34" s="13">
        <f t="shared" si="125"/>
        <v>9.6592761656341702E-2</v>
      </c>
      <c r="V34" s="13">
        <f t="shared" si="125"/>
        <v>0.15982757191411756</v>
      </c>
      <c r="W34" s="13">
        <f t="shared" si="125"/>
        <v>-5.7465958919916918E-2</v>
      </c>
      <c r="X34" s="13">
        <f t="shared" si="125"/>
        <v>0.12184599294025363</v>
      </c>
      <c r="Y34" s="13">
        <f t="shared" si="125"/>
        <v>6.826649134341442E-2</v>
      </c>
      <c r="Z34" s="13">
        <f t="shared" si="125"/>
        <v>0.10850864491951281</v>
      </c>
      <c r="AA34" s="13">
        <f t="shared" si="125"/>
        <v>7.1485655040305143E-2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9"/>
      <c r="AS34" s="9"/>
      <c r="AT34" s="9"/>
    </row>
    <row r="36" spans="2:46">
      <c r="M36" s="9"/>
    </row>
    <row r="37" spans="2:46">
      <c r="M37" s="9"/>
      <c r="V37" s="13"/>
      <c r="W37" s="13"/>
      <c r="X37" s="13"/>
      <c r="Y37" s="13"/>
    </row>
    <row r="38" spans="2:46">
      <c r="M38" s="9"/>
    </row>
    <row r="39" spans="2:46">
      <c r="M39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2025-01-22T03:48:21Z</dcterms:modified>
</cp:coreProperties>
</file>