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67DD8178-6271-D545-AA31-00F77EFF921E}" xr6:coauthVersionLast="47" xr6:coauthVersionMax="47" xr10:uidLastSave="{00000000-0000-0000-0000-000000000000}"/>
  <bookViews>
    <workbookView xWindow="640" yWindow="740" windowWidth="12660" windowHeight="17260" xr2:uid="{B52EBCF7-5E14-7E49-B5C0-EBD42BBEF30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S24" i="2"/>
  <c r="S22" i="2"/>
  <c r="S23" i="2"/>
  <c r="S17" i="2"/>
  <c r="S18" i="2" s="1"/>
  <c r="S19" i="2"/>
  <c r="S16" i="2"/>
  <c r="S15" i="2"/>
  <c r="S14" i="2"/>
  <c r="S13" i="2"/>
  <c r="S12" i="2"/>
  <c r="S11" i="2"/>
  <c r="S10" i="2"/>
  <c r="S9" i="2"/>
  <c r="S8" i="2"/>
  <c r="S7" i="2"/>
  <c r="J7" i="2"/>
  <c r="J14" i="2"/>
  <c r="J12" i="2"/>
  <c r="J11" i="2"/>
  <c r="J10" i="2"/>
  <c r="J9" i="2"/>
  <c r="J8" i="2"/>
  <c r="J13" i="2" s="1"/>
  <c r="J15" i="2" s="1"/>
  <c r="J16" i="2" s="1"/>
  <c r="J17" i="2" s="1"/>
  <c r="J18" i="2" s="1"/>
  <c r="J6" i="2"/>
  <c r="S6" i="2" s="1"/>
  <c r="C22" i="2"/>
  <c r="D22" i="2"/>
  <c r="E22" i="2"/>
  <c r="F22" i="2"/>
  <c r="C23" i="2"/>
  <c r="D23" i="2"/>
  <c r="E23" i="2"/>
  <c r="F23" i="2"/>
  <c r="C24" i="2"/>
  <c r="D24" i="2"/>
  <c r="E24" i="2"/>
  <c r="F24" i="2"/>
  <c r="H24" i="2"/>
  <c r="I24" i="2"/>
  <c r="G24" i="2"/>
  <c r="H23" i="2"/>
  <c r="I23" i="2"/>
  <c r="G23" i="2"/>
  <c r="H22" i="2"/>
  <c r="I22" i="2"/>
  <c r="G22" i="2"/>
  <c r="H21" i="2"/>
  <c r="I21" i="2"/>
  <c r="G21" i="2"/>
  <c r="F16" i="2"/>
  <c r="F14" i="2"/>
  <c r="F11" i="2"/>
  <c r="F10" i="2"/>
  <c r="F9" i="2"/>
  <c r="F7" i="2"/>
  <c r="F6" i="2"/>
  <c r="C18" i="2"/>
  <c r="C17" i="2"/>
  <c r="C15" i="2"/>
  <c r="C13" i="2"/>
  <c r="C12" i="2"/>
  <c r="C8" i="2"/>
  <c r="G18" i="2"/>
  <c r="D18" i="2"/>
  <c r="D17" i="2"/>
  <c r="D15" i="2"/>
  <c r="D13" i="2"/>
  <c r="D12" i="2"/>
  <c r="D8" i="2"/>
  <c r="H18" i="2"/>
  <c r="H17" i="2"/>
  <c r="H15" i="2"/>
  <c r="H13" i="2"/>
  <c r="G12" i="2"/>
  <c r="H12" i="2"/>
  <c r="G8" i="2"/>
  <c r="H8" i="2"/>
  <c r="E12" i="2"/>
  <c r="E8" i="2"/>
  <c r="I12" i="2"/>
  <c r="I8" i="2"/>
  <c r="I13" i="2" s="1"/>
  <c r="I15" i="2" s="1"/>
  <c r="I17" i="2" s="1"/>
  <c r="I18" i="2" s="1"/>
  <c r="X23" i="2"/>
  <c r="M21" i="2"/>
  <c r="L12" i="2"/>
  <c r="L8" i="2"/>
  <c r="L13" i="2" s="1"/>
  <c r="L15" i="2" s="1"/>
  <c r="M12" i="2"/>
  <c r="N12" i="2"/>
  <c r="O12" i="2"/>
  <c r="M8" i="2"/>
  <c r="M22" i="2" s="1"/>
  <c r="N8" i="2"/>
  <c r="N22" i="2" s="1"/>
  <c r="O8" i="2"/>
  <c r="O22" i="2" s="1"/>
  <c r="N21" i="2"/>
  <c r="O21" i="2"/>
  <c r="P21" i="2"/>
  <c r="S21" i="2" l="1"/>
  <c r="J22" i="2"/>
  <c r="J23" i="2"/>
  <c r="F12" i="2"/>
  <c r="F8" i="2"/>
  <c r="G13" i="2"/>
  <c r="G15" i="2" s="1"/>
  <c r="G17" i="2" s="1"/>
  <c r="E13" i="2"/>
  <c r="E15" i="2" s="1"/>
  <c r="E17" i="2" s="1"/>
  <c r="E18" i="2" s="1"/>
  <c r="O13" i="2"/>
  <c r="O15" i="2" s="1"/>
  <c r="O17" i="2" s="1"/>
  <c r="O18" i="2" s="1"/>
  <c r="N13" i="2"/>
  <c r="N15" i="2" s="1"/>
  <c r="N17" i="2" s="1"/>
  <c r="N18" i="2" s="1"/>
  <c r="T6" i="2"/>
  <c r="U6" i="2" s="1"/>
  <c r="V6" i="2" s="1"/>
  <c r="W6" i="2" s="1"/>
  <c r="X6" i="2" s="1"/>
  <c r="Y6" i="2" s="1"/>
  <c r="Z6" i="2" s="1"/>
  <c r="AA6" i="2" s="1"/>
  <c r="M13" i="2"/>
  <c r="M15" i="2" s="1"/>
  <c r="M17" i="2" s="1"/>
  <c r="M18" i="2" s="1"/>
  <c r="L24" i="2"/>
  <c r="L17" i="2"/>
  <c r="L22" i="2"/>
  <c r="O24" i="2"/>
  <c r="N24" i="2"/>
  <c r="O23" i="2"/>
  <c r="Y23" i="2"/>
  <c r="R21" i="2"/>
  <c r="Q21" i="2"/>
  <c r="P12" i="2"/>
  <c r="Q12" i="2"/>
  <c r="R12" i="2"/>
  <c r="Q8" i="2"/>
  <c r="Q22" i="2" s="1"/>
  <c r="R8" i="2"/>
  <c r="R22" i="2" s="1"/>
  <c r="P8" i="2"/>
  <c r="P22" i="2" s="1"/>
  <c r="L6" i="1"/>
  <c r="L5" i="1"/>
  <c r="L3" i="1"/>
  <c r="W17" i="2" l="1"/>
  <c r="F13" i="2"/>
  <c r="F15" i="2" s="1"/>
  <c r="F17" i="2" s="1"/>
  <c r="F18" i="2" s="1"/>
  <c r="M23" i="2"/>
  <c r="M24" i="2"/>
  <c r="R13" i="2"/>
  <c r="R15" i="2" s="1"/>
  <c r="R24" i="2" s="1"/>
  <c r="Q13" i="2"/>
  <c r="Q15" i="2" s="1"/>
  <c r="Q24" i="2" s="1"/>
  <c r="T17" i="2"/>
  <c r="U17" i="2"/>
  <c r="X17" i="2"/>
  <c r="V17" i="2"/>
  <c r="N23" i="2"/>
  <c r="P13" i="2"/>
  <c r="P15" i="2" s="1"/>
  <c r="L23" i="2"/>
  <c r="L18" i="2"/>
  <c r="Z23" i="2"/>
  <c r="Y17" i="2"/>
  <c r="L4" i="1"/>
  <c r="L7" i="1" s="1"/>
  <c r="Q17" i="2" l="1"/>
  <c r="R17" i="2"/>
  <c r="P24" i="2"/>
  <c r="P17" i="2"/>
  <c r="Q23" i="2"/>
  <c r="Q18" i="2"/>
  <c r="R23" i="2"/>
  <c r="R18" i="2"/>
  <c r="Z17" i="2"/>
  <c r="AA23" i="2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L12" i="1" l="1"/>
  <c r="L13" i="1" s="1"/>
  <c r="L15" i="1" s="1"/>
  <c r="P23" i="2"/>
  <c r="P18" i="2"/>
</calcChain>
</file>

<file path=xl/sharedStrings.xml><?xml version="1.0" encoding="utf-8"?>
<sst xmlns="http://schemas.openxmlformats.org/spreadsheetml/2006/main" count="40" uniqueCount="36">
  <si>
    <t>Main</t>
  </si>
  <si>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</si>
  <si>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</si>
  <si>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</si>
  <si>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</si>
  <si>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</si>
  <si>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</si>
  <si>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</si>
  <si>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</si>
  <si>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</si>
  <si>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</si>
  <si>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Q324</t>
  </si>
  <si>
    <t>Revenue</t>
  </si>
  <si>
    <t>COGS</t>
  </si>
  <si>
    <t>R&amp;D</t>
  </si>
  <si>
    <t>M&amp;S</t>
  </si>
  <si>
    <t>G&amp;A</t>
  </si>
  <si>
    <t>Gross profit</t>
  </si>
  <si>
    <t>OPEX</t>
  </si>
  <si>
    <t>OPINC</t>
  </si>
  <si>
    <t>other</t>
  </si>
  <si>
    <t>Pretax</t>
  </si>
  <si>
    <t>Tax</t>
  </si>
  <si>
    <t>Net income</t>
  </si>
  <si>
    <t>EPS</t>
  </si>
  <si>
    <t>Revenue growth%</t>
  </si>
  <si>
    <t>Gross margin%</t>
  </si>
  <si>
    <t>Profit margin%</t>
  </si>
  <si>
    <t>Tax%</t>
  </si>
  <si>
    <t>Q224</t>
  </si>
  <si>
    <t>Q124</t>
  </si>
  <si>
    <t>Q424</t>
  </si>
  <si>
    <t>Q223</t>
  </si>
  <si>
    <t>Q323</t>
  </si>
  <si>
    <t>Q423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</si>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</sst>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sz val="12"/>
      <color theme="1"/>
      <name val="ArialMT"/>
    </font>
    <font>
      <b/>
      <i/>
      <sz val="12"/>
      <color theme="1"/>
      <name val="ArialMT"/>
    </font>
    <font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3" applyAlignment="1">
      <alignment horizontal="left"/>
    </xf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4" fontId="0" fillId="0" borderId="0" xfId="0" applyNumberFormat="1"/>
    <xf numFmtId="3" fontId="0" fillId="0" borderId="0" xfId="0" applyNumberFormat="1"/>
    <xf numFmtId="10" fontId="0" fillId="0" borderId="0" xfId="2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8" fillId="0" borderId="0" xfId="0" applyNumberFormat="1" applyFont="1"/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09F1-95F6-E94F-B241-FF64300664C4}">
  <dimension ref="K1:M15"/>
  <sheetViews>
    <sheetView tabSelected="1" topLeftCell="G1" workbookViewId="0">
      <selection activeCell="M9" sqref="M9"/>
    </sheetView>
  </sheetViews>
  <sheetFormatPr baseColWidth="10" defaultRowHeight="16"/>
  <cols>
    <col min="12" max="12" width="11.28515625" bestFit="1" customWidth="1"/>
  </cols>
  <sheetData>
    <row r="1" spans="11:13">
      <c r="M1" s="18">
        <v>45680</v>
      </c>
    </row>
    <row r="2" spans="11:13">
      <c r="K2" s="2" t="s">
        <v>1</v>
      </c>
      <c r="L2" s="3">
        <v>629</v>
      </c>
    </row>
    <row r="3" spans="11:13">
      <c r="K3" s="2" t="s">
        <v>2</v>
      </c>
      <c r="L3" s="4">
        <f>2180+344</f>
        <v>2524</v>
      </c>
      <c r="M3" t="s">
        <v>11</v>
      </c>
    </row>
    <row r="4" spans="11:13">
      <c r="K4" s="2" t="s">
        <v>3</v>
      </c>
      <c r="L4" s="4">
        <f>L2*L3</f>
        <v>1587596</v>
      </c>
    </row>
    <row r="5" spans="11:13">
      <c r="K5" s="2" t="s">
        <v>4</v>
      </c>
      <c r="L5" s="4">
        <f>43852+27048</f>
        <v>70900</v>
      </c>
      <c r="M5" t="s">
        <v>11</v>
      </c>
    </row>
    <row r="6" spans="11:13">
      <c r="K6" s="2" t="s">
        <v>5</v>
      </c>
      <c r="L6" s="4">
        <f>28823</f>
        <v>28823</v>
      </c>
      <c r="M6" t="s">
        <v>11</v>
      </c>
    </row>
    <row r="7" spans="11:13">
      <c r="K7" s="2" t="s">
        <v>6</v>
      </c>
      <c r="L7" s="4">
        <f>L4-L5+L6</f>
        <v>1545519</v>
      </c>
    </row>
    <row r="8" spans="11:13">
      <c r="K8" s="2"/>
      <c r="L8" s="2"/>
    </row>
    <row r="9" spans="11:13">
      <c r="K9" s="2"/>
      <c r="L9" s="2"/>
    </row>
    <row r="10" spans="11:13">
      <c r="K10" s="2" t="s">
        <v>7</v>
      </c>
      <c r="L10" s="5">
        <v>0.01</v>
      </c>
    </row>
    <row r="11" spans="11:13">
      <c r="K11" s="2" t="s">
        <v>8</v>
      </c>
      <c r="L11" s="6">
        <v>7.0000000000000007E-2</v>
      </c>
    </row>
    <row r="12" spans="11:13">
      <c r="K12" s="2" t="s">
        <v>9</v>
      </c>
      <c r="L12" s="3">
        <f>NPV(L11,Model!S17:EK17)+L5-L6</f>
        <v>1751601.5316342483</v>
      </c>
    </row>
    <row r="13" spans="11:13">
      <c r="K13" s="2" t="s">
        <v>10</v>
      </c>
      <c r="L13" s="7">
        <f>L12/L3</f>
        <v>693.97841982339469</v>
      </c>
    </row>
    <row r="15" spans="11:13">
      <c r="L15" s="10">
        <f>L13/L2-1</f>
        <v>0.10330432404355272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98C1-3FA3-DE4C-BE95-2178A24448B4}">
  <dimension ref="A1:EK30"/>
  <sheetViews>
    <sheetView workbookViewId="0">
      <pane xSplit="2" ySplit="5" topLeftCell="P6" activePane="bottomRight" state="frozen"/>
      <selection pane="topRight" activeCell="C1" sqref="C1"/>
      <selection pane="bottomLeft" activeCell="A6" sqref="A6"/>
      <selection pane="bottomRight" activeCell="S17" sqref="S17"/>
    </sheetView>
  </sheetViews>
  <sheetFormatPr baseColWidth="10" defaultRowHeight="16"/>
  <cols>
    <col min="2" max="2" width="15.42578125" bestFit="1" customWidth="1"/>
    <col min="3" max="10" width="7" bestFit="1" customWidth="1"/>
  </cols>
  <sheetData>
    <row r="1" spans="1:44">
      <c r="A1" s="1" t="s">
        <v>0</v>
      </c>
    </row>
    <row r="5" spans="1:44">
      <c r="C5" t="s">
        <v>35</v>
      </c>
      <c r="D5" t="s">
        <v>32</v>
      </c>
      <c r="E5" t="s">
        <v>33</v>
      </c>
      <c r="F5" t="s">
        <v>34</v>
      </c>
      <c r="G5" t="s">
        <v>30</v>
      </c>
      <c r="H5" t="s">
        <v>29</v>
      </c>
      <c r="I5" t="s">
        <v>11</v>
      </c>
      <c r="J5" t="s">
        <v>31</v>
      </c>
      <c r="L5">
        <v>2017</v>
      </c>
      <c r="M5">
        <v>2018</v>
      </c>
      <c r="N5">
        <v>2019</v>
      </c>
      <c r="O5">
        <v>2020</v>
      </c>
      <c r="P5">
        <v>2021</v>
      </c>
      <c r="Q5">
        <v>2022</v>
      </c>
      <c r="R5">
        <v>2023</v>
      </c>
      <c r="S5">
        <v>2024</v>
      </c>
      <c r="T5">
        <v>2025</v>
      </c>
      <c r="U5">
        <v>2026</v>
      </c>
      <c r="V5">
        <v>2027</v>
      </c>
      <c r="W5">
        <v>2028</v>
      </c>
      <c r="X5">
        <v>2029</v>
      </c>
      <c r="Y5">
        <v>2030</v>
      </c>
      <c r="Z5">
        <v>2031</v>
      </c>
      <c r="AA5">
        <v>2032</v>
      </c>
    </row>
    <row r="6" spans="1:44" s="11" customFormat="1">
      <c r="B6" s="11" t="s">
        <v>12</v>
      </c>
      <c r="C6" s="12">
        <v>28645</v>
      </c>
      <c r="D6" s="12">
        <v>31999</v>
      </c>
      <c r="E6" s="12">
        <v>34146</v>
      </c>
      <c r="F6" s="12">
        <f>R6-SUM(C6:E6)</f>
        <v>40112</v>
      </c>
      <c r="G6" s="12">
        <v>36455</v>
      </c>
      <c r="H6" s="12">
        <v>39071</v>
      </c>
      <c r="I6" s="12">
        <v>40589</v>
      </c>
      <c r="J6" s="12">
        <f>F6*1.1712</f>
        <v>46979.174400000004</v>
      </c>
      <c r="K6" s="12"/>
      <c r="L6" s="12">
        <v>40653</v>
      </c>
      <c r="M6" s="12">
        <v>55838</v>
      </c>
      <c r="N6" s="12">
        <v>70697</v>
      </c>
      <c r="O6" s="12">
        <v>85965</v>
      </c>
      <c r="P6" s="12">
        <v>117929</v>
      </c>
      <c r="Q6" s="12">
        <v>116609</v>
      </c>
      <c r="R6" s="12">
        <v>134902</v>
      </c>
      <c r="S6" s="12">
        <f>SUM(G6:J6)</f>
        <v>163094.17440000002</v>
      </c>
      <c r="T6" s="12">
        <f t="shared" ref="T6:AA6" si="0">S6*(1+T21)</f>
        <v>187558.30056</v>
      </c>
      <c r="U6" s="12">
        <f t="shared" si="0"/>
        <v>215692.045644</v>
      </c>
      <c r="V6" s="12">
        <f t="shared" si="0"/>
        <v>241575.09112128001</v>
      </c>
      <c r="W6" s="12">
        <f t="shared" si="0"/>
        <v>265732.60023340804</v>
      </c>
      <c r="X6" s="12">
        <f t="shared" si="0"/>
        <v>286991.20825208072</v>
      </c>
      <c r="Y6" s="12">
        <f>X6*(1+Y21)</f>
        <v>307080.5928297264</v>
      </c>
      <c r="Z6" s="12">
        <f t="shared" si="0"/>
        <v>325505.42839950998</v>
      </c>
      <c r="AA6" s="12">
        <f t="shared" si="0"/>
        <v>341780.69981948548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spans="1:44">
      <c r="B7" t="s">
        <v>13</v>
      </c>
      <c r="C7" s="9">
        <v>6108</v>
      </c>
      <c r="D7" s="9">
        <v>5945</v>
      </c>
      <c r="E7" s="9">
        <v>6210</v>
      </c>
      <c r="F7" s="9">
        <f>R7-SUM(C7:E7)</f>
        <v>7696</v>
      </c>
      <c r="G7" s="9">
        <v>6640</v>
      </c>
      <c r="H7" s="9">
        <v>7308</v>
      </c>
      <c r="I7" s="9">
        <v>7375</v>
      </c>
      <c r="J7" s="9">
        <f>F7*1.17</f>
        <v>9004.32</v>
      </c>
      <c r="K7" s="9"/>
      <c r="L7" s="9">
        <v>5454</v>
      </c>
      <c r="M7" s="9">
        <v>9355</v>
      </c>
      <c r="N7" s="9">
        <v>12770</v>
      </c>
      <c r="O7" s="9">
        <v>16692</v>
      </c>
      <c r="P7" s="9">
        <v>22649</v>
      </c>
      <c r="Q7" s="9">
        <v>25249</v>
      </c>
      <c r="R7" s="9">
        <v>25959</v>
      </c>
      <c r="S7" s="17">
        <f>SUM(G7:J7)</f>
        <v>30327.32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 s="15" customFormat="1">
      <c r="B8" s="15" t="s">
        <v>17</v>
      </c>
      <c r="C8" s="16">
        <f>C6-C7</f>
        <v>22537</v>
      </c>
      <c r="D8" s="16">
        <f>D6-D7</f>
        <v>26054</v>
      </c>
      <c r="E8" s="16">
        <f>E6-E7</f>
        <v>27936</v>
      </c>
      <c r="F8" s="16">
        <f t="shared" ref="F8:H8" si="1">F6-F7</f>
        <v>32416</v>
      </c>
      <c r="G8" s="16">
        <f t="shared" si="1"/>
        <v>29815</v>
      </c>
      <c r="H8" s="16">
        <f t="shared" si="1"/>
        <v>31763</v>
      </c>
      <c r="I8" s="16">
        <f>I6-I7</f>
        <v>33214</v>
      </c>
      <c r="J8" s="16">
        <f>J6-J7</f>
        <v>37974.854400000004</v>
      </c>
      <c r="K8" s="16"/>
      <c r="L8" s="16">
        <f>L6-L7</f>
        <v>35199</v>
      </c>
      <c r="M8" s="16">
        <f>M6-M7</f>
        <v>46483</v>
      </c>
      <c r="N8" s="16">
        <f t="shared" ref="N8:O8" si="2">N6-N7</f>
        <v>57927</v>
      </c>
      <c r="O8" s="16">
        <f t="shared" si="2"/>
        <v>69273</v>
      </c>
      <c r="P8" s="16">
        <f>P6-P7</f>
        <v>95280</v>
      </c>
      <c r="Q8" s="16">
        <f t="shared" ref="Q8:S8" si="3">Q6-Q7</f>
        <v>91360</v>
      </c>
      <c r="R8" s="16">
        <f t="shared" si="3"/>
        <v>108943</v>
      </c>
      <c r="S8" s="16">
        <f t="shared" si="3"/>
        <v>132766.85440000001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>
      <c r="B9" t="s">
        <v>14</v>
      </c>
      <c r="C9" s="9">
        <v>9381</v>
      </c>
      <c r="D9" s="9">
        <v>9344</v>
      </c>
      <c r="E9" s="9">
        <v>9241</v>
      </c>
      <c r="F9" s="9">
        <f>R9-SUM(C9:E9)</f>
        <v>10517</v>
      </c>
      <c r="G9" s="9">
        <v>9978</v>
      </c>
      <c r="H9" s="9">
        <v>10537</v>
      </c>
      <c r="I9" s="9">
        <v>11177</v>
      </c>
      <c r="J9" s="9">
        <f>I9</f>
        <v>11177</v>
      </c>
      <c r="K9" s="9"/>
      <c r="L9" s="9">
        <v>7754</v>
      </c>
      <c r="M9" s="9">
        <v>10273</v>
      </c>
      <c r="N9" s="9">
        <v>13600</v>
      </c>
      <c r="O9" s="9">
        <v>18447</v>
      </c>
      <c r="P9" s="9">
        <v>24655</v>
      </c>
      <c r="Q9" s="9">
        <v>35338</v>
      </c>
      <c r="R9" s="9">
        <v>38483</v>
      </c>
      <c r="S9" s="17">
        <f>SUM(G9:J9)</f>
        <v>42869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44">
      <c r="B10" t="s">
        <v>15</v>
      </c>
      <c r="C10" s="9">
        <v>3044</v>
      </c>
      <c r="D10" s="9">
        <v>3154</v>
      </c>
      <c r="E10" s="9">
        <v>2877</v>
      </c>
      <c r="F10" s="9">
        <f>R10-SUM(C10:E10)</f>
        <v>3226</v>
      </c>
      <c r="G10" s="9">
        <v>2564</v>
      </c>
      <c r="H10" s="9">
        <v>2721</v>
      </c>
      <c r="I10" s="9">
        <v>2822</v>
      </c>
      <c r="J10" s="9">
        <f>I10</f>
        <v>2822</v>
      </c>
      <c r="K10" s="9"/>
      <c r="L10" s="9">
        <v>4725</v>
      </c>
      <c r="M10" s="9">
        <v>7846</v>
      </c>
      <c r="N10" s="9">
        <v>9876</v>
      </c>
      <c r="O10" s="9">
        <v>11591</v>
      </c>
      <c r="P10" s="9">
        <v>14043</v>
      </c>
      <c r="Q10" s="9">
        <v>15262</v>
      </c>
      <c r="R10" s="9">
        <v>12301</v>
      </c>
      <c r="S10" s="17">
        <f>SUM(G10:J10)</f>
        <v>10929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spans="1:44">
      <c r="B11" t="s">
        <v>16</v>
      </c>
      <c r="C11" s="9">
        <v>2885</v>
      </c>
      <c r="D11" s="9">
        <v>4164</v>
      </c>
      <c r="E11" s="9">
        <v>2070</v>
      </c>
      <c r="F11" s="9">
        <f>R11-SUM(C11:E11)</f>
        <v>2289</v>
      </c>
      <c r="G11" s="9">
        <v>3455</v>
      </c>
      <c r="H11" s="9">
        <v>3658</v>
      </c>
      <c r="I11" s="9">
        <v>1865</v>
      </c>
      <c r="J11" s="9">
        <f>I11</f>
        <v>1865</v>
      </c>
      <c r="K11" s="9"/>
      <c r="L11" s="9">
        <v>2517</v>
      </c>
      <c r="M11" s="9">
        <v>3451</v>
      </c>
      <c r="N11" s="9">
        <v>10465</v>
      </c>
      <c r="O11" s="9">
        <v>6564</v>
      </c>
      <c r="P11" s="9">
        <v>9829</v>
      </c>
      <c r="Q11" s="9">
        <v>11816</v>
      </c>
      <c r="R11" s="9">
        <v>11408</v>
      </c>
      <c r="S11" s="17">
        <f>SUM(G11:J11)</f>
        <v>10843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spans="1:44" s="15" customFormat="1">
      <c r="B12" s="15" t="s">
        <v>18</v>
      </c>
      <c r="C12" s="16">
        <f>SUM(C9:C11)</f>
        <v>15310</v>
      </c>
      <c r="D12" s="16">
        <f>SUM(D9:D11)</f>
        <v>16662</v>
      </c>
      <c r="E12" s="16">
        <f>SUM(E9:E11)</f>
        <v>14188</v>
      </c>
      <c r="F12" s="16">
        <f t="shared" ref="F12:H12" si="4">SUM(F9:F11)</f>
        <v>16032</v>
      </c>
      <c r="G12" s="16">
        <f t="shared" si="4"/>
        <v>15997</v>
      </c>
      <c r="H12" s="16">
        <f t="shared" si="4"/>
        <v>16916</v>
      </c>
      <c r="I12" s="16">
        <f>SUM(I9:I11)</f>
        <v>15864</v>
      </c>
      <c r="J12" s="16">
        <f>SUM(J9:J11)</f>
        <v>15864</v>
      </c>
      <c r="K12" s="16"/>
      <c r="L12" s="16">
        <f t="shared" ref="L12:M12" si="5">SUM(L9:L11)</f>
        <v>14996</v>
      </c>
      <c r="M12" s="16">
        <f t="shared" si="5"/>
        <v>21570</v>
      </c>
      <c r="N12" s="16">
        <f t="shared" ref="N12" si="6">SUM(N9:N11)</f>
        <v>33941</v>
      </c>
      <c r="O12" s="16">
        <f t="shared" ref="O12" si="7">SUM(O9:O11)</f>
        <v>36602</v>
      </c>
      <c r="P12" s="16">
        <f t="shared" ref="P12:Q12" si="8">SUM(P9:P11)</f>
        <v>48527</v>
      </c>
      <c r="Q12" s="16">
        <f t="shared" si="8"/>
        <v>62416</v>
      </c>
      <c r="R12" s="16">
        <f>SUM(R9:R11)</f>
        <v>62192</v>
      </c>
      <c r="S12" s="16">
        <f>SUM(S9:S11)</f>
        <v>64641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s="15" customFormat="1">
      <c r="B13" s="15" t="s">
        <v>19</v>
      </c>
      <c r="C13" s="16">
        <f>C8-C12</f>
        <v>7227</v>
      </c>
      <c r="D13" s="16">
        <f>D8-D12</f>
        <v>9392</v>
      </c>
      <c r="E13" s="16">
        <f>E8-E12</f>
        <v>13748</v>
      </c>
      <c r="F13" s="16">
        <f t="shared" ref="F13:H13" si="9">F8-F12</f>
        <v>16384</v>
      </c>
      <c r="G13" s="16">
        <f t="shared" si="9"/>
        <v>13818</v>
      </c>
      <c r="H13" s="16">
        <f t="shared" si="9"/>
        <v>14847</v>
      </c>
      <c r="I13" s="16">
        <f>I8-I12</f>
        <v>17350</v>
      </c>
      <c r="J13" s="16">
        <f>J8-J12</f>
        <v>22110.854400000004</v>
      </c>
      <c r="K13" s="16"/>
      <c r="L13" s="16">
        <f t="shared" ref="L13:M13" si="10">L8-L12</f>
        <v>20203</v>
      </c>
      <c r="M13" s="16">
        <f t="shared" si="10"/>
        <v>24913</v>
      </c>
      <c r="N13" s="16">
        <f t="shared" ref="N13" si="11">N8-N12</f>
        <v>23986</v>
      </c>
      <c r="O13" s="16">
        <f t="shared" ref="O13" si="12">O8-O12</f>
        <v>32671</v>
      </c>
      <c r="P13" s="16">
        <f t="shared" ref="P13:Q13" si="13">P8-P12</f>
        <v>46753</v>
      </c>
      <c r="Q13" s="16">
        <f t="shared" si="13"/>
        <v>28944</v>
      </c>
      <c r="R13" s="16">
        <f>R8-R12</f>
        <v>46751</v>
      </c>
      <c r="S13" s="16">
        <f>S8-S12</f>
        <v>68125.854400000011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>
      <c r="B14" t="s">
        <v>20</v>
      </c>
      <c r="C14" s="9">
        <v>80</v>
      </c>
      <c r="D14" s="9">
        <v>-99</v>
      </c>
      <c r="E14" s="9">
        <v>272</v>
      </c>
      <c r="F14" s="9">
        <f>R14-SUM(C14:E14)</f>
        <v>424</v>
      </c>
      <c r="G14" s="9">
        <v>365</v>
      </c>
      <c r="H14" s="9">
        <v>259</v>
      </c>
      <c r="I14" s="9">
        <v>472</v>
      </c>
      <c r="J14" s="9">
        <f>I14</f>
        <v>472</v>
      </c>
      <c r="K14" s="9"/>
      <c r="L14" s="9">
        <v>391</v>
      </c>
      <c r="M14" s="9">
        <v>448</v>
      </c>
      <c r="N14" s="9">
        <v>826</v>
      </c>
      <c r="O14" s="9">
        <v>509</v>
      </c>
      <c r="P14" s="9">
        <v>531</v>
      </c>
      <c r="Q14" s="9">
        <v>-125</v>
      </c>
      <c r="R14" s="9">
        <v>677</v>
      </c>
      <c r="S14" s="17">
        <f>SUM(G14:J14)</f>
        <v>1568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 s="15" customFormat="1">
      <c r="B15" s="15" t="s">
        <v>21</v>
      </c>
      <c r="C15" s="16">
        <f>C13+C14</f>
        <v>7307</v>
      </c>
      <c r="D15" s="16">
        <f>D13+D14</f>
        <v>9293</v>
      </c>
      <c r="E15" s="16">
        <f>E13+E14</f>
        <v>14020</v>
      </c>
      <c r="F15" s="16">
        <f t="shared" ref="F15:H15" si="14">F13+F14</f>
        <v>16808</v>
      </c>
      <c r="G15" s="16">
        <f t="shared" si="14"/>
        <v>14183</v>
      </c>
      <c r="H15" s="16">
        <f t="shared" si="14"/>
        <v>15106</v>
      </c>
      <c r="I15" s="16">
        <f>I13+I14</f>
        <v>17822</v>
      </c>
      <c r="J15" s="16">
        <f>J13+J14</f>
        <v>22582.854400000004</v>
      </c>
      <c r="K15" s="16"/>
      <c r="L15" s="16">
        <f t="shared" ref="L15:O15" si="15">L13+L14</f>
        <v>20594</v>
      </c>
      <c r="M15" s="16">
        <f t="shared" si="15"/>
        <v>25361</v>
      </c>
      <c r="N15" s="16">
        <f t="shared" si="15"/>
        <v>24812</v>
      </c>
      <c r="O15" s="16">
        <f t="shared" si="15"/>
        <v>33180</v>
      </c>
      <c r="P15" s="16">
        <f>P13+P14</f>
        <v>47284</v>
      </c>
      <c r="Q15" s="16">
        <f t="shared" ref="Q15:S15" si="16">Q13+Q14</f>
        <v>28819</v>
      </c>
      <c r="R15" s="16">
        <f t="shared" si="16"/>
        <v>47428</v>
      </c>
      <c r="S15" s="16">
        <f t="shared" si="16"/>
        <v>69693.854400000011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>
      <c r="B16" t="s">
        <v>22</v>
      </c>
      <c r="C16" s="9">
        <v>1598</v>
      </c>
      <c r="D16" s="9">
        <v>1505</v>
      </c>
      <c r="E16" s="9">
        <v>2437</v>
      </c>
      <c r="F16" s="9">
        <f>R16-SUM(C16:E16)</f>
        <v>2790</v>
      </c>
      <c r="G16" s="9">
        <v>1814</v>
      </c>
      <c r="H16" s="9">
        <v>1641</v>
      </c>
      <c r="I16" s="9">
        <v>2134</v>
      </c>
      <c r="J16" s="9">
        <f>J15*F24</f>
        <v>3748.5818524512147</v>
      </c>
      <c r="K16" s="9"/>
      <c r="L16" s="9">
        <v>4660</v>
      </c>
      <c r="M16" s="9">
        <v>3249</v>
      </c>
      <c r="N16" s="9">
        <v>6327</v>
      </c>
      <c r="O16" s="9">
        <v>4034</v>
      </c>
      <c r="P16" s="9">
        <v>7914</v>
      </c>
      <c r="Q16" s="9">
        <v>5619</v>
      </c>
      <c r="R16" s="9">
        <v>8330</v>
      </c>
      <c r="S16" s="17">
        <f>SUM(G16:J16)</f>
        <v>9337.5818524512142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2:141" s="13" customFormat="1">
      <c r="B17" s="13" t="s">
        <v>23</v>
      </c>
      <c r="C17" s="14">
        <f>C15-C16</f>
        <v>5709</v>
      </c>
      <c r="D17" s="14">
        <f>D15-D16</f>
        <v>7788</v>
      </c>
      <c r="E17" s="14">
        <f>E15-E16</f>
        <v>11583</v>
      </c>
      <c r="F17" s="14">
        <f t="shared" ref="F17:H17" si="17">F15-F16</f>
        <v>14018</v>
      </c>
      <c r="G17" s="14">
        <f t="shared" si="17"/>
        <v>12369</v>
      </c>
      <c r="H17" s="14">
        <f t="shared" si="17"/>
        <v>13465</v>
      </c>
      <c r="I17" s="14">
        <f>I15-I16</f>
        <v>15688</v>
      </c>
      <c r="J17" s="14">
        <f>J15-J16</f>
        <v>18834.27254754879</v>
      </c>
      <c r="K17" s="14"/>
      <c r="L17" s="14">
        <f t="shared" ref="L17:M17" si="18">L15-L16</f>
        <v>15934</v>
      </c>
      <c r="M17" s="14">
        <f t="shared" si="18"/>
        <v>22112</v>
      </c>
      <c r="N17" s="14">
        <f t="shared" ref="N17" si="19">N15-N16</f>
        <v>18485</v>
      </c>
      <c r="O17" s="14">
        <f t="shared" ref="O17" si="20">O15-O16</f>
        <v>29146</v>
      </c>
      <c r="P17" s="14">
        <f t="shared" ref="P17:Q17" si="21">P15-P16</f>
        <v>39370</v>
      </c>
      <c r="Q17" s="14">
        <f t="shared" si="21"/>
        <v>23200</v>
      </c>
      <c r="R17" s="14">
        <f>R15-R16</f>
        <v>39098</v>
      </c>
      <c r="S17" s="14">
        <f>S15-S16</f>
        <v>60356.272547548797</v>
      </c>
      <c r="T17" s="14">
        <f t="shared" ref="T17:AA17" si="22">T6*T23</f>
        <v>65645.405195999992</v>
      </c>
      <c r="U17" s="14">
        <f t="shared" si="22"/>
        <v>77649.136431840001</v>
      </c>
      <c r="V17" s="14">
        <f t="shared" si="22"/>
        <v>86967.032803660797</v>
      </c>
      <c r="W17" s="14">
        <f t="shared" si="22"/>
        <v>95663.736084026896</v>
      </c>
      <c r="X17" s="14">
        <f t="shared" si="22"/>
        <v>103316.83497074906</v>
      </c>
      <c r="Y17" s="14">
        <f t="shared" si="22"/>
        <v>110549.01341870151</v>
      </c>
      <c r="Z17" s="14">
        <f t="shared" si="22"/>
        <v>117181.95422382359</v>
      </c>
      <c r="AA17" s="14">
        <f t="shared" si="22"/>
        <v>123041.05193501477</v>
      </c>
      <c r="AB17" s="14">
        <f>AA17*(1+Main!$L$10)</f>
        <v>124271.46245436491</v>
      </c>
      <c r="AC17" s="14">
        <f>AB17*(1+Main!$L$10)</f>
        <v>125514.17707890856</v>
      </c>
      <c r="AD17" s="14">
        <f>AC17*(1+Main!$L$10)</f>
        <v>126769.31884969764</v>
      </c>
      <c r="AE17" s="14">
        <f>AD17*(1+Main!$L$10)</f>
        <v>128037.01203819462</v>
      </c>
      <c r="AF17" s="14">
        <f>AE17*(1+Main!$L$10)</f>
        <v>129317.38215857657</v>
      </c>
      <c r="AG17" s="14">
        <f>AF17*(1+Main!$L$10)</f>
        <v>130610.55598016233</v>
      </c>
      <c r="AH17" s="14">
        <f>AG17*(1+Main!$L$10)</f>
        <v>131916.66153996394</v>
      </c>
      <c r="AI17" s="14">
        <f>AH17*(1+Main!$L$10)</f>
        <v>133235.82815536359</v>
      </c>
      <c r="AJ17" s="14">
        <f>AI17*(1+Main!$L$10)</f>
        <v>134568.18643691723</v>
      </c>
      <c r="AK17" s="14">
        <f>AJ17*(1+Main!$L$10)</f>
        <v>135913.86830128639</v>
      </c>
      <c r="AL17" s="14">
        <f>AK17*(1+Main!$L$10)</f>
        <v>137273.00698429925</v>
      </c>
      <c r="AM17" s="14">
        <f>AL17*(1+Main!$L$10)</f>
        <v>138645.73705414226</v>
      </c>
      <c r="AN17" s="14">
        <f>AM17*(1+Main!$L$10)</f>
        <v>140032.19442468369</v>
      </c>
      <c r="AO17" s="14">
        <f>AN17*(1+Main!$L$10)</f>
        <v>141432.51636893052</v>
      </c>
      <c r="AP17" s="14">
        <f>AO17*(1+Main!$L$10)</f>
        <v>142846.84153261982</v>
      </c>
      <c r="AQ17" s="14">
        <f>AP17*(1+Main!$L$10)</f>
        <v>144275.30994794602</v>
      </c>
      <c r="AR17" s="14">
        <f>AQ17*(1+Main!$L$10)</f>
        <v>145718.06304742547</v>
      </c>
      <c r="AS17" s="14">
        <f>AR17*(1+Main!$L$10)</f>
        <v>147175.24367789974</v>
      </c>
      <c r="AT17" s="14">
        <f>AS17*(1+Main!$L$10)</f>
        <v>148646.99611467874</v>
      </c>
      <c r="AU17" s="14">
        <f>AT17*(1+Main!$L$10)</f>
        <v>150133.46607582553</v>
      </c>
      <c r="AV17" s="14">
        <f>AU17*(1+Main!$L$10)</f>
        <v>151634.8007365838</v>
      </c>
      <c r="AW17" s="14">
        <f>AV17*(1+Main!$L$10)</f>
        <v>153151.14874394963</v>
      </c>
      <c r="AX17" s="14">
        <f>AW17*(1+Main!$L$10)</f>
        <v>154682.66023138913</v>
      </c>
      <c r="AY17" s="14">
        <f>AX17*(1+Main!$L$10)</f>
        <v>156229.48683370303</v>
      </c>
      <c r="AZ17" s="14">
        <f>AY17*(1+Main!$L$10)</f>
        <v>157791.78170204005</v>
      </c>
      <c r="BA17" s="14">
        <f>AZ17*(1+Main!$L$10)</f>
        <v>159369.69951906046</v>
      </c>
      <c r="BB17" s="14">
        <f>BA17*(1+Main!$L$10)</f>
        <v>160963.39651425107</v>
      </c>
      <c r="BC17" s="14">
        <f>BB17*(1+Main!$L$10)</f>
        <v>162573.03047939358</v>
      </c>
      <c r="BD17" s="14">
        <f>BC17*(1+Main!$L$10)</f>
        <v>164198.76078418753</v>
      </c>
      <c r="BE17" s="14">
        <f>BD17*(1+Main!$L$10)</f>
        <v>165840.7483920294</v>
      </c>
      <c r="BF17" s="14">
        <f>BE17*(1+Main!$L$10)</f>
        <v>167499.15587594971</v>
      </c>
      <c r="BG17" s="14">
        <f>BF17*(1+Main!$L$10)</f>
        <v>169174.14743470922</v>
      </c>
      <c r="BH17" s="14">
        <f>BG17*(1+Main!$L$10)</f>
        <v>170865.88890905632</v>
      </c>
      <c r="BI17" s="14">
        <f>BH17*(1+Main!$L$10)</f>
        <v>172574.54779814687</v>
      </c>
      <c r="BJ17" s="14">
        <f>BI17*(1+Main!$L$10)</f>
        <v>174300.29327612833</v>
      </c>
      <c r="BK17" s="14">
        <f>BJ17*(1+Main!$L$10)</f>
        <v>176043.2962088896</v>
      </c>
      <c r="BL17" s="14">
        <f>BK17*(1+Main!$L$10)</f>
        <v>177803.72917097851</v>
      </c>
      <c r="BM17" s="14">
        <f>BL17*(1+Main!$L$10)</f>
        <v>179581.76646268831</v>
      </c>
      <c r="BN17" s="14">
        <f>BM17*(1+Main!$L$10)</f>
        <v>181377.5841273152</v>
      </c>
      <c r="BO17" s="14">
        <f>BN17*(1+Main!$L$10)</f>
        <v>183191.35996858837</v>
      </c>
      <c r="BP17" s="14">
        <f>BO17*(1+Main!$L$10)</f>
        <v>185023.27356827425</v>
      </c>
      <c r="BQ17" s="14">
        <f>BP17*(1+Main!$L$10)</f>
        <v>186873.50630395699</v>
      </c>
      <c r="BR17" s="14">
        <f>BQ17*(1+Main!$L$10)</f>
        <v>188742.24136699658</v>
      </c>
      <c r="BS17" s="14">
        <f>BR17*(1+Main!$L$10)</f>
        <v>190629.66378066654</v>
      </c>
      <c r="BT17" s="14">
        <f>BS17*(1+Main!$L$10)</f>
        <v>192535.9604184732</v>
      </c>
      <c r="BU17" s="14">
        <f>BT17*(1+Main!$L$10)</f>
        <v>194461.32002265792</v>
      </c>
      <c r="BV17" s="14">
        <f>BU17*(1+Main!$L$10)</f>
        <v>196405.93322288452</v>
      </c>
      <c r="BW17" s="14">
        <f>BV17*(1+Main!$L$10)</f>
        <v>198369.99255511336</v>
      </c>
      <c r="BX17" s="14">
        <f>BW17*(1+Main!$L$10)</f>
        <v>200353.6924806645</v>
      </c>
      <c r="BY17" s="14">
        <f>BX17*(1+Main!$L$10)</f>
        <v>202357.22940547115</v>
      </c>
      <c r="BZ17" s="14">
        <f>BY17*(1+Main!$L$10)</f>
        <v>204380.80169952588</v>
      </c>
      <c r="CA17" s="14">
        <f>BZ17*(1+Main!$L$10)</f>
        <v>206424.60971652114</v>
      </c>
      <c r="CB17" s="14">
        <f>CA17*(1+Main!$L$10)</f>
        <v>208488.85581368636</v>
      </c>
      <c r="CC17" s="14">
        <f>CB17*(1+Main!$L$10)</f>
        <v>210573.74437182321</v>
      </c>
      <c r="CD17" s="14">
        <f>CC17*(1+Main!$L$10)</f>
        <v>212679.48181554145</v>
      </c>
      <c r="CE17" s="14">
        <f>CD17*(1+Main!$L$10)</f>
        <v>214806.27663369686</v>
      </c>
      <c r="CF17" s="14">
        <f>CE17*(1+Main!$L$10)</f>
        <v>216954.33940003384</v>
      </c>
      <c r="CG17" s="14">
        <f>CF17*(1+Main!$L$10)</f>
        <v>219123.88279403417</v>
      </c>
      <c r="CH17" s="14">
        <f>CG17*(1+Main!$L$10)</f>
        <v>221315.12162197451</v>
      </c>
      <c r="CI17" s="14">
        <f>CH17*(1+Main!$L$10)</f>
        <v>223528.27283819427</v>
      </c>
      <c r="CJ17" s="14">
        <f>CI17*(1+Main!$L$10)</f>
        <v>225763.55556657622</v>
      </c>
      <c r="CK17" s="14">
        <f>CJ17*(1+Main!$L$10)</f>
        <v>228021.19112224199</v>
      </c>
      <c r="CL17" s="14">
        <f>CK17*(1+Main!$L$10)</f>
        <v>230301.40303346442</v>
      </c>
      <c r="CM17" s="14">
        <f>CL17*(1+Main!$L$10)</f>
        <v>232604.41706379908</v>
      </c>
      <c r="CN17" s="14">
        <f>CM17*(1+Main!$L$10)</f>
        <v>234930.46123443707</v>
      </c>
      <c r="CO17" s="14">
        <f>CN17*(1+Main!$L$10)</f>
        <v>237279.76584678143</v>
      </c>
      <c r="CP17" s="14">
        <f>CO17*(1+Main!$L$10)</f>
        <v>239652.56350524924</v>
      </c>
      <c r="CQ17" s="14">
        <f>CP17*(1+Main!$L$10)</f>
        <v>242049.08914030174</v>
      </c>
      <c r="CR17" s="14">
        <f>CQ17*(1+Main!$L$10)</f>
        <v>244469.58003170477</v>
      </c>
      <c r="CS17" s="14">
        <f>CR17*(1+Main!$L$10)</f>
        <v>246914.27583202181</v>
      </c>
      <c r="CT17" s="14">
        <f>CS17*(1+Main!$L$10)</f>
        <v>249383.41859034204</v>
      </c>
      <c r="CU17" s="14">
        <f>CT17*(1+Main!$L$10)</f>
        <v>251877.25277624547</v>
      </c>
      <c r="CV17" s="14">
        <f>CU17*(1+Main!$L$10)</f>
        <v>254396.02530400793</v>
      </c>
      <c r="CW17" s="14">
        <f>CV17*(1+Main!$L$10)</f>
        <v>256939.985557048</v>
      </c>
      <c r="CX17" s="14">
        <f>CW17*(1+Main!$L$10)</f>
        <v>259509.38541261849</v>
      </c>
      <c r="CY17" s="14">
        <f>CX17*(1+Main!$L$10)</f>
        <v>262104.47926674469</v>
      </c>
      <c r="CZ17" s="14">
        <f>CY17*(1+Main!$L$10)</f>
        <v>264725.52405941213</v>
      </c>
      <c r="DA17" s="14">
        <f>CZ17*(1+Main!$L$10)</f>
        <v>267372.77930000622</v>
      </c>
      <c r="DB17" s="14">
        <f>DA17*(1+Main!$L$10)</f>
        <v>270046.50709300628</v>
      </c>
      <c r="DC17" s="14">
        <f>DB17*(1+Main!$L$10)</f>
        <v>272746.97216393636</v>
      </c>
      <c r="DD17" s="14">
        <f>DC17*(1+Main!$L$10)</f>
        <v>275474.44188557571</v>
      </c>
      <c r="DE17" s="14">
        <f>DD17*(1+Main!$L$10)</f>
        <v>278229.18630443147</v>
      </c>
      <c r="DF17" s="14">
        <f>DE17*(1+Main!$L$10)</f>
        <v>281011.47816747578</v>
      </c>
      <c r="DG17" s="14">
        <f>DF17*(1+Main!$L$10)</f>
        <v>283821.59294915054</v>
      </c>
      <c r="DH17" s="14">
        <f>DG17*(1+Main!$L$10)</f>
        <v>286659.80887864204</v>
      </c>
      <c r="DI17" s="14">
        <f>DH17*(1+Main!$L$10)</f>
        <v>289526.40696742845</v>
      </c>
      <c r="DJ17" s="14">
        <f>DI17*(1+Main!$L$10)</f>
        <v>292421.67103710276</v>
      </c>
      <c r="DK17" s="14">
        <f>DJ17*(1+Main!$L$10)</f>
        <v>295345.88774747378</v>
      </c>
      <c r="DL17" s="14">
        <f>DK17*(1+Main!$L$10)</f>
        <v>298299.34662494855</v>
      </c>
      <c r="DM17" s="14">
        <f>DL17*(1+Main!$L$10)</f>
        <v>301282.34009119804</v>
      </c>
      <c r="DN17" s="14">
        <f>DM17*(1+Main!$L$10)</f>
        <v>304295.16349211003</v>
      </c>
      <c r="DO17" s="14">
        <f>DN17*(1+Main!$L$10)</f>
        <v>307338.11512703111</v>
      </c>
      <c r="DP17" s="14">
        <f>DO17*(1+Main!$L$10)</f>
        <v>310411.49627830141</v>
      </c>
      <c r="DQ17" s="14">
        <f>DP17*(1+Main!$L$10)</f>
        <v>313515.61124108441</v>
      </c>
      <c r="DR17" s="14">
        <f>DQ17*(1+Main!$L$10)</f>
        <v>316650.76735349523</v>
      </c>
      <c r="DS17" s="14">
        <f>DR17*(1+Main!$L$10)</f>
        <v>319817.27502703021</v>
      </c>
      <c r="DT17" s="14">
        <f>DS17*(1+Main!$L$10)</f>
        <v>323015.44777730049</v>
      </c>
      <c r="DU17" s="14">
        <f>DT17*(1+Main!$L$10)</f>
        <v>326245.60225507349</v>
      </c>
      <c r="DV17" s="14">
        <f>DU17*(1+Main!$L$10)</f>
        <v>329508.05827762425</v>
      </c>
      <c r="DW17" s="14">
        <f>DV17*(1+Main!$L$10)</f>
        <v>332803.13886040048</v>
      </c>
      <c r="DX17" s="14">
        <f>DW17*(1+Main!$L$10)</f>
        <v>336131.1702490045</v>
      </c>
      <c r="DY17" s="14">
        <f>DX17*(1+Main!$L$10)</f>
        <v>339492.48195149453</v>
      </c>
      <c r="DZ17" s="14">
        <f>DY17*(1+Main!$L$10)</f>
        <v>342887.4067710095</v>
      </c>
      <c r="EA17" s="14">
        <f>DZ17*(1+Main!$L$10)</f>
        <v>346316.28083871957</v>
      </c>
      <c r="EB17" s="14">
        <f>EA17*(1+Main!$L$10)</f>
        <v>349779.44364710676</v>
      </c>
      <c r="EC17" s="14">
        <f>EB17*(1+Main!$L$10)</f>
        <v>353277.23808357783</v>
      </c>
      <c r="ED17" s="14">
        <f>EC17*(1+Main!$L$10)</f>
        <v>356810.01046441362</v>
      </c>
      <c r="EE17" s="14">
        <f>ED17*(1+Main!$L$10)</f>
        <v>360378.11056905775</v>
      </c>
      <c r="EF17" s="14">
        <f>EE17*(1+Main!$L$10)</f>
        <v>363981.89167474833</v>
      </c>
      <c r="EG17" s="14">
        <f>EF17*(1+Main!$L$10)</f>
        <v>367621.71059149579</v>
      </c>
      <c r="EH17" s="14">
        <f>EG17*(1+Main!$L$10)</f>
        <v>371297.92769741075</v>
      </c>
      <c r="EI17" s="14">
        <f>EH17*(1+Main!$L$10)</f>
        <v>375010.90697438485</v>
      </c>
      <c r="EJ17" s="14">
        <f>EI17*(1+Main!$L$10)</f>
        <v>378761.01604412869</v>
      </c>
      <c r="EK17" s="14">
        <f>EJ17*(1+Main!$L$10)</f>
        <v>382548.62620457</v>
      </c>
    </row>
    <row r="18" spans="2:141">
      <c r="B18" t="s">
        <v>24</v>
      </c>
      <c r="C18" s="8">
        <f>C17/C19</f>
        <v>2.1991525423728815</v>
      </c>
      <c r="D18" s="8">
        <f>D17/D19</f>
        <v>2.9816232771822357</v>
      </c>
      <c r="E18" s="8">
        <f>E17/E19</f>
        <v>4.3858386974630825</v>
      </c>
      <c r="F18" s="8">
        <f t="shared" ref="F18:G18" si="23">F17/F19</f>
        <v>5.3320654241156333</v>
      </c>
      <c r="G18" s="8">
        <f t="shared" si="23"/>
        <v>4.7119999999999997</v>
      </c>
      <c r="H18" s="8">
        <f>H17/H19</f>
        <v>5.1590038314176248</v>
      </c>
      <c r="I18" s="8">
        <f>I17/I19</f>
        <v>6.0338461538461541</v>
      </c>
      <c r="J18" s="8">
        <f>J17/J19</f>
        <v>7.2719199025284906</v>
      </c>
      <c r="K18" s="9"/>
      <c r="L18" s="8">
        <f t="shared" ref="L18:O18" si="24">L17/L19</f>
        <v>5.3903924221921518</v>
      </c>
      <c r="M18" s="8">
        <f t="shared" si="24"/>
        <v>7.5700102704553238</v>
      </c>
      <c r="N18" s="8">
        <f t="shared" si="24"/>
        <v>6.4273296244784426</v>
      </c>
      <c r="O18" s="8">
        <f t="shared" si="24"/>
        <v>10.092105263157896</v>
      </c>
      <c r="P18" s="8">
        <f>P17/P19</f>
        <v>13.770549143057012</v>
      </c>
      <c r="Q18" s="8">
        <f t="shared" ref="Q18:S18" si="25">Q17/Q19</f>
        <v>8.5862324204293117</v>
      </c>
      <c r="R18" s="8">
        <f t="shared" si="25"/>
        <v>14.871814378090528</v>
      </c>
      <c r="S18" s="8">
        <f t="shared" si="25"/>
        <v>23.303580134188724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2:141">
      <c r="B19" t="s">
        <v>2</v>
      </c>
      <c r="C19" s="9">
        <v>2596</v>
      </c>
      <c r="D19" s="9">
        <v>2612</v>
      </c>
      <c r="E19" s="9">
        <v>2641</v>
      </c>
      <c r="F19" s="9">
        <v>2629</v>
      </c>
      <c r="G19" s="9">
        <v>2625</v>
      </c>
      <c r="H19" s="9">
        <v>2610</v>
      </c>
      <c r="I19" s="9">
        <v>2600</v>
      </c>
      <c r="J19" s="9">
        <v>2590</v>
      </c>
      <c r="K19" s="9"/>
      <c r="L19" s="9">
        <v>2956</v>
      </c>
      <c r="M19" s="9">
        <v>2921</v>
      </c>
      <c r="N19" s="9">
        <v>2876</v>
      </c>
      <c r="O19" s="9">
        <v>2888</v>
      </c>
      <c r="P19" s="9">
        <v>2859</v>
      </c>
      <c r="Q19" s="9">
        <v>2702</v>
      </c>
      <c r="R19" s="9">
        <v>2629</v>
      </c>
      <c r="S19" s="9">
        <f>J19</f>
        <v>2590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2:141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2:141">
      <c r="B21" t="s">
        <v>25</v>
      </c>
      <c r="C21" s="10"/>
      <c r="D21" s="10"/>
      <c r="E21" s="10"/>
      <c r="F21" s="10"/>
      <c r="G21" s="10">
        <f>G6/C6-1</f>
        <v>0.27264793157619138</v>
      </c>
      <c r="H21" s="10">
        <f t="shared" ref="H21:I21" si="26">H6/D6-1</f>
        <v>0.2210069064658271</v>
      </c>
      <c r="I21" s="10">
        <f t="shared" si="26"/>
        <v>0.18868974404029748</v>
      </c>
      <c r="J21" s="10">
        <v>0.15</v>
      </c>
      <c r="K21" s="9"/>
      <c r="L21" s="9"/>
      <c r="M21" s="10">
        <f t="shared" ref="M21:P21" si="27">M6/L6-1</f>
        <v>0.37352716896661997</v>
      </c>
      <c r="N21" s="10">
        <f t="shared" si="27"/>
        <v>0.26610910132884413</v>
      </c>
      <c r="O21" s="10">
        <f t="shared" si="27"/>
        <v>0.21596390228722573</v>
      </c>
      <c r="P21" s="10">
        <f t="shared" si="27"/>
        <v>0.37182574303495608</v>
      </c>
      <c r="Q21" s="10">
        <f>Q6/P6-1</f>
        <v>-1.1193175554782941E-2</v>
      </c>
      <c r="R21" s="10">
        <f>R6/Q6-1</f>
        <v>0.15687468377226454</v>
      </c>
      <c r="S21" s="10">
        <f>S6/R6-1</f>
        <v>0.20898262738877116</v>
      </c>
      <c r="T21" s="10">
        <v>0.15</v>
      </c>
      <c r="U21" s="10">
        <v>0.15</v>
      </c>
      <c r="V21" s="10">
        <v>0.12</v>
      </c>
      <c r="W21" s="10">
        <v>0.1</v>
      </c>
      <c r="X21" s="10">
        <v>0.08</v>
      </c>
      <c r="Y21" s="10">
        <v>7.0000000000000007E-2</v>
      </c>
      <c r="Z21" s="10">
        <v>0.06</v>
      </c>
      <c r="AA21" s="10">
        <v>0.05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2:141">
      <c r="B22" t="s">
        <v>26</v>
      </c>
      <c r="C22" s="10">
        <f t="shared" ref="C22:F22" si="28">C8/C6</f>
        <v>0.7867690696456624</v>
      </c>
      <c r="D22" s="10">
        <f t="shared" si="28"/>
        <v>0.81421294415450485</v>
      </c>
      <c r="E22" s="10">
        <f t="shared" si="28"/>
        <v>0.81813389562467054</v>
      </c>
      <c r="F22" s="10">
        <f t="shared" si="28"/>
        <v>0.8081372157957718</v>
      </c>
      <c r="G22" s="10">
        <f>G8/G6</f>
        <v>0.81785763269784661</v>
      </c>
      <c r="H22" s="10">
        <f t="shared" ref="H22:J22" si="29">H8/H6</f>
        <v>0.81295590079598679</v>
      </c>
      <c r="I22" s="10">
        <f t="shared" si="29"/>
        <v>0.81830052477272164</v>
      </c>
      <c r="J22" s="10">
        <f t="shared" si="29"/>
        <v>0.80833379651729254</v>
      </c>
      <c r="K22" s="9"/>
      <c r="L22" s="10">
        <f t="shared" ref="L22" si="30">L8/L6</f>
        <v>0.86584015939783043</v>
      </c>
      <c r="M22" s="10">
        <f t="shared" ref="M22:O22" si="31">M8/M6</f>
        <v>0.8324617643898421</v>
      </c>
      <c r="N22" s="10">
        <f t="shared" si="31"/>
        <v>0.81936998741106415</v>
      </c>
      <c r="O22" s="10">
        <f t="shared" si="31"/>
        <v>0.80582795323678236</v>
      </c>
      <c r="P22" s="10">
        <f>P8/P6</f>
        <v>0.80794376277251567</v>
      </c>
      <c r="Q22" s="10">
        <f t="shared" ref="Q22:S22" si="32">Q8/Q6</f>
        <v>0.78347297378418479</v>
      </c>
      <c r="R22" s="10">
        <f t="shared" si="32"/>
        <v>0.8075714222176098</v>
      </c>
      <c r="S22" s="10">
        <f t="shared" si="32"/>
        <v>0.81405025586248037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2:141">
      <c r="B23" t="s">
        <v>27</v>
      </c>
      <c r="C23" s="10">
        <f t="shared" ref="C23:F23" si="33">C17/C6</f>
        <v>0.19930179787048349</v>
      </c>
      <c r="D23" s="10">
        <f t="shared" si="33"/>
        <v>0.24338260570642833</v>
      </c>
      <c r="E23" s="10">
        <f t="shared" si="33"/>
        <v>0.33921982076963625</v>
      </c>
      <c r="F23" s="10">
        <f t="shared" si="33"/>
        <v>0.34947147985640209</v>
      </c>
      <c r="G23" s="10">
        <f>G17/G6</f>
        <v>0.33929502125908656</v>
      </c>
      <c r="H23" s="10">
        <f t="shared" ref="H23:J23" si="34">H17/H6</f>
        <v>0.34462900872770086</v>
      </c>
      <c r="I23" s="10">
        <f t="shared" si="34"/>
        <v>0.38650865998176848</v>
      </c>
      <c r="J23" s="10">
        <f t="shared" si="34"/>
        <v>0.40090684410896732</v>
      </c>
      <c r="K23" s="9"/>
      <c r="L23" s="10">
        <f t="shared" ref="L23" si="35">L17/L6</f>
        <v>0.39195139350109465</v>
      </c>
      <c r="M23" s="10">
        <f t="shared" ref="M23:O23" si="36">M17/M6</f>
        <v>0.39600272216053584</v>
      </c>
      <c r="N23" s="10">
        <f t="shared" si="36"/>
        <v>0.26146795479298979</v>
      </c>
      <c r="O23" s="10">
        <f t="shared" si="36"/>
        <v>0.3390449601582039</v>
      </c>
      <c r="P23" s="10">
        <f>P17/P6</f>
        <v>0.33384494059985248</v>
      </c>
      <c r="Q23" s="10">
        <f t="shared" ref="Q23:S23" si="37">Q17/Q6</f>
        <v>0.19895548371051977</v>
      </c>
      <c r="R23" s="10">
        <f t="shared" si="37"/>
        <v>0.28982520644616094</v>
      </c>
      <c r="S23" s="10">
        <f t="shared" si="37"/>
        <v>0.37007007006590414</v>
      </c>
      <c r="T23" s="10">
        <v>0.35</v>
      </c>
      <c r="U23" s="10">
        <v>0.36</v>
      </c>
      <c r="V23" s="10">
        <v>0.36</v>
      </c>
      <c r="W23" s="10">
        <v>0.36</v>
      </c>
      <c r="X23" s="10">
        <f>W23</f>
        <v>0.36</v>
      </c>
      <c r="Y23" s="10">
        <f t="shared" ref="Y23:AA23" si="38">X23</f>
        <v>0.36</v>
      </c>
      <c r="Z23" s="10">
        <f t="shared" si="38"/>
        <v>0.36</v>
      </c>
      <c r="AA23" s="10">
        <f t="shared" si="38"/>
        <v>0.36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2:141">
      <c r="B24" t="s">
        <v>28</v>
      </c>
      <c r="C24" s="10">
        <f t="shared" ref="C24:F24" si="39">C16/C15</f>
        <v>0.21869440262761736</v>
      </c>
      <c r="D24" s="10">
        <f t="shared" si="39"/>
        <v>0.16194985472936618</v>
      </c>
      <c r="E24" s="10">
        <f t="shared" si="39"/>
        <v>0.1738231098430813</v>
      </c>
      <c r="F24" s="10">
        <f t="shared" si="39"/>
        <v>0.16599238457877202</v>
      </c>
      <c r="G24" s="10">
        <f>G16/G15</f>
        <v>0.12789959811041388</v>
      </c>
      <c r="H24" s="10">
        <f t="shared" ref="H24:J24" si="40">H16/H15</f>
        <v>0.10863233152389778</v>
      </c>
      <c r="I24" s="10">
        <f t="shared" si="40"/>
        <v>0.11973964762652901</v>
      </c>
      <c r="J24" s="10">
        <f t="shared" si="40"/>
        <v>0.16599238457877202</v>
      </c>
      <c r="K24" s="9"/>
      <c r="L24" s="10">
        <f t="shared" ref="L24" si="41">L16/L15</f>
        <v>0.22627949888316987</v>
      </c>
      <c r="M24" s="10">
        <f t="shared" ref="M24:O24" si="42">M16/M15</f>
        <v>0.12811009029612397</v>
      </c>
      <c r="N24" s="10">
        <f t="shared" si="42"/>
        <v>0.25499758181525067</v>
      </c>
      <c r="O24" s="10">
        <f t="shared" si="42"/>
        <v>0.12157926461723931</v>
      </c>
      <c r="P24" s="10">
        <f>P16/P15</f>
        <v>0.16737162676592504</v>
      </c>
      <c r="Q24" s="10">
        <f t="shared" ref="Q24:S24" si="43">Q16/Q15</f>
        <v>0.19497553697213643</v>
      </c>
      <c r="R24" s="10">
        <f t="shared" si="43"/>
        <v>0.17563464620055663</v>
      </c>
      <c r="S24" s="10">
        <f t="shared" si="43"/>
        <v>0.13397998909429254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2:141"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10"/>
      <c r="R25" s="10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2:141"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10"/>
      <c r="R26" s="10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2:141"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10"/>
      <c r="R27" s="10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2:141"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2:141"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2:141"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</sheetData>
  <phoneticPr fontId="4" type="noConversion"/>
  <hyperlinks>
    <hyperlink ref="A1" location="Main!A1" display="Main" xr:uid="{18EF05D2-1B1A-EB4E-9CD2-C626C84ED0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2025-01-03T16:45:54Z</dcterms:created>
  <dcterms:modified xsi:type="dcterms:W3CDTF">2025-01-23T16:51:37Z</dcterms:modified>
</cp:coreProperties>
</file>