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53F455A0-3DF6-E14D-8C28-45BA1424C660}" xr6:coauthVersionLast="47" xr6:coauthVersionMax="47" xr10:uidLastSave="{00000000-0000-0000-0000-000000000000}"/>
  <bookViews>
    <workbookView xWindow="0" yWindow="720" windowWidth="29400" windowHeight="18400" activeTab="1" xr2:uid="{3BDED087-3407-8241-8728-00B8A6385B6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2" l="1"/>
  <c r="AB24" i="2"/>
  <c r="AB26" i="2"/>
  <c r="AB27" i="2"/>
  <c r="AB28" i="2"/>
  <c r="AB29" i="2"/>
  <c r="AA18" i="2"/>
  <c r="AA19" i="2"/>
  <c r="AB19" i="2"/>
  <c r="AB16" i="2"/>
  <c r="AB14" i="2"/>
  <c r="AB13" i="2"/>
  <c r="AB10" i="2"/>
  <c r="AB9" i="2"/>
  <c r="AB8" i="2"/>
  <c r="AB7" i="2"/>
  <c r="AB6" i="2"/>
  <c r="AB5" i="2"/>
  <c r="S5" i="2"/>
  <c r="T27" i="2"/>
  <c r="U27" i="2"/>
  <c r="V27" i="2"/>
  <c r="W27" i="2"/>
  <c r="X27" i="2"/>
  <c r="Y27" i="2"/>
  <c r="Z27" i="2"/>
  <c r="AA27" i="2"/>
  <c r="T28" i="2"/>
  <c r="U28" i="2"/>
  <c r="V28" i="2"/>
  <c r="W28" i="2"/>
  <c r="X28" i="2"/>
  <c r="Y28" i="2"/>
  <c r="Z28" i="2"/>
  <c r="AA28" i="2"/>
  <c r="T29" i="2"/>
  <c r="U29" i="2"/>
  <c r="V29" i="2"/>
  <c r="W29" i="2"/>
  <c r="X29" i="2"/>
  <c r="Y29" i="2"/>
  <c r="Z29" i="2"/>
  <c r="AA29" i="2"/>
  <c r="T26" i="2"/>
  <c r="U26" i="2"/>
  <c r="V26" i="2"/>
  <c r="W26" i="2"/>
  <c r="X26" i="2"/>
  <c r="U14" i="2"/>
  <c r="V14" i="2" s="1"/>
  <c r="W14" i="2" s="1"/>
  <c r="X14" i="2" s="1"/>
  <c r="Y14" i="2" s="1"/>
  <c r="Z14" i="2" s="1"/>
  <c r="AA14" i="2" s="1"/>
  <c r="T14" i="2"/>
  <c r="U13" i="2"/>
  <c r="V13" i="2" s="1"/>
  <c r="W13" i="2" s="1"/>
  <c r="X13" i="2" s="1"/>
  <c r="Y13" i="2" s="1"/>
  <c r="Z13" i="2" s="1"/>
  <c r="AA13" i="2" s="1"/>
  <c r="T13" i="2"/>
  <c r="AA10" i="2"/>
  <c r="Z10" i="2"/>
  <c r="X10" i="2"/>
  <c r="Y10" i="2" s="1"/>
  <c r="W10" i="2"/>
  <c r="U10" i="2"/>
  <c r="V10" i="2" s="1"/>
  <c r="T10" i="2"/>
  <c r="Z9" i="2"/>
  <c r="AA9" i="2" s="1"/>
  <c r="Y9" i="2"/>
  <c r="W9" i="2"/>
  <c r="X9" i="2" s="1"/>
  <c r="V9" i="2"/>
  <c r="U9" i="2"/>
  <c r="T9" i="2"/>
  <c r="T11" i="2" s="1"/>
  <c r="X6" i="2"/>
  <c r="V6" i="2"/>
  <c r="U6" i="2"/>
  <c r="T6" i="2"/>
  <c r="U8" i="2"/>
  <c r="V8" i="2" s="1"/>
  <c r="T8" i="2"/>
  <c r="J5" i="2"/>
  <c r="R5" i="2"/>
  <c r="S27" i="2"/>
  <c r="S28" i="2"/>
  <c r="S29" i="2"/>
  <c r="S26" i="2"/>
  <c r="Q26" i="2"/>
  <c r="R26" i="2"/>
  <c r="P26" i="2"/>
  <c r="S14" i="2"/>
  <c r="S13" i="2"/>
  <c r="S10" i="2"/>
  <c r="P28" i="2"/>
  <c r="Q28" i="2"/>
  <c r="R28" i="2"/>
  <c r="P29" i="2"/>
  <c r="Q29" i="2"/>
  <c r="R29" i="2"/>
  <c r="Q27" i="2"/>
  <c r="R27" i="2"/>
  <c r="P27" i="2"/>
  <c r="S6" i="2"/>
  <c r="J14" i="2"/>
  <c r="J13" i="2"/>
  <c r="J10" i="2"/>
  <c r="J8" i="2"/>
  <c r="J6" i="2"/>
  <c r="R14" i="2"/>
  <c r="R13" i="2"/>
  <c r="R10" i="2"/>
  <c r="R9" i="2"/>
  <c r="R8" i="2"/>
  <c r="R6" i="2"/>
  <c r="P12" i="2"/>
  <c r="P15" i="2" s="1"/>
  <c r="P17" i="2" s="1"/>
  <c r="P18" i="2" s="1"/>
  <c r="Q11" i="2"/>
  <c r="Q12" i="2" s="1"/>
  <c r="Q15" i="2" s="1"/>
  <c r="Q17" i="2" s="1"/>
  <c r="Q18" i="2" s="1"/>
  <c r="P11" i="2"/>
  <c r="Q7" i="2"/>
  <c r="P7" i="2"/>
  <c r="F5" i="2"/>
  <c r="F6" i="2"/>
  <c r="L5" i="1"/>
  <c r="J9" i="2"/>
  <c r="F19" i="2"/>
  <c r="F16" i="2"/>
  <c r="F14" i="2"/>
  <c r="F13" i="2"/>
  <c r="F10" i="2"/>
  <c r="F9" i="2"/>
  <c r="F8" i="2"/>
  <c r="J19" i="2"/>
  <c r="K11" i="2"/>
  <c r="K12" i="2" s="1"/>
  <c r="K15" i="2" s="1"/>
  <c r="L11" i="2"/>
  <c r="M11" i="2"/>
  <c r="N11" i="2"/>
  <c r="O11" i="2"/>
  <c r="AB11" i="2"/>
  <c r="AB12" i="2" s="1"/>
  <c r="AC11" i="2"/>
  <c r="AC12" i="2" s="1"/>
  <c r="AC15" i="2" s="1"/>
  <c r="AD11" i="2"/>
  <c r="AD12" i="2" s="1"/>
  <c r="AE11" i="2"/>
  <c r="AE12" i="2" s="1"/>
  <c r="AF11" i="2"/>
  <c r="AF12" i="2" s="1"/>
  <c r="AG11" i="2"/>
  <c r="AG12" i="2" s="1"/>
  <c r="E11" i="2"/>
  <c r="AC6" i="2"/>
  <c r="AD6" i="2"/>
  <c r="AE6" i="2"/>
  <c r="AF6" i="2"/>
  <c r="AG6" i="2"/>
  <c r="C11" i="2"/>
  <c r="D11" i="2"/>
  <c r="G11" i="2"/>
  <c r="H11" i="2"/>
  <c r="AH11" i="2"/>
  <c r="AH12" i="2" s="1"/>
  <c r="AI11" i="2"/>
  <c r="AI12" i="2" s="1"/>
  <c r="AJ11" i="2"/>
  <c r="AJ12" i="2" s="1"/>
  <c r="AK11" i="2"/>
  <c r="AK12" i="2" s="1"/>
  <c r="L4" i="1"/>
  <c r="AB15" i="2" l="1"/>
  <c r="U11" i="2"/>
  <c r="V11" i="2"/>
  <c r="W8" i="2"/>
  <c r="S9" i="2"/>
  <c r="S8" i="2"/>
  <c r="R21" i="2"/>
  <c r="R11" i="2"/>
  <c r="M21" i="2"/>
  <c r="L7" i="2"/>
  <c r="L12" i="2" s="1"/>
  <c r="L15" i="2" s="1"/>
  <c r="I21" i="2"/>
  <c r="E7" i="2"/>
  <c r="E12" i="2" s="1"/>
  <c r="I11" i="2"/>
  <c r="J11" i="2"/>
  <c r="G7" i="2"/>
  <c r="N7" i="2"/>
  <c r="N12" i="2" s="1"/>
  <c r="N15" i="2" s="1"/>
  <c r="M7" i="2"/>
  <c r="M12" i="2" s="1"/>
  <c r="M15" i="2" s="1"/>
  <c r="O7" i="2"/>
  <c r="O12" i="2" s="1"/>
  <c r="O15" i="2" s="1"/>
  <c r="F11" i="2"/>
  <c r="S19" i="2"/>
  <c r="T19" i="2" s="1"/>
  <c r="U19" i="2" s="1"/>
  <c r="V19" i="2" s="1"/>
  <c r="W19" i="2" s="1"/>
  <c r="X19" i="2" s="1"/>
  <c r="Y19" i="2" s="1"/>
  <c r="Z19" i="2" s="1"/>
  <c r="G21" i="2"/>
  <c r="H21" i="2"/>
  <c r="C7" i="2"/>
  <c r="D7" i="2"/>
  <c r="D22" i="2" s="1"/>
  <c r="H7" i="2"/>
  <c r="N21" i="2"/>
  <c r="O21" i="2"/>
  <c r="P21" i="2"/>
  <c r="Q21" i="2"/>
  <c r="L7" i="1"/>
  <c r="W11" i="2" l="1"/>
  <c r="X8" i="2"/>
  <c r="E15" i="2"/>
  <c r="E17" i="2" s="1"/>
  <c r="L22" i="2"/>
  <c r="J7" i="2"/>
  <c r="J22" i="2" s="1"/>
  <c r="J21" i="2"/>
  <c r="I7" i="2"/>
  <c r="I12" i="2" s="1"/>
  <c r="I15" i="2" s="1"/>
  <c r="S11" i="2"/>
  <c r="M17" i="2"/>
  <c r="Q22" i="2"/>
  <c r="F7" i="2"/>
  <c r="F22" i="2" s="1"/>
  <c r="L17" i="2"/>
  <c r="L24" i="2"/>
  <c r="G12" i="2"/>
  <c r="G15" i="2" s="1"/>
  <c r="G22" i="2"/>
  <c r="C12" i="2"/>
  <c r="C15" i="2" s="1"/>
  <c r="C22" i="2"/>
  <c r="E22" i="2"/>
  <c r="H12" i="2"/>
  <c r="H15" i="2" s="1"/>
  <c r="H22" i="2"/>
  <c r="P22" i="2"/>
  <c r="N17" i="2"/>
  <c r="O17" i="2"/>
  <c r="M22" i="2"/>
  <c r="D12" i="2"/>
  <c r="D15" i="2" s="1"/>
  <c r="O22" i="2"/>
  <c r="N22" i="2"/>
  <c r="Y8" i="2" l="1"/>
  <c r="X11" i="2"/>
  <c r="R7" i="2"/>
  <c r="R12" i="2" s="1"/>
  <c r="R15" i="2" s="1"/>
  <c r="E18" i="2"/>
  <c r="E23" i="2"/>
  <c r="I22" i="2"/>
  <c r="P23" i="2"/>
  <c r="Q23" i="2"/>
  <c r="L18" i="2"/>
  <c r="L23" i="2"/>
  <c r="M18" i="2"/>
  <c r="M23" i="2"/>
  <c r="N18" i="2"/>
  <c r="N23" i="2"/>
  <c r="O18" i="2"/>
  <c r="O23" i="2"/>
  <c r="J12" i="2"/>
  <c r="J15" i="2" s="1"/>
  <c r="F12" i="2"/>
  <c r="F15" i="2" s="1"/>
  <c r="H17" i="2"/>
  <c r="H24" i="2"/>
  <c r="I17" i="2" s="1"/>
  <c r="D17" i="2"/>
  <c r="D24" i="2"/>
  <c r="E24" i="2"/>
  <c r="C17" i="2"/>
  <c r="C24" i="2"/>
  <c r="G17" i="2"/>
  <c r="G24" i="2"/>
  <c r="M24" i="2"/>
  <c r="Q24" i="2"/>
  <c r="N24" i="2"/>
  <c r="P24" i="2"/>
  <c r="O24" i="2"/>
  <c r="Y11" i="2" l="1"/>
  <c r="Z8" i="2"/>
  <c r="I24" i="2"/>
  <c r="R16" i="2" s="1"/>
  <c r="G18" i="2"/>
  <c r="G23" i="2"/>
  <c r="C18" i="2"/>
  <c r="C23" i="2"/>
  <c r="D18" i="2"/>
  <c r="D23" i="2"/>
  <c r="H18" i="2"/>
  <c r="H23" i="2"/>
  <c r="I18" i="2"/>
  <c r="I23" i="2"/>
  <c r="R22" i="2"/>
  <c r="Z11" i="2" l="1"/>
  <c r="AA8" i="2"/>
  <c r="AA11" i="2" s="1"/>
  <c r="J24" i="2"/>
  <c r="J17" i="2"/>
  <c r="J23" i="2" s="1"/>
  <c r="F17" i="2"/>
  <c r="F18" i="2" l="1"/>
  <c r="F23" i="2"/>
  <c r="F24" i="2"/>
  <c r="J18" i="2"/>
  <c r="R17" i="2"/>
  <c r="R24" i="2"/>
  <c r="T5" i="2"/>
  <c r="S7" i="2"/>
  <c r="T7" i="2" l="1"/>
  <c r="R18" i="2"/>
  <c r="R23" i="2"/>
  <c r="S12" i="2"/>
  <c r="S22" i="2"/>
  <c r="U5" i="2"/>
  <c r="U7" i="2" s="1"/>
  <c r="U12" i="2" l="1"/>
  <c r="U15" i="2" s="1"/>
  <c r="U22" i="2"/>
  <c r="T22" i="2"/>
  <c r="T12" i="2"/>
  <c r="T15" i="2" s="1"/>
  <c r="S15" i="2"/>
  <c r="V5" i="2"/>
  <c r="T17" i="2" l="1"/>
  <c r="T18" i="2" s="1"/>
  <c r="T24" i="2"/>
  <c r="U16" i="2"/>
  <c r="U24" i="2" s="1"/>
  <c r="V7" i="2"/>
  <c r="W6" i="2"/>
  <c r="S16" i="2"/>
  <c r="S24" i="2" s="1"/>
  <c r="W5" i="2"/>
  <c r="W7" i="2" s="1"/>
  <c r="U17" i="2" l="1"/>
  <c r="U18" i="2" s="1"/>
  <c r="W12" i="2"/>
  <c r="W15" i="2" s="1"/>
  <c r="W22" i="2"/>
  <c r="V12" i="2"/>
  <c r="V15" i="2" s="1"/>
  <c r="V22" i="2"/>
  <c r="S17" i="2"/>
  <c r="X5" i="2"/>
  <c r="X7" i="2" s="1"/>
  <c r="X12" i="2" l="1"/>
  <c r="X15" i="2" s="1"/>
  <c r="X22" i="2"/>
  <c r="V16" i="2"/>
  <c r="V24" i="2" s="1"/>
  <c r="V17" i="2"/>
  <c r="V18" i="2" s="1"/>
  <c r="W16" i="2"/>
  <c r="W24" i="2" s="1"/>
  <c r="W17" i="2"/>
  <c r="W18" i="2" s="1"/>
  <c r="S23" i="2"/>
  <c r="S18" i="2"/>
  <c r="Y5" i="2"/>
  <c r="Y6" i="2" l="1"/>
  <c r="Y26" i="2" s="1"/>
  <c r="X16" i="2"/>
  <c r="X24" i="2" s="1"/>
  <c r="X17" i="2"/>
  <c r="Z5" i="2"/>
  <c r="X18" i="2"/>
  <c r="Y7" i="2" l="1"/>
  <c r="AA5" i="2"/>
  <c r="Y12" i="2" l="1"/>
  <c r="Y15" i="2" s="1"/>
  <c r="Y22" i="2"/>
  <c r="Z6" i="2" s="1"/>
  <c r="Z26" i="2" l="1"/>
  <c r="Z7" i="2"/>
  <c r="Y16" i="2"/>
  <c r="Y24" i="2" s="1"/>
  <c r="Y17" i="2" l="1"/>
  <c r="Y18" i="2" s="1"/>
  <c r="Z12" i="2"/>
  <c r="Z15" i="2" s="1"/>
  <c r="Z22" i="2"/>
  <c r="AA6" i="2" s="1"/>
  <c r="AA26" i="2" l="1"/>
  <c r="AA7" i="2"/>
  <c r="Z16" i="2"/>
  <c r="Z24" i="2" s="1"/>
  <c r="Z17" i="2"/>
  <c r="Z18" i="2" l="1"/>
  <c r="AA12" i="2"/>
  <c r="AA15" i="2" s="1"/>
  <c r="AA22" i="2"/>
  <c r="AA16" i="2" l="1"/>
  <c r="AA24" i="2" s="1"/>
  <c r="AA17" i="2" l="1"/>
  <c r="AB17" i="2" l="1"/>
  <c r="AC17" i="2" l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EF17" i="2" s="1"/>
  <c r="EG17" i="2" s="1"/>
  <c r="EH17" i="2" s="1"/>
  <c r="EI17" i="2" s="1"/>
  <c r="EJ17" i="2" s="1"/>
  <c r="EK17" i="2" s="1"/>
  <c r="EL17" i="2" s="1"/>
  <c r="EM17" i="2" s="1"/>
  <c r="EN17" i="2" s="1"/>
  <c r="EO17" i="2" s="1"/>
  <c r="EP17" i="2" s="1"/>
  <c r="EQ17" i="2" s="1"/>
  <c r="ER17" i="2" s="1"/>
  <c r="ES17" i="2" s="1"/>
  <c r="ET17" i="2" s="1"/>
  <c r="EU17" i="2" s="1"/>
  <c r="EV17" i="2" s="1"/>
  <c r="AB18" i="2"/>
  <c r="L12" i="1"/>
  <c r="L13" i="1" s="1"/>
  <c r="L15" i="1" s="1"/>
</calcChain>
</file>

<file path=xl/sharedStrings.xml><?xml version="1.0" encoding="utf-8"?>
<sst xmlns="http://schemas.openxmlformats.org/spreadsheetml/2006/main" count="45" uniqueCount="41">
  <si>
    <t>Price</t>
  </si>
  <si>
    <t>Shares</t>
  </si>
  <si>
    <t>Q424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</si>
  <si>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</si>
  <si>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</si>
  <si>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</si>
  <si>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</si>
  <si>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</si>
  <si>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</si>
  <si>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</si>
  <si>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</si>
  <si>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Main</t>
  </si>
  <si>
    <t>Revenue</t>
  </si>
  <si>
    <t>Q123</t>
  </si>
  <si>
    <t>Q223</t>
  </si>
  <si>
    <t>Q323</t>
  </si>
  <si>
    <t>Q423</t>
  </si>
  <si>
    <t>Q124</t>
  </si>
  <si>
    <t>Q224</t>
  </si>
  <si>
    <t>Q324</t>
  </si>
  <si>
    <t>COGS</t>
  </si>
  <si>
    <t>Gross profit</t>
  </si>
  <si>
    <t>OPEX</t>
  </si>
  <si>
    <t>OPINC</t>
  </si>
  <si>
    <t>Pretax</t>
  </si>
  <si>
    <t>tax</t>
  </si>
  <si>
    <t>Net income</t>
  </si>
  <si>
    <t>EPS</t>
  </si>
  <si>
    <t>Revenue y/y</t>
  </si>
  <si>
    <t>gross margin%</t>
  </si>
  <si>
    <t>profit margin%</t>
  </si>
  <si>
    <t>tax%</t>
  </si>
  <si>
    <t>other</t>
  </si>
  <si>
    <t>S&amp;M</t>
  </si>
  <si>
    <t>G&amp;A</t>
  </si>
  <si>
    <t>R&amp;D</t>
  </si>
  <si>
    <t>interest income</t>
  </si>
  <si>
    <t>cogs y/y</t>
  </si>
  <si>
    <t>s&amp;m y/y</t>
  </si>
  <si>
    <t>r&amp;d y/y</t>
  </si>
  <si>
    <t>g&amp;a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</si>
</sst>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2"/>
      <color theme="1"/>
      <name val="ArialMT"/>
      <family val="2"/>
    </font>
    <font>
      <sz val="12"/>
      <color theme="1"/>
      <name val="ArialMT"/>
      <family val="2"/>
    </font>
    <font>
      <sz val="12"/>
      <color theme="1"/>
      <name val="Arial"/>
      <family val="2"/>
    </font>
    <font>
      <u/>
      <sz val="12"/>
      <color theme="10"/>
      <name val="ArialMT"/>
      <family val="2"/>
    </font>
    <font>
      <sz val="8"/>
      <name val="ArialMT"/>
      <family val="2"/>
    </font>
    <font>
      <i/>
      <sz val="12"/>
      <color theme="1"/>
      <name val="ArialMT"/>
    </font>
    <font>
      <b/>
      <i/>
      <sz val="12"/>
      <color theme="1"/>
      <name val="ArialMT"/>
    </font>
    <font>
      <sz val="12"/>
      <color theme="1"/>
      <name val="ArialMT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4" fontId="2" fillId="0" borderId="0" xfId="1" applyNumberFormat="1" applyFont="1"/>
    <xf numFmtId="9" fontId="0" fillId="0" borderId="0" xfId="2" applyFont="1"/>
    <xf numFmtId="0" fontId="3" fillId="0" borderId="0" xfId="3"/>
    <xf numFmtId="3" fontId="0" fillId="0" borderId="0" xfId="0" applyNumberFormat="1"/>
    <xf numFmtId="0" fontId="5" fillId="0" borderId="0" xfId="0" applyFont="1"/>
    <xf numFmtId="3" fontId="5" fillId="0" borderId="0" xfId="0" applyNumberFormat="1" applyFont="1"/>
    <xf numFmtId="4" fontId="5" fillId="0" borderId="0" xfId="0" applyNumberFormat="1" applyFont="1"/>
    <xf numFmtId="10" fontId="0" fillId="0" borderId="0" xfId="2" applyNumberFormat="1" applyFont="1"/>
    <xf numFmtId="0" fontId="6" fillId="0" borderId="0" xfId="0" applyFont="1"/>
    <xf numFmtId="3" fontId="6" fillId="0" borderId="0" xfId="0" applyNumberFormat="1" applyFont="1"/>
    <xf numFmtId="20" fontId="0" fillId="0" borderId="0" xfId="0" applyNumberFormat="1" applyAlignment="1">
      <alignment horizontal="left"/>
    </xf>
    <xf numFmtId="14" fontId="0" fillId="0" borderId="0" xfId="0" applyNumberFormat="1"/>
    <xf numFmtId="3" fontId="7" fillId="0" borderId="0" xfId="0" applyNumberFormat="1" applyFont="1"/>
    <xf numFmtId="3" fontId="8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939800</xdr:colOff>
      <xdr:row>2</xdr:row>
      <xdr:rowOff>25400</xdr:rowOff>
    </xdr:from>
    <xdr:to>
      <xdr:col>18</xdr:col>
      <xdr:colOff>0</xdr:colOff>
      <xdr:row>33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95A159D-4CF3-DC21-ECBD-2651AD514B9D}"/>
            </a:ext>
          </a:extLst>
        </xdr:cNvPr>
        <xdr:cNvCxnSpPr/>
      </xdr:nvCxnSpPr>
      <xdr:spPr>
        <a:xfrm flipH="1">
          <a:off x="17830800" y="431800"/>
          <a:ext cx="12700" cy="6413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5623-B6AF-424A-9429-F5411A9FAD84}">
  <dimension ref="G1:M15"/>
  <sheetViews>
    <sheetView topLeftCell="F1" workbookViewId="0">
      <selection activeCell="L11" sqref="L11"/>
    </sheetView>
  </sheetViews>
  <sheetFormatPr baseColWidth="10" defaultRowHeight="16"/>
  <sheetData>
    <row r="1" spans="7:13">
      <c r="M1" s="16">
        <v>45675</v>
      </c>
    </row>
    <row r="2" spans="7:13">
      <c r="K2" s="1" t="s">
        <v>0</v>
      </c>
      <c r="L2" s="2">
        <v>170</v>
      </c>
    </row>
    <row r="3" spans="7:13">
      <c r="K3" s="1" t="s">
        <v>1</v>
      </c>
      <c r="L3" s="3">
        <v>330.1</v>
      </c>
      <c r="M3" t="s">
        <v>19</v>
      </c>
    </row>
    <row r="4" spans="7:13">
      <c r="K4" s="1" t="s">
        <v>3</v>
      </c>
      <c r="L4" s="3">
        <f>L2*L3</f>
        <v>56117.000000000007</v>
      </c>
    </row>
    <row r="5" spans="7:13">
      <c r="K5" s="1" t="s">
        <v>4</v>
      </c>
      <c r="L5" s="3">
        <f>2149+2008</f>
        <v>4157</v>
      </c>
      <c r="M5" t="s">
        <v>19</v>
      </c>
    </row>
    <row r="6" spans="7:13">
      <c r="K6" s="1" t="s">
        <v>5</v>
      </c>
      <c r="L6" s="3">
        <v>2269</v>
      </c>
      <c r="M6" t="s">
        <v>19</v>
      </c>
    </row>
    <row r="7" spans="7:13">
      <c r="K7" s="1" t="s">
        <v>6</v>
      </c>
      <c r="L7" s="3">
        <f>L4-L5+L6</f>
        <v>54229.000000000007</v>
      </c>
    </row>
    <row r="8" spans="7:13">
      <c r="K8" s="1"/>
      <c r="L8" s="1"/>
    </row>
    <row r="9" spans="7:13">
      <c r="K9" s="1"/>
      <c r="L9" s="1"/>
    </row>
    <row r="10" spans="7:13">
      <c r="K10" s="1" t="s">
        <v>7</v>
      </c>
      <c r="L10" s="4">
        <v>0.01</v>
      </c>
    </row>
    <row r="11" spans="7:13">
      <c r="G11" s="15"/>
      <c r="K11" s="1" t="s">
        <v>8</v>
      </c>
      <c r="L11" s="4">
        <v>9.5000000000000001E-2</v>
      </c>
    </row>
    <row r="12" spans="7:13">
      <c r="K12" s="1" t="s">
        <v>9</v>
      </c>
      <c r="L12" s="2">
        <f>NPV(L11,Model!S17:EV17)+L5-L6</f>
        <v>56800.952883425169</v>
      </c>
    </row>
    <row r="13" spans="7:13">
      <c r="K13" s="1" t="s">
        <v>10</v>
      </c>
      <c r="L13" s="5">
        <f>L12/L3</f>
        <v>172.07195662958244</v>
      </c>
    </row>
    <row r="15" spans="7:13">
      <c r="L15" s="6">
        <f>L13/L2-1</f>
        <v>1.2187980174014346E-2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727C-CA7F-E746-8E42-955BCD0EE802}">
  <dimension ref="A1:EV29"/>
  <sheetViews>
    <sheetView tabSelected="1" workbookViewId="0">
      <pane xSplit="2" ySplit="4" topLeftCell="O5" activePane="bottomRight" state="frozen"/>
      <selection pane="topRight" activeCell="C1" sqref="C1"/>
      <selection pane="bottomLeft" activeCell="A5" sqref="A5"/>
      <selection pane="bottomRight" activeCell="X25" sqref="X25"/>
    </sheetView>
  </sheetViews>
  <sheetFormatPr baseColWidth="10" defaultRowHeight="16"/>
  <cols>
    <col min="1" max="1" width="4.85546875" bestFit="1" customWidth="1"/>
    <col min="2" max="2" width="24.42578125" bestFit="1" customWidth="1"/>
  </cols>
  <sheetData>
    <row r="1" spans="1:37">
      <c r="A1" s="7" t="s">
        <v>11</v>
      </c>
    </row>
    <row r="4" spans="1:37"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</v>
      </c>
      <c r="L4">
        <v>2019</v>
      </c>
      <c r="M4">
        <v>2020</v>
      </c>
      <c r="N4">
        <v>2021</v>
      </c>
      <c r="O4">
        <v>2022</v>
      </c>
      <c r="P4">
        <v>2023</v>
      </c>
      <c r="Q4">
        <v>2024</v>
      </c>
      <c r="R4">
        <v>2025</v>
      </c>
      <c r="S4">
        <v>2026</v>
      </c>
      <c r="T4">
        <v>2027</v>
      </c>
      <c r="U4">
        <v>2028</v>
      </c>
      <c r="V4">
        <v>2029</v>
      </c>
      <c r="W4">
        <v>2030</v>
      </c>
      <c r="X4">
        <v>2031</v>
      </c>
      <c r="Y4">
        <v>2032</v>
      </c>
      <c r="Z4">
        <v>2033</v>
      </c>
      <c r="AA4">
        <v>2034</v>
      </c>
      <c r="AB4">
        <v>2035</v>
      </c>
    </row>
    <row r="5" spans="1:37" s="18" customFormat="1">
      <c r="B5" s="18" t="s">
        <v>12</v>
      </c>
      <c r="C5" s="18">
        <v>623</v>
      </c>
      <c r="D5" s="18">
        <v>674</v>
      </c>
      <c r="E5" s="18">
        <v>734</v>
      </c>
      <c r="F5" s="8">
        <f>Q5-SUM(C5:E5)</f>
        <v>775</v>
      </c>
      <c r="G5" s="18">
        <v>829</v>
      </c>
      <c r="H5" s="18">
        <v>869</v>
      </c>
      <c r="I5" s="18">
        <v>942</v>
      </c>
      <c r="J5" s="18">
        <f>F5*1.33</f>
        <v>1030.75</v>
      </c>
      <c r="L5" s="18">
        <v>97</v>
      </c>
      <c r="M5" s="18">
        <v>265</v>
      </c>
      <c r="N5" s="18">
        <v>592</v>
      </c>
      <c r="O5" s="18">
        <v>1219</v>
      </c>
      <c r="P5" s="18">
        <v>2065</v>
      </c>
      <c r="Q5" s="18">
        <v>2806</v>
      </c>
      <c r="R5" s="18">
        <f>SUM(G5:J5)</f>
        <v>3670.75</v>
      </c>
      <c r="S5" s="18">
        <f>R5*(1+S21)</f>
        <v>4845.3900000000003</v>
      </c>
      <c r="T5" s="18">
        <f>S5*(1+T21)</f>
        <v>6299.0070000000005</v>
      </c>
      <c r="U5" s="18">
        <f>T5*(1+U21)</f>
        <v>7936.7488200000007</v>
      </c>
      <c r="V5" s="18">
        <f>U5*(1+V21)</f>
        <v>9841.5685368000013</v>
      </c>
      <c r="W5" s="18">
        <f>V5*(1+W21)</f>
        <v>12006.713614896002</v>
      </c>
      <c r="X5" s="18">
        <f>W5*(1+X21)</f>
        <v>14408.056337875201</v>
      </c>
      <c r="Y5" s="18">
        <f>X5*(1+Y21)</f>
        <v>16569.26478855648</v>
      </c>
      <c r="Z5" s="18">
        <f>Y5*(1+Z21)</f>
        <v>18226.19126741213</v>
      </c>
      <c r="AA5" s="18">
        <f>Z5*(1+AA21)</f>
        <v>19137.500830782737</v>
      </c>
      <c r="AB5" s="18">
        <f>AA5*(1+AB21)</f>
        <v>20094.375872321874</v>
      </c>
    </row>
    <row r="6" spans="1:37" s="17" customFormat="1">
      <c r="B6" s="17" t="s">
        <v>20</v>
      </c>
      <c r="C6" s="17">
        <v>209</v>
      </c>
      <c r="D6" s="17">
        <v>218</v>
      </c>
      <c r="E6" s="17">
        <v>229</v>
      </c>
      <c r="F6" s="8">
        <f>Q6-SUM(C6:E6)</f>
        <v>242</v>
      </c>
      <c r="G6" s="17">
        <v>273</v>
      </c>
      <c r="H6" s="17">
        <v>288</v>
      </c>
      <c r="I6" s="17">
        <v>321</v>
      </c>
      <c r="J6" s="17">
        <f>F6*1.23</f>
        <v>297.65999999999997</v>
      </c>
      <c r="L6" s="17">
        <v>52</v>
      </c>
      <c r="M6" s="17">
        <v>117</v>
      </c>
      <c r="N6" s="17">
        <v>243</v>
      </c>
      <c r="O6" s="17">
        <v>458</v>
      </c>
      <c r="P6" s="17">
        <v>717</v>
      </c>
      <c r="Q6" s="17">
        <v>898</v>
      </c>
      <c r="R6" s="17">
        <f>SUM(G6:J6)</f>
        <v>1179.6599999999999</v>
      </c>
      <c r="S6" s="17">
        <f>R6*1.24</f>
        <v>1462.7783999999999</v>
      </c>
      <c r="T6" s="17">
        <f>S6*1.2</f>
        <v>1755.3340799999999</v>
      </c>
      <c r="U6" s="17">
        <f>T6*1.2</f>
        <v>2106.4008959999996</v>
      </c>
      <c r="V6" s="17">
        <f>U6*1.2</f>
        <v>2527.6810751999997</v>
      </c>
      <c r="W6" s="17">
        <f>V6*1.15</f>
        <v>2906.8332364799994</v>
      </c>
      <c r="X6" s="17">
        <f>W6*1.1</f>
        <v>3197.5165601279996</v>
      </c>
      <c r="Y6" s="17">
        <f>Y5*(1-X22)</f>
        <v>3677.1440441471987</v>
      </c>
      <c r="Z6" s="17">
        <f t="shared" ref="Z6:AB6" si="0">Z5*(1-Y22)</f>
        <v>4044.858448561919</v>
      </c>
      <c r="AA6" s="17">
        <f t="shared" si="0"/>
        <v>4247.1013709900153</v>
      </c>
      <c r="AB6" s="17">
        <f t="shared" si="0"/>
        <v>4459.4564395395155</v>
      </c>
      <c r="AC6" s="17" t="e">
        <f>SUM(#REF!)</f>
        <v>#REF!</v>
      </c>
      <c r="AD6" s="17" t="e">
        <f>SUM(#REF!)</f>
        <v>#REF!</v>
      </c>
      <c r="AE6" s="17" t="e">
        <f>SUM(#REF!)</f>
        <v>#REF!</v>
      </c>
      <c r="AF6" s="17" t="e">
        <f>SUM(#REF!)</f>
        <v>#REF!</v>
      </c>
      <c r="AG6" s="17" t="e">
        <f>SUM(#REF!)</f>
        <v>#REF!</v>
      </c>
    </row>
    <row r="7" spans="1:37" s="10" customFormat="1">
      <c r="B7" s="10" t="s">
        <v>21</v>
      </c>
      <c r="C7" s="10">
        <f>C5-C6</f>
        <v>414</v>
      </c>
      <c r="D7" s="10">
        <f>D5-D6</f>
        <v>456</v>
      </c>
      <c r="E7" s="10">
        <f>E5-E6</f>
        <v>505</v>
      </c>
      <c r="F7" s="10">
        <f>Q7-SUM(C7:E7)</f>
        <v>533</v>
      </c>
      <c r="G7" s="10">
        <f>G5-G6</f>
        <v>556</v>
      </c>
      <c r="H7" s="10">
        <f>H5-H6</f>
        <v>581</v>
      </c>
      <c r="I7" s="10">
        <f>I5-I6</f>
        <v>621</v>
      </c>
      <c r="J7" s="10">
        <f>J5-J6</f>
        <v>733.09</v>
      </c>
      <c r="L7" s="10">
        <f>L5-L6</f>
        <v>45</v>
      </c>
      <c r="M7" s="10">
        <f>M5-M6</f>
        <v>148</v>
      </c>
      <c r="N7" s="10">
        <f>N5-N6</f>
        <v>349</v>
      </c>
      <c r="O7" s="10">
        <f>O5-O6</f>
        <v>761</v>
      </c>
      <c r="P7" s="10">
        <f>P5-P6</f>
        <v>1348</v>
      </c>
      <c r="Q7" s="10">
        <f>Q5-Q6</f>
        <v>1908</v>
      </c>
      <c r="R7" s="10">
        <f>R5-R6</f>
        <v>2491.09</v>
      </c>
      <c r="S7" s="10">
        <f>S5-S6</f>
        <v>3382.6116000000002</v>
      </c>
      <c r="T7" s="10">
        <f>T5-T6</f>
        <v>4543.6729200000009</v>
      </c>
      <c r="U7" s="10">
        <f t="shared" ref="U7:AB7" si="1">U5-U6</f>
        <v>5830.3479240000015</v>
      </c>
      <c r="V7" s="10">
        <f t="shared" si="1"/>
        <v>7313.8874616000012</v>
      </c>
      <c r="W7" s="10">
        <f t="shared" si="1"/>
        <v>9099.8803784160027</v>
      </c>
      <c r="X7" s="10">
        <f t="shared" si="1"/>
        <v>11210.539777747203</v>
      </c>
      <c r="Y7" s="10">
        <f t="shared" si="1"/>
        <v>12892.120744409282</v>
      </c>
      <c r="Z7" s="10">
        <f t="shared" si="1"/>
        <v>14181.332818850211</v>
      </c>
      <c r="AA7" s="10">
        <f t="shared" si="1"/>
        <v>14890.399459792723</v>
      </c>
      <c r="AB7" s="10">
        <f t="shared" si="1"/>
        <v>15634.919432782359</v>
      </c>
    </row>
    <row r="8" spans="1:37" s="8" customFormat="1">
      <c r="B8" s="8" t="s">
        <v>33</v>
      </c>
      <c r="C8" s="8">
        <v>332</v>
      </c>
      <c r="D8" s="8">
        <v>343</v>
      </c>
      <c r="E8" s="8">
        <v>355</v>
      </c>
      <c r="F8" s="8">
        <f>Q8-SUM(C8:E8)</f>
        <v>362</v>
      </c>
      <c r="G8" s="8">
        <v>401</v>
      </c>
      <c r="H8" s="8">
        <v>400</v>
      </c>
      <c r="I8" s="8">
        <v>438</v>
      </c>
      <c r="J8" s="8">
        <f>I8</f>
        <v>438</v>
      </c>
      <c r="L8" s="8">
        <v>126</v>
      </c>
      <c r="M8" s="8">
        <v>293</v>
      </c>
      <c r="N8" s="8">
        <v>479</v>
      </c>
      <c r="O8" s="8">
        <v>744</v>
      </c>
      <c r="P8" s="8">
        <v>1106</v>
      </c>
      <c r="Q8" s="8">
        <v>1392</v>
      </c>
      <c r="R8" s="17">
        <f>SUM(G8:J8)</f>
        <v>1677</v>
      </c>
      <c r="S8" s="8">
        <f>R8*1.206</f>
        <v>2022.462</v>
      </c>
      <c r="T8" s="8">
        <f>S8</f>
        <v>2022.462</v>
      </c>
      <c r="U8" s="8">
        <f t="shared" ref="U8:AB8" si="2">T8</f>
        <v>2022.462</v>
      </c>
      <c r="V8" s="8">
        <f t="shared" si="2"/>
        <v>2022.462</v>
      </c>
      <c r="W8" s="8">
        <f t="shared" si="2"/>
        <v>2022.462</v>
      </c>
      <c r="X8" s="8">
        <f t="shared" si="2"/>
        <v>2022.462</v>
      </c>
      <c r="Y8" s="8">
        <f t="shared" si="2"/>
        <v>2022.462</v>
      </c>
      <c r="Z8" s="8">
        <f t="shared" si="2"/>
        <v>2022.462</v>
      </c>
      <c r="AA8" s="8">
        <f t="shared" si="2"/>
        <v>2022.462</v>
      </c>
      <c r="AB8" s="8">
        <f t="shared" si="2"/>
        <v>2022.462</v>
      </c>
    </row>
    <row r="9" spans="1:37" s="8" customFormat="1">
      <c r="B9" s="8" t="s">
        <v>35</v>
      </c>
      <c r="C9" s="8">
        <v>277</v>
      </c>
      <c r="D9" s="8">
        <v>314</v>
      </c>
      <c r="E9" s="8">
        <v>332</v>
      </c>
      <c r="F9" s="8">
        <f>Q9-SUM(C9:E9)</f>
        <v>365</v>
      </c>
      <c r="G9" s="8">
        <v>411</v>
      </c>
      <c r="H9" s="8">
        <v>438</v>
      </c>
      <c r="I9" s="8">
        <v>442</v>
      </c>
      <c r="J9" s="8">
        <f>I9</f>
        <v>442</v>
      </c>
      <c r="L9" s="8">
        <v>68</v>
      </c>
      <c r="M9" s="8">
        <v>105</v>
      </c>
      <c r="N9" s="8">
        <v>238</v>
      </c>
      <c r="O9" s="8">
        <v>467</v>
      </c>
      <c r="P9" s="8">
        <v>788</v>
      </c>
      <c r="Q9" s="8">
        <v>1288</v>
      </c>
      <c r="R9" s="17">
        <f>SUM(G9:J9)</f>
        <v>1733</v>
      </c>
      <c r="S9" s="8">
        <f>R9*1.206</f>
        <v>2089.998</v>
      </c>
      <c r="T9" s="8">
        <f>S9*1.1</f>
        <v>2298.9978000000001</v>
      </c>
      <c r="U9" s="8">
        <f>T9*1.1</f>
        <v>2528.8975800000003</v>
      </c>
      <c r="V9" s="8">
        <f>U9*1.05</f>
        <v>2655.3424590000004</v>
      </c>
      <c r="W9" s="8">
        <f t="shared" ref="W9:X9" si="3">V9*1.05</f>
        <v>2788.1095819500006</v>
      </c>
      <c r="X9" s="8">
        <f t="shared" si="3"/>
        <v>2927.5150610475007</v>
      </c>
      <c r="Y9" s="8">
        <f>X9</f>
        <v>2927.5150610475007</v>
      </c>
      <c r="Z9" s="8">
        <f t="shared" ref="Z9:AB9" si="4">Y9</f>
        <v>2927.5150610475007</v>
      </c>
      <c r="AA9" s="8">
        <f t="shared" si="4"/>
        <v>2927.5150610475007</v>
      </c>
      <c r="AB9" s="8">
        <f t="shared" si="4"/>
        <v>2927.5150610475007</v>
      </c>
    </row>
    <row r="10" spans="1:37" s="8" customFormat="1">
      <c r="B10" s="8" t="s">
        <v>34</v>
      </c>
      <c r="C10" s="8">
        <v>78</v>
      </c>
      <c r="D10" s="8">
        <v>84</v>
      </c>
      <c r="E10" s="8">
        <v>79</v>
      </c>
      <c r="F10" s="8">
        <f>Q10-SUM(C10:E10)</f>
        <v>82</v>
      </c>
      <c r="G10" s="8">
        <v>93</v>
      </c>
      <c r="H10" s="8">
        <v>98</v>
      </c>
      <c r="I10" s="8">
        <v>106</v>
      </c>
      <c r="J10" s="8">
        <f>I10</f>
        <v>106</v>
      </c>
      <c r="L10" s="8">
        <v>36</v>
      </c>
      <c r="M10" s="8">
        <v>107</v>
      </c>
      <c r="N10" s="8">
        <v>176</v>
      </c>
      <c r="O10" s="8">
        <v>265</v>
      </c>
      <c r="P10" s="8">
        <v>296</v>
      </c>
      <c r="Q10" s="8">
        <v>323</v>
      </c>
      <c r="R10" s="17">
        <f>SUM(G10:J10)</f>
        <v>403</v>
      </c>
      <c r="S10" s="8">
        <f>R10*1.1</f>
        <v>443.3</v>
      </c>
      <c r="T10" s="8">
        <f>S10*1.1</f>
        <v>487.63000000000005</v>
      </c>
      <c r="U10" s="8">
        <f t="shared" ref="U10:V10" si="5">T10*1.1</f>
        <v>536.39300000000014</v>
      </c>
      <c r="V10" s="8">
        <f t="shared" si="5"/>
        <v>590.03230000000019</v>
      </c>
      <c r="W10" s="8">
        <f>V10*1.05</f>
        <v>619.53391500000021</v>
      </c>
      <c r="X10" s="8">
        <f t="shared" ref="X10:Y10" si="6">W10*1.05</f>
        <v>650.5106107500003</v>
      </c>
      <c r="Y10" s="8">
        <f t="shared" si="6"/>
        <v>683.0361412875003</v>
      </c>
      <c r="Z10" s="8">
        <f>Y10</f>
        <v>683.0361412875003</v>
      </c>
      <c r="AA10" s="8">
        <f>Z10</f>
        <v>683.0361412875003</v>
      </c>
      <c r="AB10" s="8">
        <f>AA10</f>
        <v>683.0361412875003</v>
      </c>
    </row>
    <row r="11" spans="1:37" s="10" customFormat="1">
      <c r="B11" s="10" t="s">
        <v>22</v>
      </c>
      <c r="C11" s="10">
        <f t="shared" ref="C11:AK11" si="7">SUM(C8:C10)</f>
        <v>687</v>
      </c>
      <c r="D11" s="10">
        <f t="shared" si="7"/>
        <v>741</v>
      </c>
      <c r="E11" s="10">
        <f t="shared" si="7"/>
        <v>766</v>
      </c>
      <c r="F11" s="10">
        <f t="shared" si="7"/>
        <v>809</v>
      </c>
      <c r="G11" s="10">
        <f t="shared" si="7"/>
        <v>905</v>
      </c>
      <c r="H11" s="10">
        <f t="shared" si="7"/>
        <v>936</v>
      </c>
      <c r="I11" s="10">
        <f t="shared" si="7"/>
        <v>986</v>
      </c>
      <c r="J11" s="10">
        <f t="shared" si="7"/>
        <v>986</v>
      </c>
      <c r="K11" s="10">
        <f t="shared" si="7"/>
        <v>0</v>
      </c>
      <c r="L11" s="10">
        <f t="shared" si="7"/>
        <v>230</v>
      </c>
      <c r="M11" s="10">
        <f t="shared" si="7"/>
        <v>505</v>
      </c>
      <c r="N11" s="10">
        <f t="shared" si="7"/>
        <v>893</v>
      </c>
      <c r="O11" s="10">
        <f t="shared" si="7"/>
        <v>1476</v>
      </c>
      <c r="P11" s="10">
        <f t="shared" ref="P11:Q11" si="8">SUM(P8:P10)</f>
        <v>2190</v>
      </c>
      <c r="Q11" s="10">
        <f t="shared" si="8"/>
        <v>3003</v>
      </c>
      <c r="R11" s="10">
        <f t="shared" si="7"/>
        <v>3813</v>
      </c>
      <c r="S11" s="10">
        <f t="shared" si="7"/>
        <v>4555.76</v>
      </c>
      <c r="T11" s="10">
        <f t="shared" si="7"/>
        <v>4809.0898000000007</v>
      </c>
      <c r="U11" s="10">
        <f t="shared" si="7"/>
        <v>5087.7525800000003</v>
      </c>
      <c r="V11" s="10">
        <f t="shared" si="7"/>
        <v>5267.8367590000007</v>
      </c>
      <c r="W11" s="10">
        <f t="shared" si="7"/>
        <v>5430.1054969500001</v>
      </c>
      <c r="X11" s="10">
        <f t="shared" si="7"/>
        <v>5600.4876717975012</v>
      </c>
      <c r="Y11" s="10">
        <f t="shared" si="7"/>
        <v>5633.0132023350006</v>
      </c>
      <c r="Z11" s="10">
        <f t="shared" si="7"/>
        <v>5633.0132023350006</v>
      </c>
      <c r="AA11" s="10">
        <f t="shared" si="7"/>
        <v>5633.0132023350006</v>
      </c>
      <c r="AB11" s="10">
        <f t="shared" si="7"/>
        <v>5633.0132023350006</v>
      </c>
      <c r="AC11" s="10">
        <f t="shared" si="7"/>
        <v>0</v>
      </c>
      <c r="AD11" s="10">
        <f t="shared" si="7"/>
        <v>0</v>
      </c>
      <c r="AE11" s="10">
        <f t="shared" si="7"/>
        <v>0</v>
      </c>
      <c r="AF11" s="10">
        <f t="shared" si="7"/>
        <v>0</v>
      </c>
      <c r="AG11" s="10">
        <f t="shared" si="7"/>
        <v>0</v>
      </c>
      <c r="AH11" s="10">
        <f t="shared" si="7"/>
        <v>0</v>
      </c>
      <c r="AI11" s="10">
        <f t="shared" si="7"/>
        <v>0</v>
      </c>
      <c r="AJ11" s="10">
        <f t="shared" si="7"/>
        <v>0</v>
      </c>
      <c r="AK11" s="10">
        <f t="shared" si="7"/>
        <v>0</v>
      </c>
    </row>
    <row r="12" spans="1:37" s="10" customFormat="1">
      <c r="B12" s="10" t="s">
        <v>23</v>
      </c>
      <c r="C12" s="10">
        <f t="shared" ref="C12:AK12" si="9">C7-C11</f>
        <v>-273</v>
      </c>
      <c r="D12" s="10">
        <f t="shared" si="9"/>
        <v>-285</v>
      </c>
      <c r="E12" s="10">
        <f t="shared" si="9"/>
        <v>-261</v>
      </c>
      <c r="F12" s="10">
        <f t="shared" si="9"/>
        <v>-276</v>
      </c>
      <c r="G12" s="10">
        <f t="shared" si="9"/>
        <v>-349</v>
      </c>
      <c r="H12" s="10">
        <f t="shared" si="9"/>
        <v>-355</v>
      </c>
      <c r="I12" s="10">
        <f t="shared" si="9"/>
        <v>-365</v>
      </c>
      <c r="J12" s="10">
        <f t="shared" si="9"/>
        <v>-252.90999999999997</v>
      </c>
      <c r="K12" s="10">
        <f t="shared" si="9"/>
        <v>0</v>
      </c>
      <c r="L12" s="10">
        <f t="shared" si="9"/>
        <v>-185</v>
      </c>
      <c r="M12" s="10">
        <f t="shared" si="9"/>
        <v>-357</v>
      </c>
      <c r="N12" s="10">
        <f t="shared" si="9"/>
        <v>-544</v>
      </c>
      <c r="O12" s="10">
        <f t="shared" si="9"/>
        <v>-715</v>
      </c>
      <c r="P12" s="10">
        <f t="shared" ref="P12:Q12" si="10">P7-P11</f>
        <v>-842</v>
      </c>
      <c r="Q12" s="10">
        <f t="shared" si="10"/>
        <v>-1095</v>
      </c>
      <c r="R12" s="10">
        <f t="shared" si="9"/>
        <v>-1321.9099999999999</v>
      </c>
      <c r="S12" s="10">
        <f t="shared" si="9"/>
        <v>-1173.1484</v>
      </c>
      <c r="T12" s="10">
        <f t="shared" si="9"/>
        <v>-265.41687999999976</v>
      </c>
      <c r="U12" s="10">
        <f t="shared" si="9"/>
        <v>742.59534400000121</v>
      </c>
      <c r="V12" s="10">
        <f t="shared" si="9"/>
        <v>2046.0507026000005</v>
      </c>
      <c r="W12" s="10">
        <f t="shared" si="9"/>
        <v>3669.7748814660026</v>
      </c>
      <c r="X12" s="10">
        <f t="shared" si="9"/>
        <v>5610.0521059497014</v>
      </c>
      <c r="Y12" s="10">
        <f t="shared" si="9"/>
        <v>7259.1075420742809</v>
      </c>
      <c r="Z12" s="10">
        <f t="shared" si="9"/>
        <v>8548.3196165152112</v>
      </c>
      <c r="AA12" s="10">
        <f t="shared" si="9"/>
        <v>9257.3862574577215</v>
      </c>
      <c r="AB12" s="10">
        <f t="shared" si="9"/>
        <v>10001.906230447359</v>
      </c>
      <c r="AC12" s="10">
        <f t="shared" si="9"/>
        <v>0</v>
      </c>
      <c r="AD12" s="10">
        <f t="shared" si="9"/>
        <v>0</v>
      </c>
      <c r="AE12" s="10">
        <f t="shared" si="9"/>
        <v>0</v>
      </c>
      <c r="AF12" s="10">
        <f t="shared" si="9"/>
        <v>0</v>
      </c>
      <c r="AG12" s="10">
        <f t="shared" si="9"/>
        <v>0</v>
      </c>
      <c r="AH12" s="10">
        <f t="shared" si="9"/>
        <v>0</v>
      </c>
      <c r="AI12" s="10">
        <f t="shared" si="9"/>
        <v>0</v>
      </c>
      <c r="AJ12" s="10">
        <f t="shared" si="9"/>
        <v>0</v>
      </c>
      <c r="AK12" s="10">
        <f t="shared" si="9"/>
        <v>0</v>
      </c>
    </row>
    <row r="13" spans="1:37" s="17" customFormat="1">
      <c r="B13" s="17" t="s">
        <v>36</v>
      </c>
      <c r="C13" s="17">
        <v>43</v>
      </c>
      <c r="D13" s="17">
        <v>50</v>
      </c>
      <c r="E13" s="17">
        <v>53</v>
      </c>
      <c r="F13" s="17">
        <f>Q13-SUM(C13:E13)</f>
        <v>54</v>
      </c>
      <c r="G13" s="17">
        <v>55</v>
      </c>
      <c r="H13" s="17">
        <v>49</v>
      </c>
      <c r="I13" s="17">
        <v>48</v>
      </c>
      <c r="J13" s="17">
        <f>I13</f>
        <v>48</v>
      </c>
      <c r="L13" s="17">
        <v>9</v>
      </c>
      <c r="M13" s="17">
        <v>11</v>
      </c>
      <c r="N13" s="17">
        <v>7.5</v>
      </c>
      <c r="O13" s="17">
        <v>9</v>
      </c>
      <c r="P13" s="17">
        <v>74</v>
      </c>
      <c r="Q13" s="17">
        <v>200</v>
      </c>
      <c r="R13" s="17">
        <f>SUM(G13:J13)</f>
        <v>200</v>
      </c>
      <c r="S13" s="8">
        <f>R13</f>
        <v>200</v>
      </c>
      <c r="T13" s="17">
        <f>S13</f>
        <v>200</v>
      </c>
      <c r="U13" s="17">
        <f t="shared" ref="U13:AB13" si="11">T13</f>
        <v>200</v>
      </c>
      <c r="V13" s="17">
        <f t="shared" si="11"/>
        <v>200</v>
      </c>
      <c r="W13" s="17">
        <f t="shared" si="11"/>
        <v>200</v>
      </c>
      <c r="X13" s="17">
        <f t="shared" si="11"/>
        <v>200</v>
      </c>
      <c r="Y13" s="17">
        <f t="shared" si="11"/>
        <v>200</v>
      </c>
      <c r="Z13" s="17">
        <f t="shared" si="11"/>
        <v>200</v>
      </c>
      <c r="AA13" s="17">
        <f t="shared" si="11"/>
        <v>200</v>
      </c>
      <c r="AB13" s="17">
        <f t="shared" si="11"/>
        <v>200</v>
      </c>
    </row>
    <row r="14" spans="1:37" s="8" customFormat="1">
      <c r="B14" s="8" t="s">
        <v>32</v>
      </c>
      <c r="C14" s="8">
        <v>-2.5</v>
      </c>
      <c r="D14" s="8">
        <v>4</v>
      </c>
      <c r="E14" s="8">
        <v>-4</v>
      </c>
      <c r="F14" s="8">
        <f>Q14-SUM(C14:E14)</f>
        <v>47.5</v>
      </c>
      <c r="G14" s="8">
        <v>-21</v>
      </c>
      <c r="H14" s="8">
        <v>-8</v>
      </c>
      <c r="I14" s="8">
        <v>-9</v>
      </c>
      <c r="J14" s="8">
        <f>I14</f>
        <v>-9</v>
      </c>
      <c r="L14" s="8">
        <v>-0.5</v>
      </c>
      <c r="M14" s="8">
        <v>-1</v>
      </c>
      <c r="N14" s="8">
        <v>-0.6</v>
      </c>
      <c r="O14" s="8">
        <v>29</v>
      </c>
      <c r="P14" s="8">
        <v>-48</v>
      </c>
      <c r="Q14" s="8">
        <v>45</v>
      </c>
      <c r="R14" s="17">
        <f>SUM(G14:J14)</f>
        <v>-47</v>
      </c>
      <c r="S14" s="8">
        <f>R14</f>
        <v>-47</v>
      </c>
      <c r="T14" s="8">
        <f>S14</f>
        <v>-47</v>
      </c>
      <c r="U14" s="8">
        <f t="shared" ref="U14:AB14" si="12">T14</f>
        <v>-47</v>
      </c>
      <c r="V14" s="8">
        <f t="shared" si="12"/>
        <v>-47</v>
      </c>
      <c r="W14" s="8">
        <f t="shared" si="12"/>
        <v>-47</v>
      </c>
      <c r="X14" s="8">
        <f t="shared" si="12"/>
        <v>-47</v>
      </c>
      <c r="Y14" s="8">
        <f t="shared" si="12"/>
        <v>-47</v>
      </c>
      <c r="Z14" s="8">
        <f t="shared" si="12"/>
        <v>-47</v>
      </c>
      <c r="AA14" s="8">
        <f t="shared" si="12"/>
        <v>-47</v>
      </c>
      <c r="AB14" s="8">
        <f t="shared" si="12"/>
        <v>-47</v>
      </c>
    </row>
    <row r="15" spans="1:37" s="10" customFormat="1">
      <c r="B15" s="10" t="s">
        <v>24</v>
      </c>
      <c r="C15" s="10">
        <f>SUM(C12:C14)</f>
        <v>-232.5</v>
      </c>
      <c r="D15" s="10">
        <f>SUM(D12:D14)</f>
        <v>-231</v>
      </c>
      <c r="E15" s="10">
        <f>SUM(E12:E14)</f>
        <v>-212</v>
      </c>
      <c r="F15" s="10">
        <f>SUM(F12:F14)</f>
        <v>-174.5</v>
      </c>
      <c r="G15" s="10">
        <f>SUM(G12:G14)</f>
        <v>-315</v>
      </c>
      <c r="H15" s="10">
        <f>SUM(H12:H14)</f>
        <v>-314</v>
      </c>
      <c r="I15" s="10">
        <f>SUM(I12:I14)</f>
        <v>-326</v>
      </c>
      <c r="J15" s="10">
        <f>SUM(J12:J14)</f>
        <v>-213.90999999999997</v>
      </c>
      <c r="K15" s="10">
        <f>SUM(K12:K14)</f>
        <v>0</v>
      </c>
      <c r="L15" s="10">
        <f>SUM(L12:L14)</f>
        <v>-176.5</v>
      </c>
      <c r="M15" s="10">
        <f>SUM(M12:M14)</f>
        <v>-347</v>
      </c>
      <c r="N15" s="10">
        <f>SUM(N12:N14)</f>
        <v>-537.1</v>
      </c>
      <c r="O15" s="10">
        <f>SUM(O12:O14)</f>
        <v>-677</v>
      </c>
      <c r="P15" s="10">
        <f>SUM(P12:P14)</f>
        <v>-816</v>
      </c>
      <c r="Q15" s="10">
        <f>SUM(Q12:Q14)</f>
        <v>-850</v>
      </c>
      <c r="R15" s="10">
        <f>SUM(R12:R14)</f>
        <v>-1168.9099999999999</v>
      </c>
      <c r="S15" s="10">
        <f>SUM(S12:S14)</f>
        <v>-1020.1484</v>
      </c>
      <c r="T15" s="10">
        <f>SUM(T12:T14)</f>
        <v>-112.41687999999976</v>
      </c>
      <c r="U15" s="10">
        <f>SUM(U12:U14)</f>
        <v>895.59534400000121</v>
      </c>
      <c r="V15" s="10">
        <f>SUM(V12:V14)</f>
        <v>2199.0507026000005</v>
      </c>
      <c r="W15" s="10">
        <f>SUM(W12:W14)</f>
        <v>3822.7748814660026</v>
      </c>
      <c r="X15" s="10">
        <f>SUM(X12:X14)</f>
        <v>5763.0521059497014</v>
      </c>
      <c r="Y15" s="10">
        <f>SUM(Y12:Y14)</f>
        <v>7412.1075420742809</v>
      </c>
      <c r="Z15" s="10">
        <f>SUM(Z12:Z14)</f>
        <v>8701.3196165152112</v>
      </c>
      <c r="AA15" s="10">
        <f>SUM(AA12:AA14)</f>
        <v>9410.3862574577215</v>
      </c>
      <c r="AB15" s="10">
        <f>SUM(AB12:AB14)</f>
        <v>10154.906230447359</v>
      </c>
      <c r="AC15" s="10">
        <f>SUM(AC12:AC14)</f>
        <v>0</v>
      </c>
    </row>
    <row r="16" spans="1:37" s="8" customFormat="1">
      <c r="B16" s="8" t="s">
        <v>25</v>
      </c>
      <c r="C16" s="8">
        <v>-6.6</v>
      </c>
      <c r="D16" s="8">
        <v>-3.7</v>
      </c>
      <c r="E16" s="8">
        <v>3.4</v>
      </c>
      <c r="F16" s="8">
        <f>Q16-SUM(C16:E16)</f>
        <v>-4.0999999999999996</v>
      </c>
      <c r="G16" s="8">
        <v>2.7</v>
      </c>
      <c r="H16" s="8">
        <v>3.8</v>
      </c>
      <c r="I16" s="8">
        <v>2</v>
      </c>
      <c r="J16" s="8">
        <v>-250</v>
      </c>
      <c r="L16" s="8">
        <v>0.8</v>
      </c>
      <c r="M16" s="8">
        <v>1</v>
      </c>
      <c r="N16" s="8">
        <v>2</v>
      </c>
      <c r="O16" s="8">
        <v>3</v>
      </c>
      <c r="P16" s="8">
        <v>-18</v>
      </c>
      <c r="Q16" s="8">
        <v>-11</v>
      </c>
      <c r="R16" s="17">
        <f>SUM(G16:J16)</f>
        <v>-241.5</v>
      </c>
      <c r="S16" s="8">
        <f>S15*R24</f>
        <v>-210.76544695485541</v>
      </c>
      <c r="T16" s="8">
        <v>0</v>
      </c>
      <c r="U16" s="8">
        <f>U15*0.2</f>
        <v>179.11906880000026</v>
      </c>
      <c r="V16" s="8">
        <f t="shared" ref="V16:AB16" si="13">V15*0.2</f>
        <v>439.81014052000012</v>
      </c>
      <c r="W16" s="8">
        <f t="shared" si="13"/>
        <v>764.55497629320053</v>
      </c>
      <c r="X16" s="8">
        <f t="shared" si="13"/>
        <v>1152.6104211899403</v>
      </c>
      <c r="Y16" s="8">
        <f t="shared" si="13"/>
        <v>1482.4215084148564</v>
      </c>
      <c r="Z16" s="8">
        <f t="shared" si="13"/>
        <v>1740.2639233030422</v>
      </c>
      <c r="AA16" s="8">
        <f t="shared" si="13"/>
        <v>1882.0772514915443</v>
      </c>
      <c r="AB16" s="8">
        <f t="shared" si="13"/>
        <v>2030.9812460894718</v>
      </c>
    </row>
    <row r="17" spans="2:152" s="13" customFormat="1">
      <c r="B17" s="13" t="s">
        <v>26</v>
      </c>
      <c r="C17" s="14">
        <f t="shared" ref="C17:H17" si="14">C15-C16</f>
        <v>-225.9</v>
      </c>
      <c r="D17" s="14">
        <f t="shared" si="14"/>
        <v>-227.3</v>
      </c>
      <c r="E17" s="14">
        <f>E15-E16</f>
        <v>-215.4</v>
      </c>
      <c r="F17" s="14">
        <f t="shared" si="14"/>
        <v>-170.4</v>
      </c>
      <c r="G17" s="14">
        <f t="shared" si="14"/>
        <v>-317.7</v>
      </c>
      <c r="H17" s="14">
        <f t="shared" si="14"/>
        <v>-317.8</v>
      </c>
      <c r="I17" s="14">
        <f>I15-I16</f>
        <v>-328</v>
      </c>
      <c r="J17" s="14">
        <f>J15-J16</f>
        <v>36.090000000000032</v>
      </c>
      <c r="K17" s="14"/>
      <c r="L17" s="14">
        <f t="shared" ref="L17:AA17" si="15">L15-L16</f>
        <v>-177.3</v>
      </c>
      <c r="M17" s="14">
        <f t="shared" si="15"/>
        <v>-348</v>
      </c>
      <c r="N17" s="14">
        <f t="shared" si="15"/>
        <v>-539.1</v>
      </c>
      <c r="O17" s="14">
        <f t="shared" si="15"/>
        <v>-680</v>
      </c>
      <c r="P17" s="14">
        <f t="shared" ref="P17:Q17" si="16">P15-P16</f>
        <v>-798</v>
      </c>
      <c r="Q17" s="14">
        <f t="shared" si="16"/>
        <v>-839</v>
      </c>
      <c r="R17" s="14">
        <f t="shared" si="15"/>
        <v>-927.40999999999985</v>
      </c>
      <c r="S17" s="14">
        <f t="shared" si="15"/>
        <v>-809.38295304514463</v>
      </c>
      <c r="T17" s="14">
        <f t="shared" si="15"/>
        <v>-112.41687999999976</v>
      </c>
      <c r="U17" s="14">
        <f t="shared" si="15"/>
        <v>716.47627520000094</v>
      </c>
      <c r="V17" s="14">
        <f t="shared" si="15"/>
        <v>1759.2405620800005</v>
      </c>
      <c r="W17" s="14">
        <f t="shared" si="15"/>
        <v>3058.2199051728021</v>
      </c>
      <c r="X17" s="14">
        <f t="shared" si="15"/>
        <v>4610.4416847597613</v>
      </c>
      <c r="Y17" s="14">
        <f t="shared" si="15"/>
        <v>5929.6860336594245</v>
      </c>
      <c r="Z17" s="14">
        <f t="shared" si="15"/>
        <v>6961.055693212169</v>
      </c>
      <c r="AA17" s="14">
        <f t="shared" si="15"/>
        <v>7528.3090059661772</v>
      </c>
      <c r="AB17" s="14">
        <f>AA17*(1+Main!$L$10)</f>
        <v>7603.5920960258391</v>
      </c>
      <c r="AC17" s="14">
        <f>AB17*(1+Main!$L$10)</f>
        <v>7679.6280169860975</v>
      </c>
      <c r="AD17" s="14">
        <f>AC17*(1+Main!$L$10)</f>
        <v>7756.4242971559588</v>
      </c>
      <c r="AE17" s="14">
        <f>AD17*(1+Main!$L$10)</f>
        <v>7833.9885401275187</v>
      </c>
      <c r="AF17" s="14">
        <f>AE17*(1+Main!$L$10)</f>
        <v>7912.3284255287936</v>
      </c>
      <c r="AG17" s="14">
        <f>AF17*(1+Main!$L$10)</f>
        <v>7991.4517097840817</v>
      </c>
      <c r="AH17" s="14">
        <f>AG17*(1+Main!$L$10)</f>
        <v>8071.3662268819226</v>
      </c>
      <c r="AI17" s="14">
        <f>AH17*(1+Main!$L$10)</f>
        <v>8152.079889150742</v>
      </c>
      <c r="AJ17" s="14">
        <f>AI17*(1+Main!$L$10)</f>
        <v>8233.6006880422501</v>
      </c>
      <c r="AK17" s="14">
        <f>AJ17*(1+Main!$L$10)</f>
        <v>8315.9366949226733</v>
      </c>
      <c r="AL17" s="14">
        <f>AK17*(1+Main!$L$10)</f>
        <v>8399.0960618719</v>
      </c>
      <c r="AM17" s="14">
        <f>AL17*(1+Main!$L$10)</f>
        <v>8483.0870224906193</v>
      </c>
      <c r="AN17" s="14">
        <f>AM17*(1+Main!$L$10)</f>
        <v>8567.9178927155262</v>
      </c>
      <c r="AO17" s="14">
        <f>AN17*(1+Main!$L$10)</f>
        <v>8653.5970716426818</v>
      </c>
      <c r="AP17" s="14">
        <f>AO17*(1+Main!$L$10)</f>
        <v>8740.133042359108</v>
      </c>
      <c r="AQ17" s="14">
        <f>AP17*(1+Main!$L$10)</f>
        <v>8827.5343727826985</v>
      </c>
      <c r="AR17" s="14">
        <f>AQ17*(1+Main!$L$10)</f>
        <v>8915.8097165105264</v>
      </c>
      <c r="AS17" s="14">
        <f>AR17*(1+Main!$L$10)</f>
        <v>9004.967813675632</v>
      </c>
      <c r="AT17" s="14">
        <f>AS17*(1+Main!$L$10)</f>
        <v>9095.0174918123885</v>
      </c>
      <c r="AU17" s="14">
        <f>AT17*(1+Main!$L$10)</f>
        <v>9185.9676667305121</v>
      </c>
      <c r="AV17" s="14">
        <f>AU17*(1+Main!$L$10)</f>
        <v>9277.8273433978175</v>
      </c>
      <c r="AW17" s="14">
        <f>AV17*(1+Main!$L$10)</f>
        <v>9370.6056168317955</v>
      </c>
      <c r="AX17" s="14">
        <f>AW17*(1+Main!$L$10)</f>
        <v>9464.3116730001129</v>
      </c>
      <c r="AY17" s="14">
        <f>AX17*(1+Main!$L$10)</f>
        <v>9558.9547897301145</v>
      </c>
      <c r="AZ17" s="14">
        <f>AY17*(1+Main!$L$10)</f>
        <v>9654.5443376274161</v>
      </c>
      <c r="BA17" s="14">
        <f>AZ17*(1+Main!$L$10)</f>
        <v>9751.0897810036895</v>
      </c>
      <c r="BB17" s="14">
        <f>BA17*(1+Main!$L$10)</f>
        <v>9848.6006788137256</v>
      </c>
      <c r="BC17" s="14">
        <f>BB17*(1+Main!$L$10)</f>
        <v>9947.0866856018638</v>
      </c>
      <c r="BD17" s="14">
        <f>BC17*(1+Main!$L$10)</f>
        <v>10046.557552457882</v>
      </c>
      <c r="BE17" s="14">
        <f>BD17*(1+Main!$L$10)</f>
        <v>10147.02312798246</v>
      </c>
      <c r="BF17" s="14">
        <f>BE17*(1+Main!$L$10)</f>
        <v>10248.493359262286</v>
      </c>
      <c r="BG17" s="14">
        <f>BF17*(1+Main!$L$10)</f>
        <v>10350.978292854908</v>
      </c>
      <c r="BH17" s="14">
        <f>BG17*(1+Main!$L$10)</f>
        <v>10454.488075783458</v>
      </c>
      <c r="BI17" s="14">
        <f>BH17*(1+Main!$L$10)</f>
        <v>10559.032956541292</v>
      </c>
      <c r="BJ17" s="14">
        <f>BI17*(1+Main!$L$10)</f>
        <v>10664.623286106706</v>
      </c>
      <c r="BK17" s="14">
        <f>BJ17*(1+Main!$L$10)</f>
        <v>10771.269518967772</v>
      </c>
      <c r="BL17" s="14">
        <f>BK17*(1+Main!$L$10)</f>
        <v>10878.98221415745</v>
      </c>
      <c r="BM17" s="14">
        <f>BL17*(1+Main!$L$10)</f>
        <v>10987.772036299024</v>
      </c>
      <c r="BN17" s="14">
        <f>BM17*(1+Main!$L$10)</f>
        <v>11097.649756662015</v>
      </c>
      <c r="BO17" s="14">
        <f>BN17*(1+Main!$L$10)</f>
        <v>11208.626254228635</v>
      </c>
      <c r="BP17" s="14">
        <f>BO17*(1+Main!$L$10)</f>
        <v>11320.712516770922</v>
      </c>
      <c r="BQ17" s="14">
        <f>BP17*(1+Main!$L$10)</f>
        <v>11433.919641938632</v>
      </c>
      <c r="BR17" s="14">
        <f>BQ17*(1+Main!$L$10)</f>
        <v>11548.258838358019</v>
      </c>
      <c r="BS17" s="14">
        <f>BR17*(1+Main!$L$10)</f>
        <v>11663.741426741599</v>
      </c>
      <c r="BT17" s="14">
        <f>BS17*(1+Main!$L$10)</f>
        <v>11780.378841009015</v>
      </c>
      <c r="BU17" s="14">
        <f>BT17*(1+Main!$L$10)</f>
        <v>11898.182629419105</v>
      </c>
      <c r="BV17" s="14">
        <f>BU17*(1+Main!$L$10)</f>
        <v>12017.164455713297</v>
      </c>
      <c r="BW17" s="14">
        <f>BV17*(1+Main!$L$10)</f>
        <v>12137.33610027043</v>
      </c>
      <c r="BX17" s="14">
        <f>BW17*(1+Main!$L$10)</f>
        <v>12258.709461273134</v>
      </c>
      <c r="BY17" s="14">
        <f>BX17*(1+Main!$L$10)</f>
        <v>12381.296555885865</v>
      </c>
      <c r="BZ17" s="14">
        <f>BY17*(1+Main!$L$10)</f>
        <v>12505.109521444723</v>
      </c>
      <c r="CA17" s="14">
        <f>BZ17*(1+Main!$L$10)</f>
        <v>12630.16061665917</v>
      </c>
      <c r="CB17" s="14">
        <f>CA17*(1+Main!$L$10)</f>
        <v>12756.462222825761</v>
      </c>
      <c r="CC17" s="14">
        <f>CB17*(1+Main!$L$10)</f>
        <v>12884.026845054019</v>
      </c>
      <c r="CD17" s="14">
        <f>CC17*(1+Main!$L$10)</f>
        <v>13012.867113504559</v>
      </c>
      <c r="CE17" s="14">
        <f>CD17*(1+Main!$L$10)</f>
        <v>13142.995784639605</v>
      </c>
      <c r="CF17" s="14">
        <f>CE17*(1+Main!$L$10)</f>
        <v>13274.425742486001</v>
      </c>
      <c r="CG17" s="14">
        <f>CF17*(1+Main!$L$10)</f>
        <v>13407.16999991086</v>
      </c>
      <c r="CH17" s="14">
        <f>CG17*(1+Main!$L$10)</f>
        <v>13541.24169990997</v>
      </c>
      <c r="CI17" s="14">
        <f>CH17*(1+Main!$L$10)</f>
        <v>13676.654116909069</v>
      </c>
      <c r="CJ17" s="14">
        <f>CI17*(1+Main!$L$10)</f>
        <v>13813.420658078159</v>
      </c>
      <c r="CK17" s="14">
        <f>CJ17*(1+Main!$L$10)</f>
        <v>13951.554864658941</v>
      </c>
      <c r="CL17" s="14">
        <f>CK17*(1+Main!$L$10)</f>
        <v>14091.070413305531</v>
      </c>
      <c r="CM17" s="14">
        <f>CL17*(1+Main!$L$10)</f>
        <v>14231.981117438587</v>
      </c>
      <c r="CN17" s="14">
        <f>CM17*(1+Main!$L$10)</f>
        <v>14374.300928612973</v>
      </c>
      <c r="CO17" s="14">
        <f>CN17*(1+Main!$L$10)</f>
        <v>14518.043937899103</v>
      </c>
      <c r="CP17" s="14">
        <f>CO17*(1+Main!$L$10)</f>
        <v>14663.224377278095</v>
      </c>
      <c r="CQ17" s="14">
        <f>CP17*(1+Main!$L$10)</f>
        <v>14809.856621050876</v>
      </c>
      <c r="CR17" s="14">
        <f>CQ17*(1+Main!$L$10)</f>
        <v>14957.955187261385</v>
      </c>
      <c r="CS17" s="14">
        <f>CR17*(1+Main!$L$10)</f>
        <v>15107.534739133998</v>
      </c>
      <c r="CT17" s="14">
        <f>CS17*(1+Main!$L$10)</f>
        <v>15258.610086525339</v>
      </c>
      <c r="CU17" s="14">
        <f>CT17*(1+Main!$L$10)</f>
        <v>15411.196187390593</v>
      </c>
      <c r="CV17" s="14">
        <f>CU17*(1+Main!$L$10)</f>
        <v>15565.3081492645</v>
      </c>
      <c r="CW17" s="14">
        <f>CV17*(1+Main!$L$10)</f>
        <v>15720.961230757144</v>
      </c>
      <c r="CX17" s="14">
        <f>CW17*(1+Main!$L$10)</f>
        <v>15878.170843064716</v>
      </c>
      <c r="CY17" s="14">
        <f>CX17*(1+Main!$L$10)</f>
        <v>16036.952551495364</v>
      </c>
      <c r="CZ17" s="14">
        <f>CY17*(1+Main!$L$10)</f>
        <v>16197.322077010318</v>
      </c>
      <c r="DA17" s="14">
        <f>CZ17*(1+Main!$L$10)</f>
        <v>16359.295297780422</v>
      </c>
      <c r="DB17" s="14">
        <f>DA17*(1+Main!$L$10)</f>
        <v>16522.888250758228</v>
      </c>
      <c r="DC17" s="14">
        <f>DB17*(1+Main!$L$10)</f>
        <v>16688.117133265809</v>
      </c>
      <c r="DD17" s="14">
        <f>DC17*(1+Main!$L$10)</f>
        <v>16854.998304598466</v>
      </c>
      <c r="DE17" s="14">
        <f>DD17*(1+Main!$L$10)</f>
        <v>17023.548287644451</v>
      </c>
      <c r="DF17" s="14">
        <f>DE17*(1+Main!$L$10)</f>
        <v>17193.783770520895</v>
      </c>
      <c r="DG17" s="14">
        <f>DF17*(1+Main!$L$10)</f>
        <v>17365.721608226104</v>
      </c>
      <c r="DH17" s="14">
        <f>DG17*(1+Main!$L$10)</f>
        <v>17539.378824308365</v>
      </c>
      <c r="DI17" s="14">
        <f>DH17*(1+Main!$L$10)</f>
        <v>17714.772612551449</v>
      </c>
      <c r="DJ17" s="14">
        <f>DI17*(1+Main!$L$10)</f>
        <v>17891.920338676962</v>
      </c>
      <c r="DK17" s="14">
        <f>DJ17*(1+Main!$L$10)</f>
        <v>18070.839542063732</v>
      </c>
      <c r="DL17" s="14">
        <f>DK17*(1+Main!$L$10)</f>
        <v>18251.547937484371</v>
      </c>
      <c r="DM17" s="14">
        <f>DL17*(1+Main!$L$10)</f>
        <v>18434.063416859215</v>
      </c>
      <c r="DN17" s="14">
        <f>DM17*(1+Main!$L$10)</f>
        <v>18618.404051027806</v>
      </c>
      <c r="DO17" s="14">
        <f>DN17*(1+Main!$L$10)</f>
        <v>18804.588091538084</v>
      </c>
      <c r="DP17" s="14">
        <f>DO17*(1+Main!$L$10)</f>
        <v>18992.633972453466</v>
      </c>
      <c r="DQ17" s="14">
        <f>DP17*(1+Main!$L$10)</f>
        <v>19182.560312178</v>
      </c>
      <c r="DR17" s="14">
        <f>DQ17*(1+Main!$L$10)</f>
        <v>19374.385915299779</v>
      </c>
      <c r="DS17" s="14">
        <f>DR17*(1+Main!$L$10)</f>
        <v>19568.129774452776</v>
      </c>
      <c r="DT17" s="14">
        <f>DS17*(1+Main!$L$10)</f>
        <v>19763.811072197306</v>
      </c>
      <c r="DU17" s="14">
        <f>DT17*(1+Main!$L$10)</f>
        <v>19961.449182919281</v>
      </c>
      <c r="DV17" s="14">
        <f>DU17*(1+Main!$L$10)</f>
        <v>20161.063674748475</v>
      </c>
      <c r="DW17" s="14">
        <f>DV17*(1+Main!$L$10)</f>
        <v>20362.674311495961</v>
      </c>
      <c r="DX17" s="14">
        <f>DW17*(1+Main!$L$10)</f>
        <v>20566.301054610922</v>
      </c>
      <c r="DY17" s="14">
        <f>DX17*(1+Main!$L$10)</f>
        <v>20771.96406515703</v>
      </c>
      <c r="DZ17" s="14">
        <f>DY17*(1+Main!$L$10)</f>
        <v>20979.683705808602</v>
      </c>
      <c r="EA17" s="14">
        <f>DZ17*(1+Main!$L$10)</f>
        <v>21189.480542866688</v>
      </c>
      <c r="EB17" s="14">
        <f>EA17*(1+Main!$L$10)</f>
        <v>21401.375348295354</v>
      </c>
      <c r="EC17" s="14">
        <f>EB17*(1+Main!$L$10)</f>
        <v>21615.38910177831</v>
      </c>
      <c r="ED17" s="14">
        <f>EC17*(1+Main!$L$10)</f>
        <v>21831.542992796094</v>
      </c>
      <c r="EE17" s="14">
        <f>ED17*(1+Main!$L$10)</f>
        <v>22049.858422724054</v>
      </c>
      <c r="EF17" s="14">
        <f>EE17*(1+Main!$L$10)</f>
        <v>22270.357006951293</v>
      </c>
      <c r="EG17" s="14">
        <f>EF17*(1+Main!$L$10)</f>
        <v>22493.060577020806</v>
      </c>
      <c r="EH17" s="14">
        <f>EG17*(1+Main!$L$10)</f>
        <v>22717.991182791015</v>
      </c>
      <c r="EI17" s="14">
        <f>EH17*(1+Main!$L$10)</f>
        <v>22945.171094618923</v>
      </c>
      <c r="EJ17" s="14">
        <f>EI17*(1+Main!$L$10)</f>
        <v>23174.622805565112</v>
      </c>
      <c r="EK17" s="14">
        <f>EJ17*(1+Main!$L$10)</f>
        <v>23406.369033620762</v>
      </c>
      <c r="EL17" s="14">
        <f>EK17*(1+Main!$L$10)</f>
        <v>23640.432723956968</v>
      </c>
      <c r="EM17" s="14">
        <f>EL17*(1+Main!$L$10)</f>
        <v>23876.837051196537</v>
      </c>
      <c r="EN17" s="14">
        <f>EM17*(1+Main!$L$10)</f>
        <v>24115.605421708504</v>
      </c>
      <c r="EO17" s="14">
        <f>EN17*(1+Main!$L$10)</f>
        <v>24356.761475925588</v>
      </c>
      <c r="EP17" s="14">
        <f>EO17*(1+Main!$L$10)</f>
        <v>24600.329090684845</v>
      </c>
      <c r="EQ17" s="14">
        <f>EP17*(1+Main!$L$10)</f>
        <v>24846.332381591696</v>
      </c>
      <c r="ER17" s="14">
        <f>EQ17*(1+Main!$L$10)</f>
        <v>25094.795705407614</v>
      </c>
      <c r="ES17" s="14">
        <f>ER17*(1+Main!$L$10)</f>
        <v>25345.743662461689</v>
      </c>
      <c r="ET17" s="14">
        <f>ES17*(1+Main!$L$10)</f>
        <v>25599.201099086305</v>
      </c>
      <c r="EU17" s="14">
        <f>ET17*(1+Main!$L$10)</f>
        <v>25855.193110077169</v>
      </c>
      <c r="EV17" s="14">
        <f>EU17*(1+Main!$L$10)</f>
        <v>26113.745041177939</v>
      </c>
    </row>
    <row r="18" spans="2:152" s="9" customFormat="1">
      <c r="B18" s="9" t="s">
        <v>27</v>
      </c>
      <c r="C18" s="11">
        <f t="shared" ref="C18:G18" si="17">C17/C19</f>
        <v>-0.69507692307692315</v>
      </c>
      <c r="D18" s="11">
        <f t="shared" si="17"/>
        <v>-0.69510703363914372</v>
      </c>
      <c r="E18" s="11">
        <f t="shared" si="17"/>
        <v>-0.65471124620060794</v>
      </c>
      <c r="F18" s="11">
        <f t="shared" si="17"/>
        <v>-0.51951219512195124</v>
      </c>
      <c r="G18" s="11">
        <f t="shared" si="17"/>
        <v>-0.95119760479041915</v>
      </c>
      <c r="H18" s="11">
        <f>H17/H19</f>
        <v>-0.951497005988024</v>
      </c>
      <c r="I18" s="11">
        <f t="shared" ref="I18:J18" si="18">I17/I19</f>
        <v>-0.98795180722891562</v>
      </c>
      <c r="J18" s="11">
        <f t="shared" si="18"/>
        <v>0.10870481927710852</v>
      </c>
      <c r="K18" s="11"/>
      <c r="L18" s="11">
        <f>L17/L19</f>
        <v>-4.6657894736842112</v>
      </c>
      <c r="M18" s="11">
        <f t="shared" ref="M18:R18" si="19">M17/M19</f>
        <v>-7.7678571428571432</v>
      </c>
      <c r="N18" s="11">
        <f t="shared" si="19"/>
        <v>-3.8072033898305087</v>
      </c>
      <c r="O18" s="11">
        <f t="shared" si="19"/>
        <v>-2.2666666666666666</v>
      </c>
      <c r="P18" s="11">
        <f t="shared" ref="P18:Q18" si="20">P17/P19</f>
        <v>-2.5094339622641511</v>
      </c>
      <c r="Q18" s="11">
        <f t="shared" si="20"/>
        <v>-2.5579268292682928</v>
      </c>
      <c r="R18" s="11">
        <f t="shared" si="19"/>
        <v>-2.8274695121951217</v>
      </c>
      <c r="S18" s="11">
        <f t="shared" ref="S18:Z18" si="21">S17/S19</f>
        <v>-2.4676309544059287</v>
      </c>
      <c r="T18" s="11">
        <f t="shared" si="21"/>
        <v>-0.34273439024390173</v>
      </c>
      <c r="U18" s="11">
        <f t="shared" si="21"/>
        <v>2.1843788878048809</v>
      </c>
      <c r="V18" s="11">
        <f t="shared" si="21"/>
        <v>5.3635382990243921</v>
      </c>
      <c r="W18" s="11">
        <f t="shared" si="21"/>
        <v>9.323841174307324</v>
      </c>
      <c r="X18" s="11">
        <f t="shared" si="21"/>
        <v>14.056224648657809</v>
      </c>
      <c r="Y18" s="11">
        <f t="shared" si="21"/>
        <v>18.078311078229952</v>
      </c>
      <c r="Z18" s="11">
        <f t="shared" si="21"/>
        <v>21.222730771988321</v>
      </c>
      <c r="AA18" s="11">
        <f t="shared" ref="AA18:AB18" si="22">AA17/AA19</f>
        <v>22.952161603555417</v>
      </c>
      <c r="AB18" s="11">
        <f t="shared" si="22"/>
        <v>23.181683219590973</v>
      </c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2:152">
      <c r="B19" t="s">
        <v>1</v>
      </c>
      <c r="C19" s="8">
        <v>325</v>
      </c>
      <c r="D19" s="8">
        <v>327</v>
      </c>
      <c r="E19" s="8">
        <v>329</v>
      </c>
      <c r="F19" s="8">
        <f>Q19</f>
        <v>328</v>
      </c>
      <c r="G19" s="8">
        <v>334</v>
      </c>
      <c r="H19" s="8">
        <v>334</v>
      </c>
      <c r="I19" s="8">
        <v>332</v>
      </c>
      <c r="J19" s="8">
        <f>I19</f>
        <v>332</v>
      </c>
      <c r="K19" s="8"/>
      <c r="L19" s="8">
        <v>38</v>
      </c>
      <c r="M19" s="8">
        <v>44.8</v>
      </c>
      <c r="N19" s="8">
        <v>141.6</v>
      </c>
      <c r="O19" s="8">
        <v>300</v>
      </c>
      <c r="P19" s="8">
        <v>318</v>
      </c>
      <c r="Q19" s="8">
        <v>328</v>
      </c>
      <c r="R19" s="8">
        <v>328</v>
      </c>
      <c r="S19" s="8">
        <f>R19</f>
        <v>328</v>
      </c>
      <c r="T19" s="8">
        <f>S19</f>
        <v>328</v>
      </c>
      <c r="U19" s="8">
        <f>T19</f>
        <v>328</v>
      </c>
      <c r="V19" s="8">
        <f t="shared" ref="V19:Z19" si="23">U19</f>
        <v>328</v>
      </c>
      <c r="W19" s="8">
        <f t="shared" si="23"/>
        <v>328</v>
      </c>
      <c r="X19" s="8">
        <f t="shared" si="23"/>
        <v>328</v>
      </c>
      <c r="Y19" s="8">
        <f t="shared" si="23"/>
        <v>328</v>
      </c>
      <c r="Z19" s="8">
        <f t="shared" si="23"/>
        <v>328</v>
      </c>
      <c r="AA19" s="8">
        <f t="shared" ref="AA19" si="24">Z19</f>
        <v>328</v>
      </c>
      <c r="AB19" s="8">
        <f t="shared" ref="AB19" si="25">AA19</f>
        <v>328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2:152"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2:152">
      <c r="B21" t="s">
        <v>28</v>
      </c>
      <c r="C21" s="12"/>
      <c r="D21" s="12"/>
      <c r="E21" s="12"/>
      <c r="F21" s="12"/>
      <c r="G21" s="12">
        <f>G5/C5-1</f>
        <v>0.3306581059390048</v>
      </c>
      <c r="H21" s="12">
        <f>H5/D5-1</f>
        <v>0.28931750741839757</v>
      </c>
      <c r="I21" s="12">
        <f>I5/E5-1</f>
        <v>0.28337874659400542</v>
      </c>
      <c r="J21" s="12">
        <f>J5/F5-1</f>
        <v>0.33000000000000007</v>
      </c>
      <c r="K21" s="12"/>
      <c r="L21" s="12"/>
      <c r="M21" s="12">
        <f>M5/L5-1</f>
        <v>1.731958762886598</v>
      </c>
      <c r="N21" s="12">
        <f>N5/M5-1</f>
        <v>1.2339622641509433</v>
      </c>
      <c r="O21" s="12">
        <f>O5/N5-1</f>
        <v>1.0591216216216215</v>
      </c>
      <c r="P21" s="12">
        <f>P5/O5-1</f>
        <v>0.69401148482362585</v>
      </c>
      <c r="Q21" s="12">
        <f>Q5/P5-1</f>
        <v>0.35883777239709436</v>
      </c>
      <c r="R21" s="12">
        <f>R5/Q5-1</f>
        <v>0.30817890235210266</v>
      </c>
      <c r="S21" s="12">
        <v>0.32</v>
      </c>
      <c r="T21" s="12">
        <v>0.3</v>
      </c>
      <c r="U21" s="12">
        <v>0.26</v>
      </c>
      <c r="V21" s="12">
        <v>0.24</v>
      </c>
      <c r="W21" s="12">
        <v>0.22</v>
      </c>
      <c r="X21" s="12">
        <v>0.2</v>
      </c>
      <c r="Y21" s="12">
        <v>0.15</v>
      </c>
      <c r="Z21" s="12">
        <v>0.1</v>
      </c>
      <c r="AA21" s="12">
        <v>0.05</v>
      </c>
      <c r="AB21" s="12">
        <v>0.05</v>
      </c>
      <c r="AC21" s="12"/>
      <c r="AD21" s="12"/>
      <c r="AE21" s="12"/>
      <c r="AF21" s="12"/>
      <c r="AG21" s="12"/>
      <c r="AH21" s="12"/>
      <c r="AI21" s="12"/>
      <c r="AJ21" s="8"/>
      <c r="AK21" s="8"/>
      <c r="AL21" s="8"/>
    </row>
    <row r="22" spans="2:152">
      <c r="B22" t="s">
        <v>29</v>
      </c>
      <c r="C22" s="12">
        <f>C7/C5</f>
        <v>0.66452648475120391</v>
      </c>
      <c r="D22" s="12">
        <f>D7/D5</f>
        <v>0.67655786350148372</v>
      </c>
      <c r="E22" s="12">
        <f>E7/E5</f>
        <v>0.68801089918256131</v>
      </c>
      <c r="F22" s="12">
        <f>F7/F5</f>
        <v>0.68774193548387097</v>
      </c>
      <c r="G22" s="12">
        <f>G7/G5</f>
        <v>0.6706875753920386</v>
      </c>
      <c r="H22" s="12">
        <f>H7/H5</f>
        <v>0.66858457997698506</v>
      </c>
      <c r="I22" s="12">
        <f>I7/I5</f>
        <v>0.65923566878980888</v>
      </c>
      <c r="J22" s="12">
        <f>J7/J5</f>
        <v>0.71121998544748977</v>
      </c>
      <c r="K22" s="12"/>
      <c r="L22" s="12">
        <f>L7/L5</f>
        <v>0.46391752577319589</v>
      </c>
      <c r="M22" s="12">
        <f>M7/M5</f>
        <v>0.55849056603773584</v>
      </c>
      <c r="N22" s="12">
        <f>N7/N5</f>
        <v>0.58952702702702697</v>
      </c>
      <c r="O22" s="12">
        <f>O7/O5</f>
        <v>0.62428219852337985</v>
      </c>
      <c r="P22" s="12">
        <f>P7/P5</f>
        <v>0.65278450363196128</v>
      </c>
      <c r="Q22" s="12">
        <f>Q7/Q5</f>
        <v>0.67997148966500354</v>
      </c>
      <c r="R22" s="12">
        <f>R7/R5</f>
        <v>0.67863243206429202</v>
      </c>
      <c r="S22" s="12">
        <f>S7/S5</f>
        <v>0.69810925436342586</v>
      </c>
      <c r="T22" s="12">
        <f>T7/T5</f>
        <v>0.72133161941239321</v>
      </c>
      <c r="U22" s="12">
        <f t="shared" ref="U22:AA22" si="26">U7/U5</f>
        <v>0.7346015422975174</v>
      </c>
      <c r="V22" s="12">
        <f t="shared" si="26"/>
        <v>0.74316278286856507</v>
      </c>
      <c r="W22" s="12">
        <f t="shared" si="26"/>
        <v>0.75789934450725405</v>
      </c>
      <c r="X22" s="12">
        <f t="shared" si="26"/>
        <v>0.77807439913164955</v>
      </c>
      <c r="Y22" s="12">
        <f t="shared" si="26"/>
        <v>0.77807439913164955</v>
      </c>
      <c r="Z22" s="12">
        <f t="shared" si="26"/>
        <v>0.77807439913164955</v>
      </c>
      <c r="AA22" s="12">
        <f t="shared" si="26"/>
        <v>0.77807439913164955</v>
      </c>
      <c r="AB22" s="12">
        <f t="shared" ref="AB22" si="27">AB7/AB5</f>
        <v>0.77807439913164955</v>
      </c>
      <c r="AC22" s="12"/>
      <c r="AD22" s="12"/>
      <c r="AE22" s="12"/>
      <c r="AF22" s="12"/>
      <c r="AG22" s="12"/>
      <c r="AH22" s="12"/>
      <c r="AI22" s="12"/>
      <c r="AJ22" s="8"/>
      <c r="AK22" s="8"/>
      <c r="AL22" s="8"/>
    </row>
    <row r="23" spans="2:152">
      <c r="B23" t="s">
        <v>30</v>
      </c>
      <c r="C23" s="12">
        <f>C17/C5</f>
        <v>-0.36260032102728734</v>
      </c>
      <c r="D23" s="12">
        <f>D17/D5</f>
        <v>-0.33724035608308606</v>
      </c>
      <c r="E23" s="12">
        <f>E17/E5</f>
        <v>-0.29346049046321526</v>
      </c>
      <c r="F23" s="12">
        <f>F17/F5</f>
        <v>-0.21987096774193549</v>
      </c>
      <c r="G23" s="12">
        <f>G17/G5</f>
        <v>-0.38323281061519904</v>
      </c>
      <c r="H23" s="12">
        <f>H17/H5</f>
        <v>-0.36570771001150748</v>
      </c>
      <c r="I23" s="12">
        <f>I17/I5</f>
        <v>-0.34819532908704881</v>
      </c>
      <c r="J23" s="12">
        <f>J17/J5</f>
        <v>3.5013339801115727E-2</v>
      </c>
      <c r="K23" s="12"/>
      <c r="L23" s="12">
        <f>L17/L5</f>
        <v>-1.8278350515463919</v>
      </c>
      <c r="M23" s="12">
        <f>M17/M5</f>
        <v>-1.3132075471698113</v>
      </c>
      <c r="N23" s="12">
        <f>N17/N5</f>
        <v>-0.91064189189189193</v>
      </c>
      <c r="O23" s="12">
        <f>O17/O5</f>
        <v>-0.55783429040196886</v>
      </c>
      <c r="P23" s="12">
        <f>P17/P5</f>
        <v>-0.38644067796610171</v>
      </c>
      <c r="Q23" s="12">
        <f>Q17/Q5</f>
        <v>-0.29900213827512473</v>
      </c>
      <c r="R23" s="12">
        <f>R17/R5</f>
        <v>-0.25264864128584075</v>
      </c>
      <c r="S23" s="12">
        <f>S17/S5</f>
        <v>-0.16704185897216625</v>
      </c>
      <c r="T23" s="12">
        <v>-0.1</v>
      </c>
      <c r="U23" s="12">
        <v>0.05</v>
      </c>
      <c r="V23" s="12">
        <v>0.1</v>
      </c>
      <c r="W23" s="12">
        <v>0.15</v>
      </c>
      <c r="X23" s="12">
        <v>0.2</v>
      </c>
      <c r="Y23" s="12">
        <v>0.25</v>
      </c>
      <c r="Z23" s="12">
        <v>0.3</v>
      </c>
      <c r="AA23" s="12">
        <v>0.3</v>
      </c>
      <c r="AB23" s="12">
        <v>1.3</v>
      </c>
      <c r="AC23" s="12"/>
      <c r="AD23" s="12"/>
      <c r="AE23" s="12"/>
      <c r="AF23" s="12"/>
      <c r="AG23" s="12"/>
      <c r="AH23" s="12"/>
      <c r="AI23" s="12"/>
      <c r="AJ23" s="8"/>
      <c r="AK23" s="8"/>
      <c r="AL23" s="8"/>
    </row>
    <row r="24" spans="2:152">
      <c r="B24" t="s">
        <v>31</v>
      </c>
      <c r="C24" s="12">
        <f t="shared" ref="C24:J24" si="28">C16/C15</f>
        <v>2.8387096774193547E-2</v>
      </c>
      <c r="D24" s="12">
        <f t="shared" si="28"/>
        <v>1.6017316017316017E-2</v>
      </c>
      <c r="E24" s="12">
        <f t="shared" si="28"/>
        <v>-1.6037735849056604E-2</v>
      </c>
      <c r="F24" s="12">
        <f t="shared" si="28"/>
        <v>2.3495702005730656E-2</v>
      </c>
      <c r="G24" s="12">
        <f t="shared" si="28"/>
        <v>-8.5714285714285719E-3</v>
      </c>
      <c r="H24" s="12">
        <f t="shared" si="28"/>
        <v>-1.2101910828025477E-2</v>
      </c>
      <c r="I24" s="12">
        <f t="shared" si="28"/>
        <v>-6.1349693251533744E-3</v>
      </c>
      <c r="J24" s="12">
        <f t="shared" si="28"/>
        <v>1.1687158150624095</v>
      </c>
      <c r="K24" s="12"/>
      <c r="L24" s="12">
        <f t="shared" ref="L24:AA24" si="29">L16/L15</f>
        <v>-4.5325779036827201E-3</v>
      </c>
      <c r="M24" s="12">
        <f t="shared" si="29"/>
        <v>-2.881844380403458E-3</v>
      </c>
      <c r="N24" s="12">
        <f t="shared" si="29"/>
        <v>-3.7237013591509961E-3</v>
      </c>
      <c r="O24" s="12">
        <f t="shared" si="29"/>
        <v>-4.4313146233382573E-3</v>
      </c>
      <c r="P24" s="12">
        <f t="shared" si="29"/>
        <v>2.2058823529411766E-2</v>
      </c>
      <c r="Q24" s="12">
        <f t="shared" si="29"/>
        <v>1.2941176470588235E-2</v>
      </c>
      <c r="R24" s="12">
        <f t="shared" si="29"/>
        <v>0.2066027324601552</v>
      </c>
      <c r="S24" s="12">
        <f t="shared" si="29"/>
        <v>0.2066027324601552</v>
      </c>
      <c r="T24" s="12">
        <f t="shared" si="29"/>
        <v>0</v>
      </c>
      <c r="U24" s="12">
        <f t="shared" si="29"/>
        <v>0.20000000000000004</v>
      </c>
      <c r="V24" s="12">
        <f t="shared" si="29"/>
        <v>0.2</v>
      </c>
      <c r="W24" s="12">
        <f t="shared" si="29"/>
        <v>0.2</v>
      </c>
      <c r="X24" s="12">
        <f t="shared" si="29"/>
        <v>0.2</v>
      </c>
      <c r="Y24" s="12">
        <f t="shared" si="29"/>
        <v>0.2</v>
      </c>
      <c r="Z24" s="12">
        <f t="shared" si="29"/>
        <v>0.2</v>
      </c>
      <c r="AA24" s="12">
        <f t="shared" si="29"/>
        <v>0.2</v>
      </c>
      <c r="AB24" s="12">
        <f t="shared" ref="AB24" si="30">AB16/AB15</f>
        <v>0.2</v>
      </c>
      <c r="AC24" s="12"/>
      <c r="AD24" s="12"/>
      <c r="AE24" s="12"/>
      <c r="AF24" s="12"/>
      <c r="AG24" s="12"/>
      <c r="AH24" s="12"/>
      <c r="AI24" s="12"/>
      <c r="AJ24" s="8"/>
      <c r="AK24" s="8"/>
      <c r="AL24" s="8"/>
    </row>
    <row r="26" spans="2:152">
      <c r="B26" t="s">
        <v>37</v>
      </c>
      <c r="E26" s="8"/>
      <c r="P26" s="12">
        <f>P6/O6-1</f>
        <v>0.56550218340611358</v>
      </c>
      <c r="Q26" s="12">
        <f t="shared" ref="Q26:R26" si="31">Q6/P6-1</f>
        <v>0.25244072524407257</v>
      </c>
      <c r="R26" s="12">
        <f t="shared" si="31"/>
        <v>0.31365256124721586</v>
      </c>
      <c r="S26" s="12">
        <f>S6/R6-1</f>
        <v>0.24</v>
      </c>
      <c r="T26" s="12">
        <f t="shared" ref="T26:AA26" si="32">T6/S6-1</f>
        <v>0.19999999999999996</v>
      </c>
      <c r="U26" s="12">
        <f t="shared" si="32"/>
        <v>0.19999999999999996</v>
      </c>
      <c r="V26" s="12">
        <f t="shared" si="32"/>
        <v>0.19999999999999996</v>
      </c>
      <c r="W26" s="12">
        <f t="shared" si="32"/>
        <v>0.14999999999999991</v>
      </c>
      <c r="X26" s="12">
        <f t="shared" si="32"/>
        <v>0.10000000000000009</v>
      </c>
      <c r="Y26" s="12">
        <f t="shared" si="32"/>
        <v>0.14999999999999969</v>
      </c>
      <c r="Z26" s="12">
        <f t="shared" si="32"/>
        <v>0.10000000000000009</v>
      </c>
      <c r="AA26" s="12">
        <f t="shared" si="32"/>
        <v>5.0000000000000044E-2</v>
      </c>
      <c r="AB26" s="12">
        <f t="shared" ref="AB26" si="33">AB6/AA6-1</f>
        <v>4.9999999999999822E-2</v>
      </c>
    </row>
    <row r="27" spans="2:152">
      <c r="B27" t="s">
        <v>38</v>
      </c>
      <c r="E27" s="8"/>
      <c r="I27" s="8"/>
      <c r="N27" s="12"/>
      <c r="O27" s="12"/>
      <c r="P27" s="12">
        <f>P8/O8-1</f>
        <v>0.48655913978494625</v>
      </c>
      <c r="Q27" s="12">
        <f t="shared" ref="Q27:R27" si="34">Q8/P8-1</f>
        <v>0.25858951175406863</v>
      </c>
      <c r="R27" s="12">
        <f t="shared" si="34"/>
        <v>0.20474137931034475</v>
      </c>
      <c r="S27" s="12">
        <f t="shared" ref="S27:AA27" si="35">S8/R8-1</f>
        <v>0.20599999999999996</v>
      </c>
      <c r="T27" s="12">
        <f t="shared" si="35"/>
        <v>0</v>
      </c>
      <c r="U27" s="12">
        <f t="shared" si="35"/>
        <v>0</v>
      </c>
      <c r="V27" s="12">
        <f t="shared" si="35"/>
        <v>0</v>
      </c>
      <c r="W27" s="12">
        <f t="shared" si="35"/>
        <v>0</v>
      </c>
      <c r="X27" s="12">
        <f t="shared" si="35"/>
        <v>0</v>
      </c>
      <c r="Y27" s="12">
        <f t="shared" si="35"/>
        <v>0</v>
      </c>
      <c r="Z27" s="12">
        <f t="shared" si="35"/>
        <v>0</v>
      </c>
      <c r="AA27" s="12">
        <f t="shared" si="35"/>
        <v>0</v>
      </c>
      <c r="AB27" s="12">
        <f t="shared" ref="AB27" si="36">AB8/AA8-1</f>
        <v>0</v>
      </c>
    </row>
    <row r="28" spans="2:152">
      <c r="B28" t="s">
        <v>39</v>
      </c>
      <c r="E28" s="8"/>
      <c r="P28" s="12">
        <f t="shared" ref="P28:R28" si="37">P9/O9-1</f>
        <v>0.68736616702355469</v>
      </c>
      <c r="Q28" s="12">
        <f t="shared" si="37"/>
        <v>0.63451776649746194</v>
      </c>
      <c r="R28" s="12">
        <f t="shared" si="37"/>
        <v>0.34549689440993792</v>
      </c>
      <c r="S28" s="12">
        <f t="shared" ref="S28:AA28" si="38">S9/R9-1</f>
        <v>0.20599999999999996</v>
      </c>
      <c r="T28" s="12">
        <f t="shared" si="38"/>
        <v>0.10000000000000009</v>
      </c>
      <c r="U28" s="12">
        <f t="shared" si="38"/>
        <v>0.10000000000000009</v>
      </c>
      <c r="V28" s="12">
        <f t="shared" si="38"/>
        <v>5.0000000000000044E-2</v>
      </c>
      <c r="W28" s="12">
        <f t="shared" si="38"/>
        <v>5.0000000000000044E-2</v>
      </c>
      <c r="X28" s="12">
        <f t="shared" si="38"/>
        <v>5.0000000000000044E-2</v>
      </c>
      <c r="Y28" s="12">
        <f t="shared" si="38"/>
        <v>0</v>
      </c>
      <c r="Z28" s="12">
        <f t="shared" si="38"/>
        <v>0</v>
      </c>
      <c r="AA28" s="12">
        <f t="shared" si="38"/>
        <v>0</v>
      </c>
      <c r="AB28" s="12">
        <f t="shared" ref="AB28" si="39">AB9/AA9-1</f>
        <v>0</v>
      </c>
    </row>
    <row r="29" spans="2:152">
      <c r="B29" t="s">
        <v>40</v>
      </c>
      <c r="E29" s="8"/>
      <c r="P29" s="12">
        <f t="shared" ref="P29:R29" si="40">P10/O10-1</f>
        <v>0.11698113207547167</v>
      </c>
      <c r="Q29" s="12">
        <f t="shared" si="40"/>
        <v>9.1216216216216228E-2</v>
      </c>
      <c r="R29" s="12">
        <f t="shared" si="40"/>
        <v>0.24767801857585137</v>
      </c>
      <c r="S29" s="12">
        <f t="shared" ref="S29:AA29" si="41">S10/R10-1</f>
        <v>0.10000000000000009</v>
      </c>
      <c r="T29" s="12">
        <f t="shared" si="41"/>
        <v>0.10000000000000009</v>
      </c>
      <c r="U29" s="12">
        <f t="shared" si="41"/>
        <v>0.10000000000000009</v>
      </c>
      <c r="V29" s="12">
        <f t="shared" si="41"/>
        <v>0.10000000000000009</v>
      </c>
      <c r="W29" s="12">
        <f t="shared" si="41"/>
        <v>5.0000000000000044E-2</v>
      </c>
      <c r="X29" s="12">
        <f t="shared" si="41"/>
        <v>5.0000000000000044E-2</v>
      </c>
      <c r="Y29" s="12">
        <f t="shared" si="41"/>
        <v>5.0000000000000044E-2</v>
      </c>
      <c r="Z29" s="12">
        <f t="shared" si="41"/>
        <v>0</v>
      </c>
      <c r="AA29" s="12">
        <f t="shared" si="41"/>
        <v>0</v>
      </c>
      <c r="AB29" s="12">
        <f t="shared" ref="AB29" si="42">AB10/AA10-1</f>
        <v>0</v>
      </c>
    </row>
  </sheetData>
  <phoneticPr fontId="4" type="noConversion"/>
  <hyperlinks>
    <hyperlink ref="A1" location="Main!A1" display="Main" xr:uid="{F2EEBBDC-1CDE-5446-B41F-B71D0397BE72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2025-01-09T14:59:30Z</dcterms:created>
  <dcterms:modified xsi:type="dcterms:W3CDTF">2025-01-18T18:13:31Z</dcterms:modified>
</cp:coreProperties>
</file>