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w/Desktop/Ornl/FCIC/Blend3 feedstock/"/>
    </mc:Choice>
  </mc:AlternateContent>
  <xr:revisionPtr revIDLastSave="0" documentId="13_ncr:1_{8993C2B0-A590-6C49-80BD-67764AC5074C}" xr6:coauthVersionLast="45" xr6:coauthVersionMax="45" xr10:uidLastSave="{00000000-0000-0000-0000-000000000000}"/>
  <bookViews>
    <workbookView xWindow="1260" yWindow="460" windowWidth="25220" windowHeight="18000" xr2:uid="{CC338F52-5263-F847-B152-71741C1BF906}"/>
  </bookViews>
  <sheets>
    <sheet name="README" sheetId="2" r:id="rId1"/>
    <sheet name="Ultimate Analysis" sheetId="3" r:id="rId2"/>
    <sheet name="Chemical Analysis" sheetId="1" r:id="rId3"/>
  </sheets>
  <definedNames>
    <definedName name="acetyl">'Chemical Analysis'!$B$8</definedName>
    <definedName name="arabinan">'Chemical Analysis'!$B$9</definedName>
    <definedName name="ash">'Chemical Analysis'!$E$14</definedName>
    <definedName name="ash_ult">'Ultimate Analysis'!$B$11</definedName>
    <definedName name="carbon">'Ultimate Analysis'!$B$6</definedName>
    <definedName name="cellulose">'Chemical Analysis'!$E$7</definedName>
    <definedName name="ethanol_ext">'Chemical Analysis'!$B$18</definedName>
    <definedName name="free_fructose">'Chemical Analysis'!$B$14</definedName>
    <definedName name="free_glucose">'Chemical Analysis'!$B$15</definedName>
    <definedName name="galactan">'Chemical Analysis'!$B$10</definedName>
    <definedName name="glucan">'Chemical Analysis'!$B$7</definedName>
    <definedName name="hemicellulose">'Chemical Analysis'!$E$8</definedName>
    <definedName name="hydrogen">'Ultimate Analysis'!$B$7</definedName>
    <definedName name="lignin">'Chemical Analysis'!$B$13</definedName>
    <definedName name="lignin_c">'Chemical Analysis'!$E$9</definedName>
    <definedName name="lignin_h">'Chemical Analysis'!$E$10</definedName>
    <definedName name="lignin_o">'Chemical Analysis'!$E$11</definedName>
    <definedName name="mannan">'Chemical Analysis'!$B$11</definedName>
    <definedName name="moisture">'Ultimate Analysis'!$B$12</definedName>
    <definedName name="nitrogen">'Ultimate Analysis'!$B$9</definedName>
    <definedName name="nonstruct_inorg">'Chemical Analysis'!$B$19</definedName>
    <definedName name="oxygen">'Ultimate Analysis'!$B$8</definedName>
    <definedName name="struct_inorg">'Chemical Analysis'!$B$20</definedName>
    <definedName name="sucrose">'Chemical Analysis'!$B$16</definedName>
    <definedName name="sulfur">'Ultimate Analysis'!$B$10</definedName>
    <definedName name="sum_ar">'Ultimate Analysis'!$B$13</definedName>
    <definedName name="sum_dry">'Chemical Analysis'!$E$15</definedName>
    <definedName name="tannins">'Chemical Analysis'!$E$12</definedName>
    <definedName name="triglycerides">'Chemical Analysis'!$E$13</definedName>
    <definedName name="water_ext">'Chemical Analysis'!$B$17</definedName>
    <definedName name="xylan">'Chemical Analysis'!$B$12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" i="1" l="1"/>
  <c r="E21" i="1"/>
  <c r="E20" i="1"/>
  <c r="E19" i="1"/>
  <c r="E23" i="1"/>
  <c r="E22" i="1"/>
  <c r="E26" i="1"/>
  <c r="E27" i="1" l="1"/>
  <c r="F22" i="1" s="1"/>
  <c r="E13" i="1"/>
  <c r="E12" i="1"/>
  <c r="E8" i="1"/>
  <c r="E7" i="1"/>
  <c r="E14" i="1"/>
  <c r="E11" i="1"/>
  <c r="E10" i="1"/>
  <c r="F19" i="1" l="1"/>
  <c r="F21" i="1"/>
  <c r="F25" i="1"/>
  <c r="F24" i="1"/>
  <c r="F23" i="1"/>
  <c r="F20" i="1"/>
  <c r="B13" i="3"/>
  <c r="F27" i="1" l="1"/>
  <c r="C9" i="3"/>
  <c r="C7" i="3"/>
  <c r="E7" i="3"/>
  <c r="E6" i="3"/>
  <c r="D9" i="3"/>
  <c r="D8" i="3"/>
  <c r="D7" i="3"/>
  <c r="D6" i="3"/>
  <c r="C11" i="3"/>
  <c r="C10" i="3"/>
  <c r="C8" i="3"/>
  <c r="E8" i="3"/>
  <c r="C6" i="3"/>
  <c r="D10" i="3"/>
  <c r="B21" i="1"/>
  <c r="D13" i="3" l="1"/>
  <c r="C13" i="3"/>
  <c r="E13" i="3"/>
  <c r="E15" i="1"/>
  <c r="F9" i="1" l="1"/>
  <c r="F7" i="1"/>
  <c r="F8" i="1"/>
  <c r="F10" i="1"/>
  <c r="F12" i="1"/>
  <c r="F11" i="1"/>
  <c r="F13" i="1"/>
  <c r="F15" i="1" l="1"/>
</calcChain>
</file>

<file path=xl/sharedStrings.xml><?xml version="1.0" encoding="utf-8"?>
<sst xmlns="http://schemas.openxmlformats.org/spreadsheetml/2006/main" count="82" uniqueCount="50">
  <si>
    <t>acetyl</t>
  </si>
  <si>
    <t>% dry</t>
  </si>
  <si>
    <t>glucan</t>
  </si>
  <si>
    <t>cellulose</t>
  </si>
  <si>
    <t>hemicellulose</t>
  </si>
  <si>
    <t>arabinan</t>
  </si>
  <si>
    <t xml:space="preserve">galactan </t>
  </si>
  <si>
    <t>mannan</t>
  </si>
  <si>
    <t>xylan</t>
  </si>
  <si>
    <t>lignin</t>
  </si>
  <si>
    <t>free fructose</t>
  </si>
  <si>
    <t>free glucose</t>
  </si>
  <si>
    <t>non-structural inorganics</t>
  </si>
  <si>
    <t>structural inorganics</t>
  </si>
  <si>
    <t>sucrose</t>
  </si>
  <si>
    <t>water extractives</t>
  </si>
  <si>
    <t>ash</t>
  </si>
  <si>
    <t>Biomass Composition</t>
  </si>
  <si>
    <t>sum</t>
  </si>
  <si>
    <t>Project:</t>
  </si>
  <si>
    <t>FCIC</t>
  </si>
  <si>
    <t>Author:</t>
  </si>
  <si>
    <t>Gavin Wiggins</t>
  </si>
  <si>
    <t>Created:</t>
  </si>
  <si>
    <t>Updated:</t>
  </si>
  <si>
    <t>% daf</t>
  </si>
  <si>
    <t>Element</t>
  </si>
  <si>
    <t>% ar</t>
  </si>
  <si>
    <t>C</t>
  </si>
  <si>
    <t>H</t>
  </si>
  <si>
    <t>O</t>
  </si>
  <si>
    <t>N</t>
  </si>
  <si>
    <t>S</t>
  </si>
  <si>
    <t>moisture</t>
  </si>
  <si>
    <t>% daf CHO</t>
  </si>
  <si>
    <t>Values are mass percent</t>
  </si>
  <si>
    <t>→</t>
  </si>
  <si>
    <t>lignin-c</t>
  </si>
  <si>
    <t>lignin-h</t>
  </si>
  <si>
    <t>lignin-o</t>
  </si>
  <si>
    <t>Chemical</t>
  </si>
  <si>
    <t>tannins</t>
  </si>
  <si>
    <t>triglycerides</t>
  </si>
  <si>
    <t>Chemical analysis data taken from Excel spreadsheet "comp_analysis_blend3_fy17verification.xlsx"</t>
  </si>
  <si>
    <t>Ultimate analysis (elemental analysis) data taken from PDF named "chns_ipc_ms_blend3_nrel2017.pdf"</t>
  </si>
  <si>
    <t>Assume acetyl is acetic acid</t>
  </si>
  <si>
    <t>ethanol extractives</t>
  </si>
  <si>
    <t>x</t>
  </si>
  <si>
    <t>?</t>
  </si>
  <si>
    <t>Blend3 feedstock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</si>
</sst>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0" borderId="0" xfId="0" applyNumberFormat="1" applyFont="1"/>
    <xf numFmtId="2" fontId="0" fillId="0" borderId="0" xfId="0" applyNumberFormat="1"/>
    <xf numFmtId="2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2" fontId="0" fillId="0" borderId="0" xfId="0" applyNumberFormat="1" applyBorder="1"/>
    <xf numFmtId="0" fontId="0" fillId="0" borderId="0" xfId="0" applyFill="1" applyBorder="1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ont="1" applyFill="1"/>
    <xf numFmtId="0" fontId="0" fillId="6" borderId="1" xfId="0" applyFill="1" applyBorder="1"/>
    <xf numFmtId="0" fontId="0" fillId="6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241A-DE45-9C4B-B5A9-CBDFE1C069E9}">
  <dimension ref="A3:B8"/>
  <sheetViews>
    <sheetView tabSelected="1" zoomScale="110" zoomScaleNormal="110" workbookViewId="0">
      <selection activeCell="A5" sqref="A5"/>
    </sheetView>
  </sheetViews>
  <sheetFormatPr baseColWidth="10" defaultRowHeight="16" x14ac:dyDescent="0.2"/>
  <cols>
    <col min="1" max="1" width="10.83203125" style="3"/>
    <col min="2" max="2" width="21" style="3" bestFit="1" customWidth="1"/>
    <col min="3" max="16384" width="10.83203125" style="3"/>
  </cols>
  <sheetData>
    <row r="3" spans="1:2" s="2" customFormat="1" ht="19" x14ac:dyDescent="0.25">
      <c r="A3" s="26" t="s">
        <v>49</v>
      </c>
    </row>
    <row r="4" spans="1:2" s="2" customFormat="1" x14ac:dyDescent="0.2"/>
    <row r="5" spans="1:2" x14ac:dyDescent="0.2">
      <c r="A5" s="7" t="s">
        <v>19</v>
      </c>
      <c r="B5" s="7" t="s">
        <v>20</v>
      </c>
    </row>
    <row r="6" spans="1:2" x14ac:dyDescent="0.2">
      <c r="A6" s="7" t="s">
        <v>21</v>
      </c>
      <c r="B6" s="7" t="s">
        <v>22</v>
      </c>
    </row>
    <row r="7" spans="1:2" x14ac:dyDescent="0.2">
      <c r="A7" s="7" t="s">
        <v>23</v>
      </c>
      <c r="B7" s="8">
        <v>43945</v>
      </c>
    </row>
    <row r="8" spans="1:2" x14ac:dyDescent="0.2">
      <c r="A8" s="7" t="s">
        <v>24</v>
      </c>
      <c r="B8" s="8">
        <v>43993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D5AE-6CAA-7743-BEB3-101A5C83B953}">
  <dimension ref="A1:E13"/>
  <sheetViews>
    <sheetView zoomScale="110" zoomScaleNormal="110" workbookViewId="0">
      <selection activeCell="C9" sqref="C9"/>
    </sheetView>
  </sheetViews>
  <sheetFormatPr baseColWidth="10" defaultRowHeight="16" x14ac:dyDescent="0.2"/>
  <sheetData>
    <row r="1" spans="1:5" x14ac:dyDescent="0.2">
      <c r="A1" t="s">
        <v>44</v>
      </c>
    </row>
    <row r="2" spans="1:5" x14ac:dyDescent="0.2">
      <c r="A2" t="s">
        <v>35</v>
      </c>
    </row>
    <row r="5" spans="1:5" ht="17" thickBot="1" x14ac:dyDescent="0.25">
      <c r="A5" s="5" t="s">
        <v>26</v>
      </c>
      <c r="B5" s="5" t="s">
        <v>27</v>
      </c>
      <c r="C5" s="5" t="s">
        <v>1</v>
      </c>
      <c r="D5" s="5" t="s">
        <v>25</v>
      </c>
      <c r="E5" s="17" t="s">
        <v>34</v>
      </c>
    </row>
    <row r="6" spans="1:5" x14ac:dyDescent="0.2">
      <c r="A6" t="s">
        <v>28</v>
      </c>
      <c r="B6" s="10">
        <v>49.52</v>
      </c>
      <c r="C6" s="10">
        <f>100*carbon/(sum_ar-moisture)</f>
        <v>52.703277990634305</v>
      </c>
      <c r="D6" s="10">
        <f>100*carbon/(sum_ar-moisture-ash_ult)</f>
        <v>53.064723531933126</v>
      </c>
      <c r="E6" s="10">
        <f>100*carbon/(sum_ar-moisture-ash_ult-nitrogen-sulfur)</f>
        <v>53.16156736446591</v>
      </c>
    </row>
    <row r="7" spans="1:5" x14ac:dyDescent="0.2">
      <c r="A7" t="s">
        <v>29</v>
      </c>
      <c r="B7" s="10">
        <v>5.28</v>
      </c>
      <c r="C7" s="10">
        <f>100*hydrogen/(sum_ar-moisture)</f>
        <v>5.6194125159642399</v>
      </c>
      <c r="D7" s="10">
        <f>100*hydrogen/(sum_ar-moisture-ash_ult)</f>
        <v>5.6579511358765533</v>
      </c>
      <c r="E7" s="10">
        <f>100*hydrogen/(sum_ar-moisture-ash_ult-nitrogen-sulfur)</f>
        <v>5.6682769726247981</v>
      </c>
    </row>
    <row r="8" spans="1:5" x14ac:dyDescent="0.2">
      <c r="A8" t="s">
        <v>30</v>
      </c>
      <c r="B8" s="10">
        <v>38.35</v>
      </c>
      <c r="C8" s="10">
        <f>100*oxygen/(sum_ar-moisture)</f>
        <v>40.8152405278842</v>
      </c>
      <c r="D8" s="10">
        <f>100*oxygen/(sum_ar-moisture-ash_ult)</f>
        <v>41.095156450921557</v>
      </c>
      <c r="E8" s="10">
        <f>100*oxygen/(sum_ar-moisture-ash_ult-nitrogen-sulfur)</f>
        <v>41.170155662909281</v>
      </c>
    </row>
    <row r="9" spans="1:5" x14ac:dyDescent="0.2">
      <c r="A9" t="s">
        <v>31</v>
      </c>
      <c r="B9" s="10">
        <v>0.15</v>
      </c>
      <c r="C9" s="10">
        <f>100*nitrogen/(sum_ar-moisture)</f>
        <v>0.15964240102171134</v>
      </c>
      <c r="D9" s="10">
        <f>100*nitrogen/(sum_ar-moisture-ash_ult)</f>
        <v>0.16073724817831117</v>
      </c>
    </row>
    <row r="10" spans="1:5" x14ac:dyDescent="0.2">
      <c r="A10" t="s">
        <v>32</v>
      </c>
      <c r="B10" s="10">
        <v>0.02</v>
      </c>
      <c r="C10" s="10">
        <f>100*sulfur/(sum_ar-moisture)</f>
        <v>2.1285653469561513E-2</v>
      </c>
      <c r="D10" s="10">
        <f>100*sulfur/(sum_ar-moisture-ash_ult)</f>
        <v>2.143163309044149E-2</v>
      </c>
    </row>
    <row r="11" spans="1:5" x14ac:dyDescent="0.2">
      <c r="A11" t="s">
        <v>16</v>
      </c>
      <c r="B11" s="10">
        <v>0.64</v>
      </c>
      <c r="C11" s="10">
        <f>100*ash_ult/(sum_ar-moisture)</f>
        <v>0.68114091102596841</v>
      </c>
    </row>
    <row r="12" spans="1:5" ht="17" thickBot="1" x14ac:dyDescent="0.25">
      <c r="A12" s="4" t="s">
        <v>33</v>
      </c>
      <c r="B12" s="11">
        <v>6.04</v>
      </c>
      <c r="C12" s="11"/>
      <c r="D12" s="4"/>
      <c r="E12" s="4"/>
    </row>
    <row r="13" spans="1:5" x14ac:dyDescent="0.2">
      <c r="A13" s="15" t="s">
        <v>18</v>
      </c>
      <c r="B13" s="10">
        <f>SUM(B6:B12)</f>
        <v>100.00000000000001</v>
      </c>
      <c r="C13" s="10">
        <f>SUM(C6:C12)</f>
        <v>99.999999999999986</v>
      </c>
      <c r="D13" s="10">
        <f>SUM(D6:D12)</f>
        <v>99.999999999999986</v>
      </c>
      <c r="E13" s="10">
        <f>SUM(E6:E12)</f>
        <v>99.999999999999986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FE8A-E475-4E47-9AE6-EAFCC577F5C3}">
  <dimension ref="A1:G27"/>
  <sheetViews>
    <sheetView zoomScale="111" zoomScaleNormal="110" workbookViewId="0"/>
  </sheetViews>
  <sheetFormatPr baseColWidth="10" defaultRowHeight="16" x14ac:dyDescent="0.2"/>
  <cols>
    <col min="1" max="1" width="22" customWidth="1"/>
    <col min="2" max="2" width="9" style="1" bestFit="1" customWidth="1"/>
    <col min="4" max="4" width="19" bestFit="1" customWidth="1"/>
    <col min="5" max="5" width="9" bestFit="1" customWidth="1"/>
    <col min="6" max="6" width="9" customWidth="1"/>
  </cols>
  <sheetData>
    <row r="1" spans="1:7" x14ac:dyDescent="0.2">
      <c r="A1" t="s">
        <v>43</v>
      </c>
    </row>
    <row r="2" spans="1:7" x14ac:dyDescent="0.2">
      <c r="A2" t="s">
        <v>35</v>
      </c>
    </row>
    <row r="3" spans="1:7" x14ac:dyDescent="0.2">
      <c r="A3" t="s">
        <v>45</v>
      </c>
    </row>
    <row r="6" spans="1:7" s="2" customFormat="1" ht="17" thickBot="1" x14ac:dyDescent="0.25">
      <c r="A6" s="5" t="s">
        <v>40</v>
      </c>
      <c r="B6" s="6" t="s">
        <v>1</v>
      </c>
      <c r="C6" s="16" t="s">
        <v>36</v>
      </c>
      <c r="D6" s="5" t="s">
        <v>17</v>
      </c>
      <c r="E6" s="5" t="s">
        <v>1</v>
      </c>
      <c r="F6" s="5" t="s">
        <v>25</v>
      </c>
      <c r="G6" s="16"/>
    </row>
    <row r="7" spans="1:7" s="2" customFormat="1" x14ac:dyDescent="0.2">
      <c r="A7" s="18" t="s">
        <v>2</v>
      </c>
      <c r="B7" s="9">
        <v>38.950000000000003</v>
      </c>
      <c r="C7" s="3" t="s">
        <v>47</v>
      </c>
      <c r="D7" s="19" t="s">
        <v>3</v>
      </c>
      <c r="E7" s="9">
        <f>glucan</f>
        <v>38.950000000000003</v>
      </c>
      <c r="F7" s="9">
        <f>100*cellulose/(sum_dry-ash)</f>
        <v>39.192996578788495</v>
      </c>
    </row>
    <row r="8" spans="1:7" s="2" customFormat="1" x14ac:dyDescent="0.2">
      <c r="A8" s="22" t="s">
        <v>0</v>
      </c>
      <c r="B8" s="10">
        <v>1.59</v>
      </c>
      <c r="C8" s="3" t="s">
        <v>47</v>
      </c>
      <c r="D8" t="s">
        <v>4</v>
      </c>
      <c r="E8" s="10">
        <f>acetyl+arabinan+galactan+mannan+xylan</f>
        <v>24.560000000000002</v>
      </c>
      <c r="F8" s="9">
        <f>100*hemicellulose/(sum_dry-ash)</f>
        <v>24.713221976252768</v>
      </c>
    </row>
    <row r="9" spans="1:7" s="2" customFormat="1" x14ac:dyDescent="0.2">
      <c r="A9" s="20" t="s">
        <v>5</v>
      </c>
      <c r="B9" s="10">
        <v>1.4</v>
      </c>
      <c r="C9" s="3" t="s">
        <v>47</v>
      </c>
      <c r="D9" t="s">
        <v>37</v>
      </c>
      <c r="E9" s="10">
        <v>0</v>
      </c>
      <c r="F9" s="9">
        <f>100*lignin_c/(sum_dry-ash)</f>
        <v>0</v>
      </c>
    </row>
    <row r="10" spans="1:7" x14ac:dyDescent="0.2">
      <c r="A10" s="20" t="s">
        <v>6</v>
      </c>
      <c r="B10" s="10">
        <v>3.16</v>
      </c>
      <c r="C10" t="s">
        <v>47</v>
      </c>
      <c r="D10" t="s">
        <v>38</v>
      </c>
      <c r="E10" s="10">
        <f>lignin/2</f>
        <v>14.74</v>
      </c>
      <c r="F10" s="9">
        <f>100*lignin_h/(sum_dry-ash)</f>
        <v>14.83195814047092</v>
      </c>
    </row>
    <row r="11" spans="1:7" x14ac:dyDescent="0.2">
      <c r="A11" s="20" t="s">
        <v>7</v>
      </c>
      <c r="B11" s="10">
        <v>10.52</v>
      </c>
      <c r="C11" t="s">
        <v>47</v>
      </c>
      <c r="D11" t="s">
        <v>39</v>
      </c>
      <c r="E11">
        <f>lignin/2</f>
        <v>14.74</v>
      </c>
      <c r="F11" s="9">
        <f>100*lignin_o/(sum_dry-ash)</f>
        <v>14.83195814047092</v>
      </c>
    </row>
    <row r="12" spans="1:7" x14ac:dyDescent="0.2">
      <c r="A12" s="20" t="s">
        <v>8</v>
      </c>
      <c r="B12" s="10">
        <v>7.89</v>
      </c>
      <c r="C12" t="s">
        <v>47</v>
      </c>
      <c r="D12" t="s">
        <v>41</v>
      </c>
      <c r="E12" s="10">
        <f>0</f>
        <v>0</v>
      </c>
      <c r="F12" s="9">
        <f>100*tannins/(sum_dry-ash)</f>
        <v>0</v>
      </c>
    </row>
    <row r="13" spans="1:7" x14ac:dyDescent="0.2">
      <c r="A13" s="21" t="s">
        <v>9</v>
      </c>
      <c r="B13" s="10">
        <v>29.48</v>
      </c>
      <c r="C13" t="s">
        <v>47</v>
      </c>
      <c r="D13" s="12" t="s">
        <v>42</v>
      </c>
      <c r="E13" s="14">
        <f>free_fructose+free_glucose+sucrose+water_ext+ethanol_ext</f>
        <v>6.3900000000000006</v>
      </c>
      <c r="F13" s="9">
        <f>100*triglycerides/(sum_dry-ash)</f>
        <v>6.4298651640169053</v>
      </c>
    </row>
    <row r="14" spans="1:7" ht="17" thickBot="1" x14ac:dyDescent="0.25">
      <c r="A14" s="20" t="s">
        <v>10</v>
      </c>
      <c r="B14" s="10">
        <v>7.0000000000000007E-2</v>
      </c>
      <c r="C14" t="s">
        <v>47</v>
      </c>
      <c r="D14" s="13" t="s">
        <v>16</v>
      </c>
      <c r="E14" s="11">
        <f>nonstruct_inorg+struct_inorg</f>
        <v>0.63</v>
      </c>
      <c r="F14" s="11"/>
    </row>
    <row r="15" spans="1:7" x14ac:dyDescent="0.2">
      <c r="A15" s="23" t="s">
        <v>11</v>
      </c>
      <c r="B15" s="10">
        <v>0.04</v>
      </c>
      <c r="C15" t="s">
        <v>47</v>
      </c>
      <c r="D15" t="s">
        <v>18</v>
      </c>
      <c r="E15" s="10">
        <f>SUM(E7:E14)</f>
        <v>100.00999999999999</v>
      </c>
      <c r="F15" s="10">
        <f>SUM(F7:F14)</f>
        <v>100</v>
      </c>
    </row>
    <row r="16" spans="1:7" x14ac:dyDescent="0.2">
      <c r="A16" s="20" t="s">
        <v>14</v>
      </c>
      <c r="B16" s="10">
        <v>0.04</v>
      </c>
      <c r="C16" t="s">
        <v>47</v>
      </c>
    </row>
    <row r="17" spans="1:6" x14ac:dyDescent="0.2">
      <c r="A17" s="22" t="s">
        <v>15</v>
      </c>
      <c r="B17" s="10">
        <v>2.75</v>
      </c>
      <c r="C17" t="s">
        <v>47</v>
      </c>
    </row>
    <row r="18" spans="1:6" ht="17" thickBot="1" x14ac:dyDescent="0.25">
      <c r="A18" s="22" t="s">
        <v>46</v>
      </c>
      <c r="B18" s="10">
        <v>3.49</v>
      </c>
      <c r="C18" t="s">
        <v>47</v>
      </c>
      <c r="D18" s="5" t="s">
        <v>17</v>
      </c>
      <c r="E18" s="5" t="s">
        <v>1</v>
      </c>
      <c r="F18" s="5" t="s">
        <v>25</v>
      </c>
    </row>
    <row r="19" spans="1:6" x14ac:dyDescent="0.2">
      <c r="A19" s="25" t="s">
        <v>12</v>
      </c>
      <c r="B19" s="10">
        <v>0.22</v>
      </c>
      <c r="C19" t="s">
        <v>47</v>
      </c>
      <c r="D19" s="18" t="s">
        <v>3</v>
      </c>
      <c r="E19" s="9">
        <f>glucan</f>
        <v>38.950000000000003</v>
      </c>
      <c r="F19" s="9">
        <f>100*E19/($E$27-$E$26)</f>
        <v>39.192996578788495</v>
      </c>
    </row>
    <row r="20" spans="1:6" ht="17" thickBot="1" x14ac:dyDescent="0.25">
      <c r="A20" s="24" t="s">
        <v>13</v>
      </c>
      <c r="B20" s="11">
        <v>0.41</v>
      </c>
      <c r="C20" t="s">
        <v>47</v>
      </c>
      <c r="D20" s="20" t="s">
        <v>4</v>
      </c>
      <c r="E20" s="10">
        <f>xylan+mannan+galactan+arabinan+free_fructose+free_glucose+sucrose</f>
        <v>23.119999999999997</v>
      </c>
      <c r="F20" s="9">
        <f t="shared" ref="F20:F25" si="0">100*E20/($E$27-$E$26)</f>
        <v>23.264238277319375</v>
      </c>
    </row>
    <row r="21" spans="1:6" x14ac:dyDescent="0.2">
      <c r="A21" t="s">
        <v>18</v>
      </c>
      <c r="B21" s="10">
        <f>SUM(B7:B20)</f>
        <v>100.01</v>
      </c>
      <c r="D21" s="21" t="s">
        <v>37</v>
      </c>
      <c r="E21" s="10">
        <f>lignin/3</f>
        <v>9.8266666666666662</v>
      </c>
      <c r="F21" s="9">
        <f t="shared" si="0"/>
        <v>9.8879720936472797</v>
      </c>
    </row>
    <row r="22" spans="1:6" x14ac:dyDescent="0.2">
      <c r="D22" s="21" t="s">
        <v>38</v>
      </c>
      <c r="E22" s="10">
        <f>lignin/3</f>
        <v>9.8266666666666662</v>
      </c>
      <c r="F22" s="9">
        <f t="shared" si="0"/>
        <v>9.8879720936472797</v>
      </c>
    </row>
    <row r="23" spans="1:6" x14ac:dyDescent="0.2">
      <c r="D23" s="21" t="s">
        <v>39</v>
      </c>
      <c r="E23" s="10">
        <f>lignin/3</f>
        <v>9.8266666666666662</v>
      </c>
      <c r="F23" s="9">
        <f t="shared" si="0"/>
        <v>9.8879720936472797</v>
      </c>
    </row>
    <row r="24" spans="1:6" x14ac:dyDescent="0.2">
      <c r="D24" s="22" t="s">
        <v>41</v>
      </c>
      <c r="E24" s="10">
        <f>acetyl+water_ext+ethanol_ext</f>
        <v>7.83</v>
      </c>
      <c r="F24" s="9">
        <f t="shared" si="0"/>
        <v>7.8788488629502922</v>
      </c>
    </row>
    <row r="25" spans="1:6" x14ac:dyDescent="0.2">
      <c r="C25" t="s">
        <v>48</v>
      </c>
      <c r="D25" s="12" t="s">
        <v>42</v>
      </c>
      <c r="E25" s="14">
        <v>0</v>
      </c>
      <c r="F25" s="9">
        <f t="shared" si="0"/>
        <v>0</v>
      </c>
    </row>
    <row r="26" spans="1:6" ht="17" thickBot="1" x14ac:dyDescent="0.25">
      <c r="D26" s="24" t="s">
        <v>16</v>
      </c>
      <c r="E26" s="11">
        <f>nonstruct_inorg+struct_inorg</f>
        <v>0.63</v>
      </c>
      <c r="F26" s="11"/>
    </row>
    <row r="27" spans="1:6" x14ac:dyDescent="0.2">
      <c r="D27" t="s">
        <v>18</v>
      </c>
      <c r="E27" s="10">
        <f>SUM(E19:E26)</f>
        <v>100.00999999999999</v>
      </c>
      <c r="F27" s="10">
        <f>SUM(F19:F26)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README</vt:lpstr>
      <vt:lpstr>Ultimate Analysis</vt:lpstr>
      <vt:lpstr>Chemical Analysis</vt:lpstr>
      <vt:lpstr>acetyl</vt:lpstr>
      <vt:lpstr>arabinan</vt:lpstr>
      <vt:lpstr>ash</vt:lpstr>
      <vt:lpstr>ash_ult</vt:lpstr>
      <vt:lpstr>carbon</vt:lpstr>
      <vt:lpstr>cellulose</vt:lpstr>
      <vt:lpstr>ethanol_ext</vt:lpstr>
      <vt:lpstr>free_fructose</vt:lpstr>
      <vt:lpstr>free_glucose</vt:lpstr>
      <vt:lpstr>galactan</vt:lpstr>
      <vt:lpstr>glucan</vt:lpstr>
      <vt:lpstr>hemicellulose</vt:lpstr>
      <vt:lpstr>hydrogen</vt:lpstr>
      <vt:lpstr>lignin</vt:lpstr>
      <vt:lpstr>lignin_c</vt:lpstr>
      <vt:lpstr>lignin_h</vt:lpstr>
      <vt:lpstr>lignin_o</vt:lpstr>
      <vt:lpstr>mannan</vt:lpstr>
      <vt:lpstr>moisture</vt:lpstr>
      <vt:lpstr>nitrogen</vt:lpstr>
      <vt:lpstr>nonstruct_inorg</vt:lpstr>
      <vt:lpstr>oxygen</vt:lpstr>
      <vt:lpstr>struct_inorg</vt:lpstr>
      <vt:lpstr>sucrose</vt:lpstr>
      <vt:lpstr>sulfur</vt:lpstr>
      <vt:lpstr>sum_ar</vt:lpstr>
      <vt:lpstr>sum_dry</vt:lpstr>
      <vt:lpstr>tannins</vt:lpstr>
      <vt:lpstr>triglycerides</vt:lpstr>
      <vt:lpstr>water_ext</vt:lpstr>
      <vt:lpstr>xylan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Wiggins</dc:creator>
  <cp:lastModifiedBy>Gavin Wiggins</cp:lastModifiedBy>
  <dcterms:created xsi:type="dcterms:W3CDTF">2020-04-24T15:01:57Z</dcterms:created>
  <dcterms:modified xsi:type="dcterms:W3CDTF">2020-06-11T14:12:33Z</dcterms:modified>
</cp:coreProperties>
</file>